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Notes" sheetId="1" r:id="rId5"/>
    <sheet state="visible" name="Raw" sheetId="2" r:id="rId6"/>
    <sheet state="visible" name="Enriched - 1 " sheetId="3" r:id="rId7"/>
    <sheet state="visible" name="Enriched - 2" sheetId="4" r:id="rId8"/>
    <sheet state="hidden" name="geography-labels update" sheetId="5" r:id="rId9"/>
    <sheet state="hidden" name="threats_l0-labels update" sheetId="6" r:id="rId10"/>
    <sheet state="hidden" name="threats_l1-labels update" sheetId="7" r:id="rId11"/>
    <sheet state="visible" name="Curated - Labels" sheetId="8" r:id="rId12"/>
    <sheet state="visible" name="Serving - Labels" sheetId="9" r:id="rId13"/>
    <sheet state="visible" name="Sheet8" sheetId="10" r:id="rId14"/>
    <sheet state="visible" name="Query" sheetId="11" r:id="rId15"/>
  </sheets>
  <definedNames>
    <definedName hidden="1" localSheetId="2" name="_xlnm._FilterDatabase">'Enriched - 1 '!$A$1:$AW$1006</definedName>
    <definedName hidden="1" localSheetId="3" name="_xlnm._FilterDatabase">'Enriched - 2'!$A$1:$L$647</definedName>
    <definedName hidden="1" localSheetId="4" name="_xlnm._FilterDatabase">'geography-labels update'!$C$33:$E$145</definedName>
    <definedName hidden="1" localSheetId="7" name="_xlnm._FilterDatabase">'Curated - Labels'!$A$1:$BZ$612</definedName>
    <definedName hidden="1" localSheetId="8" name="_xlnm._FilterDatabase">'Serving - Labels'!$A$1:$P$612</definedName>
  </definedNames>
  <calcPr/>
</workbook>
</file>

<file path=xl/sharedStrings.xml><?xml version="1.0" encoding="utf-8"?>
<sst xmlns="http://schemas.openxmlformats.org/spreadsheetml/2006/main" count="85306" uniqueCount="14406">
  <si>
    <t>https://onlinelibrary.wiley.com/doi/full/10.1111/mam.12288</t>
  </si>
  <si>
    <t>A global review of the conservation threats and status of mustelids</t>
  </si>
  <si>
    <t xml:space="preserve">-mustelids is the largest order in carnivore </t>
  </si>
  <si>
    <t>Wright et al</t>
  </si>
  <si>
    <t>Raw</t>
  </si>
  <si>
    <t>Dataset available at https://figshare.com/ndownloader/files/33661745. It includes all 1003 records of articles, bulletins, book sections labelled by author</t>
  </si>
  <si>
    <t>Enriched - 1</t>
  </si>
  <si>
    <t xml:space="preserve">Extend raw dataset with new labels of 
- "Title search string" to get title search string for journal articles.
- Add new labels of country, region, sub-region based on already defined labels. These do not change any of authors labelling schema but just standardize labels as IPBES Geography labelling schema followed in this thesis. For example, USA behinds United States of America (the) in labelling schema.
- Add species cols which is which a list of all species labelled by author
- Add threat_l0 and threat_l1 columns. These are list of all threats mentoined by authors in separate labels. This is done to gather all related threats of iucn in single labels.
Here, some of the naming differences exists compared to the IUCN threat classificaiton 3.3. Labels text is revised to meet the version 3.3. </t>
  </si>
  <si>
    <t>Enriched - 2</t>
  </si>
  <si>
    <t>Selection of only selected cols from Enriched 1. 
Filter records to only journal articles leading to 646 documents</t>
  </si>
  <si>
    <t>Curated - Labels</t>
  </si>
  <si>
    <t>WOS export of all records of "Enriched - 2" that are available in WOS. 611 records are found with Title and DO match search using query in the query tab.
For each WOS record, labels are added: 
country        region        sub-region        specie        threats_l1        threats_l0</t>
  </si>
  <si>
    <t>#</t>
  </si>
  <si>
    <t>Type</t>
  </si>
  <si>
    <t>Author</t>
  </si>
  <si>
    <t>Year</t>
  </si>
  <si>
    <t>Title</t>
  </si>
  <si>
    <t>Country</t>
  </si>
  <si>
    <t>Region</t>
  </si>
  <si>
    <t>Region2</t>
  </si>
  <si>
    <t>Species.1</t>
  </si>
  <si>
    <t>Species.2</t>
  </si>
  <si>
    <t>Species.3</t>
  </si>
  <si>
    <t>Species.4</t>
  </si>
  <si>
    <t>Species.5</t>
  </si>
  <si>
    <t>Species.6</t>
  </si>
  <si>
    <t>Subthreat.1a</t>
  </si>
  <si>
    <t>Subthreat.1b</t>
  </si>
  <si>
    <t>Subthreat.1c</t>
  </si>
  <si>
    <t>Subthreat.2a</t>
  </si>
  <si>
    <t>Subthreat.2b</t>
  </si>
  <si>
    <t>Subthreat.3a</t>
  </si>
  <si>
    <t>Subthreat.3b</t>
  </si>
  <si>
    <t>Subthreat.4</t>
  </si>
  <si>
    <t>Subthreat.5</t>
  </si>
  <si>
    <t>Threat.1</t>
  </si>
  <si>
    <t>Threat.2</t>
  </si>
  <si>
    <t>Threat.3</t>
  </si>
  <si>
    <t>Threat.4</t>
  </si>
  <si>
    <t>Threat.5</t>
  </si>
  <si>
    <t>Journal Article</t>
  </si>
  <si>
    <t>M. B. Harris; W. Tomas; G. Mourao; C. J. Da Silva; E. Guimaraes; F. Sonoda; E. Fachim</t>
  </si>
  <si>
    <t>Safeguarding the Pantanal wetlands: Threats and conservation initiatives</t>
  </si>
  <si>
    <t>Brazil</t>
  </si>
  <si>
    <t>Latin America &amp; Caribbean</t>
  </si>
  <si>
    <t>Latin America</t>
  </si>
  <si>
    <t>Pteronura brasiliensis</t>
  </si>
  <si>
    <t>Livestock farming &amp; ranching</t>
  </si>
  <si>
    <t>Logging &amp; wood harvesting (intentional &amp; unintentional)</t>
  </si>
  <si>
    <t>Dams &amp; water management/use</t>
  </si>
  <si>
    <t>Invasive non-native/alien species/diseases</t>
  </si>
  <si>
    <t>Agriculture &amp; aquaculture</t>
  </si>
  <si>
    <t>Biological resource use</t>
  </si>
  <si>
    <t>Natural system modifications</t>
  </si>
  <si>
    <t>Invasive &amp; other problematic species, genes &amp; diseases</t>
  </si>
  <si>
    <t>SCC</t>
  </si>
  <si>
    <t>The current Status of Vormela peregusna throughout its historical range</t>
  </si>
  <si>
    <t>Europe</t>
  </si>
  <si>
    <t>Europe &amp; Central Asia</t>
  </si>
  <si>
    <t>Vormela peregusna</t>
  </si>
  <si>
    <t>Annual &amp; perennial non-timber crops</t>
  </si>
  <si>
    <t>Hunting &amp; trapping terrestrial animals (intentional &amp; unintentional)</t>
  </si>
  <si>
    <t>Agricultural &amp; forestry effluents</t>
  </si>
  <si>
    <t>Roads &amp; railroads</t>
  </si>
  <si>
    <t>Pollution</t>
  </si>
  <si>
    <t>Transportation &amp; service corridors</t>
  </si>
  <si>
    <t>R. C. Van Apeldoorn; J. P. Knaapen; P. Schippers; J. Verboom; H. Van Engen; H. Meeuwsen</t>
  </si>
  <si>
    <t>Applying ecological knowledge in landscape planning: a simulation model as a tool to evaluate scenarios for the badger in the Netherlands</t>
  </si>
  <si>
    <t>United Kingdom</t>
  </si>
  <si>
    <t>Meles meles</t>
  </si>
  <si>
    <t>Housing &amp; urban areas</t>
  </si>
  <si>
    <t>Residential &amp; commercial development</t>
  </si>
  <si>
    <t>Book Section</t>
  </si>
  <si>
    <t>M. Costa; C. Fernandes; M. Santos-Reis</t>
  </si>
  <si>
    <t>Ecology and conservation of the polecat Mustela putorius (Linnaeus, 1758) in Portugal: a review</t>
  </si>
  <si>
    <t>Portugal</t>
  </si>
  <si>
    <t>Mustela putorius</t>
  </si>
  <si>
    <t>Introduced genetic material</t>
  </si>
  <si>
    <t>Other threats</t>
  </si>
  <si>
    <t>C. J. Kyle; R. D. Weir; N. J. Newhouse; H. Davis; C. Strobeck</t>
  </si>
  <si>
    <t>Genetic structure of sensitive and endangered northwestern badger populations (Taxidea taxus taxus and T-t. jeffersonii)</t>
  </si>
  <si>
    <t>USA / Canada</t>
  </si>
  <si>
    <t>North America</t>
  </si>
  <si>
    <t>Taxidea taxus</t>
  </si>
  <si>
    <t>N. M. Schmidt; P. M. Jensen</t>
  </si>
  <si>
    <t>Changes in mammalian body length over 175 years - Adaptations to a fragmented landscape?</t>
  </si>
  <si>
    <t>European sp.</t>
  </si>
  <si>
    <t>Unspecified</t>
  </si>
  <si>
    <t>J. R. A. Butler; J. T. Dutoit</t>
  </si>
  <si>
    <t>DIET AND CONSERVATION STATUS OF CAPE CLAWLESS OTTERS IN EASTERN ZIMBABWE</t>
  </si>
  <si>
    <t>Zimbabwe</t>
  </si>
  <si>
    <t>Sub-Saharan Africa</t>
  </si>
  <si>
    <t>Aonyx capensis</t>
  </si>
  <si>
    <t>S. Kurki; A. Nikula; P. Helle; H. Linden</t>
  </si>
  <si>
    <t>Abundances of red fox and pine marten in relation to the composition of boreal forest landscapes</t>
  </si>
  <si>
    <t>Finland</t>
  </si>
  <si>
    <t>Martes martes</t>
  </si>
  <si>
    <t>Wood &amp; pulp plantations</t>
  </si>
  <si>
    <t>Z. J. Piao; L. N. Tang; R. K. Swihart; S. X. Wang</t>
  </si>
  <si>
    <t>Human-wildlife competition for Korean pine seeds: vertebrate responses and implications for mixed forests on Changbai Mountain, China</t>
  </si>
  <si>
    <t>China</t>
  </si>
  <si>
    <t>East Asia &amp; Pacific</t>
  </si>
  <si>
    <t>East Asia</t>
  </si>
  <si>
    <t>Martes flavigula</t>
  </si>
  <si>
    <t>Martes zibellina</t>
  </si>
  <si>
    <t>Mustela sibirica</t>
  </si>
  <si>
    <t>Otter Bulletin article</t>
  </si>
  <si>
    <t>Andreas Kranz</t>
  </si>
  <si>
    <t>Otters Increasing - Threats Increasing</t>
  </si>
  <si>
    <t>Austria</t>
  </si>
  <si>
    <t>Lutra lutra</t>
  </si>
  <si>
    <t>Marine &amp; freshwater aquaculture</t>
  </si>
  <si>
    <t>Distribution, natural history, and conservation of the Patagonian Weasel Lyncodon patagonicus</t>
  </si>
  <si>
    <t>Argentina</t>
  </si>
  <si>
    <t>Lyncodon patagonicus</t>
  </si>
  <si>
    <t>N. Reid; G. J. Wilson; W. I. Montgomery; R. A. McDonald</t>
  </si>
  <si>
    <t>Changes in the prevalence of badger persecution in Northern Ireland</t>
  </si>
  <si>
    <t>Habitat shifting &amp; alteration</t>
  </si>
  <si>
    <t>Climate change &amp; severe weather</t>
  </si>
  <si>
    <t>James Butler</t>
  </si>
  <si>
    <t>Resource Use within the Crab-Eating Guild in Upper Kairezi River, Zimbabwe: Proposed Project</t>
  </si>
  <si>
    <t>Human intrusions &amp; disturbance</t>
  </si>
  <si>
    <t>First Systematic Survey for Otter (Lutra lutra) in Ladakh, Indian Trans Himalayas</t>
  </si>
  <si>
    <t>India</t>
  </si>
  <si>
    <t>South Asia</t>
  </si>
  <si>
    <t>Not specified</t>
  </si>
  <si>
    <t>Book</t>
  </si>
  <si>
    <t>J. G. Howard; P. Marinari; D. E. Wildt</t>
  </si>
  <si>
    <t>Integration of assisted reproductive technology in the recovery of the black-footed ferret (Mustela nigripes)</t>
  </si>
  <si>
    <t>USA</t>
  </si>
  <si>
    <t>Mustela nigripes</t>
  </si>
  <si>
    <t>M. Salek; N. Spassov; M. Andera; K. Enzinger; B. Ottlecz; Z. Hegyeli</t>
  </si>
  <si>
    <t>Population status, habitat associations, and distribution of the steppe polecat Mustela eversmanii in Europe</t>
  </si>
  <si>
    <t>Mustela eversmannii</t>
  </si>
  <si>
    <t>Other ecosystem modifications</t>
  </si>
  <si>
    <t>M. A. Sepulveda; J. L. Bartheld; R. Monsalve; V. Gomez; G. Medina-Vogel</t>
  </si>
  <si>
    <t>Habitat use and spatial behaviour of the endangered Southern river otter (Lontra provocax) in riparian habitats of Chile: Conservation implications</t>
  </si>
  <si>
    <t>Chile</t>
  </si>
  <si>
    <t>Lontra provocax</t>
  </si>
  <si>
    <t>R. Mirzaei; M. Karami; A. D. Kar; A. Abdoli</t>
  </si>
  <si>
    <t>HABITAT QUALITY ASSESSMENT FOR THE EURASIAN OTTER (LUTRA LUTRA) ON THE RIVER JAJROOD, IRAN</t>
  </si>
  <si>
    <t>Iran</t>
  </si>
  <si>
    <t>Middle East &amp; North Africa</t>
  </si>
  <si>
    <t>Unspecified (habitat destruction)</t>
  </si>
  <si>
    <t>A. Balestrieri; S. Messina; F. Pella; C. Prigioni; N. Saino; M. Fasola</t>
  </si>
  <si>
    <t>Eurasian otter Lutra lutra in developing countries: a resurvey of Albania 22 years after the fall of communism</t>
  </si>
  <si>
    <t>Albania</t>
  </si>
  <si>
    <t>Industrial &amp; military effluents</t>
  </si>
  <si>
    <t>M. Marcelli; L. Polednik; K. Polednikova; R. Fusillo</t>
  </si>
  <si>
    <t>Land use drivers of species re-expansion: inferring colonization dynamics in Eurasian otters</t>
  </si>
  <si>
    <t>Czech Republic</t>
  </si>
  <si>
    <t>Distribution of the Eurasian Otter (Lutra lutra) in the Republic of Macedonia in 2007</t>
  </si>
  <si>
    <t>Macedonia</t>
  </si>
  <si>
    <t>M. S. Khan; N. K. Dimri; A. Nawab; O. Ilyas; P. Gautam</t>
  </si>
  <si>
    <t>Habitat use pattern and conservation status of smooth-coated otters Lutrogale perspicillata in the Upper Ganges Basin, India</t>
  </si>
  <si>
    <t>Lutrogale perspicillata</t>
  </si>
  <si>
    <t>C. Lara-Romero; E. Virgos; G. Escribano-Avila; J. G. Mangas; I. Barja; X. Pardavila</t>
  </si>
  <si>
    <t>Habitat selection by European badgers in Mediterranean semi-arid ecosystems</t>
  </si>
  <si>
    <t>Spain</t>
  </si>
  <si>
    <t>Bjarne Søgaard  and Aksel Bo Madsen</t>
  </si>
  <si>
    <t>Management Plan for the Otter (Lutra lutra) in Denmark</t>
  </si>
  <si>
    <t xml:space="preserve">Denmark  </t>
  </si>
  <si>
    <t>Recreational activities</t>
  </si>
  <si>
    <t>Jerzy Romanowski and Marcin Brzeziriski</t>
  </si>
  <si>
    <t>Otter News from Poland</t>
  </si>
  <si>
    <t xml:space="preserve">Poland </t>
  </si>
  <si>
    <t>Shipping lanes</t>
  </si>
  <si>
    <t xml:space="preserve">Sheila Macdonald    </t>
  </si>
  <si>
    <t>Meeting Of the European Section of the OSG</t>
  </si>
  <si>
    <t xml:space="preserve">Europe </t>
  </si>
  <si>
    <t>C. T. Stuart</t>
  </si>
  <si>
    <t>THE STATUS OF 2 ENDANGERED CARNIVORES OCCURRING IN THE CAPE-PROVINCE, SOUTH-AFRICA, FELIS-SERVAL AND LUTRA-MACULICOLLIS</t>
  </si>
  <si>
    <t>South Africa</t>
  </si>
  <si>
    <t>Hydrictis maculicollis</t>
  </si>
  <si>
    <t>E. Revilla; F. Palomares; M. Delibes</t>
  </si>
  <si>
    <t>Defining key habitats for low density populations of Eurasian badgers in Mediterranean environments</t>
  </si>
  <si>
    <t>A. Kranz</t>
  </si>
  <si>
    <t>Otters (Lutra lutra) increasing in Central Europe: from the threat of extinction to locally perceived overpopulation?</t>
  </si>
  <si>
    <t>T. M. Gehring; R. K. Swihart</t>
  </si>
  <si>
    <t>Body size, niche breadth, and ecologically scaled responses to habitat fragmentation: mammalian predators in an agricultural landscape</t>
  </si>
  <si>
    <t>Mustela frenata</t>
  </si>
  <si>
    <t>Home range and movements of long-tailed weasels in a landscape fragmented by agriculture</t>
  </si>
  <si>
    <t>C. Pertoldi; S. F. Barker; A. B. Madsen; H. Jorgensen; E. Randi; J. Munoz; H. J. Baagoe; V. Loeschcke</t>
  </si>
  <si>
    <t>Spatio-temporal population genetics of the Danish pine marten (Martes martes)</t>
  </si>
  <si>
    <t>Denmark</t>
  </si>
  <si>
    <t>V. Pereboom; M. Mergey; N. Villerette; R. Helder; J. F. Gerard; T. Lode</t>
  </si>
  <si>
    <t>Movement patterns, habitat selection, and corridor use of a typical woodland-dweller species, the European pine marten (Martes martes), in fragmented landscape</t>
  </si>
  <si>
    <t>France</t>
  </si>
  <si>
    <t>T. Sales-Luis; D. Freitas; M. Santos-Reis</t>
  </si>
  <si>
    <t>Key landscape factors for Eurasian otter Lutra lutra visiting rates and fish loss in estuarine fish farms</t>
  </si>
  <si>
    <t>A. Mortelliti; G. Amori; D. Capizzi; C. Rondinini; L. Boitani</t>
  </si>
  <si>
    <t>Experimental design and taxonomic scope of fragmentation studies on European mammals: current status and future priorities</t>
  </si>
  <si>
    <t>Multiple sp.</t>
  </si>
  <si>
    <t>M. Vaclavikova; T. Vaclavik; V. Kostkan</t>
  </si>
  <si>
    <t>Otters vs. fishermen: Stakeholders' perceptions of otter predation and damage compensation in the Czech Republic</t>
  </si>
  <si>
    <t>M. Mergey; J. Larroque; S. Ruette; J. M. Vandel; R. Helder; G. Queney; S. Devillard</t>
  </si>
  <si>
    <t>Linking habitat characteristics with genetic diversity of the European pine marten (Martes martes) in France</t>
  </si>
  <si>
    <t>D. Hipolito; M. Santos-Reis; L. M. Rosalino</t>
  </si>
  <si>
    <t>Effects of agro-forestry activities, cattle-raising practices and food-related factors in badger sett location and use in Portugal</t>
  </si>
  <si>
    <t>G. Chiatante; O. Dondina; M. Lucchelli; L. Bani; A. Meriggi</t>
  </si>
  <si>
    <t>Habitat selection of European badger Meles meles in a highly fragmented forest landscape in northern Italy: the importance of hedgerows and agro-forestry systems</t>
  </si>
  <si>
    <t>Italy</t>
  </si>
  <si>
    <t>Aadrean; N. Usio</t>
  </si>
  <si>
    <t>Small-clawed otters (Aonyx cinereus) in Indonesian rice fields: latrine site characteristics and visitation frequency</t>
  </si>
  <si>
    <t>Indonesia</t>
  </si>
  <si>
    <t>Aonyx cinereus</t>
  </si>
  <si>
    <t>A. Dechner; K. M. Flesher; C. Lindell; T. V. de Oliveira; B. A. Maurer</t>
  </si>
  <si>
    <t>Determining carnivore habitat use in a rubber/forest landscape in Brazil using multispecies occupancy models</t>
  </si>
  <si>
    <t>Eira barbara</t>
  </si>
  <si>
    <t>Uolevi Skáren</t>
  </si>
  <si>
    <t>Fish farming and otters in Finland</t>
  </si>
  <si>
    <t>G.C.M. van Moll</t>
  </si>
  <si>
    <t>European otters and preventive measures in fish-fykes</t>
  </si>
  <si>
    <t>Netherlands</t>
  </si>
  <si>
    <t>Robert Dulfer, Jan Plesnik, Marcela Kucerová and Aleš Toman</t>
  </si>
  <si>
    <t>Fish Farming Regions as Key Elements for Natural Recolonisation along an Otter EECONET</t>
  </si>
  <si>
    <t>Marcela Kucerová</t>
  </si>
  <si>
    <t>Otters And Fisheries - Workshop Report</t>
  </si>
  <si>
    <t>Juan Ricardo Gómez and Jeffrey P. Jorgenson</t>
  </si>
  <si>
    <t>An Overview of the Giant Otter-Fisherman Problem in the Orinoco Basin of Colombia</t>
  </si>
  <si>
    <t>Colombia</t>
  </si>
  <si>
    <t xml:space="preserve">Vania Fonseca and Miriam Marmontel
</t>
  </si>
  <si>
    <t xml:space="preserve">Local Knowledge and Conflicts With Otters in Western Brazilian Amazon: A Preliminary Report
</t>
  </si>
  <si>
    <t>On the occurrence of the Honey-badger (Mellivora Capensis) and the viverrids in the Ivory Coast</t>
  </si>
  <si>
    <t>Côte d'Ivoire</t>
  </si>
  <si>
    <t>Mellivora capensis</t>
  </si>
  <si>
    <t>European Marbled polecat in need of conservation action</t>
  </si>
  <si>
    <t>Europe / Asia</t>
  </si>
  <si>
    <t>Naven HON1
, Phearoom NEAK2
, Vengsong KHOV3
, Vichet CHEAT4</t>
  </si>
  <si>
    <t>FOOD AND HABITAT OF ASIAN SMALL-CLAWED OTTERS IN NORTHEASTERN CAMBODIA</t>
  </si>
  <si>
    <t>Cambodia</t>
  </si>
  <si>
    <t>Omar F. Al-Sheikhly and Iyad A. Nader</t>
  </si>
  <si>
    <t>The Status of Iraq Smooth-Coated Otter Lutrogale perspicillata maxwelli Hayman 1956 and Eurasian Otter Lutra lutra Linnaeus 1758 in Iraq</t>
  </si>
  <si>
    <t>Iraq</t>
  </si>
  <si>
    <t>Renewable energy</t>
  </si>
  <si>
    <t>Energy production &amp; mining</t>
  </si>
  <si>
    <t>S. Caballero; C. A. Correa-Cardenas; F. Trujillo</t>
  </si>
  <si>
    <t>Population Structure and Genetic Diversity of the Endangered South American Giant Otter (Pteronura brasiliensis) from the Orinoco Basin in Colombia: Management Implications and Application to Current Conservation Programs</t>
  </si>
  <si>
    <t>Mining &amp; quarrying</t>
  </si>
  <si>
    <t>Distribution and conservation status of Honey Badgers Mellivora capensis in Iran</t>
  </si>
  <si>
    <t>D. E. Biggins; J. L. Godbey</t>
  </si>
  <si>
    <t>Challenges to reestablishment of free-ranging populations of black-footed ferrets</t>
  </si>
  <si>
    <t>The African weasel: a Red Data Book species in South Africa</t>
  </si>
  <si>
    <t>Poecilogale albinucha</t>
  </si>
  <si>
    <t>Problematic native species/diseases</t>
  </si>
  <si>
    <t>A. Nawab; S. A. Hussain</t>
  </si>
  <si>
    <t>Factors affecting the occurrence of smooth-coated otter in aquatic systems of the Upper Gangetic Plains, India</t>
  </si>
  <si>
    <t>Fishing &amp; harvesting aquatic resources (intentional &amp; unintentional)</t>
  </si>
  <si>
    <t>The Status and Distribution of the Clawless Otter (Aonyx capensis) in Vwaza Marsh Wildlife Reserve and Nyika National Park, Northern Malawi</t>
  </si>
  <si>
    <t>Malawi</t>
  </si>
  <si>
    <t>Fire &amp; fire suppression</t>
  </si>
  <si>
    <t>A. Landa; T. Skogland</t>
  </si>
  <si>
    <t>The relationship between population density and body size of wolverines Gulo gulo in Scandinavia</t>
  </si>
  <si>
    <t>Scandinavia</t>
  </si>
  <si>
    <t>Gulo gulo</t>
  </si>
  <si>
    <t>J. A. Webster</t>
  </si>
  <si>
    <t>A review of the historical evidence of the habitat of the Pine Marten in Cumbria</t>
  </si>
  <si>
    <t>African Otters - is their Existence Threatened?</t>
  </si>
  <si>
    <t>Africa</t>
  </si>
  <si>
    <t>Domestic &amp; urban waste water</t>
  </si>
  <si>
    <t>Work &amp; other activities</t>
  </si>
  <si>
    <t>A. Lejeune and V. Frank</t>
  </si>
  <si>
    <t>Distribution of Lutra maculicollis in Rwanda : ecological constraints</t>
  </si>
  <si>
    <t>Rwanda</t>
  </si>
  <si>
    <t>The Conservation Status of Otters in Southwest Tanzania</t>
  </si>
  <si>
    <t>Tanzania</t>
  </si>
  <si>
    <t>Lutrinae sp.</t>
  </si>
  <si>
    <t>Not specified (Habitat deterioration)</t>
  </si>
  <si>
    <t>Current state of knowledge of the least-known carnivore in South America: Colombian Weasel Mustela felipei in Colombia and Ecuador</t>
  </si>
  <si>
    <t>Colombia / Ecuador</t>
  </si>
  <si>
    <t>Mustela felipei</t>
  </si>
  <si>
    <t>J. C. Reynolds; S. C. Tapper</t>
  </si>
  <si>
    <t>Control of mammalian predators in game management and conservation</t>
  </si>
  <si>
    <t>A. L. Regolin; J. J. Cherem; M. E. Graipel; J. A. Bogoni; J. W. Ribeiro; M. H. Vancine; M. A. Tortato; L. G. Oliveira-Santos; F. M. Fantacini; M. R. Luiz; P. V. de Castilho; M. C. Ribeiro; N. C. Caceres</t>
  </si>
  <si>
    <t>Forest cover influences occurrence of mammalian carnivores within Brazilian Atlantic Forest</t>
  </si>
  <si>
    <t>Galictis cuja</t>
  </si>
  <si>
    <t>C. Skinner; P. Skinner; S. Harris</t>
  </si>
  <si>
    <t>THE PAST HISTORY AND RECENT DECLINE OF BADGERS MELES-MELES IN ESSEX - AN ANALYSIS OF SOME OF THE CONTRIBUTORY FACTORS</t>
  </si>
  <si>
    <t>Omar F. Al-Sheikhly, Mukhtar K. Haba and Filippo Barbanera</t>
  </si>
  <si>
    <t>Otter Hunting and Trapping, a Traditional Practice of Marsh Arabs of Iraq</t>
  </si>
  <si>
    <t>P. Reason; S. Harris; P. Cresswell</t>
  </si>
  <si>
    <t>ESTIMATING THE IMPACT OF PAST PERSECUTION AND HABITAT CHANGES ON THE NUMBERS OF BADGERS MELES-MELES IN BRITAIN</t>
  </si>
  <si>
    <t>J. Ozolins; V. Pilats</t>
  </si>
  <si>
    <t>DISTRIBUTION AND STATUS OF SMALL AND MEDIUM-SIZED CARNIVORES IN LATVIA</t>
  </si>
  <si>
    <t>Latvia</t>
  </si>
  <si>
    <t>Martes foina</t>
  </si>
  <si>
    <t>Mustela lutreola</t>
  </si>
  <si>
    <t>Mustela erminea</t>
  </si>
  <si>
    <t>H. Jacques; G. Veron; F. Alary; S. Aulagnier</t>
  </si>
  <si>
    <t>The Congo clawless otter (Aonyx congicus) (Mustelidae: Lutrinae sp.): a review of its systematics, distribution and conservation status</t>
  </si>
  <si>
    <t>Aonyx congicus</t>
  </si>
  <si>
    <t>M. W. N. Lau; J. R. Fellowes; B. P. L. Chan</t>
  </si>
  <si>
    <t>Carnivores (Mammalia: Carnivora) in South China: a status review with notes on the commercial trade</t>
  </si>
  <si>
    <t>J. Kloskowski</t>
  </si>
  <si>
    <t>Human-wildlife conflicts at pond fisheries in eastern Poland: perceptions and management of wildlife damage</t>
  </si>
  <si>
    <t>Poland</t>
  </si>
  <si>
    <t>A. Wilting; A. J. Hearn; J. Eaton; J. L. Belant; S. Kramer-Schadt</t>
  </si>
  <si>
    <t>Predicted distribution of the Bornean ferret badger Melogale everetti (Mammalia: Carnivora: Mustelidae) on Borneo</t>
  </si>
  <si>
    <t>Malaysia</t>
  </si>
  <si>
    <t>Melogale everetti</t>
  </si>
  <si>
    <t>J. Mathai; J. W. Duckworth; E. Meijaard; G. Fredriksson; J. Hon; A. Sebastian; M. Ancrenaz; A. J. Hearn; J. Ross; S. Cheyne; A. Wilting; C. Borneo Carnivore</t>
  </si>
  <si>
    <t>Carnivore conservation planning on Borneo: identifying key carnivore landscapes, research priorities and conservation interventions</t>
  </si>
  <si>
    <t>Mustela nudipes</t>
  </si>
  <si>
    <t>N. Spur; K. Z. Gomboc; A. Sorgo</t>
  </si>
  <si>
    <t>Public acceptability of measures to prevent from predation on commercial fish by the endangered Eurasian otter (Lutra lutra) in Natura 2000</t>
  </si>
  <si>
    <t>Slovenia</t>
  </si>
  <si>
    <t xml:space="preserve">Budsabong Kanchanasaka and Nicole Duplaix
</t>
  </si>
  <si>
    <t>Food Habits of the Hairy-nosed otter (Lutra sumatrana) and the Small-clawed otter (Aonyx cinereus) in
Pru Toa Daeng Peat Swamp Forest, Southern Thailand</t>
  </si>
  <si>
    <t>Thailand</t>
  </si>
  <si>
    <t>Lutra sumatrana</t>
  </si>
  <si>
    <t>Report on the Norwegian wolverine (Gulo gulo L.)</t>
  </si>
  <si>
    <t>Norway</t>
  </si>
  <si>
    <t>W. D. Spencer; H. Rustigian-Romsos; K. Ferschweiler; D. Bachelet</t>
  </si>
  <si>
    <t>Simulating Effects of Climate and Vegetation Change on Distributions of Martens and Fishers in the Sierra Nevada, California, Using Maxent and MC1</t>
  </si>
  <si>
    <t>Pekania pennanti</t>
  </si>
  <si>
    <t>P. Suffice; M. Cheveau; L. Imbeau; M. J. Mazerolle; H. Asselin; P. Drapeau</t>
  </si>
  <si>
    <t>Habitat, Climate, and Fisher and Marten Distributions</t>
  </si>
  <si>
    <t>Martes americana</t>
  </si>
  <si>
    <t>J. R. Kelly; T. K. Fuller; J. J. Kanter</t>
  </si>
  <si>
    <t>Records of Recovering American Marten, Martes americana, in New Hampshire</t>
  </si>
  <si>
    <t>New Information about the Hairy-Nosed Otter (Lutra sumatrana) in Vietnam </t>
  </si>
  <si>
    <t>Vietnam</t>
  </si>
  <si>
    <t>Droughts</t>
  </si>
  <si>
    <t>War, civil unrest &amp; military exercises</t>
  </si>
  <si>
    <t>R. Zhang; L. Yang; L. Ai; Q. Y. Yang; M. H. Chen; J. X. Li; L. Yang; X. F. Luan</t>
  </si>
  <si>
    <t>Geographic characteristics of sable (Martes zibellina) distribution over time in Northeast China</t>
  </si>
  <si>
    <t>Imran Ullah, Uzma Noureen, Masood Arshad and Waqar Jadoon</t>
  </si>
  <si>
    <t>Factors Influencing Distribution of Eurasian Otter (Lutra lutra) in Swat and Dir Districts, Pakistan</t>
  </si>
  <si>
    <t>Pakistan</t>
  </si>
  <si>
    <t>Storms &amp; flooding</t>
  </si>
  <si>
    <t>C. Carroll</t>
  </si>
  <si>
    <t>Interacting effects of climate change, landscape conversion, and harvest on carnivore populations at the range margin: Marten and Lynx in the northern Appalachians</t>
  </si>
  <si>
    <t>Other impacts</t>
  </si>
  <si>
    <t>M. K. Schwartz; K. B. Aubry; K. S. McKelvey; K. L. Pilgrim; J. P. Copeland; J. R. Squires; R. M. Inman; S. M. Wisely; L. F. Ruggiero</t>
  </si>
  <si>
    <t>Inferring geographic isolation of wolverines in California using historical DNA</t>
  </si>
  <si>
    <t>C. B. Wilsey; J. J. Lawler; E. P. Maurer; D. McKenzie; P. A. Townsend; R. Gwozdz; J. A. Freund; K. Hagmann; K. M. Hutten</t>
  </si>
  <si>
    <t>Tools for Assessing Climate Impacts on Fish and Wildlife</t>
  </si>
  <si>
    <t>J. Clare; S. T. McKinney; E. M. Simons-Legaard; J. E. DePue; C. S. Loftin</t>
  </si>
  <si>
    <t>Satellite-detected forest disturbance forecasts American marten population decline: The case for supportive space-based monitoring</t>
  </si>
  <si>
    <t>J. Groenendijk; F. Hajek; P. J. Johnson; D. W. Macdonald; J. Calvimontes; E. Staib; C. Schenck</t>
  </si>
  <si>
    <t>Demography of the Giant Otter (Pteronura brasiliensis) in Manu National Park, South-Eastern Peru: Implications for Conservation</t>
  </si>
  <si>
    <t>Peru</t>
  </si>
  <si>
    <t>N. Prakash; D. Mudappa; T. R. S. Raman; A. Kumar</t>
  </si>
  <si>
    <t>Conservation of the Asian small-clawed otter (Aonyx cinereus) in human-modified landscapes, Western Ghats, India</t>
  </si>
  <si>
    <t>Jutta Jahrl</t>
  </si>
  <si>
    <t>Historical and Current Situation of the Otter (Lutra lutra) and its Habitat in the Region of the Hohe Tauern National Park - Analysis of the Situation and Suggestions for Improvements</t>
  </si>
  <si>
    <t>Rneweable energy</t>
  </si>
  <si>
    <t>S. A. Omer; T. Wronski; A. Alwash; M. H. Elamin; O. B. Mohammed; H. Lerp</t>
  </si>
  <si>
    <t>Evidence for persistence and a major range extension of the smooth-coated otter (Lutrogale perspicillata maxwelli; Mustelidae, Carnivora) in Iraq</t>
  </si>
  <si>
    <t>Unknown</t>
  </si>
  <si>
    <t>F. C. W. Rosas; G. E. de Mattos; M. M. M. Cabral</t>
  </si>
  <si>
    <t>The use of hydroelectric lakes by giant otters Pteronura brasiliensis: Balbina lake in central Amazonia, Brazil</t>
  </si>
  <si>
    <t>Oil &amp; gas drilling</t>
  </si>
  <si>
    <t>Historical and Current Distribution of Smooth Coated Otter Lutrogale perspicillata in Gujarat, India</t>
  </si>
  <si>
    <t>B. G. Slough</t>
  </si>
  <si>
    <t>Status of the wolverine Gulo gulo in Canada</t>
  </si>
  <si>
    <t>Canada</t>
  </si>
  <si>
    <t xml:space="preserve">Lisa C. Davenport, Hélène Jacques and Marie-Louise Yedi
</t>
  </si>
  <si>
    <t>Preliminary Findings from a New Study of the Congo Clawless Otter (Aonyx congicus) on the Dji Dji River, Ivindo National Park, Gabon (or “Where Have all the Otters Gone)</t>
  </si>
  <si>
    <t>Gabon</t>
  </si>
  <si>
    <t>Status and Distribution of Otters In the Amboro National Park, Bolivia</t>
  </si>
  <si>
    <t>Bolivia</t>
  </si>
  <si>
    <t>Occurrence of Smooth-Coated Otter Lutrogale perspicillata in Sankaraparani River, Puducherry, India</t>
  </si>
  <si>
    <t>S. A. Primm; T. W. Clark</t>
  </si>
  <si>
    <t>Making sense of the policy process for carnivore conservation</t>
  </si>
  <si>
    <t>J. Aarissorensen</t>
  </si>
  <si>
    <t>PAST AND PRESENT DISTRIBUTION OF BADGERS MELES-MELES IN THE COPENHAGEN AREA</t>
  </si>
  <si>
    <t xml:space="preserve">Diana Morales-Betancourt
</t>
  </si>
  <si>
    <t xml:space="preserve">Report of an Adaptive Reintroduction of a Juvenile Giant Otter (Pteronura brasiliensis)
</t>
  </si>
  <si>
    <t>Distribution and Population Status of the Giant Otter Pteronura brasiliensis in Bolivia</t>
  </si>
  <si>
    <t>S. Hong; D. K. Kim; Y. Do; J. Y. Kim; Y. M. Kim; P. Cowan; G. J. Joo</t>
  </si>
  <si>
    <t>Stream health, topography, and land use influences on the distribution of the Eurasian otter Lutra lutra in the Nakdong River basin, South Korea</t>
  </si>
  <si>
    <t>South Korea</t>
  </si>
  <si>
    <t>Unspecified (urbanisation)</t>
  </si>
  <si>
    <t>F. W. Davis; C. Seo; W. J. Zielinski</t>
  </si>
  <si>
    <t>Regional variation in home-range-scale habitat models for fisher (Pekania pennanti) in California</t>
  </si>
  <si>
    <t>W. J. Zielinski; J. A. Baldwin; R. L. Truex; J. M. Tucker; P. A. Flebbe</t>
  </si>
  <si>
    <t>Estimating Trend in Occupancy for the Southern Sierra Fisher Pekania pennanti Population</t>
  </si>
  <si>
    <t>C. J. Kyle; C. Strobeck</t>
  </si>
  <si>
    <t>Genetic structure of North American wolverine (Gulo gulo) populations</t>
  </si>
  <si>
    <t>A. Loy; M. L. Carranza; C. Cianfrani; E. D'Alessandro; L. Bonesi; P. Di Marzio; M. Minotti; G. Reggiani</t>
  </si>
  <si>
    <t>Otter Lutra lutra population expansion: assessing habitat suitability and connectivity in southern Italy</t>
  </si>
  <si>
    <t>L. R. Gerber; M. T. Tinker; D. F. Doak; J. A. Estes; D. A. Jessup</t>
  </si>
  <si>
    <t>Mortality sensitivity in life-stage simulation analysis: A case study of southern sea otters</t>
  </si>
  <si>
    <t>Enhydra lutris</t>
  </si>
  <si>
    <t>Viral/prion-induced diseases</t>
  </si>
  <si>
    <t>K. A. Sainsbury; R. F. Shore; H. Schofield; E. Croose; R. D. Campbell; R. A. McDonald</t>
  </si>
  <si>
    <t>Recent history, current status, conservation and management of native mammalian carnivore species in Great Britain</t>
  </si>
  <si>
    <t>Mustela nivalis</t>
  </si>
  <si>
    <t>V. E. Sidorovich</t>
  </si>
  <si>
    <t>STRUCTURE, REPRODUCTIVE STATUS AND DYNAMICS OF THE OTTER POPULATION IN BELORUSSIA</t>
  </si>
  <si>
    <t>Belarus</t>
  </si>
  <si>
    <t>Diseases of unknown cause</t>
  </si>
  <si>
    <t>The conservation status of the badger Meles meles (L.) in Europe</t>
  </si>
  <si>
    <t>C. E. Chehebar; A. Gallur; G. Giannico; M. D. Gottelli; P. Yorio</t>
  </si>
  <si>
    <t>A SURVEY OF THE SOUTHERN RIVER OTTER LUTRA-PROVOCAX IN LANIN-NATIONAL-PARK PUELO-NATIONAL-PARK AND LOS-ALERCES-NATIONAL-PARK, ARGENTINA, AND EVALUATION OF ITS CONSERVATION STATUS</t>
  </si>
  <si>
    <t>K. Kauhala</t>
  </si>
  <si>
    <t>CHANGES IN DISTRIBUTION OF THE EUROPEAN BADGER MELES-MELES IN FINLAND DURING THE RAPID COLONIZATION OF THE RACCOON DOG</t>
  </si>
  <si>
    <t>I. D. Thompson; W. J. Curran</t>
  </si>
  <si>
    <t>Habitat suitability for marten of second-growth balsam fir forests in Newfoundland</t>
  </si>
  <si>
    <t>J. A. Estes; B. B. Hatfield; K. Ralls; J. Ames</t>
  </si>
  <si>
    <t>Causes of mortality in California sea otters during periods of population growth and decline</t>
  </si>
  <si>
    <t>M. J. Shaughnessy; R. L. Cifelli</t>
  </si>
  <si>
    <t>Influence of black-tailed prairie dog towns (Cynomys ludovicianus) on carnivore distributions in the Oklahoma Panhandle</t>
  </si>
  <si>
    <t>J. D. Steventon; D. K. Daust</t>
  </si>
  <si>
    <t>Management strategies for a large-scale mountain pine beetle outbreak: Modelling impacts on American martens</t>
  </si>
  <si>
    <t>S. M. Halsey; W. J. Zielinski; R. M. Scheller</t>
  </si>
  <si>
    <t>Modeling predator habitat to enhance reintroduction planning</t>
  </si>
  <si>
    <t>Some data about the European mink Mustela lutreola distribution in the Lovat River Basin Russia and Belarus: Current status and retrospective analysis</t>
  </si>
  <si>
    <t>Russia / Belarus</t>
  </si>
  <si>
    <t>Recovery of the European polecat (Mustela putorius) in Britain</t>
  </si>
  <si>
    <t>The European mink (Mustela lutreola) in the Danube Delta</t>
  </si>
  <si>
    <t>Conserving American Marten Martes americana winter habitat in sub-boreal spruce forests affected by Mountain Pine Beetle Dendroctonus ponderosae infestations and logging in British Columbia, Canada</t>
  </si>
  <si>
    <t>T. Lode; J. P. Cormier; D. Le Jacques</t>
  </si>
  <si>
    <t>Decline in endangered species as an indication of anthropic pressures: The case of European mink Mustela lutreola western population</t>
  </si>
  <si>
    <t>N. Gupta; V. Tiwari; M. Everard; M. Savage; S. A. Hussain; M. A. Chadwick; J. A. Johnson; A. Nawab; V. K. Belwal</t>
  </si>
  <si>
    <t>Assessing the distribution pattern of otters in four rivers of the Indian Himalayan biodiversity hotspot</t>
  </si>
  <si>
    <t>T. Maran; H. Henttonen</t>
  </si>
  <si>
    <t>WHY IS THE EUROPEAN MINK (MUSTELA-LUTREOLA) DISAPPEARING - A REVIEW OF THE PROCESS AND HYPOTHESES</t>
  </si>
  <si>
    <t>M. Rais; M. Z. Khan; S. A. Ghalib; D. Abbass; W. A. Khan; I. Saeed ul; A. Husnain</t>
  </si>
  <si>
    <t>Recent Records of Smooth-Coated Otter (Lutrogale perspicillata) from Sindh, Pakistan</t>
  </si>
  <si>
    <t>N. Mucci; J. Arrendal; H. Ansorge; M. Bailey; M. Bodner; M. Delibes; A. Ferrando; P. Fournier; C. Fournier; J. A. Godoy; P. Hajkova; S. Hauer; T. Heggberget; D. Heidecke; H. Kirjavainen; H. H. Krueger; K. Kvaloy; L. Lafontaine; J. Lanszki; C. Lemarchand; U. M. Liukko; V. Loeschcke; G. Ludwig; A. B. Madsen; L. Mercier; J. Ozolins; M. Paunovic; C. Pertoldi; A. Piriz; C. Prigioni; M. Santos-Reis; T. S. Luis; T. Stjernberg; H. Schmid; F. Suchentrunk; J. Teubner; R. Tornberg; O. Zinke; E. Randi</t>
  </si>
  <si>
    <t>Genetic diversity and landscape genetic structure of otter (Lutra lutra) populations in Europe</t>
  </si>
  <si>
    <t>P. Gariano; A. Balestrieri</t>
  </si>
  <si>
    <t>Otter, come out!': taking away the stone on the southernmost Italian Lutra lutra population</t>
  </si>
  <si>
    <t>The Perilous Voyage of Indian Himalayan ‘Ambassadors’ amidst Anthropogenic Pressures and changing Climatic Variables</t>
  </si>
  <si>
    <t>A Survey of the Eurasian Otter Lutra lutra and Human-Otter Interaction in the Middle Oum Er Rbia River, Morocco</t>
  </si>
  <si>
    <t>Morocco</t>
  </si>
  <si>
    <t>Badger game-bag data estimates of badger (Meles meles) population sizes in Europe</t>
  </si>
  <si>
    <t>T. Lode</t>
  </si>
  <si>
    <t>THE DECLINE OF OTTER LUTRA-LUTRA POPULATIONS IN THE REGION OF THE PAYS-DE-LOIRE, WESTERN FRANCE</t>
  </si>
  <si>
    <t>R. S. A. Pickles; J. J. Groombridge; V. D. Z. Rojas; P. Van Damme; D. Gottelli; C. V. Ariani; W. C. Jordan</t>
  </si>
  <si>
    <t>Genetic diversity and population structure in the endangered giant otter, Pteronura brasiliensis</t>
  </si>
  <si>
    <t>South America</t>
  </si>
  <si>
    <t>V. V. Rozhnov; S. L. Pishchulina; I. G. Meschersky; L. V. Simakin; O. E. Lazebny; S. N. Kashtanov</t>
  </si>
  <si>
    <t>Genetic structure of sable (Martes zibellina L.) in Eurasia-analysis of the mitochondrial lineages distribution</t>
  </si>
  <si>
    <t>Russia</t>
  </si>
  <si>
    <t>J. D. Sauder; J. L. Rachlow</t>
  </si>
  <si>
    <t>Forest heterogeneity influences habitat selection by fishers (Pekania pennanti) within home ranges</t>
  </si>
  <si>
    <t>P. N. Marler; E. D. Jose; L. S. G. Castro; J. B. Gonzalez</t>
  </si>
  <si>
    <t>Mammals of Cleopatra's Needle Critical Habitat: Outcomes of a rapid assessment</t>
  </si>
  <si>
    <t>Philippines</t>
  </si>
  <si>
    <t>The Otter And Its Conservation In The Valencian Region (E. Spain)</t>
  </si>
  <si>
    <t>Diversity and conservation status of mustelids in Mexico</t>
  </si>
  <si>
    <t>Mexico</t>
  </si>
  <si>
    <t>Galictis vittata</t>
  </si>
  <si>
    <t>Status, abundance and distribution of mustelids in Lithuania</t>
  </si>
  <si>
    <t>Lithuania</t>
  </si>
  <si>
    <t>Small canrnivores in Laos: a status review with notes on ecology, behaviour and conservation</t>
  </si>
  <si>
    <t>Laos</t>
  </si>
  <si>
    <t>Small carnivores of the Mt Rungwe–Kitulo landscape, southwest Tanzania:presence, distributions and threats</t>
  </si>
  <si>
    <t>T. L. Serfass; R. L. Peper; M. T. Whary; R. P. Brooks</t>
  </si>
  <si>
    <t>RIVER OTTER (LUTRA-CANADENSIS) REINTRODUCTION IN PENNSYLVANIA, PRERELEASE CARE AND CLINICAL-EVALUATION</t>
  </si>
  <si>
    <t>Lontra canadensis</t>
  </si>
  <si>
    <t>A. M. Doroff; J. A. Estes; M. T. Tinker; D. M. Burn; T. J. Evans</t>
  </si>
  <si>
    <t>Sea otter population declines in the Aleutian archipelago</t>
  </si>
  <si>
    <t>D. O'Mahony; C. O'Reilly; P. Turner</t>
  </si>
  <si>
    <t>Pine marten (Martes martes) distribution and abundance in Ireland: A cross-jurisdictional analysis using non-invasive genetic survey techniques</t>
  </si>
  <si>
    <t>Ireland</t>
  </si>
  <si>
    <t>J. A. Cursach; J. R. Rau; F. Ther; J. Vilugron; C. N. Tobar</t>
  </si>
  <si>
    <t>Synanthropy and marine conservation: the case of the marine otter Lontra felina in Southern Chile</t>
  </si>
  <si>
    <t>Lontra felina</t>
  </si>
  <si>
    <t>K. E. Brzeski; M. S. Gunther; J. M. Black</t>
  </si>
  <si>
    <t>Evaluating River Otter Demography Using Noninvasive Genetic Methods</t>
  </si>
  <si>
    <t>J. R. Brandt; A. L. Brandt; F. K. Ammer; A. L. Roca; T. L. Serfass</t>
  </si>
  <si>
    <t>Impact of Population Expansion on Genetic Diversity and Structure of River Otters (Lontra canadensis) in Central North America</t>
  </si>
  <si>
    <t>J. E. Greenhorn; J. Bowman; P. J. Wilson</t>
  </si>
  <si>
    <t>Genetic monitoring suggests increasing structure following recolonization by fishers</t>
  </si>
  <si>
    <t>S. Gallina; A. Gonzalez-Romero</t>
  </si>
  <si>
    <t>The conservation of medium-sized mammals in two private ecological reserves of Veracruz, Mexico</t>
  </si>
  <si>
    <t>N. R. Bieber; S. P. Wilson; C. R. Allen</t>
  </si>
  <si>
    <t>River Otter Distribution in Nebraska</t>
  </si>
  <si>
    <t>Small carnivores, big database: inferring possible small carnivore distribution and population trends in Israel from over 30 years of recorded sightings</t>
  </si>
  <si>
    <t>Israel</t>
  </si>
  <si>
    <t>A Working Review of the Hairy-Nosed Otter (Lutra sumatrana)</t>
  </si>
  <si>
    <t>Asia</t>
  </si>
  <si>
    <t>Distribution and habitat modelling for Colombian Weasel Mustela felipei in the Northern Andes</t>
  </si>
  <si>
    <t>Tangkor Dong, Monorum Tep, Sotheary Lim, Sophall Soun and Tevy Chrin</t>
  </si>
  <si>
    <t>Distribution of Otters in the Tropeang Roung, Koh Kong Province, Cambodia</t>
  </si>
  <si>
    <t>Assessment of Population of Smooth-Coated Otters Lutrogale perspicillata in Tungabhadra Otter Conservation Reserve (TOCR), North Karnataka, India</t>
  </si>
  <si>
    <t>Status of the Hairy-Nosed Otter (Lutra sumatrana) in Peninsular Malaysia</t>
  </si>
  <si>
    <t xml:space="preserve">Waseem Ahmad Khan and Hussain Bux Bhagat
</t>
  </si>
  <si>
    <t>Otter Conservation In Pakistan</t>
  </si>
  <si>
    <t>Distribution of the Neotropical Otter Lontra longicaudis in the Venezuelan Andes: Habitat and Status of its Population</t>
  </si>
  <si>
    <t>Venezuela</t>
  </si>
  <si>
    <t>Lontra longicaudis</t>
  </si>
  <si>
    <t xml:space="preserve">Angela. M. Doroff, Brian Hatfield, Alexander Burdin, Linda Nichol, Kaoru Hattoris and Vladimir Burkanov
</t>
  </si>
  <si>
    <t>Status Review: Sea Otter (Enhydra lutris) Population Status and Trend</t>
  </si>
  <si>
    <t>J. Zabala; I. Zuberogoitia; I. Garin; J. Aihartza</t>
  </si>
  <si>
    <t>Landscape features in the habitat selection of European mink (Mustela lutreola) in south-western Europe</t>
  </si>
  <si>
    <t>J. L. Tison; V. Blennow; E. Palkopoulou; P. Gustafsson; A. Roos; L. Dalen</t>
  </si>
  <si>
    <t>Population structure and recent temporal changes in genetic variation in Eurasian otters from Sweden</t>
  </si>
  <si>
    <t>Sweden</t>
  </si>
  <si>
    <t>Other</t>
  </si>
  <si>
    <t xml:space="preserve">H.A. Akpona, B. Sinsin and G.A. Mensah
</t>
  </si>
  <si>
    <t>Monitoring and Threat Assessment of the Spotted-Necked Otter (Lutra maculicollis) in Southern Benin Wetlands</t>
  </si>
  <si>
    <t>Benin</t>
  </si>
  <si>
    <t>Eurasian Otter (Lutra lutra): Exploring Evidence in Nepal</t>
  </si>
  <si>
    <t>Nepal</t>
  </si>
  <si>
    <t>A Survey of Smooth Coated Otters (Lutrogale perspicillata sindica) in the Sindh Province of Pakistan</t>
  </si>
  <si>
    <t>T. M. Cohen; T. Narkiss; A. Dolev; Y. Ben-Ari; N. Kronfeld-Schor; A. Guter; D. Saltz; G. K. Bar-Gal</t>
  </si>
  <si>
    <t>Genetic Diversity of the Eurasian Otter (Lutra lutra) Population in Israel</t>
  </si>
  <si>
    <t>I. Lehoczky; D. L. Dalton; J. Lanszki; Z. Sallai; M. T. Madisha; L. J. Nupen; A. Kotze</t>
  </si>
  <si>
    <t>Assessment of population structure in Hungarian otter populations</t>
  </si>
  <si>
    <t>Hungary</t>
  </si>
  <si>
    <t>The European mink in France: past and present</t>
  </si>
  <si>
    <t>E. Randi; F. Davoli; M. Pierpaoli; C. Pertoldi; A. B. Madsen; V. Loeschcke</t>
  </si>
  <si>
    <t>Genetic structure in otter (Lutra lutra) populations in Europe: implications for conservation</t>
  </si>
  <si>
    <t>C. Cianfrani; L. Maiorano; A. Loy; A. Kranz; A. Lehmann; R. Maggini; A. Guisan</t>
  </si>
  <si>
    <t>There and back again? Combining habitat suitability modelling and connectivity analyses to assess a potential return of the otter to Switzerland</t>
  </si>
  <si>
    <t>Switzerland</t>
  </si>
  <si>
    <t>T. M. Carone; A. Guisan; C. Cianfrani; T. Simoniello; A. Loy; M. L. Carranza</t>
  </si>
  <si>
    <t>A multi-temporal approach to model endangered species distribution in Europe. The case of the Eurasian otter in Italy</t>
  </si>
  <si>
    <t>E. A. Martin; M. Heurich; J. Muller; L. Bufka; O. Bubliy; J. Fickel</t>
  </si>
  <si>
    <t>Genetic variability and size estimates of the Eurasian otter (Lutra lutra) population in the Bohemian Forest Ecosystem</t>
  </si>
  <si>
    <t>Germany</t>
  </si>
  <si>
    <t>Unspecified (habitat loss)</t>
  </si>
  <si>
    <t>The Eurasian Otter in the South Caucasus</t>
  </si>
  <si>
    <t>Georgia</t>
  </si>
  <si>
    <t>E. J. Raesly</t>
  </si>
  <si>
    <t>Progress and status of river otter reintroduction projects in the United States</t>
  </si>
  <si>
    <t>M. R. Jeffress; C. P. Paukert; J. B. Whittier; B. K. Sandercock; P. S. Gipson</t>
  </si>
  <si>
    <t>Scale-dependent Factors Affecting North American River Otter Distribution in the Midwest</t>
  </si>
  <si>
    <t>E. K. Latch; D. G. Scognamillo; J. A. Fike; M. J. Chamberlain; O. E. Rhodes</t>
  </si>
  <si>
    <t>Deciphering ecological barriers to North American river otter (Lontra canadensis) gene flow in the Louisiana landscape</t>
  </si>
  <si>
    <t>Otters in Western Greece and Corfu</t>
  </si>
  <si>
    <t>Greece</t>
  </si>
  <si>
    <t>The Otter (Lutra lutra) in Brittany</t>
  </si>
  <si>
    <t>Why Philosophers Should Be Interested In Otters, And Why Otters Should Be Interested In Philosophy</t>
  </si>
  <si>
    <t>O. Eric Ramírez-Bravo, Paola Lizbeth Moreno Barrera and Lorna Hernández-Santín</t>
  </si>
  <si>
    <t>Public Participation as an Aid to Conserve Little Known Species: The Case of the Neotropical Otter Lontra Longicaudis (Olfers, 1818) in Central Mexico</t>
  </si>
  <si>
    <t>Peter Urban</t>
  </si>
  <si>
    <t>Re-Colonisation of the Eurasian Otter (Lutra lutra) in the Hron River Catchment (Slovakia) – a Preliminary Report from a Survey, or Who Reintroduced the Otter in the Hron River and Why?</t>
  </si>
  <si>
    <t>Slovakia</t>
  </si>
  <si>
    <t>Leslie Thompson and Lei Lani Stelle</t>
  </si>
  <si>
    <t>Prey Preference of the North American River Otter (Lontra canadensis) evaluated based on Optimal Foraging Theory</t>
  </si>
  <si>
    <t>Prakash Chettri and Melissa Savage</t>
  </si>
  <si>
    <t>A Distribution Survey for Otters along a River in Central Bhutan</t>
  </si>
  <si>
    <t>Bhutan</t>
  </si>
  <si>
    <t>D. J. McCafferty; E. C. M. Parsons</t>
  </si>
  <si>
    <t>Marine Mammal Ecotypes: Implications for Otter Conservation and Management</t>
  </si>
  <si>
    <t>Global</t>
  </si>
  <si>
    <t>A. A. Poblete; K. Gorski; J. Moscoso</t>
  </si>
  <si>
    <t>Estimation of the diet of chungungo Lontra felina (Molina, 1782) in two locations of the coast of the Biobio Region, Chile</t>
  </si>
  <si>
    <t>The River Otter, Lutra canadensis, in Canada</t>
  </si>
  <si>
    <t>The Smooth-Coated Otter in Nepal</t>
  </si>
  <si>
    <t>Southern Sea Otter, the Process to Translocate and the Results of the Initial Year, August 1987 - August 1988</t>
  </si>
  <si>
    <t>Otter Survey in the Northern Part of the Netherlands</t>
  </si>
  <si>
    <t>The Situation of the Otter in Flanders, Belgium</t>
  </si>
  <si>
    <t>Belgium</t>
  </si>
  <si>
    <t>Assessing The Distribution Of Reintroduced Populations Of River Otters In Pennsylvania (USA) - Development Of A Landscape- Level Approach</t>
  </si>
  <si>
    <t>Habitats, Distribution and Population Density Otter Survey in the Western Rhodopes Mountains (Southern Bulgaria)</t>
  </si>
  <si>
    <t>Bulgaria</t>
  </si>
  <si>
    <t>Species-Wise Disparity In Scientific Knowledge About Otters: An Obstacle To Optimal Management And Conservation Actions?</t>
  </si>
  <si>
    <t>Review on Research and Conservation of Otters in Nepal</t>
  </si>
  <si>
    <t>Padma K de Silva</t>
  </si>
  <si>
    <t>Status of Otter Species in the Asian Region Status for 2007</t>
  </si>
  <si>
    <t xml:space="preserve">Petra Hájková, Barbora Zemanová, Kevin Roche and Bed?ich Hájek
</t>
  </si>
  <si>
    <t>Conservation Genetics and Non-Invasive Genetic Sampling of Eurasian Otters (Lutra lutra) in the Czech and Slovak Republics</t>
  </si>
  <si>
    <t>Slovakia / Czech</t>
  </si>
  <si>
    <t>The conservation status of mustelids and viverrids in Southern Africa</t>
  </si>
  <si>
    <t>Update on the Status of the Eurasian Otter Lutra lutra in Armenia</t>
  </si>
  <si>
    <t>Armenia</t>
  </si>
  <si>
    <t>C. J. Kyle; A. Davison; C. Strobeck</t>
  </si>
  <si>
    <t>Genetic structure of European pine martens (Martes martes), and evidence for introgression with M-americana in England</t>
  </si>
  <si>
    <t>H. Ali; R. Saleem; F. M. Qamer; W. A. Khan; S. Abbas; K. Gunasekara; M. Hazarika; M. S. Ahmed; M. Akhtar</t>
  </si>
  <si>
    <t>HABITAT EVALUATION OF SMOOTH-COATED OTTER (Lutrogale perspicillata) IN INDUS PLAINS OF PAKISTAN USING REMOTE SENSING AND GIS</t>
  </si>
  <si>
    <t>Tourism &amp; recreation areas</t>
  </si>
  <si>
    <t>X. Y. Gao; W. K. Yang; J. F. Qiao; K. F. Xu</t>
  </si>
  <si>
    <t>Status and distribution of large mammals in Xinjiang, People's Republic of China</t>
  </si>
  <si>
    <t>Analysis of the Food-Web of a Population of Smooth-Coated Otters Lutrogale perspicillata (Mammalia: Mustelidae) in a Saline Littoral Mangrove Habitat</t>
  </si>
  <si>
    <t>D. D. Lima; M. Marmontel; E. Bernard</t>
  </si>
  <si>
    <t>Reoccupation of historical areas by the endangered giant river otter Pteronura brasiliensis (Carnivora: Mustelidae) in Central Amazonia, Brazil</t>
  </si>
  <si>
    <t>J. Valqui</t>
  </si>
  <si>
    <t>The marine otter Lontra felina (Molina, 1782): A review of its present status and implications for future conservation</t>
  </si>
  <si>
    <t>Chile / Peru</t>
  </si>
  <si>
    <t>M. H. Zhang; Q. X. Liu; R. Z. Piao; G. S. Jiang</t>
  </si>
  <si>
    <t>The wolverine Gulo gulo population and its distribution in the Great Khingan Mountains, northeastern China</t>
  </si>
  <si>
    <t>W. J. Zielinski; R. L. Truex; F. V. Schlexer; L. A. Campbell; C. Carroll</t>
  </si>
  <si>
    <t>Historical and contemporary distributions of carnivores in forests of the Sierra Nevada, California, USA</t>
  </si>
  <si>
    <t>A. Balestrieri; L. Remonti; C. Prigioni</t>
  </si>
  <si>
    <t>Reintroduction of the Eurasian badger (Meles meles) in a protected area of northern Italy</t>
  </si>
  <si>
    <t>S. Lee; S. Lee; W. Song; M. J. Lee</t>
  </si>
  <si>
    <t>Habitat Potential Mapping of Marten (Martes flavigula) and Leopard Cat (Prionailurus bengalensis) in South Korea Using Artificial Neural Network Machine Learning</t>
  </si>
  <si>
    <t>C. M. Aylward; J. D. Murdoch; T. M. Donovan; C. W. Kilpatrick; C. Bernier; J. Katz</t>
  </si>
  <si>
    <t>Estimating distribution and connectivity of recolonizing American marten in the northeastern United States using expert elicitation techniques</t>
  </si>
  <si>
    <t>A. Kortello; D. Hausleitner; G. Mowat</t>
  </si>
  <si>
    <t>Mechanisms influencing the winter distribution of wolverine Gulo gulo luscus ien the southern Columbia Mountains, Canada</t>
  </si>
  <si>
    <t>R. Barrientos; L. Bolonio</t>
  </si>
  <si>
    <t>The presence of rabbits adjacent to roads increases polecat road mortality</t>
  </si>
  <si>
    <t>The conservation status of the badger Meles meles (L., 1758) in Slovenia</t>
  </si>
  <si>
    <t>P. W. Bright; T. J. Smithson</t>
  </si>
  <si>
    <t>Biological invasions provide a framework for reintroductions: selecting areas in England for pine marten releases</t>
  </si>
  <si>
    <t>A. A. D. Bovo; M. Magioli; A. R. Percequillo; C. Kruszynski; V. Alberici; M. A. R. Mello; L. S. Correa; J. C. Z. Gebin; Y. G. G. Ribeiro; F. B. Costa; V. N. Ramos; H. R. Benatti; B. Lopes; M. Z. A. Martins; T. R. Diniz-Reis; P. B. de Camargo; M. B. Labruna; K. Ferraz</t>
  </si>
  <si>
    <t>Human-modified landscape acts as refuge for mammals in Atlantic Forest</t>
  </si>
  <si>
    <t>C. Piza-Roca; M. V. Zelfde; M. J. J. La Haye; E. Jongejans; N. Raes</t>
  </si>
  <si>
    <t>European badger habitat requirements in the Netherlands - combining ecological niche models with neighbourhood analysis</t>
  </si>
  <si>
    <t>Fernando Marques Quintela, Fabiano Aguiar da Silva, Clodoaldo Lopes de Assis and Vanessa Cardoso Antunes</t>
  </si>
  <si>
    <t>Data on Lontra longicaudis (Carnivora: Mustelidae) Mortality in Southeast and Southern Brazil</t>
  </si>
  <si>
    <t>L. R. de Almeida; M. J. R. Pereira</t>
  </si>
  <si>
    <t>Ecology and biogeography of the Neotropical otter Lontra longicaudis: existing knowledge and open questions</t>
  </si>
  <si>
    <t>C. Carroll; R. F. Noss; P. C. Paquet</t>
  </si>
  <si>
    <t>Carnivores as focal species for conservation planning in the Rocky Mountain region</t>
  </si>
  <si>
    <t>The Eurasian badger: status and legislative protection</t>
  </si>
  <si>
    <t>Some notes on terrestrial mustelids in the central Paraguayan chaco</t>
  </si>
  <si>
    <t>Paraguay</t>
  </si>
  <si>
    <t>H. I. Griffiths; D. H. Thomas</t>
  </si>
  <si>
    <t>THE STATUS OF THE BADGER MELES-MELES (L, 1758) (CARNIVORA, MUSTELIDAE) IN EUROPE</t>
  </si>
  <si>
    <t>Edge-core effects and the effectiveness of traditional reserves in conservation: Eurasian badgers in Donana National Park</t>
  </si>
  <si>
    <t>E. L. Bull; K. B. Aubry; B. C. Wales</t>
  </si>
  <si>
    <t>Effects of disturbance on forest carnivores of conservation concern in eastern Oregon and Washington</t>
  </si>
  <si>
    <t>E. Tomasik; J. A. Cook</t>
  </si>
  <si>
    <t>Mitochondrial phylogeography and conservation genetics of wolverine (Gulo gulo) of northwestern North America</t>
  </si>
  <si>
    <t>T. A. Gorman; B. R. McMillan; J. D. Erb; C. S. Deperno; D. J. Martin</t>
  </si>
  <si>
    <t>Survival and cause-specific mortality of a protected population of river otters in Minnesota</t>
  </si>
  <si>
    <t>S. M. Webb; M. S. Boyce</t>
  </si>
  <si>
    <t>Marten Fur Harvests and Landscape Change in West-Central Alberta</t>
  </si>
  <si>
    <t>J. Bowman; J. C. Ray; A. J. Magoun; D. S. Johnson; F. N. Dawson</t>
  </si>
  <si>
    <t>Roads, logging, and the large-mammal community of an eastern Canadian boreal forest</t>
  </si>
  <si>
    <t>C. J. Garroway; J. Bowman; P. J. Wilson</t>
  </si>
  <si>
    <t>Using a genetic network to parameterize a landscape resistance surface for fishers, Pekania pennanti</t>
  </si>
  <si>
    <t>S. Ruette; J. M. Vandel; M. Albaret; S. Devillard</t>
  </si>
  <si>
    <t>Comparative survival pattern of the syntopic pine and stone martens in a trapped rural area in France</t>
  </si>
  <si>
    <t>H. Runhaar; M. Runhaar; H. Vink</t>
  </si>
  <si>
    <t>Reports on badgers Meles meles in Dutch newspapers 1900-2013: same animals, different framings?</t>
  </si>
  <si>
    <t>G. Mowat; A. P. Clevenger; A. D. Kortello; D. Hausleitner; M. Barrueto; L. Smit; C. Lamb; B. Dorsey; P. K. Ott</t>
  </si>
  <si>
    <t>The Sustainability of Wolverine Trapping Mortality in Southern Canada</t>
  </si>
  <si>
    <t>High Mortality of Nearctic River Otters on a Florida, USA Interstate Highway During an Extreme Drought</t>
  </si>
  <si>
    <t>Otter (Lutra Lutra L.) Mortalities In Southern Bulgaria: A Case Study.</t>
  </si>
  <si>
    <t xml:space="preserve">Marjana Hönigsfeld-Adami? and Jakob Smole
</t>
  </si>
  <si>
    <t>Phototraps as a Non-Invasive Method of Monitoring Otters (Lutra lutra): What can we Expect?</t>
  </si>
  <si>
    <t>Roads &amp; Railroads</t>
  </si>
  <si>
    <t>Status and economic importance of the North American badger, Taxidea taxus (Schreber)</t>
  </si>
  <si>
    <t>Martin Hancox</t>
  </si>
  <si>
    <t>Some Key Factors in Breeding, Conservation, and Sociology of Otters</t>
  </si>
  <si>
    <t>All sp.</t>
  </si>
  <si>
    <t>Yaqu Pacha, Lorenzo von Fersen, Victor Utreras, Ignacio Araya, Judith Denkinger and Miguel Rodriguez</t>
  </si>
  <si>
    <t>The Giant Otter in Ecuador</t>
  </si>
  <si>
    <t>Ecuador</t>
  </si>
  <si>
    <t>Jim Conroy, Roland Melisch and Paul Chanin</t>
  </si>
  <si>
    <t>The Distribution and Status of the Eurasian Otter (Lutra lutra) in Asia - a Preliminary Review</t>
  </si>
  <si>
    <t xml:space="preserve">Chong Jong Ryol
</t>
  </si>
  <si>
    <t>Distribution, Ecology and Conservation of the Common Otter (Lutra lutra) in DPRK (North Korea)</t>
  </si>
  <si>
    <t>North Korea</t>
  </si>
  <si>
    <t xml:space="preserve">Fernanda Michalski, Paula C. Conceição, Joyce A. Amador, Juliana Laufer and Darren Norris
</t>
  </si>
  <si>
    <t>Local Perceptions and Implications for Giant Otter (Pteronura brasiliensis) Conservation around Protected Areas in the Eastern Brazilian Amazon</t>
  </si>
  <si>
    <t>Oldemar Carvalho-Junior, Luis Macedo-Soare, Alesandra Bez Birolo and Tammy Snyder</t>
  </si>
  <si>
    <t>A Comparative Diet Analysis of the Neotropical Otter in Santa Catarina Island, Brazil</t>
  </si>
  <si>
    <t>P. W. Bright</t>
  </si>
  <si>
    <t>Lessons from lean beasts: conservation biology of the mustelids</t>
  </si>
  <si>
    <t>Unspecified (habitat loss and fragmentation)</t>
  </si>
  <si>
    <t>P. Cresswell; S. Harris; R. G. H. Bunce; D. J. Jefferies</t>
  </si>
  <si>
    <t>THE BADGER (MELES-MELES) IN BRITAIN - PRESENT STATUS AND FUTURE POPULATION-CHANGES</t>
  </si>
  <si>
    <t>H. Kruuk; P. C. Goudswaard</t>
  </si>
  <si>
    <t>EFFECTS OF CHANGES IN FISH POPULATIONS IN LAKE VICTORIA ON THE FOOD OF OTTERS (LUTRA-MACULICOLLIS SCHINZ AND AONYX-CAPENSIS LICHTENSTEIN)</t>
  </si>
  <si>
    <t>G. A. Green; J. J. Brueggeman</t>
  </si>
  <si>
    <t>SEA OTTER DIETS IN A DECLINING POPULATION IN ALASKA</t>
  </si>
  <si>
    <t>R. C. Lacy; T. W. Clark</t>
  </si>
  <si>
    <t>SIMULATION MODELING OF AMERICAN MARTEN (MARTES AMERICANA) POPULATIONS - VULNERABILITY TO EXTINCTION</t>
  </si>
  <si>
    <t>A. P. Clevenger</t>
  </si>
  <si>
    <t>THE EUROPEAN PINE MARTEN MARTES-MARTES IN THE BALEARIC-ISLANDS, SPAIN</t>
  </si>
  <si>
    <t>G. Proulx; A. J. Kolenosky; M. J. Badry; P. J. Cole; R. K. Drescher</t>
  </si>
  <si>
    <t>A SNOWSHOE HARE SNARE SYSTEM TO MINIMIZE CAPTURE OF MARTEN</t>
  </si>
  <si>
    <t>T. P. Hodgman; D. J. Harrison; D. D. Katnik; K. D. Elowe</t>
  </si>
  <si>
    <t>SURVIVAL IN AN INTENSIVELY TRAPPED MARTEN POPULATION IN MAINE</t>
  </si>
  <si>
    <t>D. D. Katnik; D. J. Harrison; T. P. Hodgman</t>
  </si>
  <si>
    <t>SPATIAL RELATIONS IN A HARVESTED POPULATION OF MARTEN IN MAINE</t>
  </si>
  <si>
    <t>I. D. Thompson; P. W. Colgan</t>
  </si>
  <si>
    <t>MARTEN ACTIVITY IN UNCUT AND LOGGED BOREAL FORESTS IN ONTARIO</t>
  </si>
  <si>
    <t>M. L. Riedman; J. A. Estes; M. M. Staedler; A. A. Giles; D. R. Carlson</t>
  </si>
  <si>
    <t>BREEDING PATTERNS AND REPRODUCTIVE SUCCESS OF CALIFORNIA SEA OTTERS</t>
  </si>
  <si>
    <t>B. R. Sturtevant; J. A. Bissonette; J. N. Long</t>
  </si>
  <si>
    <t>Temporal and spatial dynamics of boreal forest structure in western Newfoundland: Silvicultural implications for marten habitat management</t>
  </si>
  <si>
    <t>J. C. Lewis; W. J. Zielinski</t>
  </si>
  <si>
    <t>Historical harvest and incidental capture of fishers in California</t>
  </si>
  <si>
    <t>J. C. Watson; G. M. Ellis; T. G. Smith; J. K. B. Ford</t>
  </si>
  <si>
    <t>Updated status of the Sea Otter, Enhydra lutris, in Canada</t>
  </si>
  <si>
    <t>A. Landa; B. A. Tommeras</t>
  </si>
  <si>
    <t>A test of aversive agents on wolverines</t>
  </si>
  <si>
    <t>T. G. Chapin; D. J. Harrison; D. D. Katnik</t>
  </si>
  <si>
    <t>Influence of landscape pattern on habitat use by American marten in an industrial forest</t>
  </si>
  <si>
    <t>K. R. Foresman; D. E. Pearson</t>
  </si>
  <si>
    <t>Comparison of proposed survey procedures for detection of forest carnivores</t>
  </si>
  <si>
    <t>S. Jenkinson; C. P. Wheater</t>
  </si>
  <si>
    <t>The influence of public access and sett visibility on badger (Meles meles) sett disturbance and persistence</t>
  </si>
  <si>
    <t>A. Landa; O. Strand; J. D. C. Linnell; T. Skogland</t>
  </si>
  <si>
    <t>Home-range sizes and altitude selection for arctic foxes and wolverines in an alpine environment</t>
  </si>
  <si>
    <t>C. D. Hargis; J. A. Bissonette; D. L. Turner</t>
  </si>
  <si>
    <t>The influence of forest fragmentation and landscape pattern on American martens</t>
  </si>
  <si>
    <t>K. Kauhala; P. Helle; E. Helle; J. Korhonen</t>
  </si>
  <si>
    <t>Impact of predator removal on predator and mountain hare populations in Finland</t>
  </si>
  <si>
    <t>C. Carroll; W. J. Zielinski; R. F. Noss</t>
  </si>
  <si>
    <t>Using presence-absence data to build and test spatial habitat models for the fisher in the Klamath region, USA</t>
  </si>
  <si>
    <t>J. J. Packer; J. D. S. Birks</t>
  </si>
  <si>
    <t>An assessment of British farmers' and gamekeepers' experiences, attitudes and practices in relation to the European Polecat Mustela putorius</t>
  </si>
  <si>
    <t>A. Landa; K. Gudvangen; J. E. Swenson; E. Roskaft</t>
  </si>
  <si>
    <t>Factors associated with wolverine Gulo gulo predation on domestic sheep</t>
  </si>
  <si>
    <t>S. Effenberger; F. Suchentrunk</t>
  </si>
  <si>
    <t>RFLP analysis of the mitochondrial DNA of otters (Lutra lutra) from Europe - implications for conservation of a flagship species</t>
  </si>
  <si>
    <t>F. Potvin; L. Belanger; K. Lowell</t>
  </si>
  <si>
    <t>Marten habitat selection in a clearcut boreal landscape</t>
  </si>
  <si>
    <t>J. O. Helldin</t>
  </si>
  <si>
    <t>Population trends and harvest management of pine marten Martes martes in Scandinavia</t>
  </si>
  <si>
    <t>R. N. Williams; O. E. Rhodes; T. L. Serfass</t>
  </si>
  <si>
    <t>Assessment of genetic variance among source and reintroduced fisher populations</t>
  </si>
  <si>
    <t>G. M. Wilson; R. A. Van den Bussche; P. K. Kennedy; A. Gunn; K. Poole</t>
  </si>
  <si>
    <t>Genetic variability of wolverines (Gulo gulo) from the Northwest Territories, Canada: Conservation implications</t>
  </si>
  <si>
    <t>W. L. Gaines; P. Singleton; A. L. Gold</t>
  </si>
  <si>
    <t>Conservation of rare carnivores in the North Cascades Ecosystem, western North America</t>
  </si>
  <si>
    <t>W. J. Zielinski; K. M. Slauson; C. R. Carroll; C. J. Kent; D. G. Kudrna</t>
  </si>
  <si>
    <t>Status of American martens in coastal forests of the Pacific states</t>
  </si>
  <si>
    <t>E. Virgos</t>
  </si>
  <si>
    <t>Role of isolation and habitat quality in shaping species abundance: a test with badgers (Meles meles L.) in a gradient of forest fragmentation</t>
  </si>
  <si>
    <t>C. J. Kyle; J. F. Robitaille; C. Strobeck</t>
  </si>
  <si>
    <t>Genetic variation and structure of fisher (Pekania pennanti) populations across North America</t>
  </si>
  <si>
    <t>C. W. Walker; C. Vila; A. Landa; M. Linden; H. Ellegren</t>
  </si>
  <si>
    <t>Genetic variation and population structure in Scandinavian wolverine (Gulo gulo) populations</t>
  </si>
  <si>
    <t>E. Virgos; J. L. Telleria; T. Santos</t>
  </si>
  <si>
    <t>A comparison on the response to forest fragmentation by medium-sized Iberian carnivores in central Spain</t>
  </si>
  <si>
    <t>S. Larson; R. Jameson; J. Bodkin; M. Staedler; P. Bentzen</t>
  </si>
  <si>
    <t>Microsatellite DNA and mitochondrial DNA variation in remnant and translocated sea otter (Enhydra lutris) populations</t>
  </si>
  <si>
    <t>Connectivity of peripheral and core populations of North American wolverines</t>
  </si>
  <si>
    <t>K. B. Aubry; J. C. Lewis</t>
  </si>
  <si>
    <t>Extirpation and reintroduction of fishers (Pekania pennanti) in Oregon: implications for their conservation in the Pacific states</t>
  </si>
  <si>
    <t>L. Sadlier; I. Montgomery</t>
  </si>
  <si>
    <t>The impact of sett disturbance on badger Meles meles numbers; when does protective legislation work?</t>
  </si>
  <si>
    <t>D. E. Chappell; R. A. Van den Bussche; J. Krizan; B. Patterson</t>
  </si>
  <si>
    <t>Contrasting levels of genetic differentiation among populations of wolverines (Gulo gulo) from northern Canada revealed by nuclear and mitochondrial loci</t>
  </si>
  <si>
    <t>J. D. Wright; J. Ernst</t>
  </si>
  <si>
    <t>Effects of mid-winter snow depth on stand selection by Wolverines, Gulo gulo luscus, in the boreal forest</t>
  </si>
  <si>
    <t>J. Krebs; E. Lofroth; J. Copeland; V. Banci; D. Cooley; H. Golden; A. Magoun; R. Mulders; B. Shults</t>
  </si>
  <si>
    <t>Synthesis of survival rates and causes of mortality in North American wolverines</t>
  </si>
  <si>
    <t>E. Virgos; A. Travaini</t>
  </si>
  <si>
    <t>Relationship between small-game hunting and carnivore diversity in central Spain</t>
  </si>
  <si>
    <t>D. M. Burn; A. M. Doroff</t>
  </si>
  <si>
    <t>Decline in sea otter (Enhydra lutris) populations along the Alaska Peninsula, 1986-2001</t>
  </si>
  <si>
    <t>B. E. Saether; S. Engen; J. Persson; H. Broseth; A. Landa; T. Willebrand</t>
  </si>
  <si>
    <t>Management strategies for the wolverine in Scandinavia</t>
  </si>
  <si>
    <t>X. Domingo-Roura; J. Marmi; A. Ferrando; F. Lopez-Giraldez; D. W. Macdonald; H. A. H. Jansman</t>
  </si>
  <si>
    <t>Badger hair in shaving brushes comes from protected Eurasian badgers</t>
  </si>
  <si>
    <t>A. R. Solow; A. C. Kitchener; D. L. Roberts; J. D. S. Birks</t>
  </si>
  <si>
    <t>Rediscovery of the Scottish polecat, Mustela putorius: Survival or reintroduction?</t>
  </si>
  <si>
    <t>J. Persson; A. Landa; R. Andersen; P. Segerstrom</t>
  </si>
  <si>
    <t>Reproductive characteristics of female wolverines (Gulo gulo) in Scandinavia</t>
  </si>
  <si>
    <t>E. L. Koen; J. Bowman; C. S. Findlay</t>
  </si>
  <si>
    <t>Fisher survival in eastern Ontario</t>
  </si>
  <si>
    <t>E. C. Lofroth; P. K. Ott</t>
  </si>
  <si>
    <t>Assessment of the sustainability of wolverine harvest in British Columbia, Canada</t>
  </si>
  <si>
    <t>K. B. Aubry; K. S. McKelvey; J. P. Copeland</t>
  </si>
  <si>
    <t>Distribution and broadscale habitat relations of the wolverine in the contiguous United States</t>
  </si>
  <si>
    <t>D. Freitas; J. Gomes; T. S. Luis; L. Madruga; C. Marques; G. Baptista; L. M. Rosalino; P. Antunes; R. Santos; M. Santos-Reis</t>
  </si>
  <si>
    <t>Otters and fish farms in the Sado estuary: ecological and socio-economic basis of a conflict</t>
  </si>
  <si>
    <t>G. Godbout; J. P. Ouellet</t>
  </si>
  <si>
    <t>Habitat selection of American marten in a logged landscape at the southern fringe of the boreal forest</t>
  </si>
  <si>
    <t>V. E. Sidorovich; I. A. Solovej; A. A. Sidorovich; Rotenko, II</t>
  </si>
  <si>
    <t>Effect of felling on the distribution of rodents and their predators in a transitional mixed forest</t>
  </si>
  <si>
    <t>P. A. Lancaster; J. Bowman; B. A. Pond</t>
  </si>
  <si>
    <t>Fishers, farms, and forests in eastern North America</t>
  </si>
  <si>
    <t>C. Leuchtenberger; G. Mourao</t>
  </si>
  <si>
    <t>Social organization and territoriality of giant otters (Carnivora : Mustelidae) in a seasonally flooded savanna in Brazil</t>
  </si>
  <si>
    <t>P. J. Baker; L. Boitani; S. Harris; G. Saunders; P. C. L. White</t>
  </si>
  <si>
    <t>Terrestrial carnivores and human food production: impact and management</t>
  </si>
  <si>
    <t>F. Dalerum; B. Shults; K. Kunkel</t>
  </si>
  <si>
    <t>Estimating sustainable harvest in wolverine populations using logistic regression</t>
  </si>
  <si>
    <t>R. W. Flynn; T. V. Schumacher</t>
  </si>
  <si>
    <t>Temporal Changes in Population Dynamics of American Martens</t>
  </si>
  <si>
    <t>A. Johnson; C. Vongkhamheng; T. Saithongdam</t>
  </si>
  <si>
    <t>The diversity, status and conservation of small carnivores in a montane tropical forest in northern Laos</t>
  </si>
  <si>
    <t>Arctonyx collaris</t>
  </si>
  <si>
    <t>Mustela strigidorsa</t>
  </si>
  <si>
    <t>J. Persson; G. Ericsson; P. Segerstrom</t>
  </si>
  <si>
    <t>Human caused mortality in the endangered Scandinavian wolverine population</t>
  </si>
  <si>
    <t>W. A. Khan; M. Qasim; E. Ahmad; A. A. Chaudhry; H. B. Bhaagat; M. Akhtar</t>
  </si>
  <si>
    <t>Status of Smooth Coated Otter (Lutrogale perspicillata sindica) in Pakistan</t>
  </si>
  <si>
    <t>B. J. Hearn; D. J. Harrison; A. K. Fuller; C. G. Lundrigan; W. J. Curran</t>
  </si>
  <si>
    <t>Paradigm Shifts in Habitat Ecology of Threatened Newfoundland Martens</t>
  </si>
  <si>
    <t>W. J. Zielinski; J. R. Dunk; J. S. Yaeger; D. W. LaPlante</t>
  </si>
  <si>
    <t>Developing and testing a landscape-scale habitat suitability model for fisher (Pekania pennanti) in forests of interior northern California</t>
  </si>
  <si>
    <t>M. R. Uscamaita; R. Bodmer</t>
  </si>
  <si>
    <t>Recovery of the Endangered giant otter Pteronura brasiliensis on the Yavari-Mirin and Yavari Rivers: a success story for CITES</t>
  </si>
  <si>
    <t>K. M. Moriarty; W. J. Zielinski; E. D. Forsman</t>
  </si>
  <si>
    <t>Decline in American Marten Occupancy Rates at Sagehen Experimental Forest, California</t>
  </si>
  <si>
    <t>J. R. Skalski; J. J. Millspaugh; M. V. Clawson; J. L. Belant; D. R. Etter; B. J. Frawley; P. D. Friedrich</t>
  </si>
  <si>
    <t>Abundance Trends of American Martens in Michigan Based on Statistical Population Reconstruction</t>
  </si>
  <si>
    <t>P. Hapeman; E. K. Latch; J. A. Fike; O. E. Rhodes; C. W. Kilpatrick</t>
  </si>
  <si>
    <t>Landscape Genetics of Fishers (Pekania pennanti) in the Northeast: Dispersal Barriers and Historical Influences</t>
  </si>
  <si>
    <t>R. A. Mowry; M. E. Gompper; J. Beringer; L. S. Eggert</t>
  </si>
  <si>
    <t>River Otter Population Size Estimation Using Noninvasive Latrine Surveys</t>
  </si>
  <si>
    <t>P. F. Rosas-Ribeiro; F. C. W. Rosas; J. Zuanon</t>
  </si>
  <si>
    <t>Conflict between Fishermen and Giant Otters Pteronura brasiliensis in Western Brazilian Amazon</t>
  </si>
  <si>
    <t>J. M. Tucker; M. K. Schwartz; R. L. Truex; K. L. Pilgrim; F. W. Allendorf</t>
  </si>
  <si>
    <t>Historical and Contemporary DNA Indicate Fisher Decline and Isolation Occurred Prior to the European Settlement of California</t>
  </si>
  <si>
    <t>J. G. Casanovas; J. Barrull; I. Mate; J. M. Zorrilla; J. Ruiz-Olmo; J. Gosalbez; M. Salicru</t>
  </si>
  <si>
    <t>Shaping carnivore communities by predator control: competitor release revisited</t>
  </si>
  <si>
    <t>M. Carrera; M. J. Nabte; D. E. Udrizar-Sauthier</t>
  </si>
  <si>
    <t>Geographic distribution, natural history and conservation of the lesser grison Galictis cuja (Carnivora: Mustelidae) from Central Patagonia, Argentina</t>
  </si>
  <si>
    <t>F. Barbieri; R. Machado; C. A. Zappes; L. R. de Oliveira</t>
  </si>
  <si>
    <t>Interactions between the Neotropical otter (Lontra longicaudis) and gillnet fishery in the southern Brazilian coast</t>
  </si>
  <si>
    <t>M. Elmeros; T. E. Holm; L. Haugaard; A. B. Madsen</t>
  </si>
  <si>
    <t>Prevalence of embedded shotgun pellets in protected and in legally hunted medium-sized carnivores in Denmark</t>
  </si>
  <si>
    <t>P. Cross; F. A. V. St John; S. Khan; A. Petroczi</t>
  </si>
  <si>
    <t>Innovative Techniques for Estimating Illegal Activities in a Human-Wildlife-Management Conflict</t>
  </si>
  <si>
    <t>A. W. Byrne; J. O'Keeffe; D. P. Sleeman; J. Davenport; S. W. Martin</t>
  </si>
  <si>
    <t>Impact of culling on relative abundance of the European badger (Meles meles) in Ireland</t>
  </si>
  <si>
    <t>R. R. Reeves; K. McClellan; T. B. Werner</t>
  </si>
  <si>
    <t>Marine mammal bycatch in gillnet and other entangling net fisheries, 1990 to 2011</t>
  </si>
  <si>
    <t>L. S. Cano; J. L. Telleria</t>
  </si>
  <si>
    <t>Local ecological knowledge as a tool for assessing the status of threatened vertebrates: a case study in Vietnam</t>
  </si>
  <si>
    <t>J. Barrull; I. Mate; M. Salicru; J. Palet; J. G. Casanovas; J. Gosalbez; J. Ruiz-Olmo</t>
  </si>
  <si>
    <t>Differential response of a carnivore community to predator control: a spatio-temporal observational study</t>
  </si>
  <si>
    <t>Both forest composition and configuration influence landscape-scale habitat selection by fishers (Pekania pennanti) in mixed coniferous forests of the Northern Rocky Mountains</t>
  </si>
  <si>
    <t>C. N. Z. Coudrat; C. Nanthavong; S. Sayavong; A. Johnson; J. B. Johnston; W. G. Robichaud</t>
  </si>
  <si>
    <t>Conservation importance of Nakai-Nam Theun National Protected Area, Laos, for small carnivores based on camera trap data</t>
  </si>
  <si>
    <t>Melogale sp.</t>
  </si>
  <si>
    <t>M. Recharte; I. G. Bride; M. Bowler</t>
  </si>
  <si>
    <t>A recovering flagship: giant otters, communities and tourism in northern Peru</t>
  </si>
  <si>
    <t>K. S. McKelvey; K. B. Aubry; N. J. Anderson; A. P. Clevenger; J. P. Copeland; K. S. Heinemeyer; R. M. Inman; J. R. Squires; J. S. Waller; K. L. Pilgrim; M. K. Schwartz</t>
  </si>
  <si>
    <t>Recovery of Wolverines in the Western United States: Recent Extirpation and Recolonization or Range Retraction and Expansion?</t>
  </si>
  <si>
    <t>A. H. Akpona; C. Djagoun; L. A. Harrington; A. T. Kabre; G. A. Mensah; B. Sinsin</t>
  </si>
  <si>
    <t>Conflict between spotted-necked otters and fishermen in Hlan River, Benin</t>
  </si>
  <si>
    <t>W. W. Chen; C. Newman; Z. J. Liu; Y. Kaneko; K. Omote; R. Masuda; C. D. Buesching; D. W. Macdonald; Z. Q. Xie; Y. B. Zhou</t>
  </si>
  <si>
    <t>The illegal exploitation of hog badgers (Arctonyx collaris) in China: genetic evidence exposes regional population impacts</t>
  </si>
  <si>
    <t>V. Gervasi; H. Broseth; E. B. Nilsen; H. Ellegren; O. Flagstad; J. D. C. Linnell</t>
  </si>
  <si>
    <t>Compensatory immigration counteracts contrasting conservation strategies of wolverines (Gulo gulo) within Scandinavia</t>
  </si>
  <si>
    <t>J. Hon; A. J. Hearn; J. Ross; H. Samejima; D. M. Augeri; J. Mathai; A. Mohamed; R. Boonratana; G. Fredriksson; S. M. Cheyne; M. Heydon; Rustam; R. Alfred; G. Semiadi; H. Bernard; D. W. Macdonald; J. L. Belant; S. Kramer-Schadt; A. Wilting</t>
  </si>
  <si>
    <t>Predicted distribution of the yellow-throated marten Martes flavigula (Mammalia: Carnivora: Mustelidae) on Borneo</t>
  </si>
  <si>
    <t>S. Ahmad; S. Hameed; H. Ali; T. U. Khan; T. Mehmood; M. A. Nawaz</t>
  </si>
  <si>
    <t>Carnivores' diversity and conflicts with humans in Musk Deer National Park, Azad Jammu and Kashmir, Pakistan</t>
  </si>
  <si>
    <t>J. C. Lewis; K. J. Jenkins; P. J. Happe; D. J. Manson; M. McCalmon</t>
  </si>
  <si>
    <t>Landscape-scale habitat selection by fishers translocated to the Olympic Peninsula of Washington</t>
  </si>
  <si>
    <t>O. Cordova; J. R. Rau</t>
  </si>
  <si>
    <t>Interaction between artisanal fishery and the top predator Lontra felina in Chile</t>
  </si>
  <si>
    <t>M. C. Bridger; C. J. Johnson; M. P. Gillingham</t>
  </si>
  <si>
    <t>Working with experts to quantify changes in the abundance of furbearers following rapid and large-scale forest harvesting</t>
  </si>
  <si>
    <t>N. G. Dawson; J. P. Colella; M. P. Small; K. D. Stone; S. L. Talbot; J. A. Cook</t>
  </si>
  <si>
    <t>Historical biogeography sets the foundation for contemporary conservation of martens (genus Martes) in northwestern North America</t>
  </si>
  <si>
    <t>J. Mathai; R. Sollmann; M. E. Meredith; J. L. Belant; J. Niedballa; L. Buckingham; S. T. Wong; S. Asad; A. Wilting</t>
  </si>
  <si>
    <t>Fine-scale distributions of carnivores in a logging concession in Sarawak, Malaysian Borneo</t>
  </si>
  <si>
    <t>Y. Hua; Y. C. Xu; W. Zhang; B. Li</t>
  </si>
  <si>
    <t>Complete mitochondrial genome reveals the phylogenetic relationship of sable Martes zibellina linkouensis</t>
  </si>
  <si>
    <t>W. C. Zhu; Q. G. Wei; S. Y. Xue; H. X. Zhang; T. S. Lv; H. H. Zhang</t>
  </si>
  <si>
    <t>Isolation and Characterization of Microsatellite Markers for the Sable, Martes zibellina (Mammalia: Mustelidae)</t>
  </si>
  <si>
    <t>S. H. Son; H. S. Hwang; J. K. Lee; T. K. Eom; C. R. Park; E. J. Lee; J. H. Kang; S. J. Rhim</t>
  </si>
  <si>
    <t>Influence of tree thinning on the abundance of mammals in a Japanese larch Larix kaempferi plantation</t>
  </si>
  <si>
    <t>P. M. Kukka; T. S. Jung; J. F. Robitaille; F. K. A. Schmiegelow</t>
  </si>
  <si>
    <t>Temporal variation in the population characteristics of harvested wolverine (Gulo gulo) in northwestern Canada</t>
  </si>
  <si>
    <t>N. H. Carter; J. V. Lopez-Bao; J. T. Bruskotter; M. Gore; G. Chapron; A. Johnson; Y. Epstein; M. Shrestha; J. Frank; O. Ohrens; A. Treves</t>
  </si>
  <si>
    <t>A conceptual framework for understanding illegal killing of large carnivores</t>
  </si>
  <si>
    <t>M. L. Allen; B. Wojcik; B. E. Evans; E. E. Iehl; R. E. Barker; M. E. Wheeler; B. E. Peterson; R. I. Dohm; M. A. Mueller; L. O. Olson; B. Ederer; M. Stewart; S. Crimmins; K. Pemble; J. Van Stappen; E. Olson; T. R. Van Deelen</t>
  </si>
  <si>
    <t>Detection of Endangered American Martens (Martes americana) in Apostle Islands National Lakeshore, Wisconsin</t>
  </si>
  <si>
    <t>V. G. Monakhov; M. V. Modorov; M. N. Ranyuk</t>
  </si>
  <si>
    <t>Genetic Effects of Sable (Martes zibellina L.) Reintroduction in Western Siberia</t>
  </si>
  <si>
    <t>N. C. Pimenta; A. L. S. Goncalves; G. H. Shepard; V. W. Macedo; A. P. A. Barnett</t>
  </si>
  <si>
    <t>The return of giant otter to the Baniwa Landscape: A multi-scale approach to species recovery in the middle Icana River, Northwest Amazonia, Brazil</t>
  </si>
  <si>
    <t>L. Zhang; Q. Y. Wang; L. Yang; F. Li; B. P. L. Chan; Z. S. Xiao; S. Li; D. Z. Song; Z. J. Piao; P. F. Fan</t>
  </si>
  <si>
    <t>The neglected otters in China: Distribution change in the past 400 years and current conservation status</t>
  </si>
  <si>
    <t>P. Siriwat; V. Nijman</t>
  </si>
  <si>
    <t>Illegal pet trade on social media as an emerging impediment to the conservation of Asian otters species</t>
  </si>
  <si>
    <t>L. G. Poley; A. J. Magoun; M. D. Robards; R. L. Klimstra</t>
  </si>
  <si>
    <t>Distribution and occupancy of wolverines on tundra, northwestern Alaska</t>
  </si>
  <si>
    <t>N. C. Pimenta; A. P. Antunes; A. A. Barnett; V. W. Macedo; G. H. Shepard</t>
  </si>
  <si>
    <t>Differential resilience of Amazonian otters along the Rio Negro in the aftermath of the 20th century international fur trade</t>
  </si>
  <si>
    <t>F. Li; B. P. L. Chan</t>
  </si>
  <si>
    <t>Past and present: the status and distribution of otters (Carnivora: Lutrinae sp.) in China</t>
  </si>
  <si>
    <t>M. S. Delheimer; K. M. Moriarty; M. A. Ltniniell; B. V. Woodruff</t>
  </si>
  <si>
    <t>If a tree falls in a forest: implications of forest structure persistence for the Pacific marten (Martes caurina)</t>
  </si>
  <si>
    <t>Martes caurina</t>
  </si>
  <si>
    <t>K. M. Moriarty; K. B. Aubry; C. N. Morozumi; B. L. Howell; P. J. Happe; K. J. Jenkins; K. L. Pilgrim; M. K. Schwartz</t>
  </si>
  <si>
    <t>Status of Pacific Martens (Martes caurina) on the Olympic Peninsula, Washington</t>
  </si>
  <si>
    <t>K. M. Moriarty; J. Verschuyl; A. J. Kroll; R. Davis; J. Chapman; B. Hollen</t>
  </si>
  <si>
    <t>Describing vegetation characteristics used by two rare forest-dwelling species: Will established reserves provide for coastal marten in Oregon?</t>
  </si>
  <si>
    <t>K. M. Slauson; W. J. Zielinski; T. A. Kirk; D. W. LaPlante</t>
  </si>
  <si>
    <t>A Landscape Habitat Suitability Model for the Humboldt Marten (Martes caurina humboldtensis) in Coastal California and Coastal Oregon</t>
  </si>
  <si>
    <t>A. A. Grabham; G. Ventress; M. W. Hayward</t>
  </si>
  <si>
    <t>The diet of denning female Europeanpine martens (Martes martes) in Galloway Forest District, South West Scotland, Great Britain</t>
  </si>
  <si>
    <t>L. A. Harrington; D. W. Macdonald; N. D'Cruze</t>
  </si>
  <si>
    <t>Popularity of pet otters on YouTube: evidence of an emerging trade threat</t>
  </si>
  <si>
    <t>South East Asia</t>
  </si>
  <si>
    <t>S. Kundu; V. Kumar; K. Tyagi; S. Rath; A. Pakrashi; P. C. Saren; L. Kosygin; K. Chandra</t>
  </si>
  <si>
    <t>Mitochondrial DNA detects Arctonyx collaris from burnt body parts: a wildlife forensic case study in Indo-Burma biodiversity hotspot</t>
  </si>
  <si>
    <t>Myanmar</t>
  </si>
  <si>
    <t>V. Gervasi; J. D. C. Linnell; H. Broseth; O. Gimenez</t>
  </si>
  <si>
    <t>Failure to coordinate management in transboundary populations hinders the achievement of national management goals: The case of wolverines in Scandinavia</t>
  </si>
  <si>
    <t>M. Barrueto; M. A. Sawaya; A. P. Clevenger</t>
  </si>
  <si>
    <t>Low wolverine (Gulo gulo) density in a national park complex of the Canadian Rocky Mountains</t>
  </si>
  <si>
    <t>G. M. J. Lansink; R. Esparza-Sala; M. Joensuu; A. Koskela; D. Bujn?kov; O. Kleven; O. Flagstad; T. Ollila; I. Kojola; J. Aspi; L. Kvist</t>
  </si>
  <si>
    <t>Population genetics of the wolverine in Finland: the road to recovery?</t>
  </si>
  <si>
    <t>The Status of the Sea Otter in Canada</t>
  </si>
  <si>
    <t>Vadim E. Sidorovich and Genadij O. Lauzhel</t>
  </si>
  <si>
    <t>Numbers of Otters and Approach to Population Estimation in Byelorussia</t>
  </si>
  <si>
    <t>Sheila Macdonald and Chris Mason</t>
  </si>
  <si>
    <t>A Note on Lutra longicaudis in Costa Rica</t>
  </si>
  <si>
    <t>Costa Rica</t>
  </si>
  <si>
    <t>Anibal Parera</t>
  </si>
  <si>
    <t>The Neotropical River Otter Lutra longicaudis in Iberá Lagoon, Argentina</t>
  </si>
  <si>
    <t>A.C. Gutleb, W. Henninger, G. Loupal and A. Kranz</t>
  </si>
  <si>
    <t>Evidence for Illegal Attempts to Kill Otters (Lutra lutra) in Austria</t>
  </si>
  <si>
    <t xml:space="preserve">Austria </t>
  </si>
  <si>
    <t>J. R. A. Butler and  J. T. du Toit</t>
  </si>
  <si>
    <t>Diet and Conservation Status of Cape Clawless Otters in Eastern Zimbabwe</t>
  </si>
  <si>
    <t>Václav Hlavá? and Ales Toman</t>
  </si>
  <si>
    <t>Estimating River Otter Lutra longicaudis Population in Iberá Lagoon Using Direct Sightings Methodology</t>
  </si>
  <si>
    <t>Juan Ricardo Gómez, Jeffrey P. Jorgenson and Ricardo Valbuena</t>
  </si>
  <si>
    <t>Report on the Rehabilitation and Release of Two Giant River Otter (Pteronura brasiliensis) Pups in the Bita River (Vichada, Colombia)</t>
  </si>
  <si>
    <t>Observations on the distribution and conservation status of the Neotropical river otter (Lontra longicaudis) in the coastal lagoons of the Uruguayan Atlantic basin and their main tributaries</t>
  </si>
  <si>
    <t>Uruguay</t>
  </si>
  <si>
    <t>Otters And Fyke Nets -Some Aspects Which Need Further Attention</t>
  </si>
  <si>
    <t>Giant Otter Project in Peru Field Trip and Activity Report - 2001</t>
  </si>
  <si>
    <t>On the Tracks of the Congo Clawless Otter (Aonyx congicus) in Gabon)</t>
  </si>
  <si>
    <t>Historical and Actual Presence of the Giant Otter (Pteronura brasiliensis) on the Lower Meta River, Department of Casanare - Colombia Orinoquia</t>
  </si>
  <si>
    <t>New Findings On Otters In Guinea-Bissau</t>
  </si>
  <si>
    <t>Guinea-Bissau</t>
  </si>
  <si>
    <t>Protecting Fish Farms from Predation by the Eurasian Otter (Lutra lutra) in the Limousin Region of Central France: First Results</t>
  </si>
  <si>
    <t>The Neotropical Otter Lontra Longicaudis Feeding Habits In A Marine Coastal Area, Southern Brazil</t>
  </si>
  <si>
    <t>Giant Otter Project In Peru: Field Trip And Activity Report - 2005</t>
  </si>
  <si>
    <t>Status Of Eurasian Otter (Lutra lutra) in Iran</t>
  </si>
  <si>
    <t>Range Extension And A Case For A Persistent Population Of River Otters (Lontra canadensis) In New Mexico</t>
  </si>
  <si>
    <t>A Specimen of Hairy-Nosed Otter Lutra sumatrana from Far Northern Myanmar</t>
  </si>
  <si>
    <t>Potential Conflict between Fishermen and Giant Otter (Pteronura brasiliensis) Populations by Fishermen in Response to Declining Stocks of Arowana Fish (Osteoglossum bicirrhosum) in Northeastern Peru</t>
  </si>
  <si>
    <t>Mortality of the Marine Otter (Lontra felina) in Southern Peru</t>
  </si>
  <si>
    <t>Seasonal Variation in Latrine Site Visitation and Scent Marking by Nearctic River Otters (Lontra canadensis)</t>
  </si>
  <si>
    <t xml:space="preserve">Janice Reed-Smith, Isaac Oluoch, Mark Origa, Tua Samweli Kihedu, Majaliwa Musiba Muhabi, Mandy Musumba Yusuf, Mordecai Ogada, Alex Lobora and Thomas Serfass
</t>
  </si>
  <si>
    <t>Consumptive Uses of and Lore pertaining to Spotted-Necked Otters in East Africa – a Preliminary Report from the Lake Victoria Area of Kenya, Tanzania, and Uganda</t>
  </si>
  <si>
    <t>Kenya, Tanzania, Uganda</t>
  </si>
  <si>
    <t xml:space="preserve">Mia Bisther
</t>
  </si>
  <si>
    <t>Otters Caught in Traps: A Minor Problem or the Tip of an Iceberg?</t>
  </si>
  <si>
    <t>Kayoko Yamamoto and Motokazu Ando</t>
  </si>
  <si>
    <t>Trends in Otter-Related Newspaper Articles in Japan over 135 Years</t>
  </si>
  <si>
    <t>Japan</t>
  </si>
  <si>
    <t xml:space="preserve">Miriam Marmontel, Cristina Isis Buck Silva, Robinson Botero-Arias and Hadad A. Miguel
</t>
  </si>
  <si>
    <t>Rescue, Tagging and Release of a Neotropical Otter (Lontra longicaudis) in Western Brazilian Amazon</t>
  </si>
  <si>
    <t>Chris R. Shepherd and Panjit Tansom</t>
  </si>
  <si>
    <t>Seizure Of Live Otters In Bangkok Airport, Thailand</t>
  </si>
  <si>
    <t>Chris R. Shepherd and Vincent Nijman</t>
  </si>
  <si>
    <t>Otters in the Mong La Wildlife Market, with a First Record of Hairy-Nosed Otter Lutra sumatrana in Trade in Myanmar</t>
  </si>
  <si>
    <t>Erik Meijaard</t>
  </si>
  <si>
    <t>A Review of Historical Habitat and Threats to Small-Clawed Otters on Java</t>
  </si>
  <si>
    <t>The distribution and status of the badger in Glamorgan, Wales</t>
  </si>
  <si>
    <t>Mustelids in Ladakh, India</t>
  </si>
  <si>
    <t>Badger sett protection in Britain</t>
  </si>
  <si>
    <t>The Eurasian badger: an update on status and protective legislation</t>
  </si>
  <si>
    <t>Stone martens Martes foina in Siena, Italy</t>
  </si>
  <si>
    <t>Reintroduction of polecat (Mustela putorius) and pine marten (Martes martes) in Britain</t>
  </si>
  <si>
    <t>Status of martens and genets in the Balearic and Pityusic Islands, Spain</t>
  </si>
  <si>
    <t>Badger conservation and fox hunting in Flanders (Belgium)</t>
  </si>
  <si>
    <t>The diversity and conservation of mustelids, viverrids, and herpestids in a disturbed forest in Peninsular Malaysia</t>
  </si>
  <si>
    <t>Occurrence and conservation status of small carnivores in two protected areas in Arunachal Pradesh, north-east India</t>
  </si>
  <si>
    <t>Status and distribution of small carnivores in Myanmar</t>
  </si>
  <si>
    <t>Small carnivorans from southern Benin: a preliminary assessment of diversity and hunting pressure</t>
  </si>
  <si>
    <t>Research priorities for the small carnivores of Colombia</t>
  </si>
  <si>
    <t>Observations of small carnivores in Jakarta wildlife markets, Indonesia, with notes on trade in Javan Ferret Badger Melogale orientalis and on the increasing demand for Common Palm Civet Paradoxurus hermaphroditus for civet coffee production</t>
  </si>
  <si>
    <t>Melogale orientalis</t>
  </si>
  <si>
    <t>Notes on live ferret badger Melogale trade in Java</t>
  </si>
  <si>
    <t>Records of small carnivores from in and around Namdapha Tiger Reserve, Arunachal Pradesh, India</t>
  </si>
  <si>
    <t>Status and ethnobiology of Mountain Weasel Mustela altaica in Humla district, Nepal</t>
  </si>
  <si>
    <t>Mustela altaica</t>
  </si>
  <si>
    <t>Current distribution and conservation status of small carnivores in Thailand: a baseline review</t>
  </si>
  <si>
    <t>A revised global conservation assessment of the Javan Ferret Badger Melogale orientalis</t>
  </si>
  <si>
    <t>Occurrence of the Smooth-Coated Otter Lutrogale perspicillata (Geoffroy, 1826) in Punjab, India</t>
  </si>
  <si>
    <t>The Conservation Status Of Otters In Prek Toal Core Area, Tonle Sap Lake, Cambodia </t>
  </si>
  <si>
    <t>The Eurasian Otter Lutra lutra in Afghanistan: A Review of the Sparse Available Information</t>
  </si>
  <si>
    <t>Afghanistan </t>
  </si>
  <si>
    <t>Camera Sighting of Congo Clawless Otter in the Midst of a Rapid Development on Mainland Equatorial Guinea</t>
  </si>
  <si>
    <t>Equatorial Guinea</t>
  </si>
  <si>
    <t>Records of Smooth-Coated Otter Lutrogale perspicillata (Geoffroy, 1826) from the Krishna River Delta of South India</t>
  </si>
  <si>
    <t>Recent Seizures of Live Otters in Southeast Asia</t>
  </si>
  <si>
    <t>Distribution of and Threats to the Eurasian Otter (Lutra lutra) in the Anzali Wetland, Iran</t>
  </si>
  <si>
    <t>Attack of Otter on Humans in Thrissur, Kerala, India</t>
  </si>
  <si>
    <t>Smooth-Coated Otter Lutrogale perspicillata receives Formal Protection in Indonesia, but Small -Clawed Otter Aonyx cinereus does not</t>
  </si>
  <si>
    <t>Population Status and Activity Pattern of Smooth-Coated Otter (Lutrogale perspicillata) in Bhitarkanika National Park, Odisha, Eastern India</t>
  </si>
  <si>
    <t>A Distribution Survey For Otters In Sikkim, India</t>
  </si>
  <si>
    <t>New Altitudinal Record of Neotropical Otter (Lontra longicaudis Olfers, 1818) and Conflict with Fish Farmers in Mexico</t>
  </si>
  <si>
    <t>Notes on Neotropical Otter (Lontra longicaudis) Hunting, a Possible Underestimated Threat in Colombia</t>
  </si>
  <si>
    <t>Spotted-Necked Otter (Hydrictis maculicollis) Distribution and Determining Factors of Habitat Occurrence in the Lower Ouémé Valley, Southern Benin</t>
  </si>
  <si>
    <t>Improved Legislation and Stronger Enforcement Actions needed as the Online Otter Trade in Indonesia continues</t>
  </si>
  <si>
    <t>Stronger International Regulations and Increased Enforcement Effort is needed to end the Illegal Trade in Otters in Asia</t>
  </si>
  <si>
    <t>The Situation of Pet Otters in Japan – Warning by Vets</t>
  </si>
  <si>
    <t>A Review of the Hairy-Nosed Otter (Lutra sumatrana) in Borneo and a Recent Sighting at Danum Valley Conservation Area, Sabah</t>
  </si>
  <si>
    <t>C. M. Aylward; J. D. Murdoch; C. W. Kilpatrick</t>
  </si>
  <si>
    <t>Multiscale landscape genetics of American marten at their southern range periphery</t>
  </si>
  <si>
    <t>J. Ruiz-Olmo; J. Jimenez; W. Chacon</t>
  </si>
  <si>
    <t>The importance of ponds for the otter (Lutra lutra) during drought periods in Mediterranean ecosystems: A case study in Bergantes River</t>
  </si>
  <si>
    <t>Genetic legacies of translocation and relictual populations of American marten at the southeastern margin of their distribution</t>
  </si>
  <si>
    <t>N. Heim; J. T. Fisher; A. Clevenger; J. Paczkowski; J. Volpe</t>
  </si>
  <si>
    <t>Cumulative effects of climate and landscape change drive spatial distribution of Rocky Mountain wolverine (Gulo gulo L.)</t>
  </si>
  <si>
    <t>D. W. Macdonald; C. Newman; C. D. Buesching; P. Nouvellet</t>
  </si>
  <si>
    <t>Are badgers 'Under The Weather'? Direct and indirect impacts of climate variation on European badger (Meles meles) population dynamics</t>
  </si>
  <si>
    <t>E. C. Lofroth; J. A. Krebs; W. L. Harrower; D. Lewis</t>
  </si>
  <si>
    <t>Food habits of wolverine Gulo gulo in montane ecosystems of British Columbia, Canada</t>
  </si>
  <si>
    <t>J. F. Brodie; E. Post</t>
  </si>
  <si>
    <t>Nonlinear responses of wolverine populations to declining winter snowpack</t>
  </si>
  <si>
    <t>S. Peacock</t>
  </si>
  <si>
    <t>Projected 21st century climate change for wolverine habitats within the contiguous United States</t>
  </si>
  <si>
    <t>C. Cianfrani; G. Le Lay; L. Maiorano; H. F. Satizabal; A. Loy; A. Guisan</t>
  </si>
  <si>
    <t>Adapting global conservation strategies to climate change at the European scale: The otter as a flagship species</t>
  </si>
  <si>
    <t>J. Zigouris; F. N. Dawson; J. Bowman; R. M. Gillett; J. A. Schaefer; C. J. Kyle</t>
  </si>
  <si>
    <t>Genetic isolation of wolverine (Gulo gulo) populations at the eastern periphery of their North American distribution</t>
  </si>
  <si>
    <t>T. N. Wasserman; S. A. Cushman; J. S. Littell; A. J. Shirk; E. L. Landguth</t>
  </si>
  <si>
    <t>Population connectivity and genetic diversity of American marten (Martes americana) in the United States northern Rocky Mountains in a climate change context</t>
  </si>
  <si>
    <t>A. A. Ahlers; L. A. Cotner; P. J. Wolff; M. A. Mitchell; E. J. Heske; R. L. Schooley</t>
  </si>
  <si>
    <t>Summer Precipitation Predicts Spatial Distributions of Semiaquatic Mammals</t>
  </si>
  <si>
    <t>Neovison vison</t>
  </si>
  <si>
    <t>S. E. Albeke; N. P. Nibbelink; M. Ben-David</t>
  </si>
  <si>
    <t>Modeling Behavior by Coastal River Otter (Lontra Canadensis) in Response to Prey Availability in Prince William Sound, Alaska: A Spatially-Explicit Individual-Based Approach</t>
  </si>
  <si>
    <t>A. E. Formoso; M. Dolsan; R. A. Sosa; P. Teta</t>
  </si>
  <si>
    <t>A new distributional record for Lyncodon patagonicus (Carnivora: Mustelidae), one of the smallest and least known mustelids of South America</t>
  </si>
  <si>
    <t>W. J. Zielinski; J. M. Tucker; K. M. Rennie</t>
  </si>
  <si>
    <t>Niche overlap of competing carnivores across climatic gradients and the conservation implications of climate change at geographic range margins</t>
  </si>
  <si>
    <t>M. A. Navarro; J. Quadros</t>
  </si>
  <si>
    <t>Impact of a natural disaster on the habitat and occurrence of Lontra longicaudis (Mustelidae, Carnivora) in Serra da Prata, Parana, Brazil</t>
  </si>
  <si>
    <t>C. Cianfrani; O. Broennimann; A. Loy; A. Guisan</t>
  </si>
  <si>
    <t>More than range exposure: Global otter vulnerability to climate change</t>
  </si>
  <si>
    <t>H. Ylonen; M. Haapakoski; T. Sievert; J. Sundell</t>
  </si>
  <si>
    <t>Voles and weasels in the boreal Fennoscandian small mammal community: what happens if the least weasel disappears due to climate change?</t>
  </si>
  <si>
    <t>Mitigating Highways for a Ghost: Data Collection Challenges and Implications for Managing Wolverines and Transportation Corridors</t>
  </si>
  <si>
    <t>Climate change &amp; severe weather</t>
  </si>
  <si>
    <t>S. K. Carter; F. C. W. Rosas</t>
  </si>
  <si>
    <t>Biology and conservation of the giant otter Pteronura brasiliensis</t>
  </si>
  <si>
    <t>Juan Pablo Gallo</t>
  </si>
  <si>
    <t>Distribution of the Neotropical River Otter (Lutra longicaudis annectens Major, 1897) in the Rio Yaqui, Sonora, Mexico</t>
  </si>
  <si>
    <t>Anabela Trindade, Nuno Farinha, Elsa Florêncio and Mónica Sousa</t>
  </si>
  <si>
    <t>Otter Conservation in Portugal: Distribution and Status of Lutra lutra in Five Protected Areas of the Country</t>
  </si>
  <si>
    <t>Paul Yoxon</t>
  </si>
  <si>
    <t>The International Otter Survival Fund</t>
  </si>
  <si>
    <t>UK</t>
  </si>
  <si>
    <t>I. R. Pecingina; R. G. Popa</t>
  </si>
  <si>
    <t>STUDY ON EVALUATING THE CONSERVATION STATUS OF SPECIES OF MAMMALS AT THE NATURAL PROTECTED AREA GILORT RIVER""</t>
  </si>
  <si>
    <t>Romania</t>
  </si>
  <si>
    <t>M. Marcelli; R. Fusillo</t>
  </si>
  <si>
    <t>Assessing range re-expansion and recolonization of human-impacted landscapes by threatened species: a case study of the otter (Lutra lutra) in Italy</t>
  </si>
  <si>
    <t>The Otter (Lutra lutra L.) on Corfu Island (Greece): Situation in 2006</t>
  </si>
  <si>
    <t>I. A. P. de Oliveira; D. Norris; F. Michalski</t>
  </si>
  <si>
    <t>Anthropogenic and seasonal determinants of giant otter sightings along waterways in the northern Brazilian Amazon</t>
  </si>
  <si>
    <t>Christof Schenck, Jessica Groenendijk and Frank Hajek</t>
  </si>
  <si>
    <t>Giant Otter Project In Peru: Field Trip And Activity Report - 1998</t>
  </si>
  <si>
    <t>J. Krebs; E. C. Lofroth; I. Parfitt</t>
  </si>
  <si>
    <t>Multiscale habitat use by wolverines in British Columbia, Canada</t>
  </si>
  <si>
    <t>E. C. Lofroth; J. Krebs</t>
  </si>
  <si>
    <t>The abundance and distribution of wolverines in British Columbia, Canada</t>
  </si>
  <si>
    <t>Anibal F. Parera</t>
  </si>
  <si>
    <t>Present Knowledge on the Giant Otter in Argentina</t>
  </si>
  <si>
    <t>J. P. GalloReynoso; G. B. Rathbun</t>
  </si>
  <si>
    <t>Status of sea otters (Enhydra lutris) in Mexico</t>
  </si>
  <si>
    <t>Other (expanding human population)</t>
  </si>
  <si>
    <t>K. Shenoy; S. Varma; K. V. D. Prasad</t>
  </si>
  <si>
    <t>Factors determining habitat choice of the smooth-coated otter, Lutrogale perspicillata in a South Indian river system</t>
  </si>
  <si>
    <t>J. F. Charre-Medellin; C. Lopez-Gonzalez; A. Lozano; A. F. Guzman</t>
  </si>
  <si>
    <t>Current status of knowledge on the neotropical otter (Lontra longicaudis annectens) in Durango, Mexico</t>
  </si>
  <si>
    <t>K. M. Slauson; W. J. Zielinski; M. K. Schwartz</t>
  </si>
  <si>
    <t>Ski Areas affect Pacific Marten Movement, Habitat Use, and Density</t>
  </si>
  <si>
    <t>K. Heinemeyer; J. Squires; M. Hebblewhite; J. J. O'Keefe; J. D. Holbrook; J. Copeland</t>
  </si>
  <si>
    <t>Wolverines in winter: indirect habitat loss and functional responses to backcountry recreation</t>
  </si>
  <si>
    <t>I. C. Weinberger; S. Muff; A. Kranz; F. Bontadina</t>
  </si>
  <si>
    <t>Riparian vegetation provides crucial shelter for resting otters in a human-dominated landscape</t>
  </si>
  <si>
    <t>S. Hong; M. Di Febbraro; A. Loy; P. Cowan; G. J. Joo</t>
  </si>
  <si>
    <t>Large scale faecal (spraint) counts indicate the population status of endangered Eurasian otters (Lutra lutra)</t>
  </si>
  <si>
    <t>Christoph Schenck and Elke Staib</t>
  </si>
  <si>
    <t>News from the Giant Otter Project in Peru</t>
  </si>
  <si>
    <t>Christof Schenck, Elke Staib and Ilse Storch</t>
  </si>
  <si>
    <t>1996 News from the Giant Otter Project in Peru</t>
  </si>
  <si>
    <t>Feeding Ecology and Spraint Deposition Sites of the Neotropical Otter (Lontra longicaudis) at Cavernas do Peruaçu National Park, Brazil</t>
  </si>
  <si>
    <t>Holt-Based Activity Patterns of Smooth-Coated Otter (Lutrogale perspicillata) in the Lower Kinabatangan Wildlife Sanctuary, Sabah, Malaysia</t>
  </si>
  <si>
    <t>Alex Lewis, Richard Cuthbert, Matthew Denny, Katharine Gotto and Geoff Hilton</t>
  </si>
  <si>
    <t>The Giant Otter, Pteronura brasiliensis, in Caño la Brea, Sucre State, Venezuela</t>
  </si>
  <si>
    <t>J. Torres; S. Manas; S. Palazon; J. C. Cena; J. Miquel; C. Feliu</t>
  </si>
  <si>
    <t>Helminth parasites of Mustela lutreola (Linnaeus, 1761) and M-vison Schreber, 1777 in Spain</t>
  </si>
  <si>
    <t>D. S. M. Guzman; A. Carvajal; J. F. Garcia-Marin; M. C. Ferreras; V. Perez; M. Mitchell; F. Urra; J. C. Cena</t>
  </si>
  <si>
    <t>Aleutian disease serology, protein electrophoresis, and pathology of the European mink (Mustela lutreola) from Navarra, Spain</t>
  </si>
  <si>
    <t>F. Palomares; J. V. Lopez-Bao; G. Telletxea; J. C. Cena; P. Fournier; G. Giralda; F. Urra</t>
  </si>
  <si>
    <t>Activity and home range in a recently widespread European mink population in Western Europe</t>
  </si>
  <si>
    <t>The status of small carnivore species in Niokolo-Koba National Park, Senegal</t>
  </si>
  <si>
    <t>Senegal</t>
  </si>
  <si>
    <t>S. Amstislavsky; H. Lindeberg; J. Aalto; M. W. Kennedy</t>
  </si>
  <si>
    <t>Conservation of the European mink (Mustela lutreola): Focus on reproduction and reproductive technologies</t>
  </si>
  <si>
    <t>The current state of research into the status of the European mink(Mustela lutreola)in Belarus</t>
  </si>
  <si>
    <t>Modelling the incidence of fragmentation at different scales in the European Mink Mustela lutreola population and the expansion of the American Mink Mustela vison in Biscay</t>
  </si>
  <si>
    <t>K. Shapiro; M. Miller; J. Mazet</t>
  </si>
  <si>
    <t>TEMPORAL ASSOCIATION BETWEEN LAND-BASED RUNOFF EVENTS AND CALIFORNIA SEA OTTER (ENHYDRA LUTRIS NEREIS) PROTOZOAL MORTALITIES</t>
  </si>
  <si>
    <t>C. Fournier-Chambrillon; J. Torres; J. Miquel; A. Andre; J. Michaux; K. Lemberger; G. G. Carrera; P. Fournier</t>
  </si>
  <si>
    <t>Severe parasitism by Versteria mustelae (Gmelin, 1790) in the critically endangered European mink Mustela lutreola (Linnaeus, 1761) in Spain</t>
  </si>
  <si>
    <t>R. M. Santymire; T. M. Livieri; H. Branvold-Faber; P. E. Marinari</t>
  </si>
  <si>
    <t>The Black-Footed Ferret: On the Brink of Recovery?</t>
  </si>
  <si>
    <t>S. M. Wisely; D. B. McDonald; S. W. Buskirk</t>
  </si>
  <si>
    <t>Evaluation of the genetic management of the endangered black-footed ferret (Mustela nigripes)</t>
  </si>
  <si>
    <t>D. E. Biggins; B. J. Miller; L. R. Hanebury; R. A. Powell</t>
  </si>
  <si>
    <t>Mortality of Siberian polecats and black-footed ferrets released onto prairie dog colonies</t>
  </si>
  <si>
    <t>D. E. Biggins</t>
  </si>
  <si>
    <t>INFORMATION ON BLACK-FOOTED FERRET BIOLOGY COLLECTED WITHIN THE FRAMEWORK OF FERRET CONSERVATION</t>
  </si>
  <si>
    <t>B. Miller; R. P. Reading</t>
  </si>
  <si>
    <t>CHALLENGES TO BLACK-FOOTED FERRET RECOVERY: PROTECTING PRAIRIE DOGS</t>
  </si>
  <si>
    <t>K. M. Brickner; M. B. Grenier; A. E. Crosier; J. N. Pauli</t>
  </si>
  <si>
    <t>Foraging plasticity in a highly specialized carnivore, the endangered black-footed ferret</t>
  </si>
  <si>
    <t>C. Kreuder; M. A. Miller; D. A. Jessup; L. J. Lowenstein; M. D. Harris; J. A. Ames; T. E. Carpenter; P. A. Conrad; J. A. K. Mazet</t>
  </si>
  <si>
    <t>Patterns of mortality in southern sea otters (Enhydra lutris nereis) from 1998-2001</t>
  </si>
  <si>
    <t>C. K. Johnson; M. T. Tinker; J. A. Estes; P. A. Conrad; M. Staedler; M. A. Miller; D. A. Jessup; J. A. K. Mazet</t>
  </si>
  <si>
    <t>Prey choice and habitat use drive sea otter pathogen exposure in a resource-limited coastal system</t>
  </si>
  <si>
    <t>D. S. Jachowski; J. J. Millspaugh; D. E. Biggins; T. M. Livieri; M. R. Matchett; C. D. Rittenhouse</t>
  </si>
  <si>
    <t>Resource Selection by Black-Footed Ferrets in South Dakota and Montana</t>
  </si>
  <si>
    <t>K. T. Shoemaker; R. C. Lacy; M. L. Verant; B. W. Brook; T. M. Livieri; P. S. Miller; D. A. Fordham; H. R. Akcakaya</t>
  </si>
  <si>
    <t>Effects of prey metapopulation structure on the viability of black-footed ferrets in plague-impacted landscapes: a metamodelling approach</t>
  </si>
  <si>
    <t>T. M. Potter; J. A. Hanna; L. Freer</t>
  </si>
  <si>
    <t>Human North American river otter (Lontra canadensis) attack</t>
  </si>
  <si>
    <t>Other threats</t>
  </si>
  <si>
    <t>K. Kuker; L. Barrett-Lennard</t>
  </si>
  <si>
    <t>A re-evaluation of the role of killer whales Orcinus orca in a population decline of sea otters Enhydra lutris in the Aleutian Islands and a review of alternative hypotheses</t>
  </si>
  <si>
    <t>I. Zuberogoitia; J. M. P. de Ana</t>
  </si>
  <si>
    <t>Population trends and evolution of the knowledge of European Mustela lutreola (Linnaeus, 1761) and American mink Neovison vison (Schreber, 1777) in Bizkaia</t>
  </si>
  <si>
    <t>Current distribution and status of the European mink (Mustela lutreola L.,1761) in Spain</t>
  </si>
  <si>
    <t>M. W. Gabriel; L. W. Woods; G. M. Wengert; N. Stephenson; J. M. Higley; C. Thompson; S. M. Matthews; R. A. Sweitzer; K. Purcell; R. H. Barrett; S. M. Keller; P. Gaffney; M. Jones; R. Poppenga; J. E. Foley; R. N. Brown; D. L. Clifford; B. N. Sacks</t>
  </si>
  <si>
    <t>Patterns of Natural and Human-Caused Mortality Factors of a Rare Forest Carnivore, the Fisher (Pekania pennanti) in California</t>
  </si>
  <si>
    <t>R. A. Sweitzer; V. D. Popescu; R. H. Barrett; K. L. Purcell; C. M. Thompson</t>
  </si>
  <si>
    <t>Reproduction, abundance, and population growth for a fisher (Pekania pennanti) population in the Sierra National Forest, California</t>
  </si>
  <si>
    <t>B. C. Taylor; R. M. Brotheridge; D. A. Jessup; J. L. Stott</t>
  </si>
  <si>
    <t>Measurement of serum immunoglobulin concentration in killer whales and sea otters by radial immunodiffusion</t>
  </si>
  <si>
    <t>E. VanWormer; M. A. Miller; P. A. Conrad; M. E. Grigg; D. Rejmanek; T. E. Carpenter; J. A. K. Mazet</t>
  </si>
  <si>
    <t>Using Molecular Epidemiology to Track Toxoplasma gondii from Terrestrial Carnivores to Marine Hosts: Implications for Public Health and Conservation</t>
  </si>
  <si>
    <t>S. Palazon; J. C. Cena; J. Ruiz-Olmo; A. Cena; J. Gosalbez; A. Gomez-Gayubo</t>
  </si>
  <si>
    <t>Trends in distribution of the European mink (Mustela lutreola L., 1761) in Spain: 1950-1999</t>
  </si>
  <si>
    <t>R. A. Sweitzer; V. D. Popescu; C. M. Thompson; K. L. Purcell; R. H. Barrett; G. M. Wengert; M. W. Gabriel; L. W. Woods</t>
  </si>
  <si>
    <t>Mortality Risks and Limits to Population Growth of Fishers</t>
  </si>
  <si>
    <t>H. Kruuk; A. Moorhouse; J. W. H. Conroy; L. Durbin; S. Frears</t>
  </si>
  <si>
    <t>AN ESTIMATE OF NUMBERS AND HABITAT PREFERENCES OF OTTERS LUTRA-LUTRA IN SHETLAND, UK</t>
  </si>
  <si>
    <t>L. B. Keith; J. R. Cary</t>
  </si>
  <si>
    <t>MUSTELID, SQUIRREL, AND PORCUPINE POPULATION TRENDS DURING A SNOWSHOE HARE CYCLE</t>
  </si>
  <si>
    <t>E. S. Williams; K. Mills; D. R. Kwiatkowski; E. T. Thorne; A. Boergerfields</t>
  </si>
  <si>
    <t>PLAGUE IN A BLACK-FOOTED FERRET (MUSTELA NIGRIPES)</t>
  </si>
  <si>
    <t>T. L. Serfass; M. T. Whary; R. L. Peper; R. P. Brooks; T. J. Swimley; W. R. Lawrence; C. E. Rupprecht</t>
  </si>
  <si>
    <t>Rabies in a river otter (Lontra canadensis) intended for reintroduction</t>
  </si>
  <si>
    <t>V. Sidorovich; H. Kruuk; D. W. Macdonald</t>
  </si>
  <si>
    <t>Body size, and interactions between European and American mink (Mustela lutreola and M-vison) in Eastern Europe</t>
  </si>
  <si>
    <t>Genetic bottleneck in the threatened western population of European mink Mustela lutreola</t>
  </si>
  <si>
    <t>V. E. Sidorovich; A. G. Polozov; G. O. Lauzhel; D. A. Krasko</t>
  </si>
  <si>
    <t>Dietary overlap among generalist carnivores in relation to the impact of the introduced raccoon dog Nyctereutes procyonoides on native predators in northern Belarus</t>
  </si>
  <si>
    <t>D. Wilkinson; G. C. Smith; R. J. Delahay; L. M. Rogers; C. L. Cheeseman; R. S. Clifton-Hadley</t>
  </si>
  <si>
    <t>The effects of bovine tuberculosis (Mycobacterium bovis) on mortality in a badger (Meles meles) population in England</t>
  </si>
  <si>
    <t>A. Davison; H. I. Griffiths; R. C. Brookes; T. Maran; D. W. Macdonald; V. E. Sidorovich; A. C. Kitchener; I. Irizar; I. Villate; J. Gonzalez-Esteban; J. C. Cena; A. Cena; I. Moya; S. P. Minano</t>
  </si>
  <si>
    <t>Mitochondrial DNA and palaeontological evidence for the origins of endangered European mink, Mustela lutreola</t>
  </si>
  <si>
    <t>V. Sidorovich; D. W. MacDonald</t>
  </si>
  <si>
    <t>Density dynamics and changes in habitat use by the European mink and other native mustelids in connection with the American mink expansion in Belarus</t>
  </si>
  <si>
    <t>S. Manas; J. C. Cena; J. Ruiz-Olmo; S. Palazon; M. Domingo; J. B. Wolfinbarger; M. E. Bloom</t>
  </si>
  <si>
    <t>Aleutian mink disease parvovirus in wild riparian carnivores in Spain</t>
  </si>
  <si>
    <t>N. Yamaguchi; D. W. Macdonald</t>
  </si>
  <si>
    <t>Detection of Aleutian disease antibodies in feral American mink in southern England</t>
  </si>
  <si>
    <t>M. A. Miller; I. A. Gardner; A. Packham; J. K. Mazet; K. D. Hanni; D. Jessup; J. Estes; R. Jameson; E. Dodd; B. C. Barr; L. J. Lowenstine; F. M. Gulland; P. A. Conrad</t>
  </si>
  <si>
    <t>Evaluation of an indirect fluorescent antibody test (IFAT) for demonstration of antibodies to Toxoplasma gondii in the sea otter (Enhydra lutris)</t>
  </si>
  <si>
    <t>K. D. Lafferty; L. R. Gerber</t>
  </si>
  <si>
    <t>Good medicine for conservation biology: The intersection of epidemiology and conservation theory</t>
  </si>
  <si>
    <t>D. W. Macdonald; L. A. Harrington</t>
  </si>
  <si>
    <t>The American mink: the triumph and tragedy of adaptation out of context</t>
  </si>
  <si>
    <t>R. Burns; E. S. Williams; D. O'Toole; J. P. Dubey</t>
  </si>
  <si>
    <t>Toxoplasma gondii infections in captive black-footed ferrets (Mustela nigripes), 1992-1998: Clinical signs, serology, pathology, and prevention</t>
  </si>
  <si>
    <t>A. S. Hammer; H. H. Dietz; T. H. Andersen; L. Nielsen; M. Blixenkrone-Moeller</t>
  </si>
  <si>
    <t>Distemper virus as a cause of central nervous disease and death in badgers (Meles meles) in Denmark</t>
  </si>
  <si>
    <t>C. Fournier-Chambrillon; B. Aasted; A. Perrot; D. Pontier; F. Sauvage; M. Artois; J. M. Cassiede; X. Chauby; A. Dal Molin; C. Simon; P. Fournier</t>
  </si>
  <si>
    <t>Antibodies to aleutian mink disease parvovirus in free-ranging European mink (Mustela lutreola) and other small carnivores from Southwestern France</t>
  </si>
  <si>
    <t>G. Suzan; G. Ceballos</t>
  </si>
  <si>
    <t>The role of feral mammals on wildlife infectious disease prevalence in two nature reserves within Mexico City limits</t>
  </si>
  <si>
    <t>T. Lode; G. Guiral; D. Peltier</t>
  </si>
  <si>
    <t>European mink-polecat hybridization events: Hazards from natural process?</t>
  </si>
  <si>
    <t>P. A. Conrad; M. A. Miller; C. Kreuder; E. R. James; J. Mazet; H. Dabritz; D. A. Jessup; F. Gulland; M. E. Grigg</t>
  </si>
  <si>
    <t>Transmission of Toxoplasma: Clues from the study of sea otters as sentinels of Toxoplasma gondii flow into the marine environment</t>
  </si>
  <si>
    <t>J. Schwartz; B. Aldridge; M. Blanchard; F. C. Mohr; J. Stott</t>
  </si>
  <si>
    <t>The development of methods for immunophenotypic and lymphocyte function analyzes for assessment of Southern sea otter (Enhydra lutris nereis) health</t>
  </si>
  <si>
    <t>J. R. Crait; M. Ben-David</t>
  </si>
  <si>
    <t>River otters in Yellowstone Lake depend on a declining cutthroat trout population</t>
  </si>
  <si>
    <t>V. E. Sidorovich; I. A. Solovej</t>
  </si>
  <si>
    <t>The stoat Mustela erminea population decline in northern Belarus and its consequences for weasels Mustela nivalis</t>
  </si>
  <si>
    <t>L. Bonesi; S. Palazon</t>
  </si>
  <si>
    <t>The American mink in Europe: Status, impacts, and control</t>
  </si>
  <si>
    <t>J. Bowman; A. G. Kidd; R. M. Gorman; A. I. Schulte-Hostedde</t>
  </si>
  <si>
    <t>Assessing the potential for impacts by feral mink on wild mink in Canada</t>
  </si>
  <si>
    <t>N. J. Thomas; J. P. Dubey; D. S. Lindsay; R. A. Cole; C. U. Meteyer</t>
  </si>
  <si>
    <t>Protozoal meningoencephalitis in sea otters (Enhydra lutris): a histopathological and immunohistochemical study of naturally occurring cases</t>
  </si>
  <si>
    <t>J. K. Gaydos; P. A. Conrad; K. V. K. Gilardi; G. M. Blundell; M. Ben-David</t>
  </si>
  <si>
    <t>Does human proximity affect antibody prevalence in marine-foraging river otters (Lontra canadensis)?</t>
  </si>
  <si>
    <t>V. E. Sidorovich; A. A. Sidorovich; V. V. Ivanovskij; M. M. Pikulik; E. P. Shinkevich</t>
  </si>
  <si>
    <t>The structure of vertebrate predator community in north-eastern Belarus before and after naturalization of the American mink and raccoon dog</t>
  </si>
  <si>
    <t>J. Torres; J. Miquel; P. Fournier; C. Fournier-Chambrillon; M. Liberge; R. Fons; C. Feliu</t>
  </si>
  <si>
    <t>Helminth communities of the autochthonous mustelids Mustela lutreola and M. putorius and the introduced Neovison vison in south-western France</t>
  </si>
  <si>
    <t>J. Philippa; C. Fournier-Chambrillon; P. Fournier; W. Schaftenaar; M. van de Bildt; R. van Herweijnen; T. Kuiken; M. Liabeuf; S. Ditcharry; L. Joubert; M. Begnier; A. Osterhaus</t>
  </si>
  <si>
    <t>SEROLOGIC SURVEY FOR SELECTED VIRAL PATHOGENS IN FREE-RANGING ENDANGERED EUROPEAN MINK (MUSTELA LUTREOLA) AND OTHER MUSTELIDS FROM SOUTH-WESTERN FRANCE</t>
  </si>
  <si>
    <t>S. M. Wisely; J. Howard; S. A. Williams; O. Bain; R. M. Santymire; K. D. Bardsley; E. S. Williams</t>
  </si>
  <si>
    <t>An unidentified filarial species and its impact on fitness in wild populations of the black-footed ferret (Mustela nigripes)</t>
  </si>
  <si>
    <t>A. G. Kidd; J. Bowman; D. Lesbarreres; A. I. Schulte-Hostedde</t>
  </si>
  <si>
    <t>Hybridization between escaped domestic and wild American mink (Neovison vison)</t>
  </si>
  <si>
    <t>M. W. Cunningham; D. B. Shindle; A. B. Allison; S. P. Terrell; D. G. Mead; M. Owen</t>
  </si>
  <si>
    <t>Canine Distemper Epizootic in Everglades Mink</t>
  </si>
  <si>
    <t>M. A. Miller; B. C. Barr; R. Nordhausen; E. R. James; S. L. Magargal; M. Murray; P. A. Conrad; S. Toy-Choutka; D. A. Jessup; M. E. Grigg</t>
  </si>
  <si>
    <t>Ultrastructural and molecular confirmation of the development of Sarcocystis neurona tissue cysts in the central nervous system of southern sea otters (Enhydra lutris nereis)</t>
  </si>
  <si>
    <t>S. Larson; D. Monson; B. Ballachey; R. Jameson; S. K. Wasser</t>
  </si>
  <si>
    <t>Stress-related hormones and genetic diversity in sea otters (Enhydra lutris)</t>
  </si>
  <si>
    <t>L. Fasola; C. Chehebar; D. W. Macdonald; G. Porro; M. H. Cassini</t>
  </si>
  <si>
    <t>Do alien North American mink compete for resources with native South American river otter in Argentinean Patagonia?</t>
  </si>
  <si>
    <t>E. Sherrard-Smith; J. Cable; E. A. Chadwick</t>
  </si>
  <si>
    <t>Distribution of Eurasian otter biliary parasites, Pseudamphistomum truncatum and Metorchis albidus (Family Opisthorchiidae), in England and Wales</t>
  </si>
  <si>
    <t>V. R. Simpson; A. J. Tomlinson; F. M. Molenaar</t>
  </si>
  <si>
    <t>Prevalence, distribution and pathological significance of the bile fluke Pseudamphistomum truncatum in Eurasian otters (Lutra lutra) in Great Britain</t>
  </si>
  <si>
    <t>M. L. Meli; P. Simmler; V. Cattori; F. Martinez; A. Vargas; F. Palomares; J. V. Lopez-Bao; M. A. Simon; G. Lopez; L. Leon-Vizcaino; R. Hofmann-Lehmann; H. Lutz</t>
  </si>
  <si>
    <t>Importance of canine distemper virus (CDV) infection in free-ranging Iberian lynxes (Lynx pardinus)</t>
  </si>
  <si>
    <t>E. Dandar; L. Szabo; M. Heltai; A. Doszpoly</t>
  </si>
  <si>
    <t>PCR screening of mammalian predators (Carnivora) for adenoviruses and herpesviruses: the first detection of a mustelid herpesvirus in Hungary</t>
  </si>
  <si>
    <t>B. Torracca; F. Macchioni; M. Masetti; S. Gabrielli; L. Guardone; M. C. Prati; M. Magi</t>
  </si>
  <si>
    <t>FIRST RECOVERY OF BIRD ACANTHOCEPHALAN SPHAERIROSTRIS LANCEOIDES IN AN EURASIAN BADGER (MELES MELES) IN ITALY</t>
  </si>
  <si>
    <t>M. Moinet; C. Fournier-Chambrillon; G. Andre-Fontaine; S. Aulagnier; A. Mesplede; B. Blanchard; V. Descarsin; P. Dumas; Y. Dumas; C. Coic; L. Couzi; P. Fournier</t>
  </si>
  <si>
    <t>LEPTOSPIROSIS IN FREE-RANGING ENDANGERED EUROPEAN MINK (MUSTELA LUTREOLA) AND OTHER SMALL CARNIVORES (MUSTELIDAE, VIVERRIDAE) FROM SOUTHWESTERN FRANCE</t>
  </si>
  <si>
    <t>M. R. Matchett; D. E. Biggins; V. Carlson; B. Powell; T. Rocke</t>
  </si>
  <si>
    <t>Enzootic Plague Reduces Black-Footed Ferret (Mustela nigripes) Survival in Montana</t>
  </si>
  <si>
    <t>M. A. Miller; B. A. Byrne; S. S. Jang; E. M. Dodd; E. Dorfmeier; M. D. Harris; J. Ames; D. Paradies; K. Worcester; D. A. Jessup; W. A. Miller</t>
  </si>
  <si>
    <t>Enteric bacterial pathogen detection in southern sea otters (Enhydra lutris nereis) is associated with coastal urbanization and freshwater runoff</t>
  </si>
  <si>
    <t>J. M. Wendte; M. A. Miller; A. K. Nandra; S. M. Peat; P. R. Crosbie; P. A. Conrad; M. E. Grigg</t>
  </si>
  <si>
    <t>Limited genetic diversity among Sarcocystis neurona strains infecting southern sea otters precludes distinction between marine and terrestrial isolates</t>
  </si>
  <si>
    <t>M. A. Miller; P. A. Conrad; M. Harris; B. Hatfield; G. Langlois; D. A. Jessup; S. L. Magargal; A. E. Packham; S. Toy-Choutka; A. C. Melli; M. A. Murray; F. M. Gulland; M. E. Grigg</t>
  </si>
  <si>
    <t>A protozoal-associated epizootic impacting marine wildlife: Mass-mortality of southern sea otters (Enhydra lutris nereis) due to Sarcocystis neurona infection</t>
  </si>
  <si>
    <t>D. Rejmanek; M. A. Miller; M. E. Grigg; P. R. Crosbie; P. A. Conrad</t>
  </si>
  <si>
    <t>Molecular characterization of Sarcocystis neurona strains from opossums (Didelphis virginiana) and intermediate hosts from Central California</t>
  </si>
  <si>
    <t>J. L. Larkin; M. Gabriel; R. W. Gerhold; M. J. Yabsley; J. C. Wester; J. G. Humphreys; R. Beckstead; J. P. Dubey</t>
  </si>
  <si>
    <t>PREVALENCE TO TOXOPLASMA GONDII AND SARCOCYSTIS SPP. IN A REINTRODUCED FISHER (Pekania pennanti) POPULATION IN PENNSYLVANIA</t>
  </si>
  <si>
    <t>M. T. Cabria; J. R. Michaux; B. J. Gomez-Moliner; D. Skumatov; T. Maran; P. Fournier; J. L. de Luzuriaga; R. Zardoya</t>
  </si>
  <si>
    <t>Bayesian analysis of hybridization and introgression between the endangered european mink (Mustela lutreola) and the polecat (Mustela putorius)</t>
  </si>
  <si>
    <t>K. Kauhala; R. Kowalczyk</t>
  </si>
  <si>
    <t>Invasion of the raccoon dog Nyctereutes procyonoides in Europe: History of colonization, features behind its success, and threats to native fauna</t>
  </si>
  <si>
    <t>L. A. Nituch; J. Bowman; K. B. Beauclerc; A. I. Schulte-Hostedde</t>
  </si>
  <si>
    <t>Mink Farms Predict Aleutian Disease Exposure in Wild American Mink</t>
  </si>
  <si>
    <t>T. Goldstein; V. A. Gill; P. Tuomi; D. Monson; A. Burdin; P. A. Conrad; J. L. Dunn; C. Field; C. Johnson; D. A. Jessup; J. Bodkin; A. M. Doroff</t>
  </si>
  <si>
    <t>ASSESSMENT OF CLINICAL PATHOLOGY AND PATHOGEN EXPOSURE IN SEA OTTERS (ENHYDRA LUTRIS) BORDERING THE THREATENED POPULATION IN ALASKA</t>
  </si>
  <si>
    <t>USA / Russia</t>
  </si>
  <si>
    <t>J. C. Mangel; T. Whitty; G. Medina-Vogel; J. Alfaro-Shigueto; C. Caceres; B. J. Godley</t>
  </si>
  <si>
    <t>Latitudinal variation in diet and patterns of human interaction in the marine otter</t>
  </si>
  <si>
    <t>P. Tavernier; K. Baert; M. van de Bildt; T. Kuiken; A. Cay; S. Maes; S. Roels; J. Gouwy; K. Van den Berge</t>
  </si>
  <si>
    <t>A distemper outbreak in beech martens (Martes foina) in Flanders</t>
  </si>
  <si>
    <t>R. C. Abbott; J. E. Osorio; C. M. Bunck; T. E. Rocke</t>
  </si>
  <si>
    <t>Sylvatic Plague Vaccine: A New Tool for Conservation of Threatened and Endangered Species?</t>
  </si>
  <si>
    <t>Y. Melero; M. Plaza; G. Santulli; D. Saavedra; J. Gosalbez; J. Ruiz-Olmo; S. Palazon</t>
  </si>
  <si>
    <t>Evaluating the effect of American mink, an alien invasive species, on the abundance of a native community: is coexistence possible?</t>
  </si>
  <si>
    <t>C. M. Gherman; A. D. Sandor; Z. Kalmar; M. Marinov; A. D. Mihalca</t>
  </si>
  <si>
    <t>First report of Borrelia burgdorferi sensu lato in two threatened carnivores: the Marbled polecat, Vormela peregusna and the European mink, Mustela lutreola (Mammalia: Mustelidae)</t>
  </si>
  <si>
    <t>J. R. R. Fernandez; N. J. Thomas; R. R. Dubielzig; R. Drees</t>
  </si>
  <si>
    <t>Osteosarcoma of the Maxilla with Concurrent Osteoma in a Southern Sea Otter (Enhydra lutris nereis)</t>
  </si>
  <si>
    <t>M. Podra; A. Gomez; S. Palazon</t>
  </si>
  <si>
    <t>Do American mink kill European mink? Cautionary message for future recovery efforts</t>
  </si>
  <si>
    <t>C. J. Brand</t>
  </si>
  <si>
    <t>Wildlife Mortality Investigation and Disease Research: Contributions of the USGS National Wildlife Health Center to Endangered Species Management and Recovery</t>
  </si>
  <si>
    <t>C. L. White; K. L. Schuler; N. J. Thomas; J. L. Webb; J. T. Saliki; H. S. Ip; J. P. Dubey; E. R. Frame</t>
  </si>
  <si>
    <t>PATHOGEN EXPOSURE AND BLOOD CHEMISTRY IN THE WASHINGTON, USA POPULATION OF NORTHERN SEA OTTERS (ENHYDRA LUTRIS KENYONI)</t>
  </si>
  <si>
    <t>J. Megid; C. R. Teixeira; A. Cortez; M. B. Heinemann; J. Antunes; F. Fornazari; F. B. Rassy; L. J. Richtzenhain</t>
  </si>
  <si>
    <t>Canine distemper virus infection in a lesser grison (Galictis cuja): first report and virus phylogeny</t>
  </si>
  <si>
    <t>E. A. Chadwick; J. Cable; A. Chinchen; J. Francis; E. Guy; E. F. Kean; S. C. Paul; S. E. Perkins; E. Sherrard-Smith; C. Wilkinson; D. W. Forman</t>
  </si>
  <si>
    <t>Seroprevalence of Toxoplasma gondii in the Eurasian otter (Lutra lutra) in England and Wales</t>
  </si>
  <si>
    <t>G. Santulli; S. Palazon; Y. Melero; J. Gosalbez; X. Lambin</t>
  </si>
  <si>
    <t>Multi-season occupancy analysis reveals large scale competitive exclusion of the critically endangered European mink by the invasive non-native American mink in Spain</t>
  </si>
  <si>
    <t>S. E. Carrasco; B. B. Chomel; V. A. Gill; A. M. Doroff; M. A. Miller; K. A. Burek-Huntington; R. W. Kasten; B. A. Byrne; T. Goldstein; J. A. K. Mazet</t>
  </si>
  <si>
    <t>Bartonella spp. Exposure in Northern and Southern Sea Otters in Alaska and California</t>
  </si>
  <si>
    <t>S. E. Carrasco; B. B. Chomel; V. A. Gill; R. W. Kasten; R. G. Maggi; E. B. Breitschwerdt; B. A. Byrne; K. A. Burek-Huntington; M. A. Miller; T. Goldstein; J. A. K. Mazet</t>
  </si>
  <si>
    <t>Novel Bartonella infection in northern and southern sea otters (Enhydra lutris kenyoni and Enhydra lutris nereis)</t>
  </si>
  <si>
    <t>D. A. Poo-Munoz; L. E. Escobar; A. T. Peterson; F. Astorga; J. F. Organ; G. Medina-Vogel</t>
  </si>
  <si>
    <t>Galictis cuja (Mammalia): An update of current knowledge and geographic distribution</t>
  </si>
  <si>
    <t>J. N. Niemuth; C. W. Sanders; C. B. Mooney; C. Olfenbuttel; C. S. DePerno; M. K. Stoskopf</t>
  </si>
  <si>
    <t>NEPHROLITHIASIS IN FREE-RANGING NORTH AMERICAN RIVEROTTER (LONTRA CANADENSIS) IN NORTH CAROLINA, USA</t>
  </si>
  <si>
    <t>S. T. Peper; R. L. Peper; G. V. Kollias; R. P. Brooks; S. S. Stevens; T. L. Serfass</t>
  </si>
  <si>
    <t>EFFICACY OF TWO CANINE DISTEMPER VACCINES IN WILD NEARCTIC RIVER OTTERS (LONTRA CANADENSIS)</t>
  </si>
  <si>
    <t>M. A. Sepulveda; R. S. Singer; E. A. Silva-Rodriguez; A. Eguren; P. Stowhas; K. Pelican</t>
  </si>
  <si>
    <t>Invasive American Mink: Linking Pathogen Risk Between Domestic and Endangered Carnivores</t>
  </si>
  <si>
    <t>D. Malatesta; V. R. Simpson; R. Fusillo; M. Marcelli; L. Bongiovanni; M. Romanucci; C. Palmieri; L. Della Salda</t>
  </si>
  <si>
    <t>First description of adiaspiromycosis in an Eurasian otter (Lutra lutra) in Italy</t>
  </si>
  <si>
    <t>R. Barrientos</t>
  </si>
  <si>
    <t>Adult sex-ratio distortion in the native European polecat is related to the expansion of the invasive American mink</t>
  </si>
  <si>
    <t>T. F. F. Ng; M. A. Miller; N. O. Kondov; E. M. Dodd; F. Batac; M. Manzer; S. Ives; J. T. Saliki; X. T. Deng; E. Delwart</t>
  </si>
  <si>
    <t>ORAL PAPILLOMATOSIS CAUSED BY ENHYDRA LUTRIS PAPILLOMAVIRUS 1 (EIPV-1) IN SOUTHERN SEA OTTERS (ENHYDRA LUTRIS NEREIS) IN CALIFORNIA, USA</t>
  </si>
  <si>
    <t>Y. Rico; J. Morris-Pocock; J. Zigouris; J. J. Nocera; C. J. Kyle</t>
  </si>
  <si>
    <t>Lack of Spatial Immunogenetic Structure among Wolverine (Gulo gulo) Populations Suggestive of Broad Scale Balancing Selection</t>
  </si>
  <si>
    <t xml:space="preserve">Other </t>
  </si>
  <si>
    <t>S. Manas; A. Gomez; V. Asensio; S. Palazon; M. Podra; O. E. Alarcia; J. Ruiz-Olmo; J. Casal</t>
  </si>
  <si>
    <t>PREVALENCE OF ANTIBODY TO ALEUTIAN MINK DISEASE VIRUS IN EUROPEAN MINK (MUSTELA LUTREOLA) AND AMERICAN MINK (NEOVISON VISON) IN SPAIN</t>
  </si>
  <si>
    <t>M. Alvarado-Rybak; L. Solano-Gallego; J. Millan</t>
  </si>
  <si>
    <t>A review of piroplasmid infections in wild carnivores worldwide: importance for domestic animal health and wildlife conservation</t>
  </si>
  <si>
    <t>S. T. Peper; R. L. Peper; D. H. Mitcheltree; G. V. Kollias; R. P. Brooks; S. S. Stevens; T. L. Serfass</t>
  </si>
  <si>
    <t>Low Titers of Canine Distemper Virus Antibody in Wild Fishers (Pekania pennanti) in the Eastern USA</t>
  </si>
  <si>
    <t>Utility of two modified-live virus canine distemper vaccines in wild-caught fishers (Pekania pennanti)</t>
  </si>
  <si>
    <t>J. Torres; J. Miquel; C. Fournier-Chambrillon; A. Andre; F. U. Maya; G. G. Carrera; P. Fournier</t>
  </si>
  <si>
    <t>First report of Filaria martis Gmelin, 1790 in the European mink, Mustela lutreola (Linnaeus, 1761)</t>
  </si>
  <si>
    <t>I. Zuberogoitia; M. Podra; S. Palazon; A. Gomez; N. Zabala; J. Zabala</t>
  </si>
  <si>
    <t>Misleading interpretation of shifting baseline syndrome in the conservation of European mink</t>
  </si>
  <si>
    <t>K. Shapiro; M. A. Miller; A. E. Packham; B. Aguilar; P. A. Conrad; E. Vanwormer; M. J. Murray</t>
  </si>
  <si>
    <t>Dual congenital transmission of Toxoplasma gondii and Sarcocystis neurona in a late-term aborted pup from a chronically infected southern sea otter (Enhydra lutris nereis)</t>
  </si>
  <si>
    <t>N. van de Velde; B. Devleesschauwer; M. Leopold; L. Begeman; L. Usseldijk; S. Hiemstra; J. Ijzer; A. Brownlow; N. Davison; J. Haelters; T. Jauniaux; U. Siebert; P. Dorny; S. De Craeye</t>
  </si>
  <si>
    <t>Toxoplasma gondii in stranded marine mammals from the North Sea and Eastern Atlantic Ocean: Findings and diagnostic difficulties</t>
  </si>
  <si>
    <t>B. Moretti; O. F. Al-Sheikhly; M. Guerrini; M. Theng; B. K. Gupta; M. K. Haba; W. A. Khan; A. A. Khan; F. Barbanera</t>
  </si>
  <si>
    <t>Phylogeography of the smooth-coated otter (Lutrogale perspicillata): distinct evolutionary lineages and hybridization with the Asian small-clawed otter (Aonyx cinereus)</t>
  </si>
  <si>
    <t>Singapore</t>
  </si>
  <si>
    <t>C. Lempp; N. Jungwirth; M. L. Grilo; A. Reckendorf; A. Ulrich; A. van Neer; R. Bodewes; V. M. Pfankuche; C. Bauer; A. Osterhaus; W. Baumgartner; U. Siebertf</t>
  </si>
  <si>
    <t>Pathological findings in the red fox (Vulpes vulpes), stone marten (Martes foina) and raccoon dog (Nyctereutes procyonoides), with special emphasis on infectious and zoonotic agents in Northern Germany</t>
  </si>
  <si>
    <t>D. Cano-Terriza; R. Guerra; E. Mozos; B. Rodriguez-Sanchez; C. Borge; I. Garcia-Bocanegra</t>
  </si>
  <si>
    <t>FATAL ACINETOBACTER BAUMANNII INFECTION IN THE CRITICALLY ENDANGERED EUROPEAN MINK (MUSTELA LUTREOLA)</t>
  </si>
  <si>
    <t>D. J. Salkeld</t>
  </si>
  <si>
    <t>Vaccines for Conservation: Plague, Prairie Dogs &amp; Black-Footed Ferrets as a Case Study</t>
  </si>
  <si>
    <t>D. W. Tripp; T. E. Rocke; J. P. Runge; R. C. Abbott; M. W. Miller</t>
  </si>
  <si>
    <t>Burrow Dusting or Oral Vaccination Prevents Plague-Associated Prairie Dog Colony Collapse</t>
  </si>
  <si>
    <t>E. L. Mize; S. M. Grassel; H. B. Britten</t>
  </si>
  <si>
    <t>FLEAS OF BLACK-FOOTED FERRETS (MUSTELA NIGRIPES) AND THEIR POTENTIAL ROLE IN THE MOVEMENT OF PLAGUE</t>
  </si>
  <si>
    <t>P. E. Martino; L. E. Samartino; N. O. Stanchi; N. E. Radman; E. J. Parrado</t>
  </si>
  <si>
    <t>Serology and protein electrophoresis for evidence of exposure to 12 mink pathogens in free-ranging American mink (Neovison vison) in Argentina</t>
  </si>
  <si>
    <t>J. Bowman; K. Beauclerc; A. H. Farid; H. Fenton; C. F. C. Klutsch; A. I. Schulte-Hostedde</t>
  </si>
  <si>
    <t>Hybridization of domestic mink with wild American mink (Neovison vison) in eastern Canada</t>
  </si>
  <si>
    <t>J. C. G. Borges; D. D. Lima; E. M. da Silva; A. L. D. Moreira; M. Marmontel; V. L. Carvalho; R. D. Amaral; S. M. Lazzarini; L. C. Alves</t>
  </si>
  <si>
    <t>Cryptosporidium spp. and Giardia sp in aquatic mammals in northern and northeastern Brazil</t>
  </si>
  <si>
    <t>D. M. Ethier; J. B. Sayers; C. J. Kyle; J. J. Nocera; D. Ojkic; D. Campbell</t>
  </si>
  <si>
    <t>THE OCCURRENCE OF PATHOGENS IN AN ENDANGERED POPULATION OF AMERICAN BADGERS (TAXIDEA TAXUS JACKSONI) IN ONTARIO, CANADA</t>
  </si>
  <si>
    <t>A. M. Capuano; M. Miller; D. E. Stallknecht; M. Moriarty; M. Plancarte; E. Dodd; F. Batac; W. M. Boyce</t>
  </si>
  <si>
    <t>Serologic Detection of Subtype-specific Antibodies to Influenza A Viruses in Southern Sea Otters (Enhydra lutris nereis)</t>
  </si>
  <si>
    <t>M. A. Miller; T. L. Burgess; E. M. Dodd; J. C. Rhyan; S. S. Jang; B. A. Byrne; F. M. D. Gulland; M. J. Murray; S. Toy-Choutka; P. A. Conrad; C. L. Field; I. F. Sidor; W. A. Smith</t>
  </si>
  <si>
    <t>ISOLATION AND CHARACTERIZATION OF A NOVEL MARINE BRUCELLA FROM A SOUTHERN SEA OTTER (ENHYDRA LUTRIS NEREIS), CALIFORNIA, USA</t>
  </si>
  <si>
    <t>J. D. Siqueira; T. F. Ng; M. Miller; L. L. Li; X. T. Deng; E. Dodd; F. Batac; E. Delwart</t>
  </si>
  <si>
    <t>ENDEMIC INFECTION OF STRANDED SOUTHERN SEA OTTERS (ENHYDRA LUTRIS NEREIS) WITH NOVEL PARVOVIRUS, POLYOMAVIRUS, AND ADENOVIRUS</t>
  </si>
  <si>
    <t>M. Podra; A. Gomez</t>
  </si>
  <si>
    <t>Rapid expansion of the American mink poses a serious threat to the European mink in Spain</t>
  </si>
  <si>
    <t>R. Pesapane; E. Dodd; N. Javeed; M. Miller; J. Foley</t>
  </si>
  <si>
    <t>Molecular characterization and prevalence of Halarachne halichoeri in threatened southern sea otters (Enhydra lutris nereis)</t>
  </si>
  <si>
    <t>J. V. Z. Echenique; M. P. Soares; C. S. Mascarenhas; P. M. Bandarra; P. Quadros; D. Driemeier; A. L. Schild</t>
  </si>
  <si>
    <t>Lontra longicaudis infected with canine parvovirus and parasitized by Dioctophyma renale</t>
  </si>
  <si>
    <t>M. Barros; O. Cabezon; J. P. Dubey; S. Almeria; M. P. Ribas; L. E. Escobar; B. Ramos; G. Medina-Vogel</t>
  </si>
  <si>
    <t>Toxoplasma gondii infection in wild mustelids and cats across an urban-rural gradient</t>
  </si>
  <si>
    <t>A. Penezic; R. Moriano; M. Spasic; D. Cirovic</t>
  </si>
  <si>
    <t>First report of a naturally patent infection with Dirofilaria immitis in an otter (Lutra lutra)</t>
  </si>
  <si>
    <t>Serbia</t>
  </si>
  <si>
    <t>M. Viscardi; M. Santoro; M. T. Clausi; L. Cozzolino; N. Decaro; M. L. Colaianni; G. Fusco</t>
  </si>
  <si>
    <t>Molecular detection and characterization of carnivore parvoviruses in free-ranging Eurasian otters (Lutra lutra) in southern Italy</t>
  </si>
  <si>
    <t>J. P. Colella; R. E. Wilson; S. L. Talbot; J. A. Cook</t>
  </si>
  <si>
    <t>Implications of introgression for wildlife translocations: the case of North American martens</t>
  </si>
  <si>
    <t>M. K. Lucid; A. Rankin; J. Sullivan; L. Robinson; S. Ehlers; S. Cushman</t>
  </si>
  <si>
    <t>A carnivores' oasis? An isolated fisher (Pekania pennanti) population provides insight on persistence of a metapopulation</t>
  </si>
  <si>
    <t>A. M. Ionica; G. Deak; G. D'Amico; G. F. Stan; G. B. Chisamera; I. C. Constantinescu; C. Adam; M. Lefkaditis; C. M. Gherman; A. D. Mihalca</t>
  </si>
  <si>
    <t>Thelazia callipaeda in mustelids from Romania with the European badger, Meles meles, as a new host for this parasite</t>
  </si>
  <si>
    <t>C. E. S. Dent; M. A. Miller; F. Batac; E. Dodd; W. Smith; R. Pesapane; J. Foley</t>
  </si>
  <si>
    <t>Pathology and epidemiology of nasopulmonary acariasis (Halarachne sp.) in southern sea otters (Enhydra lutris nereis)</t>
  </si>
  <si>
    <t>J. R. Harley; V. A. Gill; S. Lee; K. Kannan; V. Santana; K. Burek-Huntington; T. M. O'Hara</t>
  </si>
  <si>
    <t>Concentrations of organohalogens (PCBs, DDTs, PBDEs) in hunted and stranded Northern sea otters (Enhydra lutris kenyoni) in Alaska from 1992 to 2010: Links to pathology and feeding ecology</t>
  </si>
  <si>
    <t>K. M. Shanebeck; C. Lagrue</t>
  </si>
  <si>
    <t>Acanthocephalan parasites in sea otters: Why we need to look beyond associated mortality horizontal ellipsis</t>
  </si>
  <si>
    <t>K. M. Shanebeck; J. Lakemeyer; U. Siebert; K. Lehnert</t>
  </si>
  <si>
    <t>Novel infections of Corynosoma enhydri and Profilicollis sp. (Acanthocephala: Polymorphidae) identified in sea otters Enhydra lutris</t>
  </si>
  <si>
    <t>E. A. E. Smith; M. T. Tinker; E. L. Whistler; D. J. Kennett; R. L. Vellanoweth; D. Gifford-Gonzalez; M. G. Hylkema; S. D. Newsome</t>
  </si>
  <si>
    <t>Reductions in the dietary niche of southern sea otters (Enhydra lutris nereis) from the Holocene to the Anthropocene</t>
  </si>
  <si>
    <t>Christof Schenck and Elke Staib</t>
  </si>
  <si>
    <t>The Giant Otter Project In Peru 1995</t>
  </si>
  <si>
    <t>Distribution and status of minks in Byelorussia</t>
  </si>
  <si>
    <t>Reintroduction of the Black-footed ferret</t>
  </si>
  <si>
    <t>Helminth infestation in a declining population of European mink (Mustella lutreola) in Belarus</t>
  </si>
  <si>
    <t>The European mink – Why is it declining?</t>
  </si>
  <si>
    <t>Parasites and diseases of Irish badgers (Meles meles)</t>
  </si>
  <si>
    <t>The modern state of European mink (Mustela lutreola L.) populations</t>
  </si>
  <si>
    <t xml:space="preserve">Russia  </t>
  </si>
  <si>
    <t>Behavioural interactions between the naturalized American mink Mustela vison and the native riparian mustelids, NE Belarus, with implications for population changes</t>
  </si>
  <si>
    <t>Badgers (Meles meles) in Fenit Island, and their presence or absence on other islands in Co. Kerry, Ireland</t>
  </si>
  <si>
    <t>Findings on the ecology of hybrids between the European mink Mustela lutreola and polecat M. putorius at the Lovat upper reaches, NE Belarus</t>
  </si>
  <si>
    <t>European Mink Mustela lutreola as a host of the Spirometra erinaceieuropaei</t>
  </si>
  <si>
    <t>Europe / Russia</t>
  </si>
  <si>
    <t>Reintroducing the Black-footed Ferret Mustela nigripes to the Great Plains of North America</t>
  </si>
  <si>
    <t>J. K. Frey; M. T. Calkins</t>
  </si>
  <si>
    <t>Snow cover and riparian habitat determine the distribution of the short-tailed weasel (Mustela erminea) at its southern range limits in arid western North America</t>
  </si>
  <si>
    <t>N. M. Pedroso; T. Sales-Luis; M. Santos-Reis</t>
  </si>
  <si>
    <t>The Eurasian otter Lutra lutra (Linnaeus, 1758) in Portugal</t>
  </si>
  <si>
    <t xml:space="preserve">Unspecified </t>
  </si>
  <si>
    <t>Black-footed ferret (Mustela nigripes): Conservation update</t>
  </si>
  <si>
    <t>R. Mirzaei; J. Conroy; P. Yoxon</t>
  </si>
  <si>
    <t>OTTERS IN THE HAWR AL AZIM WETLAND, IRAN</t>
  </si>
  <si>
    <t>W. Spencer; H. Rustigian-Romsos; J. Strittholt; R. Scheller; W. Zielinski; R. Truex</t>
  </si>
  <si>
    <t>Using occupancy and population models to assess habitat conservation opportunities for an isolated carnivore population</t>
  </si>
  <si>
    <t>G. I. Hobbs; E. A. Chadwick; M. W. Bruford; F. M. Slater</t>
  </si>
  <si>
    <t>Bayesian clustering techniques and progressive partitioning to identify population structuring within a recovering otter population in the UK</t>
  </si>
  <si>
    <t>G. Medina-Vogel; C. Gonzalez-Lagos</t>
  </si>
  <si>
    <t>Habitat use and diet of endangered southern river otter Lontra provocax in a predominantly palustrine wetland in Chile</t>
  </si>
  <si>
    <t>C. Battisti; G. Amori; F. M. Angelici; L. Luiselli; M. Zapparoli</t>
  </si>
  <si>
    <t>Can the grey literature help us understand the decline and extinction of the Near Threatened Eurasian otter Lutra lutra in Latium, central Italy?</t>
  </si>
  <si>
    <t>Small carnivore records from a threatened habitat linkage in Terengganu, Peninsular Malaysia</t>
  </si>
  <si>
    <t>I. Torre; A. Raspall; A. Arrizabalaga; M. Diaz</t>
  </si>
  <si>
    <t>Weasel (Mustela nivalis) decline in NE Spain: prey or land use change?</t>
  </si>
  <si>
    <t>P. R. Beja</t>
  </si>
  <si>
    <t>EFFECTS OF FRESH-WATER AVAILABILITY ON THE SUMMER DISTRIBUTION OF OTTERS LUTRA-LUTRA IN THE SOUTHWEST COAST OF PORTUGAL</t>
  </si>
  <si>
    <t>K. Juhasz; B. A. Lukacs; M. Perpek; S. A. Nagy; Z. Vegvari</t>
  </si>
  <si>
    <t>Effects of extensive fishpond management and human disturbance factors on Eurasian otter (Lutra lutra L. 1758) populations in Eastern Europe</t>
  </si>
  <si>
    <t>S. M. Matthews; J. M. Higley; J. S. Yaeger; T. K. Fuller</t>
  </si>
  <si>
    <t>Density of Fishers and the Efficacy of Relative Abundance Indices and Small-Scale Occupancy Estimation to Detect a Population Decline on the Hoopa Valley Indian Reservation, California</t>
  </si>
  <si>
    <t>K. Shapiro; M. W. Silver; J. L. Largier; P. A. Conrad; J. A. K. Mazet</t>
  </si>
  <si>
    <t>Association of Toxoplasma gondii oocysts with fresh, estuarine, and marine macroaggregates</t>
  </si>
  <si>
    <t>A. E. Rosenblatt; J. C. Nifong; M. R. Heithaus; M. W. Parry; F. J. Mazzotti</t>
  </si>
  <si>
    <t>New Record of Everglades Mink in Everglades National Park from the Stomach of an American Alligator</t>
  </si>
  <si>
    <t>The European mink, Mustela lutreola, in protected areas in the former Soviet Union</t>
  </si>
  <si>
    <t>An endangered species as indicator of freshwater quality: fractal diagnosis of fragmentation within a European mink, Mustela lutreola, population</t>
  </si>
  <si>
    <t>R. Kuhn</t>
  </si>
  <si>
    <t>The French National otter Lutra lutra (Linnaeus, 1758) Action Plan</t>
  </si>
  <si>
    <t>R. Berzins; S. Ruette</t>
  </si>
  <si>
    <t>Status of the polecat Mustela putorius (Linnaeus, 1758) in France and management implications</t>
  </si>
  <si>
    <t>V. Cirelli; V. Sanchez-Cordero</t>
  </si>
  <si>
    <t>SELECTION OF RESTORATION AND CONSERVATION AREAS USING SPECIES ECOLOGICAL NICHE MODELING: A CASE STUDY OF THE RIVER OTTER LONTRA LONGICAUDIS ANNECTENS IN CENTRAL MEXICO</t>
  </si>
  <si>
    <t>C. H. van Niekerk; M. J. Somers; J. A. J. Nel</t>
  </si>
  <si>
    <t>Freshwater availability and distribution of Cape clawless otter spraints and resting places along the south-west coast of South Africa</t>
  </si>
  <si>
    <t>M. R. Perrin; C. Carugati</t>
  </si>
  <si>
    <t>Habitat use by the Cape clawless otter and the spotted-necked otter in the KwaZulu-Natal Drakensberg, South Africa</t>
  </si>
  <si>
    <t>J. Prenda; P. Lopez-Nieves; R. Bravo</t>
  </si>
  <si>
    <t>Conservation of otter (Lutra lutra) in a Mediterranean area: the importance of habitat quality and temporal variation in water availability</t>
  </si>
  <si>
    <t>G. Medina-Vogel; V. S. Kaufman; R. Monsalve; V. Gomez</t>
  </si>
  <si>
    <t>The influence of riparian vegetation, woody debris, stream morphology and human activity on the use of rivers by southern river otters in Lontra provocax in Chile</t>
  </si>
  <si>
    <t>P. Fournier; C. Maizeret; D. Jimenez; J. P. Chusseau; S. Aulagnier; F. Spitz</t>
  </si>
  <si>
    <t>Habitat utilization by sympatric European mink Mustela lutreola and polecats Mustela putorius in south-western France</t>
  </si>
  <si>
    <t>Use of Aguieira Dam by Eurasian otters in Central Portugal</t>
  </si>
  <si>
    <t>M. J. Santos; N. M. Pedroso; J. P. Ferreira; H. M. Matos; T. Sales-Luis; I. Pereira; C. Baltazar; C. Grilo; A. T. Candido; I. Sousa; M. Santos-Reis</t>
  </si>
  <si>
    <t>Assessing dam implementation impact on threatened carnivores: the case of Alqueva in SE Portugal</t>
  </si>
  <si>
    <t>M. H. Cassini; L. Fasola; C. Chehebar; D. W. Macdonald</t>
  </si>
  <si>
    <t>Defining conservation status using limited information: the case of Patagonian otters Lontra provocax in Argentina</t>
  </si>
  <si>
    <t>R. M. Scheller; W. D. Spencer; H. Rustigian-Romsos; A. D. Syphard; B. C. Ward; J. R. Strittholt</t>
  </si>
  <si>
    <t>Using stochastic simulation to evaluate competing risks of wildfires and fuels management on an isolated forest carnivore</t>
  </si>
  <si>
    <t>P. Ferreras; A. Travaini; S. C. Zapata; M. Delibes</t>
  </si>
  <si>
    <t>Short-term responses of mammalian carnivores to a sudden collapse of rabbits in Mediterranean Spain</t>
  </si>
  <si>
    <t>I. Zuberogoitia; H. Zalewska; J. Zabala; A. Zalewski</t>
  </si>
  <si>
    <t>The impact of river fragmentation on the population persistence of native and alien mink: an ecological trap for the endangered European mink</t>
  </si>
  <si>
    <t>A. F. Palmeirim; C. A. Peres; F. C. W. Rosas</t>
  </si>
  <si>
    <t>Giant otter population responses to habitat expansion and degradation induced by a mega hydroelectric dam</t>
  </si>
  <si>
    <t>N. M. Pedroso; T. A. Marques; M. Santos-Reis</t>
  </si>
  <si>
    <t>The response of otters to environmental changes imposed by the construction of large dams</t>
  </si>
  <si>
    <t>J. R. Crait; E. V. Regehr; M. Ben-David</t>
  </si>
  <si>
    <t>Indirect effects of bioinvasions in Yellowstone Lake: The response of river otters to declines in native cutthroat trout</t>
  </si>
  <si>
    <t>R. A. Sweitzer; B. J. Furnas; R. H. Barrett; K. L. Purcell; C. M. Thompson</t>
  </si>
  <si>
    <t>Landscape fuel reduction, forest fire, and biophysical linkages to local habitat use and local persistence of fishers (Pekania pennanti) in Sierra Nevada mixed-conifer forests</t>
  </si>
  <si>
    <t>J. Navarro-Picado; M. Spinola-Parallada; A. Madrigal-Mora; A. Fonseca-Sanchez</t>
  </si>
  <si>
    <t>Habitat Selection of Lontra Longicaudis (Carnivora, Mustelidae) Under the Influence of the Hydroelectric Dam of Penas Blancas River and Its Tributaries, Alajuela, Costa Rica</t>
  </si>
  <si>
    <t>P. Krug; M. S. G. Cabrera; R. D. Quintana</t>
  </si>
  <si>
    <t>Salicaceae afforestations: advantage or disadvantage for Neotropical otter in its southernmost distribution?</t>
  </si>
  <si>
    <t>Jordi Ruiz-Olmo</t>
  </si>
  <si>
    <t>Artificial Food Support for Lutra lutra in a River in Spain</t>
  </si>
  <si>
    <t>Hélène Jacques</t>
  </si>
  <si>
    <t>Eurasian Otter (Lutra lutra) Still Present in Syria</t>
  </si>
  <si>
    <t>Syria</t>
  </si>
  <si>
    <t>Hydroelectric Dams: The First Responses from Giant Otters to a Changing Environment</t>
  </si>
  <si>
    <t>Reestablishment of Giant Otters in Habitats altered by the Filling of the Teles Pires Hydroelectric Dam in the Amazonia</t>
  </si>
  <si>
    <t>K. N. Wolf; D. E. Wildt; A. Vargas; P. E. Marinari; J. S. Kreeger; M. A. Ottinger; J. G. Howard</t>
  </si>
  <si>
    <t>Age-dependent changes in sperm production, semen quality, and testicular volume in the black-footed ferret (Mustela nigripes)</t>
  </si>
  <si>
    <t>D. S. Jachowski; R. A. Gitzen; M. B. Grenier; B. Holmes; J. J. Millspaugh</t>
  </si>
  <si>
    <t>The importance of thinking big: Large-scale prey conservation drives black-footed ferret reintroduction success</t>
  </si>
  <si>
    <t>P. R. Owen; C. J. Bell; E. M. Mead</t>
  </si>
  <si>
    <t>Fossils, diet, and conservation of black-footed ferrets (Mustela nigripes)</t>
  </si>
  <si>
    <t>S. M. Wisely; S. W. Buskirk; M. A. Fleming; D. B. McDonald; E. A. Ostrander</t>
  </si>
  <si>
    <t>Genetic diversity and fitness in black-footed ferrets before and during a bottleneck</t>
  </si>
  <si>
    <t>T. E. Nicholson; K. A. Mayer; M. M. Staedler; J. A. Fujii; M. J. Murray; A. B. Johnson; M. T. Tinker; K. S. Van Houtan</t>
  </si>
  <si>
    <t>Gaps in kelp cover may threaten the recovery of California sea otters</t>
  </si>
  <si>
    <t>D. E. Biggins; T. M. Livieri; S. W. Breck</t>
  </si>
  <si>
    <t>Interface between black-footed ferret research and operational conservation</t>
  </si>
  <si>
    <t>D. H. Monson; J. A. Estes; J. L. Bodkin; D. B. Siniff</t>
  </si>
  <si>
    <t>Life history plasticity and population regulation in sea otters</t>
  </si>
  <si>
    <t>K. G. Poole; R. P. Graf</t>
  </si>
  <si>
    <t>Winter diet of marten during a snowshoe hare decline</t>
  </si>
  <si>
    <t>K. N. Wolf; D. E. Wildt; A. Vargas; P. E. Marinari; M. A. Ottinger; J. G. Howard</t>
  </si>
  <si>
    <t>Reproductive inefficiency in male blackfooted ferrets (Mustela nigripes)</t>
  </si>
  <si>
    <t>B. Konar</t>
  </si>
  <si>
    <t>Limited effects of a keystone species: trends of sea otters and kelp forests at the Semichi Islands, Alaska</t>
  </si>
  <si>
    <t>V. R. Simpson; M. S. Bain; R. Brown; B. F. Brown; R. F. Lacey</t>
  </si>
  <si>
    <t>A long-term study of vitamin A and polychlorinated hydrocarbon levels in otters (Lutra lutra) in south west England</t>
  </si>
  <si>
    <t>C. S. Gorbics; J. L. Bodkin</t>
  </si>
  <si>
    <t>Stock structure of sea otters (Enhydra lutris kenyoni) in Alaska</t>
  </si>
  <si>
    <t>J. Ruiz-Olmo; J. M. Lopez-Martin; S. Palazon</t>
  </si>
  <si>
    <t>The influence of fish abundance on the otter (Lutra lutra) populations in Iberian Mediterranean habitats</t>
  </si>
  <si>
    <t>T. S. Gelatt; D. B. Siniff; J. A. Estes</t>
  </si>
  <si>
    <t>Activity patterns and time budgets of the declining sea otter population at Amchitka Island, Alaska</t>
  </si>
  <si>
    <t>R. E. Drew; J. G. Hallett; K. B. Aubry; K. W. Cullings; S. M. Koepf; W. J. Zielinski</t>
  </si>
  <si>
    <t>Conservation genetics of the fisher (Pekania pennanti) based on mitochondrial DNA sequencing</t>
  </si>
  <si>
    <t>D. Peltier; T. Lode</t>
  </si>
  <si>
    <t>Molecular survey of genetic diversity in the endangered European mink Mustela lutreola</t>
  </si>
  <si>
    <t>M. E. Soule; J. A. Estes; J. Berger; C. M. Del Rio</t>
  </si>
  <si>
    <t>Ecological effectiveness: Conservation goals for interactive species</t>
  </si>
  <si>
    <t>S. M. Wisely; S. W. Buskirk; G. A. Russell; K. B. Aubry; W. J. Zielinski</t>
  </si>
  <si>
    <t>Genetic diversity and structure of the fisher (Pekania pennanti) in a peninsular and peripheral metapopulation</t>
  </si>
  <si>
    <t>J. R. Michaux; R. Libois; A. Davison; P. Chevret; R. Rosoux</t>
  </si>
  <si>
    <t>Is the western population of the European mink, (Mustela lutreola), a distinct Management Unit for conservation?</t>
  </si>
  <si>
    <t>O. Flagstad; E. Hedmark; A. Landa; H. Broseth; J. Persson; R. Andersen; P. Segerstrom; H. Ellegren</t>
  </si>
  <si>
    <t>Colonization history and noninvasive monitoring of a reestablished wolverine population</t>
  </si>
  <si>
    <t>T. Lode; D. Peltier</t>
  </si>
  <si>
    <t>Genetic neighbourhood and effective population size in the endangered European mink Mustela lutreola</t>
  </si>
  <si>
    <t>J. R. Michaux; O. J. Hardy; F. Justy; P. Fournier; A. Kranz; M. Cabria; A. Davison; R. Rosoux; R. Libois</t>
  </si>
  <si>
    <t>Conservation genetics and population history of the threatened European mink Mustela lutreola, with an emphasis on the west European population</t>
  </si>
  <si>
    <t>A. Baghli; R. Verhagen</t>
  </si>
  <si>
    <t>Activity patterns and use of resting sites by polecats in an endangered population</t>
  </si>
  <si>
    <t>Luxembourg</t>
  </si>
  <si>
    <t>J. D. Schumacher; G. H. Kruse</t>
  </si>
  <si>
    <t>Toward sustainable ecosystem services from the Aleutian Archipelago</t>
  </si>
  <si>
    <t>B. J. Swanson; L. R. Peters; C. J. Kyle</t>
  </si>
  <si>
    <t>Demographic and genetic evaluation of an American marten reintroduction</t>
  </si>
  <si>
    <t>Can low densities of carnivores result in genetic depletion? An investigation within French polecat populations</t>
  </si>
  <si>
    <t>K. L. Laidre; J. A. Estes; M. T. Tinker; J. Bodkin; D. Monson; K. Schneider</t>
  </si>
  <si>
    <t>Patterns of growth and body condition in sea otters from the Aleutian archipelago before and after the recent population decline</t>
  </si>
  <si>
    <t>S. E. Reisewitz; J. A. Estes; C. A. Simenstad</t>
  </si>
  <si>
    <t>Indirect food web interactions: sea otters and kelp forest fishes in the Aleutian archipelago</t>
  </si>
  <si>
    <t>C. C. Cegelski; L. P. Waits; N. J. Anderson; O. Flagstad; C. Strobeck; C. J. Kyle</t>
  </si>
  <si>
    <t>Genetic diversity and population structure of wolverine (Gulo gulo) populations at the southern edge of their current distribution in North America with implications for genetic viability</t>
  </si>
  <si>
    <t>S. K. Carter; G. R. VanBlaricom; B. L. Allen</t>
  </si>
  <si>
    <t>Testing the generality of the trophic cascade paradigm for sea otters: a case study with kelp forests in northern Washington, USA</t>
  </si>
  <si>
    <t>E. Hedmark; H. Ellegren</t>
  </si>
  <si>
    <t>DNA-based monitoring of two newly founded Scandinavian wolverine populations</t>
  </si>
  <si>
    <t>P. Hajkova; C. Pertoldi; B. Zemanova; K. Roche; B. Hajek; J. Bryja; J. Zima</t>
  </si>
  <si>
    <t>Genetic structure and evidence for recent population decline in Eurasian otter populations in the Czech and Slovak Republics: implications for conservation</t>
  </si>
  <si>
    <t>S. M. Wisely; R. M. Santymire; T. M. Livieri; S. A. Mueting; J. Howard</t>
  </si>
  <si>
    <t>Genotypic and phenotypic consequences of reintroduction history in the black-footed ferret (Mustela nigripes)</t>
  </si>
  <si>
    <t>S. V. Zagrebelnyi; V. V. Fomin; A. M. Burdin</t>
  </si>
  <si>
    <t>Dynamics of abundance and population structure of sea otters, Enhydra lutris L., on the Commander Archipelago and activity of their migrations between Islands</t>
  </si>
  <si>
    <t>D. Centron; B. Ramirez; L. Fasola; D. W. Macdonald; C. Chehebar; A. Schiavini; M. H. Cassini</t>
  </si>
  <si>
    <t>Diversity of mtDNA in Southern river otter (Lontra provocax) from Argentinean Patagonia</t>
  </si>
  <si>
    <t>M. J. Santos; H. M. Matos; C. Baltazar; C. Grilo; M. Santos-Reis</t>
  </si>
  <si>
    <t>Is polecat (Mustela putorius) diet affected by mediterraneity"?"</t>
  </si>
  <si>
    <t>S. A. Poessel; S. W. Breck; D. E. Biggins; T. M. Livieri; K. R. Crooks; L. Angeloni</t>
  </si>
  <si>
    <t>Landscape features influence postrelease predation on endangered black-footed ferrets</t>
  </si>
  <si>
    <t>D. M. Ethier; A. Lafleche; B. J. Swanson; J. J. Nocera; C. J. Kyle</t>
  </si>
  <si>
    <t>Population subdivision and peripheral isolation in American badgers (Taxidea taxus) and implications for conservation planning in Canada</t>
  </si>
  <si>
    <t>M. Costa; C. Fernandes; J. D. S. Birks; A. C. Kitchener; M. Santos-Reis; M. W. Bruford</t>
  </si>
  <si>
    <t>The genetic legacy of the 19th-century decline of the British polecat: evidence for extensive introgression from feral ferrets</t>
  </si>
  <si>
    <t>J. M. Tucker; M. K. Schwartz; R. L. Truex; S. M. Wisely; F. W. Allendorf</t>
  </si>
  <si>
    <t>Sampling affects the detection of genetic subdivision and conservation implications for fisher in the Sierra Nevada</t>
  </si>
  <si>
    <t>M. P. Korablev; P. N. Korablev; N. P. Korablev; I. L. Tumanov</t>
  </si>
  <si>
    <t>Polymorphism of the Endangered European Mink (Mustela lutreola, Carnivora, Mustelidae) Population in the Central Forest Reserve and Neighboring Areas</t>
  </si>
  <si>
    <t>J. E. Carlson; J. H. Gilbert; J. W. Pokallus; P. J. Manlick; W. E. Moss; J. N. Pauli</t>
  </si>
  <si>
    <t>Potential Role of Prey in the Recovery of American Martens to Wisconsin</t>
  </si>
  <si>
    <t>M. T. Cabria; E. G. Gonzalez; B. J. Gomez-Moliner; J. R. Michaux; D. Skumatov; A. Kranz; P. Fournier; S. Palazon; R. Zardoya</t>
  </si>
  <si>
    <t>Patterns of genetic variation in the endangered European mink (Mustela lutreola L., 1761)</t>
  </si>
  <si>
    <t>S. M. Wisely; O. A. Ryder; R. M. Santymire; J. F. Engelhardt; B. J. Novak</t>
  </si>
  <si>
    <t>A Road Map for 21st Century Genetic Restoration: Gene Pool Enrichment of the Black-Footed Ferret</t>
  </si>
  <si>
    <t>N. L. Stewart; B. Konar; M. T. Tinker</t>
  </si>
  <si>
    <t>Testing the nutritional-limitation, predator-avoidance, and storm-avoidance hypotheses for restricted sea otter habitat use in the Aleutian Islands, Alaska</t>
  </si>
  <si>
    <t>H. A. Coletti; J. L. Bodkin; D. H. Monson; B. E. Ballachey; T. A. Dean</t>
  </si>
  <si>
    <t>Detecting and inferring cause of change in an Alaska nearshore marine ecosystem</t>
  </si>
  <si>
    <t>G. B. Bentall; B. H. Rosen; J. M. Kunz; M. A. Miller; G. W. Saunders; N. L. LaRoche</t>
  </si>
  <si>
    <t>Characterization of the putatively introduced red alga Acrochaetium secundatum (Acrochaetiales, Rhodophyta) growing epizoically on the pelage of southern sea otters (Enhydra lutris nereis)</t>
  </si>
  <si>
    <t>T. L. Hillman; P. Keenlance; J. A. Moore; B. J. Swanson; J. J. Jacquot; J. C. Witt; A. Cornman</t>
  </si>
  <si>
    <t>Genetic diversity of reintroduced American martens in Michigan's Lower Peninsula</t>
  </si>
  <si>
    <t>L. A. Harrington; M. Podra; A. Gomez; T. Maran</t>
  </si>
  <si>
    <t>Raising awareness of the plight of the critically endangered European mink in Spain is not miscommunication: a response to Melero</t>
  </si>
  <si>
    <t>R. Ekblom; B. Brechlin; J. Persson; L. Smeds; M. Johansson; J. Magnusson; O. Flagstad; H. Ellegren</t>
  </si>
  <si>
    <t>Genome sequencing and conservation genomics in the Scandinavian wolverine population</t>
  </si>
  <si>
    <t>R. M. Santymire; E. V. Lonsdorf; C. M. Lynch; D. E. Wildt; P. E. Marinari; S. Kreeger; J. G. Howard</t>
  </si>
  <si>
    <t>Inbreeding causes decreased seminal quality affecting pregnancy and litter size in the endangered black-footed ferret</t>
  </si>
  <si>
    <t>Y. Nishita; N. Spassov; S. Peeva; E. G. Raichev; Y. Kaneko; R. Masuda</t>
  </si>
  <si>
    <t>Genetic diversity of MHC class II DRB alleles in the marbled polecat, Vormela peregusna, in Bulgaria</t>
  </si>
  <si>
    <t>M. J. Murray; M. A. Young; R. M. Santymire</t>
  </si>
  <si>
    <t>Use of the ACTH challenge test to identify the predominant glucocorticoid in the southern sea otter (Enhydra lutris nereis)</t>
  </si>
  <si>
    <t>Stone martens and cars: a beginning war?</t>
  </si>
  <si>
    <t>A. C. Honnen; A. Roos; T. Stjernberg; F. E. Zachos</t>
  </si>
  <si>
    <t>Genetic analysis of Eurasian otters (Lutra lutra) reveals high admixture in Finland and pronounced differentiation in Sweden</t>
  </si>
  <si>
    <t>Roland Melisch, Priyo Budi Asmoro, Listya Kusumawardhami</t>
  </si>
  <si>
    <t>Major Steps taken towards Otter Conservation in Indonesia</t>
  </si>
  <si>
    <t>S. M. Macdonald; C. F. Mason</t>
  </si>
  <si>
    <t>THE OTTER LUTRA-LUTRA IN SOUTHERN ITALY</t>
  </si>
  <si>
    <t>General</t>
  </si>
  <si>
    <t>C. Prigioni; G. Bogliani; F. Barbieri</t>
  </si>
  <si>
    <t>THE OTTER LUTRA-LUTRA IN ALBANIA</t>
  </si>
  <si>
    <t>Commercial and industrial areas</t>
  </si>
  <si>
    <t>S. P. Kubheka; D. T. Rowe-Rowe; J. D. Alletson; M. R. Perrin</t>
  </si>
  <si>
    <t>Possible influence of increased riparian activity (stream modification and agricultural intensification) on abundance of South African otters</t>
  </si>
  <si>
    <t>J. Prenda; C. GranadoLorencio</t>
  </si>
  <si>
    <t>The relative influence of riparian habitat structure and fish availability on otter Lutra lutra L-sprainting activity in a small Mediterranean catchment</t>
  </si>
  <si>
    <t>G. Umapathy and G. Durairaj</t>
  </si>
  <si>
    <t>Preliminary Studies on the Feeding Ecology of the Otter Lutra lutra at Pitchavaram, East Coast of India</t>
  </si>
  <si>
    <t>J. Y. Hwang; G. J. Cho</t>
  </si>
  <si>
    <t>Identification of novel haplotypes and interpretation of gene flow of mitochondrial DNA control region of Eurasian otter (Lutra lutra) for the effective conservation</t>
  </si>
  <si>
    <t>Y. Cortes; R. Fernandez-Salvador; F. J. Garcia; E. Virgos; M. Llorente</t>
  </si>
  <si>
    <t>Changes in otter Lutra lutra distribution in Central Spain in the 1964-1995 period</t>
  </si>
  <si>
    <t>Robert Dulfer</t>
  </si>
  <si>
    <t>?rebo? Biosphere Reserve Otter Project</t>
  </si>
  <si>
    <t>Garbage &amp; solid waste</t>
  </si>
  <si>
    <t>Elke Staib and Christof Schenck</t>
  </si>
  <si>
    <t>Giant Otters and Ecotourism in Peru</t>
  </si>
  <si>
    <t>E. Croose; J. W. Duckworth; S. Ruette; D. V. Skumatov; V. V. Kolesnikov; A. P. Saveljev</t>
  </si>
  <si>
    <t>A review of the status of the Western polecat Mustela putorius: a neglected and declining species?</t>
  </si>
  <si>
    <t>P. C. L. White; K. W. Gregory; P. J. Lindley; G. Richards</t>
  </si>
  <si>
    <t>Economic values of threatened mammals in Britain: A case study of the otter Lutra lutra and the water vole Arvicola terrestris</t>
  </si>
  <si>
    <t>General (habitat destruction)</t>
  </si>
  <si>
    <t>A. Ferrando; R. Lecis; X. Domingo-Roura; M. Ponsa</t>
  </si>
  <si>
    <t>Genetic diversity and individual identification of reintroduced otters (Lutra lutra) in north-eastern Spain by DNA genotyping of spraints</t>
  </si>
  <si>
    <t>Unspecified (habitat destriction)</t>
  </si>
  <si>
    <t>A. Loy; L. Boitani; L. Bonesi; A. Canu; A. Di Croce; P. L. Fiorentino; P. Genovesi; L. Mattei; M. Panzacchi; C. Prigioni; E. Randi; G. Reggiani</t>
  </si>
  <si>
    <t>THE ITALIAN ACTION PLAN FOR THE ENDANGERED EURASIAN OTTER LUTRA LUTRA</t>
  </si>
  <si>
    <t>M. Clavero; V. Hermoso; L. Brotons; M. Delibes</t>
  </si>
  <si>
    <t>Natural, human and spatial constraints to expanding populations of otters in the Iberian Peninsula</t>
  </si>
  <si>
    <t>I. C. Weinberger; S. Muff; A. de Jongh; A. Kranz; F. Bontadina</t>
  </si>
  <si>
    <t>Flexible habitat selection paves the way for a recovery of otter populations in the European Alps</t>
  </si>
  <si>
    <t>Distribution of Lutra lutra in the Highlands of Sri Lanka</t>
  </si>
  <si>
    <t>Sri Lanka</t>
  </si>
  <si>
    <t>M. L. Rheingantz; V. M. Santiago-Plata; C. S. Trinca</t>
  </si>
  <si>
    <t>The Neotropical otter Lontra longicaudis: a comprehensive update on the current knowledge and conservation status of this semiaquatic carnivore</t>
  </si>
  <si>
    <t>C. F. Mason; S. M. Macdonald</t>
  </si>
  <si>
    <t>Growth in otter (Lutra lutra) populations in the UK as shown by long-term monitoring</t>
  </si>
  <si>
    <t>C. Prigioni; A. Balestrieri; L. Remonti</t>
  </si>
  <si>
    <t>Decline and recovery in otter Lutra lutra populations in Italy</t>
  </si>
  <si>
    <t>L. Remonti; C. Prigioni; A. Balestrieri; S. Sgrosso; G. Priore</t>
  </si>
  <si>
    <t>Distribution of a recolonising species may not reflect habitat suitability alone: the case of the Eurasian otter (Lutra lutra) in southern Italy</t>
  </si>
  <si>
    <t>D. Ottaviani; M. Panzacchi; G. J. Lasinio; P. Genovesi; L. Boitani</t>
  </si>
  <si>
    <t>Modelling semi-aquatic vertebrates' distribution at the drainage basin scale: The case of the otter Lutra lutra in Italy</t>
  </si>
  <si>
    <t>J. Romanowski; M. Brzezinski; M. Zmihorski</t>
  </si>
  <si>
    <t>Habitat correlates of the Eurasian otter Lutra lutra recolonizing Central Poland</t>
  </si>
  <si>
    <t>I. Chades; J. M. R. Curtis; T. G. Martin</t>
  </si>
  <si>
    <t>Setting Realistic Recovery Targets for Two Interacting Endangered Species, Sea Otter and Northern Abalone</t>
  </si>
  <si>
    <t>D. A. Jessup; L. C. Yeates; S. Toy-Choutka; D. Casper; M. J. Murray; M. H. Ziccardi</t>
  </si>
  <si>
    <t>Washing Oiled Sea Otters</t>
  </si>
  <si>
    <t>C. Marquez; J. M. Vargas; R. Villafuerte; J. E. Fa</t>
  </si>
  <si>
    <t>Understanding the propensity of wild predators to illegal poison baiting</t>
  </si>
  <si>
    <t>V. A. Arellano-Peralta; L. Medrano-Gonzalez</t>
  </si>
  <si>
    <t>Ecology, conservation and human history of marine mammals in the Gulf of California and Pacific coast of Baja California, Mexico</t>
  </si>
  <si>
    <t>S. Beslagic; O. Delaigue</t>
  </si>
  <si>
    <t>The otter (Lutra lutra Linnaeus, 1758) in Belgium: an unpopular and maltreated species (19th-early 20th centuries)</t>
  </si>
  <si>
    <t>S. Hong; Y. Do; J. Y. Kim; P. Cowan; G. J. Joo</t>
  </si>
  <si>
    <t>Conservation activities for the Eurasian otter (Lutra lutra) in South Korea traced from newspapers during 1962-2010</t>
  </si>
  <si>
    <t>Small carnivores in a logging concession in the Upper Baram, Sarawak, Borneo</t>
  </si>
  <si>
    <t>Just Walter</t>
  </si>
  <si>
    <t>Restoration plan for the otter habitat in the Netherlands</t>
  </si>
  <si>
    <t>N. K. Ozkazanc; E. Ozay; H. B. Ozel; M. Cetin; H. Sevik</t>
  </si>
  <si>
    <t>The habitat, ecological life conditions, and usage characteristics of the otter (Lutra lutra L. 1758) in the Balikdami Wildlife Development Area</t>
  </si>
  <si>
    <t>Turkey</t>
  </si>
  <si>
    <t>A. Galanaki; T. Kominos; S. Zogaris; I. Casteratos; P. Lymberakis</t>
  </si>
  <si>
    <t>Presence of the Eurasian otter Lutra lutra on the islands of Greece: a review</t>
  </si>
  <si>
    <t>B. B. Hughes; K. Wasson; M. T. Tinker; S. L. Williams; L. P. Carswell; K. E. Boyer; M. W. Beck; R. Eby; R. Scoles; M. Staedler; S. Espinosa; M. Hessing-Lewis; E. U. Foster; K. M. Beheshti; T. M. Grimes; B. H. Becker; L. Needles; J. A. Tomoleoni; J. Rudebusch; E. Hines; B. R. Silliman</t>
  </si>
  <si>
    <t>Species recovery and recolonization of past habitats: lessons for science and conservation from sea otters in estuaries</t>
  </si>
  <si>
    <t>Distributional history of the American mink (Neovison vison) in Finland with special reference to the trends in otter (Lutra lutra) populations</t>
  </si>
  <si>
    <t>A Study of Otters in Lake Mikri Prespa, Greece</t>
  </si>
  <si>
    <t>T. A. Dean; J. L. Bodkin; S. C. Jewett; D. H. Monson; D. Jung</t>
  </si>
  <si>
    <t>Changes in sea urchins and kelp following a reduction in sea otter density as a result of the Exxon Valdez oil spill</t>
  </si>
  <si>
    <t>K. D. Hanni; J. A. K. Mazet; F. M. D. Gulland; J. Estes; M. Staedler; M. J. Murray; M. Miller; D. A. Jessup</t>
  </si>
  <si>
    <t>Clinical pathology and assessment of pathogen exposure in southern and Alaskan sea otters</t>
  </si>
  <si>
    <t>K. Kannan; E. Perrotta; N. J. Thomas; K. M. Aldous</t>
  </si>
  <si>
    <t>A comparative analysis of polybrominated diphenyl ethers and polychlorinated biphenyls in southern sea otters that died of infectious diseases and noninfectious causes</t>
  </si>
  <si>
    <t>S. Murata; S. Takahashi; T. Agusa; N. J. Thomas; K. Kannan; S. Tanabe</t>
  </si>
  <si>
    <t>Contamination status and accumulation profiles of organotins in sea otters (Enhydra lutris) found dead along the coasts of California, Washington, Alaska (USA), and Kamchatka (Russia)</t>
  </si>
  <si>
    <t>K. Shapiro; P. A. Conrad; J. A. K. Mazet; W. W. Wallender; W. A. Miller; J. L. Largier</t>
  </si>
  <si>
    <t>Effect of Estuarine Wetland Degradation on Transport of Toxoplasma gondii Surrogates from Land to Sea</t>
  </si>
  <si>
    <t>M. B. Khan; K. B. Ahmed; M. S. Awan; U. Ali; R. A. Minhas; S. A. Choudary</t>
  </si>
  <si>
    <t>Distribution, Population Status and Habitat Utilization of Common Otter (Lutra lutra) in Neelum Valley, Azad Jammu and Kashmir</t>
  </si>
  <si>
    <t>S. Palazon; Y. Melero</t>
  </si>
  <si>
    <t>Status, threats and management actions on the European mink Mustela lutreola (Linnaeus, 1761) in Spain: a review of the studies performed since 1992</t>
  </si>
  <si>
    <t>A. Engelhart; P. Behnisch; H. Hagenmaier; R. Apfelbach</t>
  </si>
  <si>
    <t>PCBs and their putative effects on polecat (Mustela putorius) populations in Central Europe</t>
  </si>
  <si>
    <t>M. Tans; J. L. Hugla; R. M. Libois; R. Rosoux; J. P. Thome</t>
  </si>
  <si>
    <t>Contamination of European otters (Lutra lutra) by PCB congeners and organochlorinated pesticides in the wetlands of western France</t>
  </si>
  <si>
    <t>T. A. Dean; J. L. Bodkin; A. K. Fukuyama; S. C. Jewett; D. H. Monson; C. E. O'Clair; G. R. VanBlaricom</t>
  </si>
  <si>
    <t>Food limitation and the recovery of sea otters following the 'Exxon Valdez' oil spill</t>
  </si>
  <si>
    <t>J. Zabala; I. Zuberogoitia; J. A. Martinez-Climent</t>
  </si>
  <si>
    <t>Factors affecting occupancy by the European mink in south-western Europe</t>
  </si>
  <si>
    <t>N. Reid; D. Thompson; B. Hayden; F. Marnell; W. I. Montgomery</t>
  </si>
  <si>
    <t>Review and quantitative meta-analysis of diet suggests the Eurasian otter (Lutra lutra) is likely to be a poor bioindicator</t>
  </si>
  <si>
    <t>D. L. Garshelis; C. B. Johnson</t>
  </si>
  <si>
    <t>Prolonged recovery of sea otters from the Exxon Valdez oil spill? A re-examination of the evidence</t>
  </si>
  <si>
    <t>Sea otter population dynamics and the Exxon Valdez oil spill: disentangling the confounding effects</t>
  </si>
  <si>
    <t>R. B. Gagne; M. T. Tinker; K. D. Gustafson; K. Ralls; S. Larson; L. M. Tarjan; M. A. Miller; H. B. Ernest</t>
  </si>
  <si>
    <t>Measures of effective population size in sea otters reveal special considerations for wide-ranging species</t>
  </si>
  <si>
    <t>K. A. Sainsbury; R. F. Shore; H. Schofield; E. Croose; G. Hantke; A. C. Kitchener; R. A. McDonald</t>
  </si>
  <si>
    <t>Diets of European polecat Mustela putorius in Great Britain during fifty years of population recovery</t>
  </si>
  <si>
    <t>J. H. Kang; S. J. Rhim</t>
  </si>
  <si>
    <t>Distribution and Habitat Conditions of Habitat Points of the Eurasian Otter Lutra lutra in the Hangang River Water System, South Korea</t>
  </si>
  <si>
    <t>Roads  &amp; railroads</t>
  </si>
  <si>
    <t>G. M. Blundell; M. Ben-David; P. Groves; R. T. Bowyer; E. Geffen</t>
  </si>
  <si>
    <t>Characteristics of sex-biased dispersal and gene flow in coastal river otters: implications for natural recolonization of extirpated populations</t>
  </si>
  <si>
    <t>A. C. Honnen; B. Petersen; L. Kassler; M. Elmeros; A. Roos; R. S. Sommer; F. E. Zachos</t>
  </si>
  <si>
    <t>Genetic structure of Eurasian otter (Lutra lutra, Carnivora: Mustelidae) populations from the western Baltic sea region and its implications for the recolonization of north-western Germany</t>
  </si>
  <si>
    <t>H. P. Koelewijn; M. Perez-Haro; H. A. H. Jansman; M. C. Boerwinkel; J. Bovenschen; D. R. Lammertsma; F. J. J. Niewold; A. T. Kuiters</t>
  </si>
  <si>
    <t>The reintroduction of the Eurasian otter (Lutra lutra) into the Netherlands: hidden life revealed by noninvasive genetic monitoring</t>
  </si>
  <si>
    <t>A. L. Geboes; R. Rosoux; C. Lemarchand; E. Hansen; R. Libois</t>
  </si>
  <si>
    <t>Genetic diversity and population structure of the Eurasian otter (Lutra lutra) in France</t>
  </si>
  <si>
    <t>G. Schmidt; L. L'Hoste; A. Dohet; A. Boscher; H. M. Cauchie; L. Hoffmann</t>
  </si>
  <si>
    <t>Riverbank assessment and management for the Eurasian otter in the north of Luxembourg</t>
  </si>
  <si>
    <t>Y. S. Jo; C. M. Won; S. R. Fritts; M. C. Wallace; J. T. Baccus</t>
  </si>
  <si>
    <t>Distribution and habitat models of the Eurasian otter, Lutra lutra, in South Korea</t>
  </si>
  <si>
    <t>Vangala Nagulu, Vaidyula Vasudeva Rao, Deeti Satyanarayana and Chelmala Srinivasulu</t>
  </si>
  <si>
    <t>Otter Records and Otter Conservation Perspectives in Andhra Pradesh, India</t>
  </si>
  <si>
    <t>S. M. Macdonald</t>
  </si>
  <si>
    <t>THE STATUS OF THE OTTER (LUTRA-LUTRA) IN THE BRITISH-ISLES</t>
  </si>
  <si>
    <t>Aadrean, Siti Salmah, Anas Salsabila, Rizaldi and M. Nazri Janra</t>
  </si>
  <si>
    <t xml:space="preserve">Tracks and Other Signs of Otters in Rice Fields in Padang Pariaman, West Sumatra: a Preliminary Study
</t>
  </si>
  <si>
    <t>Agricultural &amp; forestry effluent</t>
  </si>
  <si>
    <t>D. MacLellan; M. S. Brancato; D. DeForest; J. Volosin; Mts; Mts</t>
  </si>
  <si>
    <t>An evaluation of risks to US Pacific coast sea otters exposed to tributyltin</t>
  </si>
  <si>
    <t>A. J. Burn</t>
  </si>
  <si>
    <t>Pesticides and their effects on lowland farmland birds</t>
  </si>
  <si>
    <t>M. Oliveira; N. Pedroso; T. Sales-Luis; M. Santos-Reis; L. Tavares; C. L. Vilela</t>
  </si>
  <si>
    <t>EVIDENCE OF ANTIMICROBIAL RESISTANCE IN EURASIAN OTTER (LUTRA LUTRA LINNAEUS, 1758) FECAL BACTERIA IN PORTUGAL</t>
  </si>
  <si>
    <t>R. A. Efroymson; T. M. Carlsen; H. I. Jager; T. Kostova; E. A. Carr; W. W. Hargrove; J. Kercher; T. L. Ashwood</t>
  </si>
  <si>
    <t>Toward an ecological framework for assessing risk to vertebrate populations from brine and petroleum spills at exploration and production sites</t>
  </si>
  <si>
    <t>J. Bernanke; H. R. Kohler</t>
  </si>
  <si>
    <t>The Impact of Environmental Chemicals on Wildlife Vertebrates</t>
  </si>
  <si>
    <t>P. R. F. Chanin; D. J. Jefferies</t>
  </si>
  <si>
    <t>DECLINE OF OTTER LUTRA-LUTRA L IN BRITAIN - ANALYSIS OF HUNTING RECORDS AND DISCUSSION OF CAUSES</t>
  </si>
  <si>
    <t>J. R. Baker; A. M. Jones; T. P. Jones; H. C. Watson</t>
  </si>
  <si>
    <t>OTTER LUTRA-LUTRA L MORTALITY AND MARINE OIL POLLUTION</t>
  </si>
  <si>
    <t>D. B. Siniff; T. D. Williams; A. M. Johnson; D. L. Garshelis</t>
  </si>
  <si>
    <t>EXPERIMENTS ON THE RESPONSE OF SEA OTTERS ENHYDRA-LUTRIS TO OIL CONTAMINATION</t>
  </si>
  <si>
    <t>C. D. Wren</t>
  </si>
  <si>
    <t>CAUSE-EFFECT LINKAGES BETWEEN CHEMICALS AND POPULATIONS OF MINK (MUSTELA-VISON) AND OTTER (LUTRA-CANADENSIS) IN THE GREAT-LAKES BASIN</t>
  </si>
  <si>
    <t>C. F. Mason; D. T. Rowerowe</t>
  </si>
  <si>
    <t>ORGANOCHLORINE PESTICIDE-RESIDUES AND PCBS IN OTTER SCATS FROM NATAL</t>
  </si>
  <si>
    <t>C. F. Mason; A. B. Madsen</t>
  </si>
  <si>
    <t>MERCURY IN DANISH OTTERS (LUTRA-LUTRA)</t>
  </si>
  <si>
    <t>C. F. Mason; S. M. Macdonald; H. C. Bland; J. Ratford</t>
  </si>
  <si>
    <t>ORGANOCHLORINE PESTICIDE AND PCB CONTENTS IN OTTER (LUTRA-LUTRA) SCATS FROM WESTERN SCOTLAND</t>
  </si>
  <si>
    <t>R. A. Garrott; L. L. Eberhardt; D. M. Burn</t>
  </si>
  <si>
    <t>MORTALITY OF SEA OTTERS IN PRINCE-WILLIAM SOUND FOLLOWING THE EXXON-VALDEZ OIL-SPILL</t>
  </si>
  <si>
    <t>ORGANOCHLORINE PESTICIDE-RESIDUES AND PCBS IN DANISH OTTERS (LUTRA-LUTRA)</t>
  </si>
  <si>
    <t>PCBS AND ORGANOCHLORINE PESTICIDE-RESIDUES IN OTTER (LUTRA-LUTRA) SPRAINTS FROM WELSH CATCHMENTS AND THEIR SIGNIFICANCE TO OTTER CONSERVATION STRATEGIES</t>
  </si>
  <si>
    <t>J. M. Lopezmartin; J. Ruizolmo; S. P. Minano</t>
  </si>
  <si>
    <t>ORGANOCHLORINE RESIDUE LEVELS IN THE EUROPEAN MINK (MUSTELA-LUTREOLA) IN NORTHERN SPAIN</t>
  </si>
  <si>
    <t>J. P. Giesy; D. A. Verbrugge; R. A. Othout; W. W. Bowerman; M. A. Mora; P. D. Jones; J. L. Newsted; C. Vandervoort; S. N. Heaton; R. J. Aulerich; S. J. Bursian; J. P. Ludwig; G. A. Dawson; T. J. Kubiak; D. A. Best; D. E. Tillitt</t>
  </si>
  <si>
    <t>CONTAMINANTS IN FISHES FROM GREAT LAKES-INFLUENCED SECTIONS AND ABOVE DAMS OF 3 MICHIGAN RIVERS .2. IMPLICATIONS FOR HEALTH OF MINK</t>
  </si>
  <si>
    <t>R. T. Bowyer; J. W. Testa; J. B. Faro; C. C. Schwartz; J. B. Browning</t>
  </si>
  <si>
    <t>CHANGES IN DIETS OF RIVER OTTERS IN PRINCE WILLIAM SOUND, ALASKA - EFFECTS OF THE EXXON-VALDEZ OIL-SPILL</t>
  </si>
  <si>
    <t>L. K. Duffy; R. T. Bowyer; J. W. Testa; J. B. Faro</t>
  </si>
  <si>
    <t>EVIDENCE FOR RECOVERY OF BODY-MASS AND HAPTOGLOBIN VALUES OF RIVER OTTERS FOLLOWING THE EXXON-VALDEZ OIL-SPILL</t>
  </si>
  <si>
    <t>J. W. Testa; D. F. Holleman; R. T. Bowyer; J. B. Faro</t>
  </si>
  <si>
    <t>ESTIMATING POPULATIONS OF MARINE RIVER OTTERS IN PRINCE WILLIAM SOUND, ALASKA, USING RADIOTRACER IMPLANTS</t>
  </si>
  <si>
    <t>S. L. Osowski; L. W. Brewer; O. E. Baker; G. P. Cobb</t>
  </si>
  <si>
    <t>THE DECLINE OF MINK IN GEORGIA, NORTH-CAROLINA, AND SOUTH-CAROLINA - THE ROLE OF CONTAMINANTS</t>
  </si>
  <si>
    <t>K. Ralls; D. P. Demaster; J. A. Estes</t>
  </si>
  <si>
    <t>Developing a criterion for delisting the southern sea otter under the US endangered species act</t>
  </si>
  <si>
    <t>R. S. Halbrook; A. Woolf; G. F. Hubert; S. Ross; W. E. Braselton</t>
  </si>
  <si>
    <t>Contaminant concentrations in Illinois mink and otter</t>
  </si>
  <si>
    <t>D. R. J. Moore; R. L. Breton; K. Lloyd</t>
  </si>
  <si>
    <t>The effects of hexachlorobenzene on mink in the Canadian environment: An ecological risk assessment</t>
  </si>
  <si>
    <t>D. L. Garshelis</t>
  </si>
  <si>
    <t>Sea otter mortality estimated from carcasses collected after the Exxon Valdez oil spill</t>
  </si>
  <si>
    <t>T. Sjoasen; J. Ozolins; E. Greyerz; M. Olsson</t>
  </si>
  <si>
    <t>The otter (Lutra lutra) situation in Latvia and Sweden related to PCB and DDT levels</t>
  </si>
  <si>
    <t>Latvia / Sweden</t>
  </si>
  <si>
    <t>P. E. G. Leonards; Y. Zierikzee; U. A. T. Brinkman; W. P. Cofino; N. M. vanStraalen; B. vanHattum</t>
  </si>
  <si>
    <t>The selective dietary accumulation of planar polychlorinated biphenyls in the otter (Lutra lutra)</t>
  </si>
  <si>
    <t>R. A. McDonald; S. Harris; G. Turnbull; P. Brown; M. Fletcher</t>
  </si>
  <si>
    <t>Anticoagulant rodenticides in stoats (Mustela erminea) and weasels (Mustela nivalis) in England</t>
  </si>
  <si>
    <t>P. E. G. Leonards; S. Broekhuizen; P. de Voogt; N. M. Van Straalen; U. A. T. Brinkman; W. P. Cofino; B. van Hattum</t>
  </si>
  <si>
    <t>Studies of bioaccumulation and biotransformation of PCBs in mustelids based on concentration and congener patterns in predators and preys</t>
  </si>
  <si>
    <t>J. D. S. Birks</t>
  </si>
  <si>
    <t>Secondary rodenticide poisoning risk arising from winter farmyard use by the European polecat Mustela putorius</t>
  </si>
  <si>
    <t>A. J. Murk; P. E. G. Leonards; B. van Hattum; R. Luit; M. E. J. van der Weiden; M. Smit</t>
  </si>
  <si>
    <t>Application of biomarkers for exposure and effect of polyhalogenated aromatic hydrocarbons in naturally exposed European otters (Lutra lutra)</t>
  </si>
  <si>
    <t>A. C. Gutleb; A. Kranz</t>
  </si>
  <si>
    <t>Estimation of polychlorinated biphenyl (PCB) levels in livers of the otter (Lutra lutra) from concentrations in scats and fish</t>
  </si>
  <si>
    <t>C. F. Mason</t>
  </si>
  <si>
    <t>Decline in PCB levels in otters (Lutra lutra)</t>
  </si>
  <si>
    <t>A. Fox</t>
  </si>
  <si>
    <t>The role of habitat enhancement in the return of the European otter (Lutra lutra) to Northumberland</t>
  </si>
  <si>
    <t>G. B. Rathbun; B. B. Hatfield; T. G. Murphey</t>
  </si>
  <si>
    <t>Status of translocated sea otters at San Nicolas Island, California</t>
  </si>
  <si>
    <t>G. Mierle; E. M. Addison; K. S. MacDonald; D. G. Joachim</t>
  </si>
  <si>
    <t>Mercury levels in tissues of otters from Ontario, Canada: Variation with age, sex, and location</t>
  </si>
  <si>
    <t>J. G. Vos; E. Dybing; H. A. Greim; O. Ladefoged; C. Lambre; J. V. Tarazona; I. Brandt; A. D. Vethaak</t>
  </si>
  <si>
    <t>Health effects of endocrine-disrupting chemicals on wildlife, with special reference to the European situation</t>
  </si>
  <si>
    <t>Y. Uryu; O. Malm; I. Thornton; I. Payne; D. Cleary</t>
  </si>
  <si>
    <t>Mercury contamination of fish and its implications for other wildlife of the Tapajos Basin, Brazilian Amazon</t>
  </si>
  <si>
    <t>M. Ben-David; T. Kondratyuk; B. R. Woodin; P. W. Snyder; J. J. Stegeman</t>
  </si>
  <si>
    <t>Induction of cytochrome P450 1A1 expression in captive river otters fed Prudhoe Bay crude oil: evaluation by immunohistochemistry and quantitative RT-PCR</t>
  </si>
  <si>
    <t>T. P. Traas; R. Luttik; O. Klepper; J. E. M. Beurskens; M. D. Smit; P. E. G. Leonards; A. G. M. van Hattum; T. Aldenberg</t>
  </si>
  <si>
    <t>Congener-specific model for polychlorinated biphenyl effects on otter (Lutra lutra) and associated sediment quality criteria</t>
  </si>
  <si>
    <t>A. Roos; E. Greyerz; M. Olsson; F. Sandegren</t>
  </si>
  <si>
    <t>The otter (Lutra lutra) in Sweden - population trends in relation to Sigma DDT and total PCB concentrations during 1968-99</t>
  </si>
  <si>
    <t>R. A. McDonald; S. Harris</t>
  </si>
  <si>
    <t>Population biology of stoats Mustela erminea and weasels Mustela nivalis on game estates in Great Britain</t>
  </si>
  <si>
    <t>J. L. Bodkin; B. E. Ballachey; T. A. Dean; A. K. Fukuyama; S. C. Jewett; L. McDonald; D. H. Monson; C. E. O'Clair; G. R. VanBlaricom</t>
  </si>
  <si>
    <t>Sea otter population status and the process of recovery from the 1989 'Exxon Valdez' oil spill</t>
  </si>
  <si>
    <t>L. M. Rotterman; C. Monnett</t>
  </si>
  <si>
    <t>Length-mass and total body length of adult female sea otters in Prince William Sound before and after the Exxon Valdez oil spill</t>
  </si>
  <si>
    <t>M. Ben-David; G. M. Blundell; J. E. Blake</t>
  </si>
  <si>
    <t>Post-release survival of river otters: Effects of exposure to crude oil and captivity</t>
  </si>
  <si>
    <t>R. T. Bowyer; G. M. Blundell; M. Ben-David; S. C. Jewett; T. A. Dean; L. K. Duffy</t>
  </si>
  <si>
    <t>Effects of the Exxon Valdez oil spill on river otters: Injury and recovery of a sentinel species</t>
  </si>
  <si>
    <t>B. E. Ballachey; J. L. Bodkin; S. Howlin; A. M. Doroff; A. H. Rebar</t>
  </si>
  <si>
    <t>Correlates to survival of juvenile sea otters in Prince William Sound, Alaska, 1992-1993</t>
  </si>
  <si>
    <t>A. M. Barbosa; R. Real; J. Olivero; J. M. Vargas</t>
  </si>
  <si>
    <t>Otter (Lutra lutra) distribution modeling at two resolution scales suited to conservation planning in the Iberian Peninsula</t>
  </si>
  <si>
    <t>C. Fournier-Chambrillon; P. J. Berny; O. Coiffier; P. Barbedienne; B. Dasse; G. Delas; H. Galineau; A. Mazet; P. Pouzenc; R. Rosoux; P. Fournier</t>
  </si>
  <si>
    <t>Evidence of secondary poisoning of free-ranging riparian mustelids by anticoagulant rodenticides in France: Implications for conservation of European mink (Mustela lutreola)</t>
  </si>
  <si>
    <t>L. R. Gerber; K. E. Buenau; G. R. Vanblaricom</t>
  </si>
  <si>
    <t>Density dependence and risk of extinction in a small population of sea otters</t>
  </si>
  <si>
    <t>E. Alleva; N. Francia; M. Pandolfi; A. M. De Marinis; F. Chiarotti; D. Santucci</t>
  </si>
  <si>
    <t>Organochlorine and heavy-metal contaminants in wild mammals and birds of Urbino-Pesaro province, Italy: An analytic overview for potential bioindicators</t>
  </si>
  <si>
    <t>P. A. Martin; T. V. McDaniel; B. Hunter</t>
  </si>
  <si>
    <t>Temporal and spatial trends in chlorinated hydrocarbon concentrations of mink in Canadian Lakes Erie and St. Clair</t>
  </si>
  <si>
    <t>H. I. Jager; E. A. Carr; R. A. Efroymson</t>
  </si>
  <si>
    <t>Simulated effects of habitat loss and fragmentation on a solitary mustelid predator</t>
  </si>
  <si>
    <t>P. D. Boehm; D. S. Page; J. M. Neff; C. B. Johnson</t>
  </si>
  <si>
    <t>Potential for sea otter exposure to remnants of buried oil from the exxon valdez oil spill</t>
  </si>
  <si>
    <t>M. Levin; H. Leibrecht; C. Mori; D. Jessup; S. De Guise</t>
  </si>
  <si>
    <t>Immunomodulatory effects of organochlorine mixtures upon in vitro exposure of peripheral blood leukocytes differ between free-ranging and captive southern sea otters (Enhydra lutris)</t>
  </si>
  <si>
    <t>A. M. Scheulhammer; M. W. Meyer; M. B. Sandheinrich; M. W. Murray</t>
  </si>
  <si>
    <t>Effects of environmental methylmercury on the health of wild birds, mammals, and fish</t>
  </si>
  <si>
    <t>C. Lemarchand; C. Amblard; Y. Souchon; P. Berny</t>
  </si>
  <si>
    <t>Organochlorine compounds (pesticides and PCBs) in scats of the european otter (Lutra lutra) from an actual expanding population in central france</t>
  </si>
  <si>
    <t>J. Millan; R. Mateo; M. A. Taggart; J. V. Lopez-Bao; M. Viota; L. Monsalve; P. R. Camarero; E. Blazquez; B. Jimenez</t>
  </si>
  <si>
    <t>Levels of heavy metals and metalloids in critically endangered Iberian lynx and other wild carnivores from Southern Spain</t>
  </si>
  <si>
    <t>F. C. Mohr; B. Lasley; S. Bursian</t>
  </si>
  <si>
    <t>Chronic oral exposure to bunker C fuel oil causes adrenal insufficiency in ranch mink (Neovison vison)</t>
  </si>
  <si>
    <t>A. C. Bejarano; F. M. VanDola; F. M. Gulland; T. K. Rowles; L. H. Schwacke</t>
  </si>
  <si>
    <t>Production and toxicity of the marine biotoxin domoic acid and its effects on wildlife: A review</t>
  </si>
  <si>
    <t>J. E. Elliott; D. A. Guertin; J. M. E. Balke</t>
  </si>
  <si>
    <t>Chlorinated hydrocarbon contaminants in feces of river otters from the southern Pacific coast of Canada, 1998-2004</t>
  </si>
  <si>
    <t>J. Lanszki; E. Orosz; L. Sugar</t>
  </si>
  <si>
    <t>Metal levels in tissues of Eurasian otters (Lutra lutra) from Hungary: Variation with sex, age, condition and location</t>
  </si>
  <si>
    <t>M. Delibes; S. Cabezas; B. Jimenez; M. J. Gonzalez</t>
  </si>
  <si>
    <t>Animal decisions and conservation: the recolonization of a severely polluted river by the Eurasian otter</t>
  </si>
  <si>
    <t>M. A. Ricca; A. K. Miles; B. E. Ballachey; J. L. Bodkin; D. Esler; K. A. Trust</t>
  </si>
  <si>
    <t>PCB exposure in sea otters and harlequin ducks in relation to history of contamination by the Exxon Valdez oil spill</t>
  </si>
  <si>
    <t>D. A. Guertin; A. S. Harestad; M. Ben-David; K. G. Drouillard; J. E. Elliott</t>
  </si>
  <si>
    <t>FECAL GENOTYPING AND CONTAMINANT ANALYSES REVEAL VARIATION IN INDIVIDUAL RIVER OTTER EXPOSURE TO LOCALIZED PERSISTENT CONTAMINANTS</t>
  </si>
  <si>
    <t>D. A. Guertin; A. S. Harestad; J. E. Elliott</t>
  </si>
  <si>
    <t>Summer Feeding Habits of River Otters Inhabiting a Contaminated Coastal Marine Environment</t>
  </si>
  <si>
    <t>C. Lemarchand; R. Rosoux; P. Berny</t>
  </si>
  <si>
    <t>Organochlorine pesticides, PCBs, heavy metals and anticoagulant rodenticides in tissues of Eurasian otters (Lutra lutra) from upper Loire River catchment (France)</t>
  </si>
  <si>
    <t>H. Christensen; T. M. Heggberget; A. C. Gutleb</t>
  </si>
  <si>
    <t>Polychlorinated Biphenyls and Reproductive Performance in Otters From the Norwegian Coast</t>
  </si>
  <si>
    <t>K. A. Harris; L. M. Nichol; P. S. Ross</t>
  </si>
  <si>
    <t>HYDROCARBON CONCENTRATIONS AND PATTERNS IN FREE-RANGING SEA OTTERS (ENHYDRA LUTRIS) FROM BRITISH COLUMBIA, CANADA</t>
  </si>
  <si>
    <t>D. H. Monson; D. F. Doak; B. E. Ballachey; J. L. Bodkin</t>
  </si>
  <si>
    <t>Could residual oil from the Exxon Valdez spill create a long-term population sink" for sea otters in Alaska?"</t>
  </si>
  <si>
    <t>J. M. Neff; D. S. Page; P. D. Boehm</t>
  </si>
  <si>
    <t>EXPOSURE OF SEA OTTERS AND HARLEQUIN DUCKS IN PRINCE WILLIAM SOUND, ALASKA, USA, TO SHORELINE OIL RESIDUES 20 YEARS AFTER THE EXXON VALDEZ OIL SPILL</t>
  </si>
  <si>
    <t>S. H. Spencer; D. Shutler; M. S. O'Brien</t>
  </si>
  <si>
    <t>CORRELATES OF MERCURY IN FEMALE RIVER OTTERS (LONTRA CANADENSIS) FROM NOVA SCOTIA, CANADA</t>
  </si>
  <si>
    <t>E. A. Chadwick; V. R. Simpson; A. E. L. Nicholls; F. M. Slater</t>
  </si>
  <si>
    <t>Lead Levels in Eurasian Otters Decline with Time and Reveal Interactions between Sources, Prevailing Weather, And Stream Chemistry</t>
  </si>
  <si>
    <t>M. W. Gabriel; L. W. Woods; R. Poppenga; R. A. Sweitzer; C. Thompson; S. M. Matthews; J. M. Higley; S. M. Keller; K. Purcell; R. H. Barrett; G. M. Wengert; B. N. Sacks; D. L. Clifford</t>
  </si>
  <si>
    <t>Anticoagulant Rodenticides on our Public and Community Lands: Spatial Distribution of Exposure and Poisoning of a Rare Forest Carnivore</t>
  </si>
  <si>
    <t>J. L. Bodkin; B. E. Ballachey; H. A. Coletti; G. G. Esslinger; K. A. Kloecker; S. D. Rice; J. A. Reed; D. H. Monson</t>
  </si>
  <si>
    <t>Long-term effects of the 'Exxon Valdez' oil spill: sea otter foraging in the intertidal as a pathway of exposure to lingering oil</t>
  </si>
  <si>
    <t>M. Delibes; J. Calzada; M. Clavero; N. Fernandez; C. Gutierrez-Exposito; E. Revilla; J. Roman</t>
  </si>
  <si>
    <t>The Near Threatened Eurasian otter Lutra lutra in Morocco: no sign of recovery</t>
  </si>
  <si>
    <t>R. Mateo; J. Milian; J. Rodriguez-Estival; P. R. Camarero; F. Palomares; M. E. Ortiz-Santaliestra</t>
  </si>
  <si>
    <t>Levels of organochlorine pesticides and polychlorinated biphenyls in the critically endangered Iberian lynx and other sympatric carnivores in Spain</t>
  </si>
  <si>
    <t>R. Romero; J. Guitian; J. Ruiz-Olmo</t>
  </si>
  <si>
    <t>Changes in the diet of coastal otters after the Prestige oil spill (Galicia, north-west Spain)</t>
  </si>
  <si>
    <t>A. M. Roos; B. Backlin; B. O. Helander; F. E. Riget; U. C. Eriksson</t>
  </si>
  <si>
    <t>Improved reproductive success in otters (Lutra lutra), grey seals (Halichoerus grypus) and sea eagles (Haliaeetus albicilla) from Sweden in relation to concentrations of organochlorine contaminants</t>
  </si>
  <si>
    <t>B. E. Ballachey; J. L. Bodkin; D. H. Monson</t>
  </si>
  <si>
    <t>Quantifying long-term risks to sea otters from the 1989 'Exxon Valdez' oil spill: Reply to Harwell &amp; Gentile (2013) Reply COMMENT</t>
  </si>
  <si>
    <t>M. A. Harwell; J. H. Gentile</t>
  </si>
  <si>
    <t>Quantifying long-term risks to sea otters from the 1989 'Exxon Valdez' oil spill: Comment on Bodkin et al. (2012) COMMENT</t>
  </si>
  <si>
    <t>N. N. Ramos-Rosas; C. Valdespino; J. Garcia-Hernandez; J. P. Gallo-Reynoso; E. J. Olguin</t>
  </si>
  <si>
    <t>Heavy metals in the habitat and throughout the food chain of the Neotropical otter, Lontra longicaudis, in protected Mexican wetlands</t>
  </si>
  <si>
    <t>A. Roos; U. Berger; U. Jarnberg; J. van Dijk; A. Bignert</t>
  </si>
  <si>
    <t>Increasing Concentrations of Perfluoroalkyl Acids in Scandinavian Otters (Lutra lutra) between 1972 and 2011: A New Threat to the Otter Population?</t>
  </si>
  <si>
    <t>C. Thompson; R. Sweitzer; M. Gabriel; K. Purcell; R. Barrett; R. Poppenga</t>
  </si>
  <si>
    <t>Impacts of Rodenticide and Insecticide Toxicants from Marijuana Cultivation Sites on Fisher Survival Rates in the Sierra National Forest, California</t>
  </si>
  <si>
    <t>B. A. Rattner; R. S. Lazarus; J. E. Elliott; R. F. Shore; N. van den Brink</t>
  </si>
  <si>
    <t>Adverse Outcome Pathway and Risks of Anticoagulant Rodenticides to Predatory Wildlife</t>
  </si>
  <si>
    <t>A. Geduhn; A. Esther; D. Schenke; H. Mattes; J. Jacob</t>
  </si>
  <si>
    <t>Spatial and temporal exposure patterns in non-target small mammals during brodifacoum rat control</t>
  </si>
  <si>
    <t>Assessing Risks to Sea Otters and the Exxon Valdez Oil Spill: New Scenarios, Attributable Risk, and Recovery</t>
  </si>
  <si>
    <t>A. Pountney; A. L. Filby; G. O. Thomas; V. R. Simpson; E. A. Chadwick; J. R. Stevens; C. R. Tyler</t>
  </si>
  <si>
    <t>High liver content of polybrominated diphenyl ether (PBDE) in otters (Lutra lutra) from England and Wales</t>
  </si>
  <si>
    <t>S. Kang; J. H. Kang; S. Kim; S. H. Lee; S. Lee; H. J. Yu; S. J. Oh; J. D. Park; K. H. Nam; S. Y. Han; J. D. Lim; D. Y. Ryu</t>
  </si>
  <si>
    <t>Trace element analysis of three tissues from Eurasian otters (Lutra lutra) in South Korea</t>
  </si>
  <si>
    <t>G. W. Witmer; N. P. Snow; R. S. Moulton</t>
  </si>
  <si>
    <t>Retention time of chlorophacinone in black-tailed prairie dogs informs secondary hazards from a prairie dog rodenticide bait</t>
  </si>
  <si>
    <t>L. Bowen; A. K. Miles; B. Ballachey; S. Waters; J. Bodkin</t>
  </si>
  <si>
    <t>Gene Transcript Profiling in Sea Otters Post-Exxon Valdez Oil Spill: A Tool for Marine Ecosystem Health Assessment</t>
  </si>
  <si>
    <t>E. K. Peterson; B. A. Schulte</t>
  </si>
  <si>
    <t>Impacts of Pollutants on Beavers and Otters with Implications for Ecosystem Ramifications</t>
  </si>
  <si>
    <t>S. Pagacz</t>
  </si>
  <si>
    <t>The effect of a major drainage divide on the gene flow of a semiaquatic carnivore, the Eurasian otter</t>
  </si>
  <si>
    <t>Poland / Slovakia</t>
  </si>
  <si>
    <t>P. J. Thomas; K. M. Eccles; L. J. Mundy</t>
  </si>
  <si>
    <t>Spatial modelling of non-target exposure to anticoagulant rodenticides can inform mitigation options in two boreal predators inhabiting areas with intensive oil and gas development</t>
  </si>
  <si>
    <t>M. Elmeros; P. Lassen; R. Bossi; C. J. Topping</t>
  </si>
  <si>
    <t>Exposure of stone marten (Martes foina) and polecat (Mustela putorius) to anticoagulant rodenticides: Effects of regulatory restrictions of rodenticide use</t>
  </si>
  <si>
    <t>K. A. Sainsbury; R. F. Shore; H. Schofield; E. Croose; M. G. Pereira; D. Sleep; A. C. Kitchener; G. Hantke; R. A. McDonald</t>
  </si>
  <si>
    <t>Long-term increase in secondary exposure to anticoagulant rodenticides in European polecats &amp;ITMustela putorius&amp;IT in Great Britain</t>
  </si>
  <si>
    <t>C. Sutherland; A. K. Fuller; J. A. Royle; S. Madden</t>
  </si>
  <si>
    <t>Large-scale variation in density of an aquatic ecosystem indicator species</t>
  </si>
  <si>
    <t>D. Esler; B. E. Ballachey; C. Matkin; D. Cushing; R. Kaler; J. Bodkin; D. Monson; G. Esslinger; K. Kloecker</t>
  </si>
  <si>
    <t>Timelines and mechanisms of wildlife population recovery following the Exxon Valdez oil spill</t>
  </si>
  <si>
    <t>S. M. Crowley; D. P. Hodder; C. J. Johnson; D. Yates</t>
  </si>
  <si>
    <t>Wildlife health indicators and mercury exposure: A case study of river otters (Lontra canadensis) in central British Columbia, Canada</t>
  </si>
  <si>
    <t>A. C. Huang; C. Nelson; J. E. Elliott; D. A. Guertin; C. Ritland; K. Drouillard; K. M. Cheng; H. M. Schwantje</t>
  </si>
  <si>
    <t>River otters (Lontra canadensis) trapped" in a coastal environment contaminated with persistent organic pollutants: Demographic and physiological consequences"</t>
  </si>
  <si>
    <t>M. Thiel; G. Luna-Jorquera; R. Alvarez-Varas; C. Gallardo; I. A. Hinojosa; N. Luna; D. Miranda-Urbina; N. Morales; N. Ory; A. S. Pacheco; M. Portflitt-Toro; C. Zavalaga</t>
  </si>
  <si>
    <t>Impacts of Marine Plastic Pollution From Continental Coasts to Subtropical Gyres-Fish, Seabirds, and Other Vertebrates in the SE Pacific</t>
  </si>
  <si>
    <t>Influence of the water quality on the occurrence of the Neotropical otter (Lontra longicaudis) (Olfers, 1818) in a human-altered river basin</t>
  </si>
  <si>
    <t>unspecified</t>
  </si>
  <si>
    <t>L. E. K. Serieys; J. Bishop; N. Okes; J. Broadfield; D. J. Winterton; R. H. Poppenga; S. Viljoen; R. K. Wayne; M. J. O'Riain</t>
  </si>
  <si>
    <t>Widespread anticoagulant poison exposure in predators in a rapidly growing South African city</t>
  </si>
  <si>
    <t>C. Young; T. Eguchi; J. A. Ames; M. Staedler; B. B. Hatfield; M. Harris; E. A. Golson-Fisch</t>
  </si>
  <si>
    <t>Drift and beaching patterns of sea otter carcasses and car tire dummies</t>
  </si>
  <si>
    <t>J. C. Witt; M. C. Spriggs; T. Veverica; C. Steffes; J. Bump</t>
  </si>
  <si>
    <t>BIOACCUMULATION OF MERCURY IN A TERRESTRIAL CARNIVORE, AMERICAN MARTEN (MARTES AMERICANA)</t>
  </si>
  <si>
    <t>C. C. Liu; C. H. Chi; S. C. Yen; J. N. Liu; Y. T. Ju; C. L. Kang; C. H. Chang; P. H. Yu</t>
  </si>
  <si>
    <t>BLOOD LEAD AND ZINC LEVELS AND THEIR IMPACT ON HEALTH OF FREE-LIVING SMALL CARNIVORES IN TAIWAN, REPUBLIC OF CHINA</t>
  </si>
  <si>
    <t>Taiwan</t>
  </si>
  <si>
    <t>Melogale moschata</t>
  </si>
  <si>
    <t>V. Baudrot; J. Fernandez-de-Simon; M. Coeurdassier; G. Couval; P. Giraudoux; X. Lambin</t>
  </si>
  <si>
    <t>Trophic transfer of pesticides: The fine line between predator-prey regulation and pesticide-pest regulation</t>
  </si>
  <si>
    <t>C. W. Sanders; K. Pacifici; G. R. Hess; C. Olfenbuttel; C. S. DePerno</t>
  </si>
  <si>
    <t>Metal contamination of river otters in North Carolina</t>
  </si>
  <si>
    <t>Contaminant Research in Canada</t>
  </si>
  <si>
    <t>The Current Status of the Sea Otter Population in California (December 1986)</t>
  </si>
  <si>
    <t>First Data on Contamination of Otters in the Netherlands</t>
  </si>
  <si>
    <t>Organochlorine Residues in Otter Spraints from Hungary</t>
  </si>
  <si>
    <t>Otter Studies in Finland</t>
  </si>
  <si>
    <t>Assessment of Pollution Risk for the Remaining Otter Populations in Lower Saxony, West Germany</t>
  </si>
  <si>
    <t>Contamination of an Otter found Dead in the F.R.G</t>
  </si>
  <si>
    <t>Anthony R. DeGrange</t>
  </si>
  <si>
    <t>The oil spill in Prince William Sound, Alaska 2</t>
  </si>
  <si>
    <t>Darius Weber</t>
  </si>
  <si>
    <t>The End of the Otter and of Otter Reintroduction Plans in Switzerland</t>
  </si>
  <si>
    <t>Lionel Lafontaine, Guy Joncour and Patrick Menanteau</t>
  </si>
  <si>
    <t>Otters and bio-accumulating pollutants: first data for western France</t>
  </si>
  <si>
    <t>Donald R. Smith, A Russel Flegal and James A. Estes</t>
  </si>
  <si>
    <t>Lead in Sea Otters</t>
  </si>
  <si>
    <t>Ildiko Kemenes</t>
  </si>
  <si>
    <t>Otter Distribution, Status and Conservation Problems in Hungary</t>
  </si>
  <si>
    <t>Arno C Gutleb</t>
  </si>
  <si>
    <t>The Otter in Austria: a Review of the Current State of Research</t>
  </si>
  <si>
    <t>James A. Estes</t>
  </si>
  <si>
    <t>Catastrophes and Conservation: Lessons from Sea Otters and the Exxon Valdez</t>
  </si>
  <si>
    <t>Arno C Gutleb, Christof Schenck and Elka Staib</t>
  </si>
  <si>
    <t>Total Mercury and Methylmercury Levels in Fish from the Department Madre de Díos, Peru</t>
  </si>
  <si>
    <t>Chris Mason</t>
  </si>
  <si>
    <t>Organochlorine Contaminants in Spraints from Captive Otters</t>
  </si>
  <si>
    <t>Chris Mason and Liam O'Sullivan</t>
  </si>
  <si>
    <t>Relationships between PCBs in Otter Livers and Spraints from Gut and Environment</t>
  </si>
  <si>
    <t>Claus Reuther</t>
  </si>
  <si>
    <t>Aktion Fischotterschutz e. V. (German Campaign for Otter Protection): Activities 1992</t>
  </si>
  <si>
    <t>Otter Distribution and Conservation in the Czech Republic</t>
  </si>
  <si>
    <t>S.M. Macdonald and C.F. Mason</t>
  </si>
  <si>
    <t>Pcbs and Organochlorine Pesticide Levels in Otter (Lutra Lutra) Scats from Eastern Scotland</t>
  </si>
  <si>
    <t>Lecture held at the International Workshop: The Otter - Back in Switzerland again? 18.-19.6.1997, Möschberg, Switzerland. It summarises the effect of industrialization, typified by plastics production and subsequent levels of PCBs in the environment, and clearly shows the corelation with reduction in otter numbers. Across Europe, this relationship is found. The results for Wales and the Clydesdale area of Scotland are examined in detail and then related to national trends in the United Kingdom.</t>
  </si>
  <si>
    <t>Lee Harding</t>
  </si>
  <si>
    <t>Contaminants in Otter, Mink and Marten in British Colombia</t>
  </si>
  <si>
    <t>The River Otter (Lontra canadensis) in Clarcke County (Georgia, USA) - Survey, Food Habits and Environmental Factors</t>
  </si>
  <si>
    <t>Kate?ina Poledníková, Jitka V?trovcová, Lukáš Poledník, Václav Hlavá?</t>
  </si>
  <si>
    <t>Carbofuran - A New and Effective Method of Illegal Killing of Otters (Lutra lutra) in the Czech Republic</t>
  </si>
  <si>
    <t xml:space="preserve">Charles Lemarchand, Rene Rosoux and Philippe Berny
</t>
  </si>
  <si>
    <t xml:space="preserve">Ecotoxicology of the Eurasian Otter (Lutra lutra) along Loire River (France) and Predictable Trends due to Global Change
</t>
  </si>
  <si>
    <t>Gilberto Silva-López, María Remedios Mendoza-López, Jesús Samuel Cruz-Sánchez, Oscar García-Barradas, Gabriela López Suárez, Luis G. Abarca-Arenas, Francisco Gutiérrez-Mendieta and Armando Martínez Chacón</t>
  </si>
  <si>
    <t>A Qualitative Assessment of Lontra longicaudis annectens Aquatic Habitats in Alvarado, Mexico</t>
  </si>
  <si>
    <t>Colombian weasel threatened by mercury pollution?</t>
  </si>
  <si>
    <t>Badgers and otters – pesticides and pollution: A European perspective</t>
  </si>
  <si>
    <t>The status of stoats and weasels in Britain</t>
  </si>
  <si>
    <t>Notes on Population Status and Feeding Behaviour of Asian Small-Clawed Otter (Aonyx cinereus) in the Sundarbans Mangrove Forest of Bangladesh</t>
  </si>
  <si>
    <t>Bangladesh</t>
  </si>
  <si>
    <t>AN ANALYSIS OF SOME OF THE FACTORS AFFECTING THE CURRENT DISTRIBUTION OF BADGER MELES-MELES SETTS IN ESSEX</t>
  </si>
  <si>
    <t>J. C. Doyle; D. W. Sample; L. Long; T. R. Van Deelen</t>
  </si>
  <si>
    <t>Space Use and Habitat Selection of American Badgers (Taxidea Taxus) in Southwestern Wisconsin</t>
  </si>
  <si>
    <t>Xavier Gémillet</t>
  </si>
  <si>
    <t>Field Survey of Lutra lutra on Corfu Island (Greece)</t>
  </si>
  <si>
    <t>M. Bonamy; T. M. Herrmann; A. B. Harbicht</t>
  </si>
  <si>
    <t>I think it is the toughest animal in the North': human-wolverine interactions among hunters and trappers in the Canadian Northwest Territories</t>
  </si>
  <si>
    <t>Commercial &amp; industrial areas</t>
  </si>
  <si>
    <t>Changes in the occupation of badger setts in the environs of vilnius within the last decade</t>
  </si>
  <si>
    <t>J. Larroque; S. Ruette; J. M. Vandel; G. Queney; S. Devillard</t>
  </si>
  <si>
    <t>Age and sex-dependent effects of landscape cover and trapping on the spatial genetic structure of the stone marten (Martes foina)</t>
  </si>
  <si>
    <t>Christof Schenck and Eike Staib</t>
  </si>
  <si>
    <t>Giant Otters in Peru</t>
  </si>
  <si>
    <t>Tourism &amp; creation areas</t>
  </si>
  <si>
    <t>J. C. Ray; L. G. Poley; A. J. Magoun; C. L. B. Chetkiewicz; F. M. Southee; F. N. Dawson; C. Chenier</t>
  </si>
  <si>
    <t>Modelling broad-scale wolverine occupancy in a remote boreal region using multi-year aerial survey data</t>
  </si>
  <si>
    <t>J. T. Fisher; S. Bradbury; B. Anholt; L. Nolan; L. Roy; J. P. Volpe; M. Wheatley</t>
  </si>
  <si>
    <t>Wolverines (Gulo gulo luscus) on the Rocky Mountain slopes: natural heterogeneity and landscape alteration as predictors of distribution</t>
  </si>
  <si>
    <t>C. J. Johnson; M. S. Boyce; R. L. Case; H. D. Cluff; R. J. Gau; A. Gunn; R. Mulders</t>
  </si>
  <si>
    <t>Cumulativ eeffects of human developments on arctic wildlife</t>
  </si>
  <si>
    <t>F. E. C. Stewart; N. A. Heim; A. P. Clevenger; J. Paczkowski; J. P. Volpe; J. T. Fisher</t>
  </si>
  <si>
    <t>Wolverine behavior varies spatially with anthropogenic footprint: implications for conservation and inferences about declines</t>
  </si>
  <si>
    <t>R. May; A. Landa; J. van Dijk; J. D. C. Linnell; R. Andersen</t>
  </si>
  <si>
    <t>Impact of infrastructure on habitat selection of wolverines Gulo gulo</t>
  </si>
  <si>
    <t>N. Heim; J. T. Fisher; J. Volpe; A. P. Clevenger; J. Paczkowski</t>
  </si>
  <si>
    <t>Carnivore community response to anthropogenic landscape change: species-specificity foils generalizations</t>
  </si>
  <si>
    <t>J. J. Gomez; J. I. Tunez; N. Fracassi; M. H. Cassini</t>
  </si>
  <si>
    <t>Habitat suitability and anthropogenic correlates of Neotropical river otter (Lontra longicaudis) distribution</t>
  </si>
  <si>
    <t>M. B. Aued; C. Chehebar; G. Porro; D. W. Macdonald; M. H. Cassini</t>
  </si>
  <si>
    <t>Environmental correlates of the distribution of southern river otters Lontra provocax at different ecological scales</t>
  </si>
  <si>
    <t>N. Sivasothi; B. H. M. Nor</t>
  </si>
  <si>
    <t>A REVIEW OF OTTERS (CARNIVORA, MUSTELIDAE, Lutrinae sp.) IN MALAYSIA AND SINGAPORE</t>
  </si>
  <si>
    <t>Malaysia / Singapore</t>
  </si>
  <si>
    <t>K. Van Looy; C. Cavillon; T. Tormos; J. Piffady; P. Landry; Y. Souchon</t>
  </si>
  <si>
    <t>A scale-sensitive connectivity analysis to identify ecological networks and conservation value in river networks</t>
  </si>
  <si>
    <t>David T. Rowe-Rowe</t>
  </si>
  <si>
    <t>Otter distribution and protection in South Africa</t>
  </si>
  <si>
    <t>L. F. Ruggiero; K. S. McKelvey; K. B. Aubry; J. P. Copeland; D. H. Pletscher; I. G. Hornocker</t>
  </si>
  <si>
    <t>Wolverine conservation and management</t>
  </si>
  <si>
    <t>M. A. Scrafford; T. Avgar; B. Abercrombie; J. Tigner; M. S. Boyce</t>
  </si>
  <si>
    <t>Wolverine habitat selection in response to anthropogenic disturbance in the western Canadian boreal forest</t>
  </si>
  <si>
    <t>J. F. Roobitaille; S. Laurence</t>
  </si>
  <si>
    <t>Otter, Lutra lutra, occurrence in Europe and in France in relation to landscape characteristics</t>
  </si>
  <si>
    <t>A. Ruiz-Gonzalez; M. Gurrutxaga; S. A. Cushman; M. J. Madeira; E. Randi; B. J. Gomez-Moliner</t>
  </si>
  <si>
    <t>Landscape Genetics for the Empirical Assessment of Resistance Surfaces: The European Pine Marten (Martes martes) as a Target-Species of a Regional Ecological Network</t>
  </si>
  <si>
    <t>S. Harris</t>
  </si>
  <si>
    <t>ECOLOGY OF URBAN BADGERS MELES-MELES - DISTRIBUTION IN BRITAIN AND HABITAT SELECTION, PERSECUTION, FOOD AND DAMAGE IN THE CITY OF BRISTOL</t>
  </si>
  <si>
    <t>M. Saito; F. Koike</t>
  </si>
  <si>
    <t>Distribution of Wild Mammal Assemblages along an Urban-Rural-Forest Landscape Gradient in Warm-Temperate East Asia</t>
  </si>
  <si>
    <t>Martes melampus</t>
  </si>
  <si>
    <t>Meles anakuma</t>
  </si>
  <si>
    <t>D. E. Haskell; C. R. Webster; D. J. Flaspohler; M. W. Meyer</t>
  </si>
  <si>
    <t>Relationship between carnivore distribution and landscape features in the northern highlands ecological landscape of Wisconsin</t>
  </si>
  <si>
    <t>M. L. Rheingantz; J. F. S. de Menezes; B. de Thoisy</t>
  </si>
  <si>
    <t>Defining Neotropical otter Lontra longicaudis distribution, conservation priorities and ecological frontiers</t>
  </si>
  <si>
    <t>A. K. Fuller; C. S. Sutherland; J. A. Royle; M. P. Hare</t>
  </si>
  <si>
    <t>Estimating population density and connectivity of American mink using spatial capture-recapture</t>
  </si>
  <si>
    <t>D. T. O'Mahony</t>
  </si>
  <si>
    <t>A species distribution model for pine marten (Martes martes) in the least forested region of Europe</t>
  </si>
  <si>
    <t>A. P. Silva; G. Curveira-Santos; K. Kilshaw; C. Newman; D. W. Macdonald; L. G. Simoes; L. M. Rosalino</t>
  </si>
  <si>
    <t>Climate and anthropogenic factors determine site occupancy in Scotland's Northern-range badger population: implications of context-dependent responses under environmental change</t>
  </si>
  <si>
    <t>N. C. Okes; M. J. O'Riain</t>
  </si>
  <si>
    <t>Otter occupancy in the Cape Peninsula: Estimating the probability of river habitat use by Cape clawless otters, Aonyx capensis, across a gradient of human influence</t>
  </si>
  <si>
    <t>Unspecified (general urbanisation)</t>
  </si>
  <si>
    <t>L. A. Perez-Solano; M. Gonzalez; E. Lopez-Tello; S. Mandujano</t>
  </si>
  <si>
    <t>Medium and large mammals associated with the tropical dry forest of central Mexico</t>
  </si>
  <si>
    <t>A. Balestrieri; E. Mori; M. Menchetti; A. Ruiz-Gonzalez; P. Milanesi</t>
  </si>
  <si>
    <t>Far from the madding crowd: Tolerance toward human disturbance shapes distribution and connectivity patterns of closely related Martes spp</t>
  </si>
  <si>
    <t>D. Grajales-Garcia; A. Serrano; A. Capistran-Barradas; C. Naval-Avila; J. M. Pech-Canche; C. Becerril-Gomez</t>
  </si>
  <si>
    <t>Feeding habits of the neotropical otter (Lontra longicaudis annectens) (Carnivora: Mustelidae) in the coastal zone of Tuxpan, Veracruz</t>
  </si>
  <si>
    <t>R. Pita; R. Morgado; F. Moreira; A. Mira; P. Beja</t>
  </si>
  <si>
    <t>Roads, forestry plantations and hedgerows affect badger occupancy in intensive Mediterranean farmland</t>
  </si>
  <si>
    <t>Risto Sulkava</t>
  </si>
  <si>
    <t>The Otter (Lutra lutra) in Central Finland</t>
  </si>
  <si>
    <t>C. D. Apps; N. J. Newhouse; T. A. Kinley</t>
  </si>
  <si>
    <t>Habitat associations of American badgers in southeastern British Columbia</t>
  </si>
  <si>
    <t>Uolvei Skarén</t>
  </si>
  <si>
    <t>Analysis of One Hundred Otters Killed by Accidents in Central Finland</t>
  </si>
  <si>
    <t>S. B. Zhu; S. F. Zhang; M. H. Zhang</t>
  </si>
  <si>
    <t>Update on the status of wolverines in China</t>
  </si>
  <si>
    <t>M. Bjorklund; J. Arrendal</t>
  </si>
  <si>
    <t>Demo-genetic analysis of a recovering population of otters in Central Sweden</t>
  </si>
  <si>
    <t>A. Garces; F. Queiroga; J. Prada; I. Pires</t>
  </si>
  <si>
    <t>A review of the mortality of wild fauna in Europe in the last century: the consequences of human activity</t>
  </si>
  <si>
    <t>Badgers (Meles meles L., 1758) in a mountain area north of Varese (Lombardy -Italy)</t>
  </si>
  <si>
    <t>S. A. Hussain; B. C. Choudhury</t>
  </si>
  <si>
    <t>Distribution and status of the smooth-coated otter Lutrogale perspicillata in National Chambal Sanctuary, India</t>
  </si>
  <si>
    <t>N. W. Van den Brink; W. C. Ma</t>
  </si>
  <si>
    <t>Spatial and temporal trends in levels of trace metals and PCBs in the European badger Meles meles (L., 1758) in The Netherlands: Implications for reproduction</t>
  </si>
  <si>
    <t>R. May; L. Gorini; J. van Dijk; H. Broseth; J. D. C. Linnell; A. Landa</t>
  </si>
  <si>
    <t>Habitat characteristics associated with wolverine den sites in Norwegian multiple-use landscapes</t>
  </si>
  <si>
    <t>R. M. Inman; M. L. Packila; K. H. Inman; A. J. McCue; G. C. White; J. Persson; B. C. Aber; M. L. Orme; K. L. Alt; S. L. Cain; J. A. Fredrick; B. J. Oakleaf; S. S. Sartorius</t>
  </si>
  <si>
    <t>Spatial ecology of wolverines at the southern periphery of distribution</t>
  </si>
  <si>
    <t>D. J. Verwoerd</t>
  </si>
  <si>
    <t>OBSERVATIONS ON THE FOOD AND STATUS OF THE CAPE CLAWLESS OTTER AONYX-CAPENSIS AT BETTY BAY, SOUTH-AFRICA</t>
  </si>
  <si>
    <t>R. Carbonell</t>
  </si>
  <si>
    <t>Managing Spanish European mink populations: Moving from a precautionary approach towards knowledge-based management</t>
  </si>
  <si>
    <t>The distribution and status of the polecat Mustela putorius in Luxembourg</t>
  </si>
  <si>
    <t>A. Planillo; C. Mata; A. Manica; J. E. Malo</t>
  </si>
  <si>
    <t>Carnivore Abundance Near Motorways Related to Prey and Roadkills</t>
  </si>
  <si>
    <t>F. Jacquet</t>
  </si>
  <si>
    <t>THE RETURN OF OTTER (LUTRA LUTRA) IN HAUTE-SAVOIE (FRANCE): DEVELOPMENT OF A NEW METHOD OF HABITAT ANALYSIS</t>
  </si>
  <si>
    <t>R. M. Inman; B. L. Brock; K. H. Inman; S. S. Sartorius; B. C. Aber; B. Giddings; S. L. Cain; M. L. Orme; J. A. Fredrick; B. J. Oakleaf; K. L. Alt; E. Odell; G. Chapron</t>
  </si>
  <si>
    <t>Developing priorities for metapopulation conservation at the landscape scale: Wolverines in the Western United States</t>
  </si>
  <si>
    <t>Biological resource use</t>
  </si>
  <si>
    <t>M. M. Rowland; M. J. Wisdom; D. H. Johnson; B. C. Wales; J. P. Copeland; F. B. Edelmann</t>
  </si>
  <si>
    <t>Evaluation of landscape models for wolverines in the interior northwest, United States of America</t>
  </si>
  <si>
    <t xml:space="preserve">Hyeonjin Kim, Motokazu Ando, Sungyong Han, Hiroshi Sasaki and Hiroshi Ogawa
</t>
  </si>
  <si>
    <t xml:space="preserve">Recovery of the Eurasian Otter Lutra lutra in Korea and the Change in Public Attitude
</t>
  </si>
  <si>
    <t>Korea</t>
  </si>
  <si>
    <t xml:space="preserve">Rachel Kuhn and Hélène Jacques
</t>
  </si>
  <si>
    <t xml:space="preserve">The French Action Plan For The Eurasian Otter
</t>
  </si>
  <si>
    <t>F. F. Vanderzee; J. Wiertz; C. J. F. Terbraak; R. C. Vanapeldoorn</t>
  </si>
  <si>
    <t>LANDSCAPE CHANGE AS A POSSIBLE CAUSE OF THE BADGER MELES-MELES L DECLINE IN THE NETHERLANDS</t>
  </si>
  <si>
    <t>V. R. Simpson</t>
  </si>
  <si>
    <t>Health status of otters (Lutra lutra) in south-west England based on postmortem findings</t>
  </si>
  <si>
    <t>G. P. Clarke; P. C. L. White; S. Harris</t>
  </si>
  <si>
    <t>Effects of roads on badger Meles meles populations in south-west England</t>
  </si>
  <si>
    <t>C. K. Philcox; A. L. Grogan; D. W. Macdonald</t>
  </si>
  <si>
    <t>Patterns of otter Lutra lutra road mortality in Britain</t>
  </si>
  <si>
    <t>A. Guter; A. Dolev; D. Saltz; N. Kronfeld-Schor</t>
  </si>
  <si>
    <t>Temporal and spatial influences on road mortality in otters: Conservation implications</t>
  </si>
  <si>
    <t>P. Fournier; C. Maizeret; C. Fournier-Chambrillon; N. Ilbert; S. Aulagnier; F. Spitz</t>
  </si>
  <si>
    <t>Spatial behaviour of European mink Mustela lutreola and polecat Mustela putorius in southwestern France</t>
  </si>
  <si>
    <t>T. A. Kinley; N. J. Newhouse</t>
  </si>
  <si>
    <t>Ecology and translocation-aided recovery of an endangered badger population</t>
  </si>
  <si>
    <t>Badger Roadkill Risk in Relation to the Presence of Culverts and Jersey Barriers</t>
  </si>
  <si>
    <t>M. A. Sepulveda; J. L. Bartheld; C. Meynard; M. Benavides; C. Astorga; D. Parra; G. Medina-Vogel</t>
  </si>
  <si>
    <t>Landscape features and crustacean prey as predictors of the Southern river otter distribution in Chile</t>
  </si>
  <si>
    <t>A. C. Frantz; L. C. Pope; T. R. Etherington; G. J. Wilson; T. Burke</t>
  </si>
  <si>
    <t>Using isolation-by-distance-based approaches to assess the barrier effect of linear landscape elements on badger (Meles meles) dispersal</t>
  </si>
  <si>
    <t>F. N. Dawson; A. J. Magoun; J. Bowman; J. C. Ray</t>
  </si>
  <si>
    <t>Wolverine, Gulo gulo, Home Range Size and Denning Habitat in Lowland Boreal Forest in Ontario</t>
  </si>
  <si>
    <t>C. Grilo; J. Sousa; F. Ascensao; H. Matos; I. Leitao; P. Pinheiro; M. Costa; J. Bernardo; D. Reto; R. Lourenco; M. Santos-Reis; E. Revilla</t>
  </si>
  <si>
    <t>Individual Spatial Responses towards Roads: Implications for Mortality Risk</t>
  </si>
  <si>
    <t>F. Markolt; L. Szemethy; R. Lehoczki; M. Heltai</t>
  </si>
  <si>
    <t>Spatial and temporal evaluation of wildlife-vehicle collisions along the M3 Highway in Hungary</t>
  </si>
  <si>
    <t>S. Palazon; Y. Melero; A. Gomez; J. L. de Luzuriaga; M. Podra; J. Gosalbez</t>
  </si>
  <si>
    <t>Causes and patterns of human-induced mortality in the Critically Endangered European mink Mustela lutreola in Spain</t>
  </si>
  <si>
    <t>R. Barrientos; J. D. Miranda</t>
  </si>
  <si>
    <t>Can we explain regional abundance and road-kill patterns with variables derived from local-scale road-kill models? Evaluating transferability with the European polecat</t>
  </si>
  <si>
    <t>A. M. Serronha; A. R. A. Mateus; F. Eaton; M. Santos-Reis; C. Grilo</t>
  </si>
  <si>
    <t>Towards effective culvert design: monitoring seasonal use and behavior by Mediterranean mesocarnivores</t>
  </si>
  <si>
    <t>A. Balestrieri; G. Bogliani; G. Boano; A. Ruiz-Gonzalez; N. Saino; S. Costa; P. Milanesi</t>
  </si>
  <si>
    <t>Modelling the Distribution of Forest-Dependent Species in Human-Dominated Landscapes: Patterns for the Pine Marten in Intensively Cultivated Lowlands</t>
  </si>
  <si>
    <t>S. Fagart; C. Heurtebise; G. Quaintenne; P. Jourde; T. Micol</t>
  </si>
  <si>
    <t>FREQUENTATION OF NOZZLES DEDICATED TO SMALL AND MEDIUM CROSSINGS FAUNA UNDER TWO MOTORWAYS FROM THE WEST OF FRANCE. BALANCE OF BOTH FIRST YEARS OF TRACKING BY PHOTOGRAPHIC TRAPS</t>
  </si>
  <si>
    <t>A. Ceia-Hasse; L. Borda-de-Agua; C. Grilo; H. M. Pereira</t>
  </si>
  <si>
    <t>Global exposure of carnivores to roads</t>
  </si>
  <si>
    <t>Martes gwatkinsii</t>
  </si>
  <si>
    <t>J. Sunga; J. Sayers; K. Cottenie; C. J. Kyle; D. M. Ethier</t>
  </si>
  <si>
    <t>The effects of roads on habitat selection and movement patterns of the American badger subspecies Taxidea taxus jacksoni in Ontario, Canada</t>
  </si>
  <si>
    <t>M. A. Scrafford; T. Avgar; R. Heeres; M. S. Boyce</t>
  </si>
  <si>
    <t>Roads elicit negative movement and habitat-selection responses by wolverines (Gulo gulo luscus)</t>
  </si>
  <si>
    <t>L. Quaglietta; M. Porto; A. T. Ford</t>
  </si>
  <si>
    <t>Simulating animal movements to predict wildlife-vehicle collisions: illustrating an application of the novel R package SiMRiv</t>
  </si>
  <si>
    <t>A. T. Ford; A. P. Clevenger</t>
  </si>
  <si>
    <t>Factors affecting the permeability of road mitigation measures to the movement of small mammals</t>
  </si>
  <si>
    <t>M. Fabrizio; M. Di Febbraro; M. D'Amico; L. Frate; F. Roscioni; A. Loy</t>
  </si>
  <si>
    <t>Habitat suitability vs landscape connectivity determining roadkill risk at a regional scale: a case study on European badger (Meles meles)</t>
  </si>
  <si>
    <t>M. A. Sawaya; A. P. Clevenger; M. K. Schwartz</t>
  </si>
  <si>
    <t>Demographic fragmentation of a protected wolverine population bisected by a major transportation corridor</t>
  </si>
  <si>
    <t>Lionel Lafontaine</t>
  </si>
  <si>
    <t>Distribution of Lutra lutra in Brittany and First Preventative Measures against Road Traffic</t>
  </si>
  <si>
    <t>Olaf Körbel</t>
  </si>
  <si>
    <t>Hindering Otter Lutra lutra Road Kills Part 1</t>
  </si>
  <si>
    <t>Hindering Otter Lutra lutra Road Kills Part 2</t>
  </si>
  <si>
    <t>Aksel Bo Madsen, Hans Henrik Dietz, Per Henriksen and Bjarne Clausen</t>
  </si>
  <si>
    <t>Survey of Danish Free Living Otters Lutra lutra - a Consecutive Collection and Necroscopy of Dead Bodies.</t>
  </si>
  <si>
    <t>Traffic Mortalities of the Otter and Road-Passes: a Database</t>
  </si>
  <si>
    <t>Adam Grogan, Rosemary Green and Steve Rushton</t>
  </si>
  <si>
    <t>The Impacts of Roads on Eurasian Otters (Lutra lutra)</t>
  </si>
  <si>
    <t>On the status of Martes foina bunites Bate, 1905</t>
  </si>
  <si>
    <t>The Stone Marten Martes foina milleri on the Island of Rhodes</t>
  </si>
  <si>
    <t>Oldemar Carvalho-Junior, Alesandra Bez Birolo and Luis C.P. de Macedo-Soares</t>
  </si>
  <si>
    <t>Ecological Aspects of Neotropical Otter (Lontra longicaudis) in Peri Lagoon, South Brazil</t>
  </si>
  <si>
    <t>Country_source</t>
  </si>
  <si>
    <t>country</t>
  </si>
  <si>
    <t>Region_source</t>
  </si>
  <si>
    <t>region</t>
  </si>
  <si>
    <t>sub-region</t>
  </si>
  <si>
    <t>specie</t>
  </si>
  <si>
    <t>threats_l1</t>
  </si>
  <si>
    <t>Subthreat.1a.revised</t>
  </si>
  <si>
    <t>Subthreat.1b.revised</t>
  </si>
  <si>
    <t>Subthreat.1c.revised</t>
  </si>
  <si>
    <t>Subthreat.2a.revised</t>
  </si>
  <si>
    <t>Subthreat.2b.revised</t>
  </si>
  <si>
    <t>Subthreat.3a.revised</t>
  </si>
  <si>
    <t>Subthreat.3b.revised</t>
  </si>
  <si>
    <t>Subthreat.4.revised</t>
  </si>
  <si>
    <t>Subthreat.5.revised</t>
  </si>
  <si>
    <t>threats_l0</t>
  </si>
  <si>
    <t>Threat.1.revised</t>
  </si>
  <si>
    <t>Threat.2.revised</t>
  </si>
  <si>
    <t>Threat.3.revised</t>
  </si>
  <si>
    <t>Threat.4.revised</t>
  </si>
  <si>
    <t>Threat.5.revised</t>
  </si>
  <si>
    <t>Title search string</t>
  </si>
  <si>
    <t>Afghanistan</t>
  </si>
  <si>
    <t/>
  </si>
  <si>
    <t>["Africa"]</t>
  </si>
  <si>
    <t>["Aonyx congicus"]</t>
  </si>
  <si>
    <t>Hunting &amp; Collecting Terrestrial Animals</t>
  </si>
  <si>
    <t>Logging &amp; Wood Harvesting</t>
  </si>
  <si>
    <t>"The Congo clawless otter (Aonyx congicus) (Mustelidae: Lutrinae sp.): a review of its systematics, distribution and conservation status" OR</t>
  </si>
  <si>
    <t>["Albania"]</t>
  </si>
  <si>
    <t>["Europe and Central Asia"]</t>
  </si>
  <si>
    <t>["Lutra lutra"]</t>
  </si>
  <si>
    <t>"Eurasian otter Lutra lutra in developing countries: a resurvey of Albania 22 years after the fall of communism" OR</t>
  </si>
  <si>
    <t>"THE OTTER LUTRA-LUTRA IN ALBANIA" OR</t>
  </si>
  <si>
    <t>["Argentina"]</t>
  </si>
  <si>
    <t>["Americas"]</t>
  </si>
  <si>
    <t>["Lontra provocax"]</t>
  </si>
  <si>
    <t>"A SURVEY OF THE SOUTHERN RIVER OTTER LUTRA-PROVOCAX IN LANIN-NATIONAL-PARK PUELO-NATIONAL-PARK AND LOS-ALERCES-NATIONAL-PARK, ARGENTINA, AND EVALUATION OF ITS CONSERVATION STATUS" OR</t>
  </si>
  <si>
    <t>["Galictis cuja"]</t>
  </si>
  <si>
    <t>"Geographic distribution, natural history and conservation of the lesser grison Galictis cuja (Carnivora: Mustelidae) from Central Patagonia, Argentina" OR</t>
  </si>
  <si>
    <t>["Lyncodon patagonicus"]</t>
  </si>
  <si>
    <t>"A new distributional record for Lyncodon patagonicus (Carnivora: Mustelidae), one of the smallest and least known mustelids of South America" OR</t>
  </si>
  <si>
    <t>"Do alien North American mink compete for resources with native South American river otter in Argentinean Patagonia?" OR</t>
  </si>
  <si>
    <t>["Neovison vison"]</t>
  </si>
  <si>
    <t>"Serology and protein electrophoresis for evidence of exposure to 12 mink pathogens in free-ranging American mink (Neovison vison) in Argentina" OR</t>
  </si>
  <si>
    <t>["Lontra longicaudis"]</t>
  </si>
  <si>
    <t>"Salicaceae afforestations: advantage or disadvantage for Neotropical otter in its southernmost distribution?" OR</t>
  </si>
  <si>
    <t>"Defining conservation status using limited information: the case of Patagonian otters Lontra provocax in Argentina" OR</t>
  </si>
  <si>
    <t>"Diversity of mtDNA in Southern river otter (Lontra provocax) from Argentinean Patagonia" OR</t>
  </si>
  <si>
    <t>["Austria"]</t>
  </si>
  <si>
    <t>"Riparian vegetation provides crucial shelter for resting otters in a human-dominated landscape" OR</t>
  </si>
  <si>
    <t>["Belarus"]</t>
  </si>
  <si>
    <t>Fishing &amp; Harvesting Aquatic Resources</t>
  </si>
  <si>
    <t>"STRUCTURE, REPRODUCTIVE STATUS AND DYNAMICS OF THE OTTER POPULATION IN BELORUSSIA" OR</t>
  </si>
  <si>
    <t>["Martes martes"]</t>
  </si>
  <si>
    <t>"Effect of felling on the distribution of rodents and their predators in a transitional mixed forest" OR</t>
  </si>
  <si>
    <t>["Mustela lutreola"]</t>
  </si>
  <si>
    <t>"Body size, and interactions between European and American mink (Mustela lutreola and M-vison) in Eastern Europe" OR</t>
  </si>
  <si>
    <t>["Martes martes", "Meles meles", "Mustela putorius"]</t>
  </si>
  <si>
    <t>"Dietary overlap among generalist carnivores in relation to the impact of the introduced raccoon dog Nyctereutes procyonoides on native predators in northern Belarus" OR</t>
  </si>
  <si>
    <t>"Density dynamics and changes in habitat use by the European mink and other native mustelids in connection with the American mink expansion in Belarus" OR</t>
  </si>
  <si>
    <t>["Mustela erminea"]</t>
  </si>
  <si>
    <t>"The stoat Mustela erminea population decline in northern Belarus and its consequences for weasels Mustela nivalis" OR</t>
  </si>
  <si>
    <t>["Mustela lutreola", "Mustela putorius", "Mustela erminea", "Meles meles", "Martes martes"]</t>
  </si>
  <si>
    <t>"The structure of vertebrate predator community in north-eastern Belarus before and after naturalization of the American mink and raccoon dog" OR</t>
  </si>
  <si>
    <t>["Belgium"]</t>
  </si>
  <si>
    <t>Hunting &amp; collecting terrestrial animals</t>
  </si>
  <si>
    <t>"The otter (Lutra lutra Linnaeus, 1758) in Belgium: an unpopular and maltreated species (19th-early 20th centuries)" OR</t>
  </si>
  <si>
    <t>["Martes foina"]</t>
  </si>
  <si>
    <t>"A distemper outbreak in beech martens (Martes foina) in Flanders" OR</t>
  </si>
  <si>
    <t>["Benin"]</t>
  </si>
  <si>
    <t>["Hydrictis maculicollis"]</t>
  </si>
  <si>
    <t>"Conflict between spotted-necked otters and fishermen in Hlan River, Benin" OR</t>
  </si>
  <si>
    <t>["Brazil"]</t>
  </si>
  <si>
    <t>["Pteronura brasiliensis"]</t>
  </si>
  <si>
    <t>"Reoccupation of historical areas by the endangered giant river otter Pteronura brasiliensis (Carnivora: Mustelidae) in Central Amazonia, Brazil" OR</t>
  </si>
  <si>
    <t>Logging &amp; wood harvesting</t>
  </si>
  <si>
    <t>"Safeguarding the Pantanal wetlands: Threats and conservation initiatives" OR</t>
  </si>
  <si>
    <t>Local Knowledge and Conflicts With Otters in Western Brazilian Amazon: A Preliminary Report</t>
  </si>
  <si>
    <t>"The use of hydroelectric lakes by giant otters Pteronura brasiliensis: Balbina lake in central Amazonia, Brazil" OR</t>
  </si>
  <si>
    <t>["Eira barbara", "Galictis cuja"]</t>
  </si>
  <si>
    <t>"Forest cover influences occurrence of mammalian carnivores within Brazilian Atlantic Forest" OR</t>
  </si>
  <si>
    <t>"Anthropogenic and seasonal determinants of giant otter sightings along waterways in the northern Brazilian Amazon" OR</t>
  </si>
  <si>
    <t>"Human-modified landscape acts as refuge for mammals in Atlantic Forest" OR</t>
  </si>
  <si>
    <t>["Eira barbara"]</t>
  </si>
  <si>
    <t>"Determining carnivore habitat use in a rubber/forest landscape in Brazil using multispecies occupancy models" OR</t>
  </si>
  <si>
    <t>"Conflict between Fishermen and Giant Otters Pteronura brasiliensis in Western Brazilian Amazon" OR</t>
  </si>
  <si>
    <t>"Social organization and territoriality of giant otters (Carnivora : Mustelidae) in a seasonally flooded savanna in Brazil" OR</t>
  </si>
  <si>
    <t>"Recovery of the Endangered giant otter Pteronura brasiliensis on the Yavari-Mirin and Yavari Rivers: a success story for CITES" OR</t>
  </si>
  <si>
    <t>"Interactions between the Neotropical otter (Lontra longicaudis) and gillnet fishery in the southern Brazilian coast" OR</t>
  </si>
  <si>
    <t>"The return of giant otter to the Baniwa Landscape: A multi-scale approach to species recovery in the middle Icana River, Northwest Amazonia, Brazil" OR</t>
  </si>
  <si>
    <t>["Lontra longicaudis", "Pteronura brasiliensis"]</t>
  </si>
  <si>
    <t>"Differential resilience of Amazonian otters along the Rio Negro in the aftermath of the 20th century international fur trade" OR</t>
  </si>
  <si>
    <t>"Impact of a natural disaster on the habitat and occurrence of Lontra longicaudis (Mustelidae, Carnivora) in Serra da Prata, Parana, Brazil" OR</t>
  </si>
  <si>
    <t>["Pteronura brasiliensis", "Lontra longicaudis"]</t>
  </si>
  <si>
    <t>"Cryptosporidium spp. and Giardia sp in aquatic mammals in northern and northeastern Brazil" OR</t>
  </si>
  <si>
    <t>"Canine distemper virus infection in a lesser grison (Galictis cuja): first report and virus phylogeny" OR</t>
  </si>
  <si>
    <t>"Lontra longicaudis infected with canine parvovirus and parasitized by Dioctophyma renale" OR</t>
  </si>
  <si>
    <t>"Giant otter population responses to habitat expansion and degradation induced by a mega hydroelectric dam" OR</t>
  </si>
  <si>
    <t>["Lutrinae sp."]</t>
  </si>
  <si>
    <t>"Mercury contamination of fish and its implications for other wildlife of the Tapajos Basin, Brazilian Amazon" OR</t>
  </si>
  <si>
    <t>["Bulgaria"]</t>
  </si>
  <si>
    <t>["Vormela peregusna"]</t>
  </si>
  <si>
    <t>"Genetic diversity of MHC class II DRB alleles in the marbled polecat, Vormela peregusna, in Bulgaria" OR</t>
  </si>
  <si>
    <t>["Canada"]</t>
  </si>
  <si>
    <t>["North America"]</t>
  </si>
  <si>
    <t>["Gulo gulo"]</t>
  </si>
  <si>
    <t>"Mechanisms influencing the winter distribution of wolverine Gulo gulo luscus ien the southern Columbia Mountains, Canada" OR</t>
  </si>
  <si>
    <t>"Status of the wolverine Gulo gulo in Canada" OR</t>
  </si>
  <si>
    <t>["Martes americana"]</t>
  </si>
  <si>
    <t>"Management strategies for a large-scale mountain pine beetle outbreak: Modelling impacts on American martens" OR</t>
  </si>
  <si>
    <t>"Habitat suitability for marten of second-growth balsam fir forests in Newfoundland" OR</t>
  </si>
  <si>
    <t>["Pekania pennanti"]</t>
  </si>
  <si>
    <t>"Using a genetic network to parameterize a landscape resistance surface for fishers, Pekania pennanti" OR</t>
  </si>
  <si>
    <t>"Marten Fur Harvests and Landscape Change in West-Central Alberta" OR</t>
  </si>
  <si>
    <t>"The Sustainability of Wolverine Trapping Mortality in Southern Canada" OR</t>
  </si>
  <si>
    <t>"Roads, logging, and the large-mammal community of an eastern Canadian boreal forest" OR</t>
  </si>
  <si>
    <t>"Multiscale habitat use by wolverines in British Columbia, Canada" OR</t>
  </si>
  <si>
    <t>"The abundance and distribution of wolverines in British Columbia, Canada" OR</t>
  </si>
  <si>
    <t>"Genetic monitoring suggests increasing structure following recolonization by fishers" OR</t>
  </si>
  <si>
    <t>"Contrasting levels of genetic differentiation among populations of wolverines (Gulo gulo) from northern Canada revealed by nuclear and mitochondrial loci" OR</t>
  </si>
  <si>
    <t>"Fishers, farms, and forests in eastern North America" OR</t>
  </si>
  <si>
    <t>["Lontra canadensis"]</t>
  </si>
  <si>
    <t>"Impact of Population Expansion on Genetic Diversity and Structure of River Otters (Lontra canadensis) in Central North America" OR</t>
  </si>
  <si>
    <t>"A SNOWSHOE HARE SNARE SYSTEM TO MINIMIZE CAPTURE OF MARTEN" OR</t>
  </si>
  <si>
    <t>["Enhydra lutris"]</t>
  </si>
  <si>
    <t>"Updated status of the Sea Otter, Enhydra lutris, in Canada" OR</t>
  </si>
  <si>
    <t>"Genetic variability of wolverines (Gulo gulo) from the Northwest Territories, Canada: Conservation implications" OR</t>
  </si>
  <si>
    <t>"Assessment of the sustainability of wolverine harvest in British Columbia, Canada" OR</t>
  </si>
  <si>
    <t>"Temporal variation in the population characteristics of harvested wolverine (Gulo gulo) in northwestern Canada" OR</t>
  </si>
  <si>
    <t>"Low wolverine (Gulo gulo) density in a national park complex of the Canadian Rocky Mountains" OR</t>
  </si>
  <si>
    <t>"Temporal and spatial dynamics of boreal forest structure in western Newfoundland: Silvicultural implications for marten habitat management" OR</t>
  </si>
  <si>
    <t>"Marten habitat selection in a clearcut boreal landscape" OR</t>
  </si>
  <si>
    <t>"Effects of mid-winter snow depth on stand selection by Wolverines, Gulo gulo luscus, in the boreal forest" OR</t>
  </si>
  <si>
    <t>"Habitat selection of American marten in a logged landscape at the southern fringe of the boreal forest" OR</t>
  </si>
  <si>
    <t>"Paradigm Shifts in Habitat Ecology of Threatened Newfoundland Martens" OR</t>
  </si>
  <si>
    <t>"Working with experts to quantify changes in the abundance of furbearers following rapid and large-scale forest harvesting" OR</t>
  </si>
  <si>
    <t>"Food habits of wolverine Gulo gulo in montane ecosystems of British Columbia, Canada" OR</t>
  </si>
  <si>
    <t>"Mitigating Highways for a Ghost: Data Collection Challenges and Implications for Managing Wolverines and Transportation Corridors" OR</t>
  </si>
  <si>
    <t>"Hybridization between escaped domestic and wild American mink (Neovison vison)" OR</t>
  </si>
  <si>
    <t>"Assessing the potential for impacts by feral mink on wild mink in Canada" OR</t>
  </si>
  <si>
    <t>"Hybridization of domestic mink with wild American mink (Neovison vison) in eastern Canada" OR</t>
  </si>
  <si>
    <t>["Mustela frenata", "Mustela erminea", "Neovison vison"]</t>
  </si>
  <si>
    <t>"MUSTELID, SQUIRREL, AND PORCUPINE POPULATION TRENDS DURING A SNOWSHOE HARE CYCLE" OR</t>
  </si>
  <si>
    <t>["Taxidea taxus"]</t>
  </si>
  <si>
    <t>"THE OCCURRENCE OF PATHOGENS IN AN ENDANGERED POPULATION OF AMERICAN BADGERS (TAXIDEA TAXUS JACKSONI) IN ONTARIO, CANADA" OR</t>
  </si>
  <si>
    <t>"Lack of Spatial Immunogenetic Structure among Wolverine (Gulo gulo) Populations Suggestive of Broad Scale Balancing Selection" OR</t>
  </si>
  <si>
    <t>"Population subdivision and peripheral isolation in American badgers (Taxidea taxus) and implications for conservation planning in Canada" OR</t>
  </si>
  <si>
    <t>["Pekania pennanti", "Martes americana"]</t>
  </si>
  <si>
    <t>"Spatial modelling of non-target exposure to anticoagulant rodenticides can inform mitigation options in two boreal predators inhabiting areas with intensive oil and gas development" OR</t>
  </si>
  <si>
    <t>"Chlorinated hydrocarbon contaminants in feces of river otters from the southern Pacific coast of Canada, 1998-2004" OR</t>
  </si>
  <si>
    <t>"FECAL GENOTYPING AND CONTAMINANT ANALYSES REVEAL VARIATION IN INDIVIDUAL RIVER OTTER EXPOSURE TO LOCALIZED PERSISTENT CONTAMINANTS" OR</t>
  </si>
  <si>
    <t>"Summer Feeding Habits of River Otters Inhabiting a Contaminated Coastal Marine Environment" OR</t>
  </si>
  <si>
    <t>"The effects of hexachlorobenzene on mink in the Canadian environment: An ecological risk assessment" OR</t>
  </si>
  <si>
    <t>"Mercury levels in tissues of otters from Ontario, Canada: Variation with age, sex, and location" OR</t>
  </si>
  <si>
    <t>"Temporal and spatial trends in chlorinated hydrocarbon concentrations of mink in Canadian Lakes Erie and St. Clair" OR</t>
  </si>
  <si>
    <t>"HYDROCARBON CONCENTRATIONS AND PATTERNS IN FREE-RANGING SEA OTTERS (ENHYDRA LUTRIS) FROM BRITISH COLUMBIA, CANADA" OR</t>
  </si>
  <si>
    <t>"CORRELATES OF MERCURY IN FEMALE RIVER OTTERS (LONTRA CANADENSIS) FROM NOVA SCOTIA, CANADA" OR</t>
  </si>
  <si>
    <t>"Wildlife health indicators and mercury exposure: A case study of river otters (Lontra canadensis) in central British Columbia, Canada" OR</t>
  </si>
  <si>
    <t>River otters (Lontra canadensis) trapped" in a coastal environment contaminated with persistent organic pollutants: Demographic and physiological consequences</t>
  </si>
  <si>
    <t>["Chile"]</t>
  </si>
  <si>
    <t>"Habitat use and diet of endangered southern river otter Lontra provocax in a predominantly palustrine wetland in Chile" OR</t>
  </si>
  <si>
    <t>"Habitat use and spatial behaviour of the endangered Southern river otter (Lontra provocax) in riparian habitats of Chile: Conservation implications" OR</t>
  </si>
  <si>
    <t>["Lontra felina"]</t>
  </si>
  <si>
    <t>"Estimation of the diet of chungungo Lontra felina (Molina, 1782) in two locations of the coast of the Biobio Region, Chile" OR</t>
  </si>
  <si>
    <t>"Synanthropy and marine conservation: the case of the marine otter Lontra felina in Southern Chile" OR</t>
  </si>
  <si>
    <t>"Interaction between artisanal fishery and the top predator Lontra felina in Chile" OR</t>
  </si>
  <si>
    <t>"Invasive American Mink: Linking Pathogen Risk Between Domestic and Endangered Carnivores" OR</t>
  </si>
  <si>
    <t>"Toxoplasma gondii infection in wild mustelids and cats across an urban-rural gradient" OR</t>
  </si>
  <si>
    <t>"The influence of riparian vegetation, woody debris, stream morphology and human activity on the use of rivers by southern river otters in Lontra provocax in Chile" OR</t>
  </si>
  <si>
    <t>["China"]</t>
  </si>
  <si>
    <t>["Asia and the Pacific"]</t>
  </si>
  <si>
    <t>["Martes zibellina"]</t>
  </si>
  <si>
    <t>"Geographic characteristics of sable (Martes zibellina) distribution over time in Northeast China" OR</t>
  </si>
  <si>
    <t>"The wolverine Gulo gulo population and its distribution in the Great Khingan Mountains, northeastern China" OR</t>
  </si>
  <si>
    <t>["Meles meles", "Martes martes", "Martes foina"]</t>
  </si>
  <si>
    <t>"Carnivores (Mammalia: Carnivora) in South China: a status review with notes on the commercial trade" OR</t>
  </si>
  <si>
    <t>["Martes flavigula", "Martes zibellina", "Mustela sibirica"]</t>
  </si>
  <si>
    <t>"Human-wildlife competition for Korean pine seeds: vertebrate responses and implications for mixed forests on Changbai Mountain, China" OR</t>
  </si>
  <si>
    <t>["Arctonyx collaris"]</t>
  </si>
  <si>
    <t>"The illegal exploitation of hog badgers (Arctonyx collaris) in China: genetic evidence exposes regional population impacts" OR</t>
  </si>
  <si>
    <t>"Complete mitochondrial genome reveals the phylogenetic relationship of sable Martes zibellina linkouensis" OR</t>
  </si>
  <si>
    <t>"Isolation and Characterization of Microsatellite Markers for the Sable, Martes zibellina (Mammalia: Mustelidae)" OR</t>
  </si>
  <si>
    <t>["Aonyx cinereus", "Lutrogale perspicillata", "Lutra lutra"]</t>
  </si>
  <si>
    <t>"The neglected otters in China: Distribution change in the past 400 years and current conservation status" OR</t>
  </si>
  <si>
    <t>["Lutra lutra", "Lutrogale perspicillata", "Aonyx cinereus"]</t>
  </si>
  <si>
    <t>"Past and present: the status and distribution of otters (Carnivora: Lutrinae sp.) in China" OR</t>
  </si>
  <si>
    <t>["Colombia"]</t>
  </si>
  <si>
    <t>"Population Structure and Genetic Diversity of the Endangered South American Giant Otter (Pteronura brasiliensis) from the Orinoco Basin in Colombia: Management Implications and Application to Current Conservation Programs" OR</t>
  </si>
  <si>
    <t>["Costa Rica"]</t>
  </si>
  <si>
    <t>"Habitat Selection of Lontra Longicaudis (Carnivora, Mustelidae) Under the Influence of the Hydroelectric Dam of Penas Blancas River and Its Tributaries, Alajuela, Costa Rica" OR</t>
  </si>
  <si>
    <t>Report of an Adaptive Reintroduction of a Juvenile Giant Otter (Pteronura brasiliensis)</t>
  </si>
  <si>
    <t>["Czechia"]</t>
  </si>
  <si>
    <t>"Land use drivers of species re-expansion: inferring colonization dynamics in Eurasian otters" OR</t>
  </si>
  <si>
    <t>"Otters vs. fishermen: Stakeholders' perceptions of otter predation and damage compensation in the Czech Republic" OR</t>
  </si>
  <si>
    <t>["Denmark"]</t>
  </si>
  <si>
    <t>"Spatio-temporal population genetics of the Danish pine marten (Martes martes)" OR</t>
  </si>
  <si>
    <t>["Lutra lutra", "Meles meles"]</t>
  </si>
  <si>
    <t>"Prevalence of embedded shotgun pellets in protected and in legally hunted medium-sized carnivores in Denmark" OR</t>
  </si>
  <si>
    <t>["Meles meles"]</t>
  </si>
  <si>
    <t>"Distemper virus as a cause of central nervous disease and death in badgers (Meles meles) in Denmark" OR</t>
  </si>
  <si>
    <t>"ORGANOCHLORINE PESTICIDE-RESIDUES AND PCBS IN DANISH OTTERS (LUTRA-LUTRA)" OR</t>
  </si>
  <si>
    <t>["Martes foina", "Mustela putorius"]</t>
  </si>
  <si>
    <t>"Exposure of stone marten (Martes foina) and polecat (Mustela putorius) to anticoagulant rodenticides: Effects of regulatory restrictions of rodenticide use" OR</t>
  </si>
  <si>
    <t>"MERCURY IN DANISH OTTERS (LUTRA-LUTRA)" OR</t>
  </si>
  <si>
    <t>"Application of biomarkers for exposure and effect of polyhalogenated aromatic hydrocarbons in naturally exposed European otters (Lutra lutra)" OR</t>
  </si>
  <si>
    <t>["Finland"]</t>
  </si>
  <si>
    <t>"Abundances of red fox and pine marten in relation to the composition of boreal forest landscapes" OR</t>
  </si>
  <si>
    <t>["Lutra lutra", "Neovison vison"]</t>
  </si>
  <si>
    <t>"Distributional history of the American mink (Neovison vison) in Finland with special reference to the trends in otter (Lutra lutra) populations" OR</t>
  </si>
  <si>
    <t>"CHANGES IN DISTRIBUTION OF THE EUROPEAN BADGER MELES-MELES IN FINLAND DURING THE RAPID COLONIZATION OF THE RACCOON DOG" OR</t>
  </si>
  <si>
    <t>"Impact of predator removal on predator and mountain hare populations in Finland" OR</t>
  </si>
  <si>
    <t>"Population genetics of the wolverine in Finland: the road to recovery?" OR</t>
  </si>
  <si>
    <t>["France"]</t>
  </si>
  <si>
    <t>"Genetic diversity and population structure of the Eurasian otter (Lutra lutra) in France" OR</t>
  </si>
  <si>
    <t>"THE DECLINE OF OTTER LUTRA-LUTRA POPULATIONS IN THE REGION OF THE PAYS-DE-LOIRE, WESTERN FRANCE" OR</t>
  </si>
  <si>
    <t>"Contamination of European otters (Lutra lutra) by PCB congeners and organochlorinated pesticides in the wetlands of western France" OR</t>
  </si>
  <si>
    <t>["Martes martes", "Martes foina"]</t>
  </si>
  <si>
    <t>"Comparative survival pattern of the syntopic pine and stone martens in a trapped rural area in France" OR</t>
  </si>
  <si>
    <t>"Movement patterns, habitat selection, and corridor use of a typical woodland-dweller species, the European pine marten (Martes martes), in fragmented landscape" OR</t>
  </si>
  <si>
    <t>"Linking habitat characteristics with genetic diversity of the European pine marten (Martes martes) in France" OR</t>
  </si>
  <si>
    <t>"Genetic bottleneck in the threatened western population of European mink Mustela lutreola" OR</t>
  </si>
  <si>
    <t>["Mustela lutreola", "Mustela putorius"]</t>
  </si>
  <si>
    <t>"Helminth communities of the autochthonous mustelids Mustela lutreola and M. putorius and the introduced Neovison vison in south-western France" OR</t>
  </si>
  <si>
    <t>"LEPTOSPIROSIS IN FREE-RANGING ENDANGERED EUROPEAN MINK (MUSTELA LUTREOLA) AND OTHER SMALL CARNIVORES (MUSTELIDAE, VIVERRIDAE) FROM SOUTHWESTERN FRANCE" OR</t>
  </si>
  <si>
    <t>"Antibodies to aleutian mink disease parvovirus in free-ranging European mink (Mustela lutreola) and other small carnivores from Southwestern France" OR</t>
  </si>
  <si>
    <t>"SEROLOGIC SURVEY FOR SELECTED VIRAL PATHOGENS IN FREE-RANGING ENDANGERED EUROPEAN MINK (MUSTELA LUTREOLA) AND OTHER MUSTELIDS FROM SOUTH-WESTERN FRANCE" OR</t>
  </si>
  <si>
    <t>"Habitat utilization by sympatric European mink Mustela lutreola and polecats Mustela putorius in south-western France" OR</t>
  </si>
  <si>
    <t>["Mustela putorius"]</t>
  </si>
  <si>
    <t>"Can low densities of carnivores result in genetic depletion? An investigation within French polecat populations" OR</t>
  </si>
  <si>
    <t>"Organochlorine compounds (pesticides and PCBs) in scats of the european otter (Lutra lutra) from an actual expanding population in central france" OR</t>
  </si>
  <si>
    <t>"Evidence of secondary poisoning of free-ranging riparian mustelids by anticoagulant rodenticides in France: Implications for conservation of European mink (Mustela lutreola)" OR</t>
  </si>
  <si>
    <t>"Organochlorine pesticides, PCBs, heavy metals and anticoagulant rodenticides in tissues of Eurasian otters (Lutra lutra) from upper Loire River catchment (France)" OR</t>
  </si>
  <si>
    <t>["Germany"]</t>
  </si>
  <si>
    <t>"Genetic structure of Eurasian otter (Lutra lutra, Carnivora: Mustelidae) populations from the western Baltic sea region and its implications for the recolonization of north-western Germany" OR</t>
  </si>
  <si>
    <t>"Genetic variability and size estimates of the Eurasian otter (Lutra lutra) population in the Bohemian Forest Ecosystem" OR</t>
  </si>
  <si>
    <t>"RFLP analysis of the mitochondrial DNA of otters (Lutra lutra) from Europe - implications for conservation of a flagship species" OR</t>
  </si>
  <si>
    <t>"Pathological findings in the red fox (Vulpes vulpes), stone marten (Martes foina) and raccoon dog (Nyctereutes procyonoides), with special emphasis on infectious and zoonotic agents in Northern Germany" OR</t>
  </si>
  <si>
    <t>["Greece"]</t>
  </si>
  <si>
    <t>"Presence of the Eurasian otter Lutra lutra on the islands of Greece: a review" OR</t>
  </si>
  <si>
    <t>["Hungary"]</t>
  </si>
  <si>
    <t>"Assessment of population structure in Hungarian otter populations" OR</t>
  </si>
  <si>
    <t>"PCR screening of mammalian predators (Carnivora) for adenoviruses and herpesviruses: the first detection of a mustelid herpesvirus in Hungary" OR</t>
  </si>
  <si>
    <t>"Metal levels in tissues of Eurasian otters (Lutra lutra) from Hungary: Variation with sex, age, condition and location" OR</t>
  </si>
  <si>
    <t>["India"]</t>
  </si>
  <si>
    <t>["South Asia"]</t>
  </si>
  <si>
    <t>["Aonyx cinereus"]</t>
  </si>
  <si>
    <t>"Conservation of the Asian small-clawed otter (Aonyx cinereus) in human-modified landscapes, Western Ghats, India" OR</t>
  </si>
  <si>
    <t>"Assessing the distribution pattern of otters in four rivers of the Indian Himalayan biodiversity hotspot" OR</t>
  </si>
  <si>
    <t>["Lutrogale perspicillata"]</t>
  </si>
  <si>
    <t>"Factors affecting the occurrence of smooth-coated otter in aquatic systems of the Upper Gangetic Plains, India" OR</t>
  </si>
  <si>
    <t>"Habitat use pattern and conservation status of smooth-coated otters Lutrogale perspicillata in the Upper Ganges Basin, India" OR</t>
  </si>
  <si>
    <t>"Factors determining habitat choice of the smooth-coated otter, Lutrogale perspicillata in a South Indian river system" OR</t>
  </si>
  <si>
    <t>["Indonesia"]</t>
  </si>
  <si>
    <t>"Small-clawed otters (Aonyx cinereus) in Indonesian rice fields: latrine site characteristics and visitation frequency" OR</t>
  </si>
  <si>
    <t>["Iran (Islamic Republic of)"]</t>
  </si>
  <si>
    <t>"HABITAT QUALITY ASSESSMENT FOR THE EURASIAN OTTER (LUTRA LUTRA) ON THE RIVER JAJROOD, IRAN" OR</t>
  </si>
  <si>
    <t>["Lutra lutra", "Lutrogale perspicillata"]</t>
  </si>
  <si>
    <t>"OTTERS IN THE HAWR AL AZIM WETLAND, IRAN" OR</t>
  </si>
  <si>
    <t>["Iraq"]</t>
  </si>
  <si>
    <t>"Evidence for persistence and a major range extension of the smooth-coated otter (Lutrogale perspicillata maxwelli; Mustelidae, Carnivora) in Iraq" OR</t>
  </si>
  <si>
    <t>["Ireland"]</t>
  </si>
  <si>
    <t>"Review and quantitative meta-analysis of diet suggests the Eurasian otter (Lutra lutra) is likely to be a poor bioindicator" OR</t>
  </si>
  <si>
    <t>"Impact of culling on relative abundance of the European badger (Meles meles) in Ireland" OR</t>
  </si>
  <si>
    <t>"Pine marten (Martes martes) distribution and abundance in Ireland: A cross-jurisdictional analysis using non-invasive genetic survey techniques" OR</t>
  </si>
  <si>
    <t>["Israel"]</t>
  </si>
  <si>
    <t>"Genetic Diversity of the Eurasian Otter (Lutra lutra) Population in Israel" OR</t>
  </si>
  <si>
    <t>["Italy"]</t>
  </si>
  <si>
    <t>"THE OTTER LUTRA-LUTRA IN SOUTHERN ITALY" OR</t>
  </si>
  <si>
    <t>"THE ITALIAN ACTION PLAN FOR THE ENDANGERED EURASIAN OTTER LUTRA LUTRA" OR</t>
  </si>
  <si>
    <t>"A multi-temporal approach to model endangered species distribution in Europe. The case of the Eurasian otter in Italy" OR</t>
  </si>
  <si>
    <t>"Otter, come out!': taking away the stone on the southernmost Italian Lutra lutra population" OR</t>
  </si>
  <si>
    <t>"Distribution of a recolonising species may not reflect habitat suitability alone: the case of the Eurasian otter (Lutra lutra) in southern Italy" OR</t>
  </si>
  <si>
    <t>"Modelling semi-aquatic vertebrates' distribution at the drainage basin scale: The case of the otter Lutra lutra in Italy" OR</t>
  </si>
  <si>
    <t>"Decline and recovery in otter Lutra lutra populations in Italy" OR</t>
  </si>
  <si>
    <t>"Assessing range re-expansion and recolonization of human-impacted landscapes by threatened species: a case study of the otter (Lutra lutra) in Italy" OR</t>
  </si>
  <si>
    <t>"Can the grey literature help us understand the decline and extinction of the Near Threatened Eurasian otter Lutra lutra in Latium, central Italy?" OR</t>
  </si>
  <si>
    <t>"Otter Lutra lutra population expansion: assessing habitat suitability and connectivity in southern Italy" OR</t>
  </si>
  <si>
    <t>"Reintroduction of the Eurasian badger (Meles meles) in a protected area of northern Italy" OR</t>
  </si>
  <si>
    <t>"Habitat selection of European badger Meles meles in a highly fragmented forest landscape in northern Italy: the importance of hedgerows and agro-forestry systems" OR</t>
  </si>
  <si>
    <t>"FIRST RECOVERY OF BIRD ACANTHOCEPHALAN SPHAERIROSTRIS LANCEOIDES IN AN EURASIAN BADGER (MELES MELES) IN ITALY" OR</t>
  </si>
  <si>
    <t>"First description of adiaspiromycosis in an Eurasian otter (Lutra lutra) in Italy" OR</t>
  </si>
  <si>
    <t>"Molecular detection and characterization of carnivore parvoviruses in free-ranging Eurasian otters (Lutra lutra) in southern Italy" OR</t>
  </si>
  <si>
    <t>"Organochlorine and heavy-metal contaminants in wild mammals and birds of Urbino-Pesaro province, Italy: An analytic overview for potential bioindicators" OR</t>
  </si>
  <si>
    <t>["Korea (the Republic of)"]</t>
  </si>
  <si>
    <t>"Stream health, topography, and land use influences on the distribution of the Eurasian otter Lutra lutra in the Nakdong River basin, South Korea" OR</t>
  </si>
  <si>
    <t>"Distribution and habitat models of the Eurasian otter, Lutra lutra, in South Korea" OR</t>
  </si>
  <si>
    <t>"Distribution and Habitat Conditions of Habitat Points of the Eurasian Otter Lutra lutra in the Hangang River Water System, South Korea" OR</t>
  </si>
  <si>
    <t>"Conservation activities for the Eurasian otter (Lutra lutra) in South Korea traced from newspapers during 1962-2010" OR</t>
  </si>
  <si>
    <t>["Martes flavigula"]</t>
  </si>
  <si>
    <t>"Habitat Potential Mapping of Marten (Martes flavigula) and Leopard Cat (Prionailurus bengalensis) in South Korea Using Artificial Neural Network Machine Learning" OR</t>
  </si>
  <si>
    <t>"Influence of tree thinning on the abundance of mammals in a Japanese larch Larix kaempferi plantation" OR</t>
  </si>
  <si>
    <t>"Large scale faecal (spraint) counts indicate the population status of endangered Eurasian otters (Lutra lutra)" OR</t>
  </si>
  <si>
    <t>"Trace element analysis of three tissues from Eurasian otters (Lutra lutra) in South Korea" OR</t>
  </si>
  <si>
    <t>["Lao People's Democratic Republic (the)"]</t>
  </si>
  <si>
    <t>["Arctonyx collaris", "Mustela strigidorsa", "Martes flavigula", "Aonyx cinereus"]</t>
  </si>
  <si>
    <t>"The diversity, status and conservation of small carnivores in a montane tropical forest in northern Laos" OR</t>
  </si>
  <si>
    <t>["Melogale sp.", "Arctonyx collaris", "Martes flavigula", "Lutrinae sp."]</t>
  </si>
  <si>
    <t>"Conservation importance of Nakai-Nam Theun National Protected Area, Laos, for small carnivores based on camera trap data" OR</t>
  </si>
  <si>
    <t>Ecotoxicology of the Eurasian Otter (Lutra lutra) along Loire River (France) and Predictable Trends due to Global Change</t>
  </si>
  <si>
    <t>The French Action Plan For The Eurasian Otter</t>
  </si>
  <si>
    <t>"Preliminary Findings from a New Study of the Congo Clawless Otter (Aonyx congicus)" OR</t>
  </si>
  <si>
    <t>["Latvia"]</t>
  </si>
  <si>
    <t>["Lutra lutra", "Martes foina", "Mustela lutreola", "Mustela erminea"]</t>
  </si>
  <si>
    <t>"DISTRIBUTION AND STATUS OF SMALL AND MEDIUM-SIZED CARNIVORES IN LATVIA" OR</t>
  </si>
  <si>
    <t>["Luxembourg"]</t>
  </si>
  <si>
    <t>"Riverbank assessment and management for the Eurasian otter in the north of Luxembourg" OR</t>
  </si>
  <si>
    <t>"Activity patterns and use of resting sites by polecats in an endangered population" OR</t>
  </si>
  <si>
    <t>["Malaysia"]</t>
  </si>
  <si>
    <t>["Aonyx cinereus", "Lutra lutra", "Lutra sumatrana", "Lutrogale perspicillata"]</t>
  </si>
  <si>
    <t>"Carnivore conservation planning on Borneo: identifying key carnivore landscapes, research priorities and conservation interventions" OR</t>
  </si>
  <si>
    <t>["Melogale everetti", "Martes flavigula", "Mustela nudipes"]</t>
  </si>
  <si>
    <t>["Melogale everetti"]</t>
  </si>
  <si>
    <t>"Predicted distribution of the Bornean ferret badger Melogale everetti (Mammalia: Carnivora: Mustelidae) on Borneo" OR</t>
  </si>
  <si>
    <t>"Fine-scale distributions of carnivores in a logging concession in Sarawak, Malaysian Borneo" OR</t>
  </si>
  <si>
    <t>"Predicted distribution of the yellow-throated marten Martes flavigula (Mammalia: Carnivora: Mustelidae) on Borneo" OR</t>
  </si>
  <si>
    <t>["Mexico"]</t>
  </si>
  <si>
    <t>["Eira barbara", "Galictis vittata"]</t>
  </si>
  <si>
    <t>"The conservation of medium-sized mammals in two private ecological reserves of Veracruz, Mexico" OR</t>
  </si>
  <si>
    <t>"Status of sea otters (Enhydra lutris) in Mexico" OR</t>
  </si>
  <si>
    <t>"Current status of knowledge on the neotropical otter (Lontra longicaudis annectens) in Durango, Mexico" OR</t>
  </si>
  <si>
    <t>["Mustela frenata"]</t>
  </si>
  <si>
    <t>"The role of feral mammals on wildlife infectious disease prevalence in two nature reserves within Mexico City limits" OR</t>
  </si>
  <si>
    <t>"Heavy metals in the habitat and throughout the food chain of the Neotropical otter, Lontra longicaudis, in protected Mexican wetlands" OR</t>
  </si>
  <si>
    <t>["Morocco"]</t>
  </si>
  <si>
    <t>"The Near Threatened Eurasian otter Lutra lutra in Morocco: no sign of recovery" OR</t>
  </si>
  <si>
    <t>["Myanmar"]</t>
  </si>
  <si>
    <t>"Mitochondrial DNA detects Arctonyx collaris from burnt body parts: a wildlife forensic case study in Indo-Burma biodiversity hotspot" OR</t>
  </si>
  <si>
    <t>["Netherlands"]</t>
  </si>
  <si>
    <t>"The reintroduction of the Eurasian otter (Lutra lutra) into the Netherlands: hidden life revealed by noninvasive genetic monitoring" OR</t>
  </si>
  <si>
    <t>"European badger habitat requirements in the Netherlands - combining ecological niche models with neighbourhood analysis" OR</t>
  </si>
  <si>
    <t>"PAST AND PRESENT DISTRIBUTION OF BADGERS MELES-MELES IN THE COPENHAGEN AREA" OR</t>
  </si>
  <si>
    <t>"Reports on badgers Meles meles in Dutch newspapers 1900-2013: same animals, different framings?" OR</t>
  </si>
  <si>
    <t>"The selective dietary accumulation of planar polychlorinated biphenyls in the otter (Lutra lutra)" OR</t>
  </si>
  <si>
    <t>Tracks and Other Signs of Otters in Rice Fields in Padang Pariaman, West Sumatra: a Preliminary Study</t>
  </si>
  <si>
    <t>["Mustela nivalis", "Mustela erminea", "Mustela putorius", "Lutra lutra"]</t>
  </si>
  <si>
    <t>"Studies of bioaccumulation and biotransformation of PCBs in mustelids based on concentration and congener patterns in predators and preys" OR</t>
  </si>
  <si>
    <t>"Congener-specific model for polychlorinated biphenyl effects on otter (Lutra lutra) and associated sediment quality criteria" OR</t>
  </si>
  <si>
    <t>["Norway"]</t>
  </si>
  <si>
    <t>"A test of aversive agents on wolverines" OR</t>
  </si>
  <si>
    <t>"Home-range sizes and altitude selection for arctic foxes and wolverines in an alpine environment" OR</t>
  </si>
  <si>
    <t>"Factors associated with wolverine Gulo gulo predation on domestic sheep" OR</t>
  </si>
  <si>
    <t>"Colonization history and noninvasive monitoring of a reestablished wolverine population" OR</t>
  </si>
  <si>
    <t>"Polychlorinated Biphenyls and Reproductive Performance in Otters From the Norwegian Coast" OR</t>
  </si>
  <si>
    <t>["Pakistan"]</t>
  </si>
  <si>
    <t>"Distribution, Population Status and Habitat Utilization of Common Otter (Lutra lutra) in Neelum Valley, Azad Jammu and Kashmir" OR</t>
  </si>
  <si>
    <t>"Recent Records of Smooth-Coated Otter (Lutrogale perspicillata) from Sindh, Pakistan" OR</t>
  </si>
  <si>
    <t>"Status of Smooth Coated Otter (Lutrogale perspicillata sindica) in Pakistan" OR</t>
  </si>
  <si>
    <t>["Martes foina", "Martes flavigula"]</t>
  </si>
  <si>
    <t>"Carnivores' diversity and conflicts with humans in Musk Deer National Park, Azad Jammu and Kashmir, Pakistan" OR</t>
  </si>
  <si>
    <t>["Peru"]</t>
  </si>
  <si>
    <t>"A recovering flagship: giant otters, communities and tourism in northern Peru" OR</t>
  </si>
  <si>
    <t>"Demography of the Giant Otter (Pteronura brasiliensis) in Manu National Park, South-Eastern Peru: Implications for Conservation" OR</t>
  </si>
  <si>
    <t>["Philippines (the)"]</t>
  </si>
  <si>
    <t>"Mammals of Cleopatra's Needle Critical Habitat: Outcomes of a rapid assessment" OR</t>
  </si>
  <si>
    <t>["Poland"]</t>
  </si>
  <si>
    <t>Fishing &amp; harvesting aquatic resources</t>
  </si>
  <si>
    <t>"Habitat correlates of the Eurasian otter Lutra lutra recolonizing Central Poland" OR</t>
  </si>
  <si>
    <t>"Human-wildlife conflicts at pond fisheries in eastern Poland: perceptions and management of wildlife damage" OR</t>
  </si>
  <si>
    <t>["Portugal"]</t>
  </si>
  <si>
    <t>"EFFECTS OF FRESH-WATER AVAILABILITY ON THE SUMMER DISTRIBUTION OF OTTERS LUTRA-LUTRA IN THE SOUTHWEST COAST OF PORTUGAL" OR</t>
  </si>
  <si>
    <t>"Effects of agro-forestry activities, cattle-raising practices and food-related factors in badger sett location and use in Portugal" OR</t>
  </si>
  <si>
    <t>"Key landscape factors for Eurasian otter Lutra lutra visiting rates and fish loss in estuarine fish farms" OR</t>
  </si>
  <si>
    <t>"Otters and fish farms in the Sado estuary: ecological and socio-economic basis of a conflict" OR</t>
  </si>
  <si>
    <t>"Use of Aguieira Dam by Eurasian otters in Central Portugal" OR</t>
  </si>
  <si>
    <t>["Lutra lutra", "Mustela putorius"]</t>
  </si>
  <si>
    <t>"Assessing dam implementation impact on threatened carnivores: the case of Alqueva in SE Portugal" OR</t>
  </si>
  <si>
    <t>"The response of otters to environmental changes imposed by the construction of large dams" OR</t>
  </si>
  <si>
    <t>Recovery of the Eurasian Otter Lutra lutra in Korea and the Change in Public Attitude</t>
  </si>
  <si>
    <t>Is polecat (Mustela putorius) diet affected by mediterraneity</t>
  </si>
  <si>
    <t>"Is polecat (Mustela putorius) diet affected by mediterraneity" OR</t>
  </si>
  <si>
    <t>STUDY ON EVALUATING THE CONSERVATION STATUS OF SPECIES OF MAMMALS AT THE NATURAL PROTECTED AREA GILORT RIVER</t>
  </si>
  <si>
    <t>["Romania"]</t>
  </si>
  <si>
    <t>"STUDY ON EVALUATING THE CONSERVATION STATUS OF SPECIES OF MAMMALS AT THE NATURAL PROTECTED AREA GILORT RIVER" OR</t>
  </si>
  <si>
    <t>"Thelazia callipaeda in mustelids from Romania with the European badger, Meles meles, as a new host for this parasite" OR</t>
  </si>
  <si>
    <t>["Russia"]</t>
  </si>
  <si>
    <t>"Genetic structure of sable (Martes zibellina L.) in Eurasia-analysis of the mitochondrial lineages distribution" OR</t>
  </si>
  <si>
    <t>"Genetic Effects of Sable (Martes zibellina L.) Reintroduction in Western Siberia" OR</t>
  </si>
  <si>
    <t>"Dynamics of abundance and population structure of sea otters, Enhydra lutris L., on the Commander Archipelago and activity of their migrations between Islands" OR</t>
  </si>
  <si>
    <t>["Serbia"]</t>
  </si>
  <si>
    <t>"First report of a naturally patent infection with Dirofilaria immitis in an otter (Lutra lutra)" OR</t>
  </si>
  <si>
    <t>["Singapore"]</t>
  </si>
  <si>
    <t>"Phylogeography of the smooth-coated otter (Lutrogale perspicillata): distinct evolutionary lineages and hybridization with the Asian small-clawed otter (Aonyx cinereus)" OR</t>
  </si>
  <si>
    <t>["Slovenia"]</t>
  </si>
  <si>
    <t>"Public acceptability of measures to prevent from predation on commercial fish by the endangered Eurasian otter (Lutra lutra) in Natura 2000" OR</t>
  </si>
  <si>
    <t>["Spain"]</t>
  </si>
  <si>
    <t>"Changes in otter Lutra lutra distribution in Central Spain in the 1964-1995 period" OR</t>
  </si>
  <si>
    <t>"Landscape features in the habitat selection of European mink (Mustela lutreola) in south-western Europe" OR</t>
  </si>
  <si>
    <t>"The presence of rabbits adjacent to roads increases polecat road mortality" OR</t>
  </si>
  <si>
    <t>"Genetic diversity and individual identification of reintroduced otters (Lutra lutra) in north-eastern Spain by DNA genotyping of spraints" OR</t>
  </si>
  <si>
    <t>"Natural, human and spatial constraints to expanding populations of otters in the Iberian Peninsula" OR</t>
  </si>
  <si>
    <t>"Helminth parasites of Mustela lutreola (Linnaeus, 1761) and M-vison Schreber, 1777 in Spain" OR</t>
  </si>
  <si>
    <t>"Aleutian disease serology, protein electrophoresis, and pathology of the European mink (Mustela lutreola) from Navarra, Spain" OR</t>
  </si>
  <si>
    <t>"Trends in distribution of the European mink (Mustela lutreola L., 1761) in Spain: 1950-1999" OR</t>
  </si>
  <si>
    <t>["Mustela nivalis"]</t>
  </si>
  <si>
    <t>"Weasel (Mustela nivalis) decline in NE Spain: prey or land use change?" OR</t>
  </si>
  <si>
    <t>"The relative influence of riparian habitat structure and fish availability on otter Lutra lutra L-sprainting activity in a small Mediterranean catchment" OR</t>
  </si>
  <si>
    <t>"Understanding the propensity of wild predators to illegal poison baiting" OR</t>
  </si>
  <si>
    <t>"Severe parasitism by Versteria mustelae (Gmelin, 1790) in the critically endangered European mink Mustela lutreola (Linnaeus, 1761) in Spain" OR</t>
  </si>
  <si>
    <t>"Habitat selection by European badgers in Mediterranean semi-arid ecosystems" OR</t>
  </si>
  <si>
    <t>"Edge-core effects and the effectiveness of traditional reserves in conservation: Eurasian badgers in Donana National Park" OR</t>
  </si>
  <si>
    <t>"Defining key habitats for low density populations of Eurasian badgers in Mediterranean environments" OR</t>
  </si>
  <si>
    <t>"THE EUROPEAN PINE MARTEN MARTES-MARTES IN THE BALEARIC-ISLANDS, SPAIN" OR</t>
  </si>
  <si>
    <t>["Meles meles", "Martes foina"]</t>
  </si>
  <si>
    <t>"Relationship between small-game hunting and carnivore diversity in central Spain" OR</t>
  </si>
  <si>
    <t>["Martes foina", "Meles meles"]</t>
  </si>
  <si>
    <t>"Differential response of a carnivore community to predator control: a spatio-temporal observational study" OR</t>
  </si>
  <si>
    <t>"Role of isolation and habitat quality in shaping species abundance: a test with badgers (Meles meles L.) in a gradient of forest fragmentation" OR</t>
  </si>
  <si>
    <t>"A comparison on the response to forest fragmentation by medium-sized Iberian carnivores in central Spain" OR</t>
  </si>
  <si>
    <t>"The importance of ponds for the otter (Lutra lutra) during drought periods in Mediterranean ecosystems: A case study in Bergantes River" OR</t>
  </si>
  <si>
    <t>"Evaluating the effect of American mink, an alien invasive species, on the abundance of a native community: is coexistence possible?" OR</t>
  </si>
  <si>
    <t>"Do American mink kill European mink? Cautionary message for future recovery efforts" OR</t>
  </si>
  <si>
    <t>"Multi-season occupancy analysis reveals large scale competitive exclusion of the critically endangered European mink by the invasive non-native American mink in Spain" OR</t>
  </si>
  <si>
    <t>"PREVALENCE OF ANTIBODY TO ALEUTIAN MINK DISEASE VIRUS IN EUROPEAN MINK (MUSTELA LUTREOLA) AND AMERICAN MINK (NEOVISON VISON) IN SPAIN" OR</t>
  </si>
  <si>
    <t>"Rapid expansion of the American mink poses a serious threat to the European mink in Spain" OR</t>
  </si>
  <si>
    <t>"Importance of canine distemper virus (CDV) infection in free-ranging Iberian lynxes (Lynx pardinus)" OR</t>
  </si>
  <si>
    <t>"The impact of river fragmentation on the population persistence of native and alien mink: an ecological trap for the endangered European mink" OR</t>
  </si>
  <si>
    <t>"Conservation of otter (Lutra lutra) in a Mediterranean area: the importance of habitat quality and temporal variation in water availability" OR</t>
  </si>
  <si>
    <t>"Short-term responses of mammalian carnivores to a sudden collapse of rabbits in Mediterranean Spain" OR</t>
  </si>
  <si>
    <t>"The influence of fish abundance on the otter (Lutra lutra) populations in Iberian Mediterranean habitats" OR</t>
  </si>
  <si>
    <t>"ORGANOCHLORINE RESIDUE LEVELS IN THE EUROPEAN MINK (MUSTELA-LUTREOLA) IN NORTHERN SPAIN" OR</t>
  </si>
  <si>
    <t>"Levels of heavy metals and metalloids in critically endangered Iberian lynx and other wild carnivores from Southern Spain" OR</t>
  </si>
  <si>
    <t>"Animal decisions and conservation: the recolonization of a severely polluted river by the Eurasian otter" OR</t>
  </si>
  <si>
    <t>"Levels of organochlorine pesticides and polychlorinated biphenyls in the critically endangered Iberian lynx and other sympatric carnivores in Spain" OR</t>
  </si>
  <si>
    <t>"Changes in the diet of coastal otters after the Prestige oil spill (Galicia, north-west Spain)" OR</t>
  </si>
  <si>
    <t>"Otter (Lutra lutra) distribution modeling at two resolution scales suited to conservation planning in the Iberian Peninsula" OR</t>
  </si>
  <si>
    <t>["Sweden"]</t>
  </si>
  <si>
    <t>"Population structure and recent temporal changes in genetic variation in Eurasian otters from Sweden" OR</t>
  </si>
  <si>
    <t>"A conceptual framework for understanding illegal killing of large carnivores" OR</t>
  </si>
  <si>
    <t>"The otter (Lutra lutra) in Sweden - population trends in relation to Sigma DDT and total PCB concentrations during 1968-99" OR</t>
  </si>
  <si>
    <t>"Improved reproductive success in otters (Lutra lutra), grey seals (Halichoerus grypus) and sea eagles (Haliaeetus albicilla) from Sweden in relation to concentrations of organochlorine contaminants" OR</t>
  </si>
  <si>
    <t>["Switzerland"]</t>
  </si>
  <si>
    <t>"There and back again? Combining habitat suitability modelling and connectivity analyses to assess a potential return of the otter to Switzerland" OR</t>
  </si>
  <si>
    <t>["Tanzania"]</t>
  </si>
  <si>
    <t>["Hydrictis maculicollis", "Aonyx capensis"]</t>
  </si>
  <si>
    <t>"EFFECTS OF CHANGES IN FISH POPULATIONS IN LAKE VICTORIA ON THE FOOD OF OTTERS (LUTRA-MACULICOLLIS SCHINZ AND AONYX-CAPENSIS LICHTENSTEIN)" OR</t>
  </si>
  <si>
    <t>["Thailand"]</t>
  </si>
  <si>
    <t>["Aonyx cinereus", "Lutrogale perspicillata"]</t>
  </si>
  <si>
    <t>"Illegal pet trade on social media as an emerging impediment to the conservation of Asian otters species" OR</t>
  </si>
  <si>
    <t>["Turkey"]</t>
  </si>
  <si>
    <t>"The habitat, ecological life conditions, and usage characteristics of the otter (Lutra lutra L. 1758) in the Balikdami Wildlife Development Area" OR</t>
  </si>
  <si>
    <t>["United Kingdom of Great Britain and Northern Ireland (the)"]</t>
  </si>
  <si>
    <t>"Genetic structure of European pine martens (Martes martes), and evidence for introgression with M-americana in England" OR</t>
  </si>
  <si>
    <t>"Economic values of threatened mammals in Britain: A case study of the otter Lutra lutra and the water vole Arvicola terrestris" OR</t>
  </si>
  <si>
    <t>"Bayesian clustering techniques and progressive partitioning to identify population structuring within a recovering otter population in the UK" OR</t>
  </si>
  <si>
    <t>["Lutra lutra", "Martes martes", "Mustela nivalis", "Mustela erminea", "Mustela putorius", "Meles meles"]</t>
  </si>
  <si>
    <t>"Recent history, current status, conservation and management of native mammalian carnivore species in Great Britain" OR</t>
  </si>
  <si>
    <t>"Applying ecological knowledge in landscape planning: a simulation model as a tool to evaluate scenarios for the badger in the Netherlands" OR</t>
  </si>
  <si>
    <t>"THE PAST HISTORY AND RECENT DECLINE OF BADGERS MELES-MELES IN ESSEX - AN ANALYSIS OF SOME OF THE CONTRIBUTORY FACTORS" OR</t>
  </si>
  <si>
    <t>"Growth in otter (Lutra lutra) populations in the UK as shown by long-term monitoring" OR</t>
  </si>
  <si>
    <t>"ESTIMATING THE IMPACT OF PAST PERSECUTION AND HABITAT CHANGES ON THE NUMBERS OF BADGERS MELES-MELES IN BRITAIN" OR</t>
  </si>
  <si>
    <t>"A review of the historical evidence of the habitat of the Pine Marten in Cumbria" OR</t>
  </si>
  <si>
    <t>"Changes in the prevalence of badger persecution in Northern Ireland" OR</t>
  </si>
  <si>
    <t>"Biological invasions provide a framework for reintroductions: selecting areas in England for pine marten releases" OR</t>
  </si>
  <si>
    <t>"Are badgers 'Under The Weather'? Direct and indirect impacts of climate variation on European badger (Meles meles) population dynamics" OR</t>
  </si>
  <si>
    <t>"The diet of denning female Europeanpine martens (Martes martes) in Galloway Forest District, South West Scotland, Great Britain" OR</t>
  </si>
  <si>
    <t>"THE BADGER (MELES-MELES) IN BRITAIN - PRESENT STATUS AND FUTURE POPULATION-CHANGES" OR</t>
  </si>
  <si>
    <t>"The influence of public access and sett visibility on badger (Meles meles) sett disturbance and persistence" OR</t>
  </si>
  <si>
    <t>"An assessment of British farmers' and gamekeepers' experiences, attitudes and practices in relation to the European Polecat Mustela putorius" OR</t>
  </si>
  <si>
    <t>"The impact of sett disturbance on badger Meles meles numbers; when does protective legislation work?" OR</t>
  </si>
  <si>
    <t>"Rediscovery of the Scottish polecat, Mustela putorius: Survival or reintroduction?" OR</t>
  </si>
  <si>
    <t>"Innovative Techniques for Estimating Illegal Activities in a Human-Wildlife-Management Conflict" OR</t>
  </si>
  <si>
    <t>"Voles and weasels in the boreal Fennoscandian small mammal community: what happens if the least weasel disappears due to climate change?" OR</t>
  </si>
  <si>
    <t>["Lutra lutra", "Mustela putorius", "Neovison vison"]</t>
  </si>
  <si>
    <t>"Detection of Aleutian disease antibodies in feral American mink in southern England" OR</t>
  </si>
  <si>
    <t>"Distribution of Eurasian otter biliary parasites, Pseudamphistomum truncatum and Metorchis albidus (Family Opisthorchiidae), in England and Wales" OR</t>
  </si>
  <si>
    <t>"Prevalence, distribution and pathological significance of the bile fluke Pseudamphistomum truncatum in Eurasian otters (Lutra lutra) in Great Britain" OR</t>
  </si>
  <si>
    <t>"The effects of bovine tuberculosis (Mycobacterium bovis) on mortality in a badger (Meles meles) population in England" OR</t>
  </si>
  <si>
    <t>"AN ESTIMATE OF NUMBERS AND HABITAT PREFERENCES OF OTTERS LUTRA-LUTRA IN SHETLAND, UK" OR</t>
  </si>
  <si>
    <t>"Seroprevalence of Toxoplasma gondii in the Eurasian otter (Lutra lutra) in England and Wales" OR</t>
  </si>
  <si>
    <t>"A long-term study of vitamin A and polychlorinated hydrocarbon levels in otters (Lutra lutra) in south west England" OR</t>
  </si>
  <si>
    <t>"The genetic legacy of the 19th-century decline of the British polecat: evidence for extensive introgression from feral ferrets" OR</t>
  </si>
  <si>
    <t>"ORGANOCHLORINE PESTICIDE AND PCB CONTENTS IN OTTER (LUTRA-LUTRA) SCATS FROM WESTERN SCOTLAND" OR</t>
  </si>
  <si>
    <t>"Diets of European polecat Mustela putorius in Great Britain during fifty years of population recovery" OR</t>
  </si>
  <si>
    <t>"THE STATUS OF THE OTTER (LUTRA-LUTRA) IN THE BRITISH-ISLES" OR</t>
  </si>
  <si>
    <t>["Mustela erminea", "Mustela nivalis"]</t>
  </si>
  <si>
    <t>"Anticoagulant rodenticides in stoats (Mustela erminea) and weasels (Mustela nivalis) in England" OR</t>
  </si>
  <si>
    <t>"Secondary rodenticide poisoning risk arising from winter farmyard use by the European polecat Mustela putorius" OR</t>
  </si>
  <si>
    <t>"The role of habitat enhancement in the return of the European otter (Lutra lutra) to Northumberland" OR</t>
  </si>
  <si>
    <t>["Mustela nivalis", "Mustela erminea"]</t>
  </si>
  <si>
    <t>"Population biology of stoats Mustela erminea and weasels Mustela nivalis on game estates in Great Britain" OR</t>
  </si>
  <si>
    <t>"Long-term increase in secondary exposure to anticoagulant rodenticides in European polecats &amp;ITMustela putorius&amp;IT in Great Britain" OR</t>
  </si>
  <si>
    <t>"DECLINE OF OTTER LUTRA-LUTRA L IN BRITAIN - ANALYSIS OF HUNTING RECORDS AND DISCUSSION OF CAUSES" OR</t>
  </si>
  <si>
    <t>"OTTER LUTRA-LUTRA L MORTALITY AND MARINE OIL POLLUTION" OR</t>
  </si>
  <si>
    <t>"PCBS AND ORGANOCHLORINE PESTICIDE-RESIDUES IN OTTER (LUTRA-LUTRA) SPRAINTS FROM WELSH CATCHMENTS AND THEIR SIGNIFICANCE TO OTTER CONSERVATION STRATEGIES" OR</t>
  </si>
  <si>
    <t>"Decline in PCB levels in otters (Lutra lutra)" OR</t>
  </si>
  <si>
    <t>"Lead Levels in Eurasian Otters Decline with Time and Reveal Interactions between Sources, Prevailing Weather, And Stream Chemistry" OR</t>
  </si>
  <si>
    <t>"High liver content of polybrominated diphenyl ether (PBDE) in otters (Lutra lutra) from England and Wales" OR</t>
  </si>
  <si>
    <t>["United States of America (the)"]</t>
  </si>
  <si>
    <t>["Mustela nigripes"]</t>
  </si>
  <si>
    <t>"Fossils, diet, and conservation of black-footed ferrets (Mustela nigripes)" OR</t>
  </si>
  <si>
    <t>"Genetic diversity and fitness in black-footed ferrets before and during a bottleneck" OR</t>
  </si>
  <si>
    <t>"Evaluation of the genetic management of the endangered black-footed ferret (Mustela nigripes)" OR</t>
  </si>
  <si>
    <t>"Mortality of Siberian polecats and black-footed ferrets released onto prairie dog colonies" OR</t>
  </si>
  <si>
    <t>"INFORMATION ON BLACK-FOOTED FERRET BIOLOGY COLLECTED WITHIN THE FRAMEWORK OF FERRET CONSERVATION" OR</t>
  </si>
  <si>
    <t>"CHALLENGES TO BLACK-FOOTED FERRET RECOVERY: PROTECTING PRAIRIE DOGS" OR</t>
  </si>
  <si>
    <t>"Foraging plasticity in a highly specialized carnivore, the endangered black-footed ferret" OR</t>
  </si>
  <si>
    <t>"Genetic legacies of translocation and relictual populations of American marten at the southeastern margin of their distribution" OR</t>
  </si>
  <si>
    <t>"Snow cover and riparian habitat determine the distribution of the short-tailed weasel (Mustela erminea) at its southern range limits in arid western North America" OR</t>
  </si>
  <si>
    <t>"Estimating distribution and connectivity of recolonizing American marten in the northeastern United States using expert elicitation techniques" OR</t>
  </si>
  <si>
    <t>"Species recovery and recolonization of past habitats: lessons for science and conservation from sea otters in estuaries" OR</t>
  </si>
  <si>
    <t>"Mortality sensitivity in life-stage simulation analysis: A case study of southern sea otters" OR</t>
  </si>
  <si>
    <t>"Gaps in kelp cover may threaten the recovery of California sea otters" OR</t>
  </si>
  <si>
    <t>"Prolonged recovery of sea otters from the Exxon Valdez oil spill? A re-examination of the evidence" OR</t>
  </si>
  <si>
    <t>"Challenges to reestablishment of free-ranging populations of black-footed ferrets" OR</t>
  </si>
  <si>
    <t>"Using occupancy and population models to assess habitat conservation opportunities for an isolated carnivore population" OR</t>
  </si>
  <si>
    <t>"A re-evaluation of the role of killer whales Orcinus orca in a population decline of sea otters Enhydra lutris in the Aleutian Islands and a review of alternative hypotheses" OR</t>
  </si>
  <si>
    <t>"Mortality Risks and Limits to Population Growth of Fishers" OR</t>
  </si>
  <si>
    <t>"Multiscale landscape genetics of American marten at their southern range periphery" OR</t>
  </si>
  <si>
    <t>"Regional variation in home-range-scale habitat models for fisher (Pekania pennanti) in California" OR</t>
  </si>
  <si>
    <t>"Estimating Trend in Occupancy for the Southern Sierra Fisher Pekania pennanti Population" OR</t>
  </si>
  <si>
    <t>"Deciphering ecological barriers to North American river otter (Lontra canadensis) gene flow in the Louisiana landscape" OR</t>
  </si>
  <si>
    <t>"Patterns of Natural and Human-Caused Mortality Factors of a Rare Forest Carnivore, the Fisher (Pekania pennanti) in California" OR</t>
  </si>
  <si>
    <t>"Reproduction, abundance, and population growth for a fisher (Pekania pennanti) population in the Sierra National Forest, California" OR</t>
  </si>
  <si>
    <t>"Cumulative effects of climate and landscape change drive spatial distribution of Rocky Mountain wolverine (Gulo gulo L.)" OR</t>
  </si>
  <si>
    <t>"Age-dependent changes in sperm production, semen quality, and testicular volume in the black-footed ferret (Mustela nigripes)" OR</t>
  </si>
  <si>
    <t>"The importance of thinking big: Large-scale prey conservation drives black-footed ferret reintroduction success" OR</t>
  </si>
  <si>
    <t>"Ecology, conservation and human history of marine mammals in the Gulf of California and Pacific coast of Baja California, Mexico" OR</t>
  </si>
  <si>
    <t>"Setting Realistic Recovery Targets for Two Interacting Endangered Species, Sea Otter and Northern Abalone" OR</t>
  </si>
  <si>
    <t>"Washing Oiled Sea Otters" OR</t>
  </si>
  <si>
    <t>"Inferring geographic isolation of wolverines in California using historical DNA" OR</t>
  </si>
  <si>
    <t>"Records of Recovering American Marten, Martes americana, in New Hampshire" OR</t>
  </si>
  <si>
    <t>"Tools for Assessing Climate Impacts on Fish and Wildlife" OR</t>
  </si>
  <si>
    <t>"Satellite-detected forest disturbance forecasts American marten population decline: The case for supportive space-based monitoring" OR</t>
  </si>
  <si>
    <t>"Causes of mortality in California sea otters during periods of population growth and decline" OR</t>
  </si>
  <si>
    <t>"Influence of black-tailed prairie dog towns (Cynomys ludovicianus) on carnivore distributions in the Oklahoma Panhandle" OR</t>
  </si>
  <si>
    <t>Food Habits of the Hairy-nosed otter (Lutra sumatrana) and the Small-clawed otter (Aonyx cinereus) in Pru Toa Daeng Peat Swamp Forest, Southern Thailand</t>
  </si>
  <si>
    <t>"Modeling predator habitat to enhance reintroduction planning" OR</t>
  </si>
  <si>
    <t>"New Record of Everglades Mink in Everglades National Park from the Stomach of an American Alligator" OR</t>
  </si>
  <si>
    <t>"Density of Fishers and the Efficacy of Relative Abundance Indices and Small-Scale Occupancy Estimation to Detect a Population Decline on the Hoopa Valley Indian Reservation, California" OR</t>
  </si>
  <si>
    <t>"Association of Toxoplasma gondii oocysts with fresh, estuarine, and marine macroaggregates" OR</t>
  </si>
  <si>
    <t>"Interface between black-footed ferret research and operational conservation" OR</t>
  </si>
  <si>
    <t>"Changes in sea urchins and kelp following a reduction in sea otter density as a result of the Exxon Valdez oil spill" OR</t>
  </si>
  <si>
    <t>"Clinical pathology and assessment of pathogen exposure in southern and Alaskan sea otters" OR</t>
  </si>
  <si>
    <t>"A comparative analysis of polybrominated diphenyl ethers and polychlorinated biphenyls in southern sea otters that died of infectious diseases and noninfectious causes" OR</t>
  </si>
  <si>
    <t>"Effect of Estuarine Wetland Degradation on Transport of Toxoplasma gondii Surrogates from Land to Sea" OR</t>
  </si>
  <si>
    <t>"Forest heterogeneity influences habitat selection by fishers (Pekania pennanti) within home ranges" OR</t>
  </si>
  <si>
    <t>"TEMPORAL ASSOCIATION BETWEEN LAND-BASED RUNOFF EVENTS AND CALIFORNIA SEA OTTER (ENHYDRA LUTRIS NEREIS) PROTOZOAL MORTALITIES" OR</t>
  </si>
  <si>
    <t>"Food limitation and the recovery of sea otters following the 'Exxon Valdez' oil spill" OR</t>
  </si>
  <si>
    <t>"Scale-dependent Factors Affecting North American River Otter Distribution in the Midwest" OR</t>
  </si>
  <si>
    <t>"Progress and status of river otter reintroduction projects in the United States" OR</t>
  </si>
  <si>
    <t>"Measurement of serum immunoglobulin concentration in killer whales and sea otters by radial immunodiffusion" OR</t>
  </si>
  <si>
    <t>["Martes americana", "Pekania pennanti"]</t>
  </si>
  <si>
    <t>"Historical and contemporary distributions of carnivores in forests of the Sierra Nevada, California, USA" OR</t>
  </si>
  <si>
    <t>"Using Molecular Epidemiology to Track Toxoplasma gondii from Terrestrial Carnivores to Marine Hosts: Implications for Public Health and Conservation" OR</t>
  </si>
  <si>
    <t>"Characteristics of sex-biased dispersal and gene flow in coastal river otters: implications for natural recolonization of extirpated populations" OR</t>
  </si>
  <si>
    <t>["Gulo gulo", "Pekania pennanti"]</t>
  </si>
  <si>
    <t>"Effects of disturbance on forest carnivores of conservation concern in eastern Oregon and Washington" OR</t>
  </si>
  <si>
    <t>"Survival and cause-specific mortality of a protected population of river otters in Minnesota" OR</t>
  </si>
  <si>
    <t>"Body size, niche breadth, and ecologically scaled responses to habitat fragmentation: mammalian predators in an agricultural landscape" OR</t>
  </si>
  <si>
    <t>"Home range and movements of long-tailed weasels in a landscape fragmented by agriculture" OR</t>
  </si>
  <si>
    <t>"SEA OTTER DIETS IN A DECLINING POPULATION IN ALASKA" OR</t>
  </si>
  <si>
    <t>"SIMULATION MODELING OF AMERICAN MARTEN (MARTES AMERICANA) POPULATIONS - VULNERABILITY TO EXTINCTION" OR</t>
  </si>
  <si>
    <t>"SURVIVAL IN AN INTENSIVELY TRAPPED MARTEN POPULATION IN MAINE" OR</t>
  </si>
  <si>
    <t>"Assessment of genetic variance among source and reintroduced fisher populations" OR</t>
  </si>
  <si>
    <t>"Genetic variation and structure of fisher (Pekania pennanti) populations across North America" OR</t>
  </si>
  <si>
    <t>"Extirpation and reintroduction of fishers (Pekania pennanti) in Oregon: implications for their conservation in the Pacific states" OR</t>
  </si>
  <si>
    <t>"Developing and testing a landscape-scale habitat suitability model for fisher (Pekania pennanti) in forests of interior northern California" OR</t>
  </si>
  <si>
    <t>"Landscape Genetics of Fishers (Pekania pennanti) in the Northeast: Dispersal Barriers and Historical Influences" OR</t>
  </si>
  <si>
    <t>"Historical and Contemporary DNA Indicate Fisher Decline and Isolation Occurred Prior to the European Settlement of California" OR</t>
  </si>
  <si>
    <t>"Detection of Endangered American Martens (Martes americana) in Apostle Islands National Lakeshore, Wisconsin" OR</t>
  </si>
  <si>
    <t>"RIVER OTTER (LUTRA-CANADENSIS) REINTRODUCTION IN PENNSYLVANIA, PRERELEASE CARE AND CLINICAL-EVALUATION" OR</t>
  </si>
  <si>
    <t>"Sea otter population declines in the Aleutian archipelago" OR</t>
  </si>
  <si>
    <t>"Evaluating River Otter Demography Using Noninvasive Genetic Methods" OR</t>
  </si>
  <si>
    <t>"River Otter Distribution in Nebraska" OR</t>
  </si>
  <si>
    <t>"SPATIAL RELATIONS IN A HARVESTED POPULATION OF MARTEN IN MAINE" OR</t>
  </si>
  <si>
    <t>"BREEDING PATTERNS AND REPRODUCTIVE SUCCESS OF CALIFORNIA SEA OTTERS" OR</t>
  </si>
  <si>
    <t>"Historical harvest and incidental capture of fishers in California" OR</t>
  </si>
  <si>
    <t>"Conservation of rare carnivores in the North Cascades Ecosystem, western North America" OR</t>
  </si>
  <si>
    <t>"Microsatellite DNA and mitochondrial DNA variation in remnant and translocated sea otter (Enhydra lutris) populations" OR</t>
  </si>
  <si>
    <t>"Decline in sea otter (Enhydra lutris) populations along the Alaska Peninsula, 1986-2001" OR</t>
  </si>
  <si>
    <t>"Distribution and broadscale habitat relations of the wolverine in the contiguous United States" OR</t>
  </si>
  <si>
    <t>"Estimating sustainable harvest in wolverine populations using logistic regression" OR</t>
  </si>
  <si>
    <t>"Temporal Changes in Population Dynamics of American Martens" OR</t>
  </si>
  <si>
    <t>"Abundance Trends of American Martens in Michigan Based on Statistical Population Reconstruction" OR</t>
  </si>
  <si>
    <t>"River Otter Population Size Estimation Using Noninvasive Latrine Surveys" OR</t>
  </si>
  <si>
    <t>"Recovery of Wolverines in the Western United States: Recent Extirpation and Recolonization or Range Retraction and Expansion?" OR</t>
  </si>
  <si>
    <t>"Distribution and occupancy of wolverines on tundra, northwestern Alaska" OR</t>
  </si>
  <si>
    <t>"MARTEN ACTIVITY IN UNCUT AND LOGGED BOREAL FORESTS IN ONTARIO" OR</t>
  </si>
  <si>
    <t>"Influence of landscape pattern on habitat use by American marten in an industrial forest" OR</t>
  </si>
  <si>
    <t>["Martes americana", "Pekania pennanti", "Gulo gulo"]</t>
  </si>
  <si>
    <t>"Comparison of proposed survey procedures for detection of forest carnivores" OR</t>
  </si>
  <si>
    <t>"The influence of forest fragmentation and landscape pattern on American martens" OR</t>
  </si>
  <si>
    <t>"Using presence-absence data to build and test spatial habitat models for the fisher in the Klamath region, USA" OR</t>
  </si>
  <si>
    <t>"Status of American martens in coastal forests of the Pacific states" OR</t>
  </si>
  <si>
    <t>"Decline in American Marten Occupancy Rates at Sagehen Experimental Forest, California" OR</t>
  </si>
  <si>
    <t>"Both forest composition and configuration influence landscape-scale habitat selection by fishers (Pekania pennanti) in mixed coniferous forests of the Northern Rocky Mountains" OR</t>
  </si>
  <si>
    <t>"Historical biogeography sets the foundation for contemporary conservation of martens (genus Martes) in northwestern North America" OR</t>
  </si>
  <si>
    <t>["Martes caurina"]</t>
  </si>
  <si>
    <t>"If a tree falls in a forest: implications of forest structure persistence for the Pacific marten (Martes caurina)" OR</t>
  </si>
  <si>
    <t>"Status of Pacific Martens (Martes caurina) on the Olympic Peninsula, Washington" OR</t>
  </si>
  <si>
    <t>"Describing vegetation characteristics used by two rare forest-dwelling species: Will established reserves provide for coastal marten in Oregon?" OR</t>
  </si>
  <si>
    <t>"A Landscape Habitat Suitability Model for the Humboldt Marten (Martes caurina humboldtensis) in Coastal California and Coastal Oregon" OR</t>
  </si>
  <si>
    <t>"Summer Precipitation Predicts Spatial Distributions of Semiaquatic Mammals" OR</t>
  </si>
  <si>
    <t>"Projected 21st century climate change for wolverine habitats within the contiguous United States" OR</t>
  </si>
  <si>
    <t>"Population connectivity and genetic diversity of American marten (Martes americana) in the United States northern Rocky Mountains in a climate change context" OR</t>
  </si>
  <si>
    <t>"Niche overlap of competing carnivores across climatic gradients and the conservation implications of climate change at geographic range margins" OR</t>
  </si>
  <si>
    <t>"Modeling Behavior by Coastal River Otter (Lontra Canadensis) in Response to Prey Availability in Prince William Sound, Alaska: A Spatially-Explicit Individual-Based Approach" OR</t>
  </si>
  <si>
    <t>"Ski Areas affect Pacific Marten Movement, Habitat Use, and Density" OR</t>
  </si>
  <si>
    <t>"Wolverines in winter: indirect habitat loss and functional responses to backcountry recreation" OR</t>
  </si>
  <si>
    <t>"River otters in Yellowstone Lake depend on a declining cutthroat trout population" OR</t>
  </si>
  <si>
    <t>"Resource Selection by Black-Footed Ferrets in South Dakota and Montana" OR</t>
  </si>
  <si>
    <t>"Effects of prey metapopulation structure on the viability of black-footed ferrets in plague-impacted landscapes: a metamodelling approach" OR</t>
  </si>
  <si>
    <t>"PLAGUE IN A BLACK-FOOTED FERRET (MUSTELA NIGRIPES)" OR</t>
  </si>
  <si>
    <t>"Toxoplasma gondii infections in captive black-footed ferrets (Mustela nigripes), 1992-1998: Clinical signs, serology, pathology, and prevention" OR</t>
  </si>
  <si>
    <t>"An unidentified filarial species and its impact on fitness in wild populations of the black-footed ferret (Mustela nigripes)" OR</t>
  </si>
  <si>
    <t>"Enzootic Plague Reduces Black-Footed Ferret (Mustela nigripes) Survival in Montana" OR</t>
  </si>
  <si>
    <t>"PREVALENCE TO TOXOPLASMA GONDII AND SARCOCYSTIS SPP. IN A REINTRODUCED FISHER (Pekania pennanti) POPULATION IN PENNSYLVANIA" OR</t>
  </si>
  <si>
    <t>"Sylvatic Plague Vaccine: A New Tool for Conservation of Threatened and Endangered Species?" OR</t>
  </si>
  <si>
    <t>"Wildlife Mortality Investigation and Disease Research: Contributions of the USGS National Wildlife Health Center to Endangered Species Management and Recovery" OR</t>
  </si>
  <si>
    <t>"NEPHROLITHIASIS IN FREE-RANGING NORTH AMERICAN RIVEROTTER (LONTRA CANADENSIS) IN NORTH CAROLINA, USA" OR</t>
  </si>
  <si>
    <t>"Vaccines for Conservation: Plague, Prairie Dogs &amp; Black-Footed Ferrets as a Case Study" OR</t>
  </si>
  <si>
    <t>"Burrow Dusting or Oral Vaccination Prevents Plague-Associated Prairie Dog Colony Collapse" OR</t>
  </si>
  <si>
    <t>"FLEAS OF BLACK-FOOTED FERRETS (MUSTELA NIGRIPES) AND THEIR POTENTIAL ROLE IN THE MOVEMENT OF PLAGUE" OR</t>
  </si>
  <si>
    <t>"Patterns of mortality in southern sea otters (Enhydra lutris nereis) from 1998-2001" OR</t>
  </si>
  <si>
    <t>"Prey choice and habitat use drive sea otter pathogen exposure in a resource-limited coastal system" OR</t>
  </si>
  <si>
    <t>"Human North American river otter (Lontra canadensis) attack" OR</t>
  </si>
  <si>
    <t>"Rabies in a river otter (Lontra canadensis) intended for reintroduction" OR</t>
  </si>
  <si>
    <t>"Evaluation of an indirect fluorescent antibody test (IFAT) for demonstration of antibodies to Toxoplasma gondii in the sea otter (Enhydra lutris)" OR</t>
  </si>
  <si>
    <t>"Good medicine for conservation biology: The intersection of epidemiology and conservation theory" OR</t>
  </si>
  <si>
    <t>"Transmission of Toxoplasma: Clues from the study of sea otters as sentinels of Toxoplasma gondii flow into the marine environment" OR</t>
  </si>
  <si>
    <t>"The development of methods for immunophenotypic and lymphocyte function analyzes for assessment of Southern sea otter (Enhydra lutris nereis) health" OR</t>
  </si>
  <si>
    <t>"Protozoal meningoencephalitis in sea otters (Enhydra lutris): a histopathological and immunohistochemical study of naturally occurring cases" OR</t>
  </si>
  <si>
    <t>"Does human proximity affect antibody prevalence in marine-foraging river otters (Lontra canadensis)?" OR</t>
  </si>
  <si>
    <t>"Canine Distemper Epizootic in Everglades Mink" OR</t>
  </si>
  <si>
    <t>"Ultrastructural and molecular confirmation of the development of Sarcocystis neurona tissue cysts in the central nervous system of southern sea otters (Enhydra lutris nereis)" OR</t>
  </si>
  <si>
    <t>"Enteric bacterial pathogen detection in southern sea otters (Enhydra lutris nereis) is associated with coastal urbanization and freshwater runoff" OR</t>
  </si>
  <si>
    <t>"Limited genetic diversity among Sarcocystis neurona strains infecting southern sea otters precludes distinction between marine and terrestrial isolates" OR</t>
  </si>
  <si>
    <t>"A protozoal-associated epizootic impacting marine wildlife: Mass-mortality of southern sea otters (Enhydra lutris nereis) due to Sarcocystis neurona infection" OR</t>
  </si>
  <si>
    <t>"Osteosarcoma of the Maxilla with Concurrent Osteoma in a Southern Sea Otter (Enhydra lutris nereis)" OR</t>
  </si>
  <si>
    <t>"Bartonella spp. Exposure in Northern and Southern Sea Otters in Alaska and California" OR</t>
  </si>
  <si>
    <t>"Novel Bartonella infection in northern and southern sea otters (Enhydra lutris kenyoni and Enhydra lutris nereis)" OR</t>
  </si>
  <si>
    <t>"EFFICACY OF TWO CANINE DISTEMPER VACCINES IN WILD NEARCTIC RIVER OTTERS (LONTRA CANADENSIS)" OR</t>
  </si>
  <si>
    <t>"ORAL PAPILLOMATOSIS CAUSED BY ENHYDRA LUTRIS PAPILLOMAVIRUS 1 (EIPV-1) IN SOUTHERN SEA OTTERS (ENHYDRA LUTRIS NEREIS) IN CALIFORNIA, USA" OR</t>
  </si>
  <si>
    <t>"Low Titers of Canine Distemper Virus Antibody in Wild Fishers (Pekania pennanti) in the Eastern USA" OR</t>
  </si>
  <si>
    <t>"Utility of two modified-live virus canine distemper vaccines in wild-caught fishers (Pekania pennanti)" OR</t>
  </si>
  <si>
    <t>"Dual congenital transmission of Toxoplasma gondii and Sarcocystis neurona in a late-term aborted pup from a chronically infected southern sea otter (Enhydra lutris nereis)" OR</t>
  </si>
  <si>
    <t>"Serologic Detection of Subtype-specific Antibodies to Influenza A Viruses in Southern Sea Otters (Enhydra lutris nereis)" OR</t>
  </si>
  <si>
    <t>"ISOLATION AND CHARACTERIZATION OF A NOVEL MARINE BRUCELLA FROM A SOUTHERN SEA OTTER (ENHYDRA LUTRIS NEREIS), CALIFORNIA, USA" OR</t>
  </si>
  <si>
    <t>"ENDEMIC INFECTION OF STRANDED SOUTHERN SEA OTTERS (ENHYDRA LUTRIS NEREIS) WITH NOVEL PARVOVIRUS, POLYOMAVIRUS, AND ADENOVIRUS" OR</t>
  </si>
  <si>
    <t>"Molecular characterization and prevalence of Halarachne halichoeri in threatened southern sea otters (Enhydra lutris nereis)" OR</t>
  </si>
  <si>
    <t>"Pathology and epidemiology of nasopulmonary acariasis (Halarachne sp.) in southern sea otters (Enhydra lutris nereis)" OR</t>
  </si>
  <si>
    <t>"Concentrations of organohalogens (PCBs, DDTs, PBDEs) in hunted and stranded Northern sea otters (Enhydra lutris kenyoni) in Alaska from 1992 to 2010: Links to pathology and feeding ecology" OR</t>
  </si>
  <si>
    <t>"Acanthocephalan parasites in sea otters: Why we need to look beyond associated mortality horizontal ellipsis" OR</t>
  </si>
  <si>
    <t>"Novel infections of Corynosoma enhydri and Profilicollis sp. (Acanthocephala: Polymorphidae) identified in sea otters Enhydra lutris" OR</t>
  </si>
  <si>
    <t>"Reductions in the dietary niche of southern sea otters (Enhydra lutris nereis) from the Holocene to the Anthropocene" OR</t>
  </si>
  <si>
    <t>"A carnivores' oasis? An isolated fisher (Pekania pennanti) population provides insight on persistence of a metapopulation" OR</t>
  </si>
  <si>
    <t>"Using stochastic simulation to evaluate competing risks of wildfires and fuels management on an isolated forest carnivore" OR</t>
  </si>
  <si>
    <t>"Landscape fuel reduction, forest fire, and biophysical linkages to local habitat use and local persistence of fishers (Pekania pennanti) in Sierra Nevada mixed-conifer forests" OR</t>
  </si>
  <si>
    <t>"Indirect effects of bioinvasions in Yellowstone Lake: The response of river otters to declines in native cutthroat trout" OR</t>
  </si>
  <si>
    <t>"Life history plasticity and population regulation in sea otters" OR</t>
  </si>
  <si>
    <t>"Winter diet of marten during a snowshoe hare decline" OR</t>
  </si>
  <si>
    <t>"Reproductive inefficiency in male blackfooted ferrets (Mustela nigripes)" OR</t>
  </si>
  <si>
    <t>"Limited effects of a keystone species: trends of sea otters and kelp forests at the Semichi Islands, Alaska" OR</t>
  </si>
  <si>
    <t>"Stock structure of sea otters (Enhydra lutris kenyoni) in Alaska" OR</t>
  </si>
  <si>
    <t>"Activity patterns and time budgets of the declining sea otter population at Amchitka Island, Alaska" OR</t>
  </si>
  <si>
    <t>"Ecological effectiveness: Conservation goals for interactive species" OR</t>
  </si>
  <si>
    <t>"Genetic diversity and structure of the fisher (Pekania pennanti) in a peninsular and peripheral metapopulation" OR</t>
  </si>
  <si>
    <t>"Toward sustainable ecosystem services from the Aleutian Archipelago" OR</t>
  </si>
  <si>
    <t>"Demographic and genetic evaluation of an American marten reintroduction" OR</t>
  </si>
  <si>
    <t>"Patterns of growth and body condition in sea otters from the Aleutian archipelago before and after the recent population decline" OR</t>
  </si>
  <si>
    <t>"Indirect food web interactions: sea otters and kelp forest fishes in the Aleutian archipelago" OR</t>
  </si>
  <si>
    <t>"Testing the generality of the trophic cascade paradigm for sea otters: a case study with kelp forests in northern Washington, USA" OR</t>
  </si>
  <si>
    <t>"Genotypic and phenotypic consequences of reintroduction history in the black-footed ferret (Mustela nigripes)" OR</t>
  </si>
  <si>
    <t>"Landscape features influence postrelease predation on endangered black-footed ferrets" OR</t>
  </si>
  <si>
    <t>"Sampling affects the detection of genetic subdivision and conservation implications for fisher in the Sierra Nevada" OR</t>
  </si>
  <si>
    <t>"Potential Role of Prey in the Recovery of American Martens to Wisconsin" OR</t>
  </si>
  <si>
    <t>"A Road Map for 21st Century Genetic Restoration: Gene Pool Enrichment of the Black-Footed Ferret" OR</t>
  </si>
  <si>
    <t>"Testing the nutritional-limitation, predator-avoidance, and storm-avoidance hypotheses for restricted sea otter habitat use in the Aleutian Islands, Alaska" OR</t>
  </si>
  <si>
    <t>"Detecting and inferring cause of change in an Alaska nearshore marine ecosystem" OR</t>
  </si>
  <si>
    <t>"Characterization of the putatively introduced red alga Acrochaetium secundatum (Acrochaetiales, Rhodophyta) growing epizoically on the pelage of southern sea otters (Enhydra lutris nereis)" OR</t>
  </si>
  <si>
    <t>"Genetic diversity of reintroduced American martens in Michigan's Lower Peninsula" OR</t>
  </si>
  <si>
    <t>"Inbreeding causes decreased seminal quality affecting pregnancy and litter size in the endangered black-footed ferret" OR</t>
  </si>
  <si>
    <t>"Use of the ACTH challenge test to identify the predominant glucocorticoid in the southern sea otter (Enhydra lutris nereis)" OR</t>
  </si>
  <si>
    <t>"Anticoagulant Rodenticides on our Public and Community Lands: Spatial Distribution of Exposure and Poisoning of a Rare Forest Carnivore" OR</t>
  </si>
  <si>
    <t>"Impacts of Rodenticide and Insecticide Toxicants from Marijuana Cultivation Sites on Fisher Survival Rates in the Sierra National Forest, California" OR</t>
  </si>
  <si>
    <t>"Adverse Outcome Pathway and Risks of Anticoagulant Rodenticides to Predatory Wildlife" OR</t>
  </si>
  <si>
    <t>"Retention time of chlorophacinone in black-tailed prairie dogs informs secondary hazards from a prairie dog rodenticide bait" OR</t>
  </si>
  <si>
    <t>["Lontra canadensis", "Neovison vison"]</t>
  </si>
  <si>
    <t>"Contaminant concentrations in Illinois mink and otter" OR</t>
  </si>
  <si>
    <t>"Sea otter population dynamics and the Exxon Valdez oil spill: disentangling the confounding effects" OR</t>
  </si>
  <si>
    <t>"Measures of effective population size in sea otters reveal special considerations for wide-ranging species" OR</t>
  </si>
  <si>
    <t>"PATHOGEN EXPOSURE AND BLOOD CHEMISTRY IN THE WASHINGTON, USA POPULATION OF NORTHERN SEA OTTERS (ENHYDRA LUTRIS KENYONI)" OR</t>
  </si>
  <si>
    <t>"EXPERIMENTS ON THE RESPONSE OF SEA OTTERS ENHYDRA-LUTRIS TO OIL CONTAMINATION" OR</t>
  </si>
  <si>
    <t>["Neovison vison", "Lontra canadensis"]</t>
  </si>
  <si>
    <t>"CAUSE-EFFECT LINKAGES BETWEEN CHEMICALS AND POPULATIONS OF MINK (MUSTELA-VISON) AND OTTER (LUTRA-CANADENSIS) IN THE GREAT-LAKES BASIN" OR</t>
  </si>
  <si>
    <t>"MORTALITY OF SEA OTTERS IN PRINCE-WILLIAM SOUND FOLLOWING THE EXXON-VALDEZ OIL-SPILL" OR</t>
  </si>
  <si>
    <t>"CONTAMINANTS IN FISHES FROM GREAT LAKES-INFLUENCED SECTIONS AND ABOVE DAMS OF 3 MICHIGAN RIVERS .2. IMPLICATIONS FOR HEALTH OF MINK" OR</t>
  </si>
  <si>
    <t>"CHANGES IN DIETS OF RIVER OTTERS IN PRINCE WILLIAM SOUND, ALASKA - EFFECTS OF THE EXXON-VALDEZ OIL-SPILL" OR</t>
  </si>
  <si>
    <t>"EVIDENCE FOR RECOVERY OF BODY-MASS AND HAPTOGLOBIN VALUES OF RIVER OTTERS FOLLOWING THE EXXON-VALDEZ OIL-SPILL" OR</t>
  </si>
  <si>
    <t>"ESTIMATING POPULATIONS OF MARINE RIVER OTTERS IN PRINCE WILLIAM SOUND, ALASKA, USING RADIOTRACER IMPLANTS" OR</t>
  </si>
  <si>
    <t>"THE DECLINE OF MINK IN GEORGIA, NORTH-CAROLINA, AND SOUTH-CAROLINA - THE ROLE OF CONTAMINANTS" OR</t>
  </si>
  <si>
    <t>"Developing a criterion for delisting the southern sea otter under the US endangered species act" OR</t>
  </si>
  <si>
    <t>"Sea otter mortality estimated from carcasses collected after the Exxon Valdez oil spill" OR</t>
  </si>
  <si>
    <t>"Status of translocated sea otters at San Nicolas Island, California" OR</t>
  </si>
  <si>
    <t>"Induction of cytochrome P450 1A1 expression in captive river otters fed Prudhoe Bay crude oil: evaluation by immunohistochemistry and quantitative RT-PCR" OR</t>
  </si>
  <si>
    <t>"Sea otter population status and the process of recovery from the 1989 'Exxon Valdez' oil spill" OR</t>
  </si>
  <si>
    <t>"Length-mass and total body length of adult female sea otters in Prince William Sound before and after the Exxon Valdez oil spill" OR</t>
  </si>
  <si>
    <t>"Post-release survival of river otters: Effects of exposure to crude oil and captivity" OR</t>
  </si>
  <si>
    <t>"Effects of the Exxon Valdez oil spill on river otters: Injury and recovery of a sentinel species" OR</t>
  </si>
  <si>
    <t>"Correlates to survival of juvenile sea otters in Prince William Sound, Alaska, 1992-1993" OR</t>
  </si>
  <si>
    <t>"Simulated effects of habitat loss and fragmentation on a solitary mustelid predator" OR</t>
  </si>
  <si>
    <t>"Potential for sea otter exposure to remnants of buried oil from the exxon valdez oil spill" OR</t>
  </si>
  <si>
    <t>"Immunomodulatory effects of organochlorine mixtures upon in vitro exposure of peripheral blood leukocytes differ between free-ranging and captive southern sea otters (Enhydra lutris)" OR</t>
  </si>
  <si>
    <t>["Enhydra lutris", "Neovison vison"]</t>
  </si>
  <si>
    <t>"Chronic oral exposure to bunker C fuel oil causes adrenal insufficiency in ranch mink (Neovison vison)" OR</t>
  </si>
  <si>
    <t>"Production and toxicity of the marine biotoxin domoic acid and its effects on wildlife: A review" OR</t>
  </si>
  <si>
    <t>"PCB exposure in sea otters and harlequin ducks in relation to history of contamination by the Exxon Valdez oil spill" OR</t>
  </si>
  <si>
    <t>Could residual oil from the Exxon Valdez spill create a long-term population sink" for sea otters in Alaska?</t>
  </si>
  <si>
    <t>"Could residual oil from the Exxon Valdez spill create a long-term population" OR</t>
  </si>
  <si>
    <t>"EXPOSURE OF SEA OTTERS AND HARLEQUIN DUCKS IN PRINCE WILLIAM SOUND, ALASKA, USA, TO SHORELINE OIL RESIDUES 20 YEARS AFTER THE EXXON VALDEZ OIL SPILL" OR</t>
  </si>
  <si>
    <t>"Long-term effects of the 'Exxon Valdez' oil spill: sea otter foraging in the intertidal as a pathway of exposure to lingering oil" OR</t>
  </si>
  <si>
    <t>"Quantifying long-term risks to sea otters from the 1989 'Exxon Valdez' oil spill: Reply to Harwell &amp; Gentile (2013) Reply COMMENT" OR</t>
  </si>
  <si>
    <t>"Quantifying long-term risks to sea otters from the 1989 'Exxon Valdez' oil spill: Comment on Bodkin et al. (2012) COMMENT" OR</t>
  </si>
  <si>
    <t>"Assessing Risks to Sea Otters and the Exxon Valdez Oil Spill: New Scenarios, Attributable Risk, and Recovery" OR</t>
  </si>
  <si>
    <t>"Gene Transcript Profiling in Sea Otters Post-Exxon Valdez Oil Spill: A Tool for Marine Ecosystem Health Assessment" OR</t>
  </si>
  <si>
    <t>"Large-scale variation in density of an aquatic ecosystem indicator species" OR</t>
  </si>
  <si>
    <t>["Enhydra lutris", "Lontra canadensis"]</t>
  </si>
  <si>
    <t>"Timelines and mechanisms of wildlife population recovery following the Exxon Valdez oil spill" OR</t>
  </si>
  <si>
    <t>"Density dependence and risk of extinction in a small population of sea otters" OR</t>
  </si>
  <si>
    <t>["Viet Nam"]</t>
  </si>
  <si>
    <t>["Lutra lutra", "Aonyx cinereus"]</t>
  </si>
  <si>
    <t>"Local ecological knowledge as a tool for assessing the status of threatened vertebrates: a case study in Vietnam" OR</t>
  </si>
  <si>
    <t>["Zimbabwe"]</t>
  </si>
  <si>
    <t>["Aonyx capensis"]</t>
  </si>
  <si>
    <t>"DIET AND CONSERVATION STATUS OF CAPE CLAWLESS OTTERS IN EASTERN ZIMBABWE" OR</t>
  </si>
  <si>
    <t>"Making sense of the policy process for carnivore conservation" OR</t>
  </si>
  <si>
    <t>"Habitat, Climate, and Fisher and Marten Distributions" OR</t>
  </si>
  <si>
    <t>["Pekania pennanti", "Gulo gulo"]</t>
  </si>
  <si>
    <t>"Carnivores as focal species for conservation planning in the Rocky Mountain region" OR</t>
  </si>
  <si>
    <t>"Genetic structure of sensitive and endangered northwestern badger populations (Taxidea taxus taxus and T-t. jeffersonii)" OR</t>
  </si>
  <si>
    <t>"Interacting effects of climate change, landscape conversion, and harvest on carnivore populations at the range margin: Marten and Lynx in the northern Appalachians" OR</t>
  </si>
  <si>
    <t>"Genetic structure of North American wolverine (Gulo gulo) populations" OR</t>
  </si>
  <si>
    <t>"Contamination status and accumulation profiles of organotins in sea otters (Enhydra lutris) found dead along the coasts of California, Washington, Alaska (USA), and Kamchatka (Russia)" OR</t>
  </si>
  <si>
    <t>"Mitochondrial phylogeography and conservation genetics of wolverine (Gulo gulo) of northwestern North America" OR</t>
  </si>
  <si>
    <t>"Fisher survival in eastern Ontario" OR</t>
  </si>
  <si>
    <t>"Connectivity of peripheral and core populations of North American wolverines" OR</t>
  </si>
  <si>
    <t>"Synthesis of survival rates and causes of mortality in North American wolverines" OR</t>
  </si>
  <si>
    <t>"Landscape-scale habitat selection by fishers translocated to the Olympic Peninsula of Washington" OR</t>
  </si>
  <si>
    <t>"Nonlinear responses of wolverine populations to declining winter snowpack" OR</t>
  </si>
  <si>
    <t>"Genetic isolation of wolverine (Gulo gulo) populations at the eastern periphery of their North American distribution" OR</t>
  </si>
  <si>
    <t>"Implications of introgression for wildlife translocations: the case of North American martens" OR</t>
  </si>
  <si>
    <t>"Mink Farms Predict Aleutian Disease Exposure in Wild American Mink" OR</t>
  </si>
  <si>
    <t>"Molecular characterization of Sarcocystis neurona strains from opossums (Didelphis virginiana) and intermediate hosts from Central California" OR</t>
  </si>
  <si>
    <t>"ASSESSMENT OF CLINICAL PATHOLOGY AND PATHOGEN EXPOSURE IN SEA OTTERS (ENHYDRA LUTRIS) BORDERING THE THREATENED POPULATION IN ALASKA" OR</t>
  </si>
  <si>
    <t>"Stress-related hormones and genetic diversity in sea otters (Enhydra lutris)" OR</t>
  </si>
  <si>
    <t>"Conservation genetics of the fisher (Pekania pennanti) based on mitochondrial DNA sequencing" OR</t>
  </si>
  <si>
    <t>"Genetic diversity and population structure of wolverine (Gulo gulo) populations at the southern edge of their current distribution in North America with implications for genetic viability" OR</t>
  </si>
  <si>
    <t>"Effects of environmental methylmercury on the health of wild birds, mammals, and fish" OR</t>
  </si>
  <si>
    <t>"The marine otter Lontra felina (Molina, 1782): A review of its present status and implications for future conservation" OR</t>
  </si>
  <si>
    <t>"Ecology and biogeography of the Neotropical otter Lontra longicaudis: existing knowledge and open questions" OR</t>
  </si>
  <si>
    <t>"Biology and conservation of the giant otter Pteronura brasiliensis" OR</t>
  </si>
  <si>
    <t>"The Neotropical otter Lontra longicaudis: a comprehensive update on the current knowledge and conservation status of this semiaquatic carnivore" OR</t>
  </si>
  <si>
    <t>"Genetic diversity and population structure in the endangered giant otter, Pteronura brasiliensis" OR</t>
  </si>
  <si>
    <t>"Latitudinal variation in diet and patterns of human interaction in the marine otter" OR</t>
  </si>
  <si>
    <t>"Galictis cuja (Mammalia): An update of current knowledge and geographic distribution" OR</t>
  </si>
  <si>
    <t>"Popularity of pet otters on YouTube: evidence of an emerging trade threat" OR</t>
  </si>
  <si>
    <t>"Identification of novel haplotypes and interpretation of gene flow of mitochondrial DNA control region of Eurasian otter (Lutra lutra) for the effective conservation" OR</t>
  </si>
  <si>
    <t>"Decline in endangered species as an indication of anthropic pressures: The case of European mink Mustela lutreola western population" OR</t>
  </si>
  <si>
    <t>"Genetic analysis of Eurasian otters (Lutra lutra) reveals high admixture in Finland and pronounced differentiation in Sweden" OR</t>
  </si>
  <si>
    <t>"Conservation of the European mink (Mustela lutreola): Focus on reproduction and reproductive technologies" OR</t>
  </si>
  <si>
    <t>"WHY IS THE EUROPEAN MINK (MUSTELA-LUTREOLA) DISAPPEARING - A REVIEW OF THE PROCESS AND HYPOTHESES" OR</t>
  </si>
  <si>
    <t>"A review of the status of the Western polecat Mustela putorius: a neglected and declining species?" OR</t>
  </si>
  <si>
    <t>"Flexible habitat selection paves the way for a recovery of otter populations in the European Alps" OR</t>
  </si>
  <si>
    <t>"Genetic structure in otter (Lutra lutra) populations in Europe: implications for conservation" OR</t>
  </si>
  <si>
    <t>"Activity and home range in a recently widespread European mink population in Western Europe" OR</t>
  </si>
  <si>
    <t>"Genetic diversity and landscape genetic structure of otter (Lutra lutra) populations in Europe" OR</t>
  </si>
  <si>
    <t>["European sp."]</t>
  </si>
  <si>
    <t>"Control of mammalian predators in game management and conservation" OR</t>
  </si>
  <si>
    <t>"Changes in mammalian body length over 175 years - Adaptations to a fragmented landscape?" OR</t>
  </si>
  <si>
    <t>"PCBs and their putative effects on polecat (Mustela putorius) populations in Central Europe" OR</t>
  </si>
  <si>
    <t>"The relationship between population density and body size of wolverines Gulo gulo in Scandinavia" OR</t>
  </si>
  <si>
    <t>"Effects of extensive fishpond management and human disturbance factors on Eurasian otter (Lutra lutra L. 1758) populations in Eastern Europe" OR</t>
  </si>
  <si>
    <t>["Mustela eversmannii"]</t>
  </si>
  <si>
    <t>"Population status, habitat associations, and distribution of the steppe polecat Mustela eversmanii in Europe" OR</t>
  </si>
  <si>
    <t>"Factors affecting occupancy by the European mink in south-western Europe" OR</t>
  </si>
  <si>
    <t>"An endangered species as indicator of freshwater quality: fractal diagnosis of fragmentation within a European mink, Mustela lutreola, population" OR</t>
  </si>
  <si>
    <t>"THE STATUS OF THE BADGER MELES-MELES (L, 1758) (CARNIVORA, MUSTELIDAE) IN EUROPE" OR</t>
  </si>
  <si>
    <t>["Multiple sp."]</t>
  </si>
  <si>
    <t>"Experimental design and taxonomic scope of fragmentation studies on European mammals: current status and future priorities" OR</t>
  </si>
  <si>
    <t>"Otters (Lutra lutra) increasing in Central Europe: from the threat of extinction to locally perceived overpopulation?" OR</t>
  </si>
  <si>
    <t>"Badger hair in shaving brushes comes from protected Eurasian badgers" OR</t>
  </si>
  <si>
    <t>"Shaping carnivore communities by predator control: competitor release revisited" OR</t>
  </si>
  <si>
    <t>"Population trends and harvest management of pine marten Martes martes in Scandinavia" OR</t>
  </si>
  <si>
    <t>"Genetic variation and population structure in Scandinavian wolverine (Gulo gulo) populations" OR</t>
  </si>
  <si>
    <t>"Management strategies for the wolverine in Scandinavia" OR</t>
  </si>
  <si>
    <t>"Reproductive characteristics of female wolverines (Gulo gulo) in Scandinavia" OR</t>
  </si>
  <si>
    <t>"Human caused mortality in the endangered Scandinavian wolverine population" OR</t>
  </si>
  <si>
    <t>"Compensatory immigration counteracts contrasting conservation strategies of wolverines (Gulo gulo) within Scandinavia" OR</t>
  </si>
  <si>
    <t>"Failure to coordinate management in transboundary populations hinders the achievement of national management goals: The case of wolverines in Scandinavia" OR</t>
  </si>
  <si>
    <t>"Adapting global conservation strategies to climate change at the European scale: The otter as a flagship species" OR</t>
  </si>
  <si>
    <t>"Mitochondrial DNA and palaeontological evidence for the origins of endangered European mink, Mustela lutreola" OR</t>
  </si>
  <si>
    <t>"European mink-polecat hybridization events: Hazards from natural process?" OR</t>
  </si>
  <si>
    <t>"Bayesian analysis of hybridization and introgression between the endangered european mink (Mustela lutreola) and the polecat (Mustela putorius)" OR</t>
  </si>
  <si>
    <t>"The American mink: the triumph and tragedy of adaptation out of context" OR</t>
  </si>
  <si>
    <t>"The American mink in Europe: Status, impacts, and control" OR</t>
  </si>
  <si>
    <t>["Mustela putorius", "Meles meles", "Martes martes"]</t>
  </si>
  <si>
    <t>"Invasion of the raccoon dog Nyctereutes procyonoides in Europe: History of colonization, features behind its success, and threats to native fauna" OR</t>
  </si>
  <si>
    <t>"Adult sex-ratio distortion in the native European polecat is related to the expansion of the invasive American mink" OR</t>
  </si>
  <si>
    <t>"First report of Filaria martis Gmelin, 1790 in the European mink, Mustela lutreola (Linnaeus, 1761)" OR</t>
  </si>
  <si>
    <t>"Misleading interpretation of shifting baseline syndrome in the conservation of European mink" OR</t>
  </si>
  <si>
    <t>["Vormela peregusna", "Mustela lutreola"]</t>
  </si>
  <si>
    <t>"First report of Borrelia burgdorferi sensu lato in two threatened carnivores: the Marbled polecat, Vormela peregusna and the European mink, Mustela lutreola (Mammalia: Mustelidae)" OR</t>
  </si>
  <si>
    <t>"A review of piroplasmid infections in wild carnivores worldwide: importance for domestic animal health and wildlife conservation" OR</t>
  </si>
  <si>
    <t>"FATAL ACINETOBACTER BAUMANNII INFECTION IN THE CRITICALLY ENDANGERED EUROPEAN MINK (MUSTELA LUTREOLA)" OR</t>
  </si>
  <si>
    <t>"Aleutian mink disease parvovirus in wild riparian carnivores in Spain" OR</t>
  </si>
  <si>
    <t>"Toxoplasma gondii in stranded marine mammals from the North Sea and Eastern Atlantic Ocean: Findings and diagnostic difficulties" OR</t>
  </si>
  <si>
    <t>"Molecular survey of genetic diversity in the endangered European mink Mustela lutreola" OR</t>
  </si>
  <si>
    <t>"Is the western population of the European mink, (Mustela lutreola), a distinct Management Unit for conservation?" OR</t>
  </si>
  <si>
    <t>"Genetic neighbourhood and effective population size in the endangered European mink Mustela lutreola" OR</t>
  </si>
  <si>
    <t>"Conservation genetics and population history of the threatened European mink Mustela lutreola, with an emphasis on the west European population" OR</t>
  </si>
  <si>
    <t>"Polymorphism of the Endangered European Mink (Mustela lutreola, Carnivora, Mustelidae) Population in the Central Forest Reserve and Neighboring Areas" OR</t>
  </si>
  <si>
    <t>"Patterns of genetic variation in the endangered European mink (Mustela lutreola L., 1761)" OR</t>
  </si>
  <si>
    <t>"Raising awareness of the plight of the critically endangered European mink in Spain is not miscommunication: a response to Melero" OR</t>
  </si>
  <si>
    <t>"DNA-based monitoring of two newly founded Scandinavian wolverine populations" OR</t>
  </si>
  <si>
    <t>"Genome sequencing and conservation genomics in the Scandinavian wolverine population" OR</t>
  </si>
  <si>
    <t>"Genetic structure and evidence for recent population decline in Eurasian otter populations in the Czech and Slovak Republics: implications for conservation" OR</t>
  </si>
  <si>
    <t>["Mustela nivalis", "Mustela erminea", "Mustela putorius"]</t>
  </si>
  <si>
    <t>"Spatial and temporal exposure patterns in non-target small mammals during brodifacoum rat control" OR</t>
  </si>
  <si>
    <t>"Estimation of polychlorinated biphenyl (PCB) levels in livers of the otter (Lutra lutra) from concentrations in scats and fish" OR</t>
  </si>
  <si>
    <t>["Lutra lutra", "Neovison vison", "Lontra canadensis"]</t>
  </si>
  <si>
    <t>"Health effects of endocrine-disrupting chemicals on wildlife, with special reference to the European situation" OR</t>
  </si>
  <si>
    <t>"The otter (Lutra lutra) situation in Latvia and Sweden related to PCB and DDT levels" OR</t>
  </si>
  <si>
    <t>"The effect of a major drainage divide on the gene flow of a semiaquatic carnivore, the Eurasian otter" OR</t>
  </si>
  <si>
    <t>"Increasing Concentrations of Perfluoroalkyl Acids in Scandinavian Otters (Lutra lutra) between 1972 and 2011: A New Threat to the Otter Population?" OR</t>
  </si>
  <si>
    <t>["Aonyx capensis", "Hydrictis maculicollis"]</t>
  </si>
  <si>
    <t>"Possible influence of increased riparian activity (stream modification and agricultural intensification) on abundance of South African otters" OR</t>
  </si>
  <si>
    <t>"THE STATUS OF 2 ENDANGERED CARNIVORES OCCURRING IN THE CAPE-PROVINCE, SOUTH-AFRICA, FELIS-SERVAL AND LUTRA-MACULICOLLIS" OR</t>
  </si>
  <si>
    <t>"Freshwater availability and distribution of Cape clawless otter spraints and resting places along the south-west coast of South Africa" OR</t>
  </si>
  <si>
    <t>"Habitat use by the Cape clawless otter and the spotted-necked otter in the KwaZulu-Natal Drakensberg, South Africa" OR</t>
  </si>
  <si>
    <t>"ORGANOCHLORINE PESTICIDE-RESIDUES AND PCBS IN OTTER SCATS FROM NATAL" OR</t>
  </si>
  <si>
    <t>["All regions"]</t>
  </si>
  <si>
    <t>["Enhydra lutris", "Lontra felina"]</t>
  </si>
  <si>
    <t>"Marine Mammal Ecotypes: Implications for Otter Conservation and Management" OR</t>
  </si>
  <si>
    <t>["All sp."]</t>
  </si>
  <si>
    <t>"Lessons from lean beasts: conservation biology of the mustelids" OR</t>
  </si>
  <si>
    <t>"Terrestrial carnivores and human food production: impact and management" OR</t>
  </si>
  <si>
    <t>"Marine mammal bycatch in gillnet and other entangling net fisheries, 1990 to 2011" OR</t>
  </si>
  <si>
    <t>"More than range exposure: Global otter vulnerability to climate change" OR</t>
  </si>
  <si>
    <t>["Lutra lutra", "Lontra canadensis"]</t>
  </si>
  <si>
    <t>"Impacts of Pollutants on Beavers and Otters with Implications for Ecosystem Ramifications" OR</t>
  </si>
  <si>
    <t>["Hunting &amp; Collecting Terrestrial Animals"]</t>
  </si>
  <si>
    <t>["Biological resource use"]</t>
  </si>
  <si>
    <t>["Natural system modifications"]</t>
  </si>
  <si>
    <t>["Agricultural &amp; forestry effluents"]</t>
  </si>
  <si>
    <t>["Pollution", "Agriculture &amp; aquaculture", "Residential &amp; commercial development"]</t>
  </si>
  <si>
    <t>["Agricultural &amp; forestry effluents", "Industrial &amp; military effluents"]</t>
  </si>
  <si>
    <t>["Pollution"]</t>
  </si>
  <si>
    <t>["Annual &amp; perennial non-timber crops", "Logging &amp; wood harvesting", "Hunting &amp; collecting terrestrial animals"]</t>
  </si>
  <si>
    <t>["Agriculture &amp; aquaculture", "Biological resource use"]</t>
  </si>
  <si>
    <t>["Hunting &amp; Collecting Terrestrial Animals", "Agricultural &amp; forestry effluents", "Industrial &amp; military effluents", "Wood &amp; pulp plantations"]</t>
  </si>
  <si>
    <t>["Biological resource use", "Pollution", "Agriculture &amp; aquaculture"]</t>
  </si>
  <si>
    <t>["Marine &amp; freshwater aquaculture"]</t>
  </si>
  <si>
    <t>["Agriculture &amp; aquaculture"]</t>
  </si>
  <si>
    <t>["Hunting &amp; Collecting Terrestrial Animals", "Mining &amp; quarrying", "Marine &amp; freshwater aquaculture"]</t>
  </si>
  <si>
    <t>["Biological resource use", "Energy production &amp; mining", "Agriculture &amp; aquaculture"]</t>
  </si>
  <si>
    <t>["Biological resource use", "Natural system modifications"]</t>
  </si>
  <si>
    <t>["Hunting &amp; Collecting Terrestrial Animals", "Logging &amp; Wood Harvesting", "Marine &amp; freshwater aquaculture"]</t>
  </si>
  <si>
    <t>["Biological resource use", "Agriculture &amp; aquaculture"]</t>
  </si>
  <si>
    <t>["Logging &amp; Wood Harvesting"]</t>
  </si>
  <si>
    <t>["Biological resource use", "Agriculture &amp; aquaculture", "Residential &amp; commercial development"]</t>
  </si>
  <si>
    <t>["Annual &amp; perennial non-timber crops"]</t>
  </si>
  <si>
    <t>["Industrial &amp; military effluents"]</t>
  </si>
  <si>
    <t>["Hunting &amp; Collecting Terrestrial Animals", "Fishing &amp; Harvesting Aquatic Resources", "Industrial &amp; military effluents"]</t>
  </si>
  <si>
    <t>["Biological resource use", "Pollution"]</t>
  </si>
  <si>
    <t>["Fishing &amp; Harvesting Aquatic Resources", "Viral/prion-induced diseases", "Recreational activities", "Industrial &amp; military effluents"]</t>
  </si>
  <si>
    <t>["Biological resource use", "Invasive &amp; other problematic species, genes &amp; diseases", "Human intrusions &amp; disturbance", "Pollution"]</t>
  </si>
  <si>
    <t>["Fishing &amp; Harvesting Aquatic Resources", "Viral/prion-induced diseases"]</t>
  </si>
  <si>
    <t>["Biological resource use", "Invasive &amp; other problematic species, genes &amp; diseases"]</t>
  </si>
  <si>
    <t>["Fishing &amp; Harvesting Aquatic Resources"]</t>
  </si>
  <si>
    <t>["Human intrusions &amp; disturbance"]</t>
  </si>
  <si>
    <t>["Problematic native species/diseases"]</t>
  </si>
  <si>
    <t>["Invasive &amp; other problematic species, genes &amp; diseases", "Human intrusions &amp; disturbance"]</t>
  </si>
  <si>
    <t>["Viral/prion-induced diseases"]</t>
  </si>
  <si>
    <t>["Invasive &amp; other problematic species, genes &amp; diseases", "Natural system modifications"]</t>
  </si>
  <si>
    <t>["Problematic native species/diseases", "Industrial &amp; military effluents"]</t>
  </si>
  <si>
    <t>["Invasive &amp; other problematic species, genes &amp; diseases", "Pollution", "Invasive &amp; other problematic species, genes &amp; diseases"]</t>
  </si>
  <si>
    <t>["Viral/prion-induced diseases", "Industrial &amp; military effluents"]</t>
  </si>
  <si>
    <t>["Invasive &amp; other problematic species, genes &amp; diseases", "Pollution"]</t>
  </si>
  <si>
    <t>["Invasive &amp; other problematic species, genes &amp; diseases", "Residential &amp; commercial development"]</t>
  </si>
  <si>
    <t>["Invasive &amp; other problematic species, genes &amp; diseases"]</t>
  </si>
  <si>
    <t>["Natural system modifications", "Invasive &amp; other problematic species, genes &amp; diseases"]</t>
  </si>
  <si>
    <t>["Industrial &amp; military effluents", "Fishing &amp; harvesting aquatic resources"]</t>
  </si>
  <si>
    <t>["Pollution", "Biological resource use"]</t>
  </si>
  <si>
    <t>["Industrial &amp; military effluents", "Hunting &amp; collecting terrestrial animals"]</t>
  </si>
  <si>
    <t>["Industrial &amp; military effluents", "Recreational activities", "Mining &amp; quarrying", "Invasive non-native/alien species/diseases"]</t>
  </si>
  <si>
    <t>["Pollution", "Human intrusions &amp; disturbance", "Energy production &amp; mining", "Invasive &amp; other problematic species, genes &amp; diseases"]</t>
  </si>
  <si>
    <t>["Pollution", "Human intrusions &amp; disturbance", "Natural system modifications"]</t>
  </si>
  <si>
    <t>["Industrial &amp; military effluents", "Viral/prion-induced diseases"]</t>
  </si>
  <si>
    <t>["Pollution", "Invasive &amp; other problematic species, genes &amp; diseases"]</t>
  </si>
  <si>
    <t>["Industrial &amp; military effluents", "Problematic native species/diseases"]</t>
  </si>
  <si>
    <t>["Diseases of unknown cause"]</t>
  </si>
  <si>
    <t>["Pollution", "Natural system modifications"]</t>
  </si>
  <si>
    <t>["Logging &amp; wood harvesting", "Roads &amp; railroads"]</t>
  </si>
  <si>
    <t>["Agriculture &amp; aquaculture", "Biological resource use", "Transportation &amp; service corridors"]</t>
  </si>
  <si>
    <t>["Hunting &amp; Collecting Terrestrial Animals", "Livestock farming &amp; ranching", "Annual &amp; perennial non-timber crops"]</t>
  </si>
  <si>
    <t>["Hunting &amp; Collecting Terrestrial Animals", "Roads &amp; railroads"]</t>
  </si>
  <si>
    <t>["Biological resource use", "Transportation &amp; service corridors"]</t>
  </si>
  <si>
    <t>["Invasive non-native/alien species/diseases"]</t>
  </si>
  <si>
    <t>["Habitat shifting &amp; alteration"]</t>
  </si>
  <si>
    <t>["Biological resource use", "Climate change &amp; severe weather"]</t>
  </si>
  <si>
    <t>["Logging &amp; Wood Harvesting", "Renewable energy", "Oil &amp; gas drilling", "Roads &amp; railroads", "Housing &amp; urban areas"]</t>
  </si>
  <si>
    <t>["Biological resource use", "Energy production &amp; mining", "Transportation &amp; service corridors", "Residential &amp; commercial development"]</t>
  </si>
  <si>
    <t>["Hunting &amp; Collecting Terrestrial Animals", "Logging &amp; Wood Harvesting", "Recreational activities", "Oil &amp; gas drilling"]</t>
  </si>
  <si>
    <t>["Biological resource use", "Human intrusions &amp; disturbance", "Energy production &amp; mining"]</t>
  </si>
  <si>
    <t>["Biological resource use", "Human intrusions &amp; disturbance"]</t>
  </si>
  <si>
    <t>["Logging &amp; Wood Harvesting", "Hunting &amp; Collecting Terrestrial Animals", "Housing &amp; urban areas", "Roads &amp; railroads", "Fire &amp; fire suppression"]</t>
  </si>
  <si>
    <t>["Biological resource use", "Residential &amp; commercial development", "Transportation &amp; service corridors", "Natural system modifications"]</t>
  </si>
  <si>
    <t>["Biological resource use", "Transportation &amp; service corridors", "Human intrusions &amp; disturbance"]</t>
  </si>
  <si>
    <t>["Logging &amp; Wood Harvesting", "Roads &amp; railroads"]</t>
  </si>
  <si>
    <t>["Hunting &amp; Collecting Terrestrial Animals", "Logging &amp; Wood Harvesting"]</t>
  </si>
  <si>
    <t>["Habitat shifting &amp; alteration", "Roads &amp; railroads"]</t>
  </si>
  <si>
    <t>["Climate change &amp; severe weather", "Residential &amp; commercial development", "Transportation &amp; service corridors"]</t>
  </si>
  <si>
    <t>["Climate change &amp; severe weather"]</t>
  </si>
  <si>
    <t>["Climate change &amp; severe weather"]</t>
  </si>
  <si>
    <t>["Recreational activities", "Roads &amp; railroads"]</t>
  </si>
  <si>
    <t>["Human intrusions &amp; disturbance", "Transportation &amp; service corridors"]</t>
  </si>
  <si>
    <t>["Recreational activities"]</t>
  </si>
  <si>
    <t>["Industrial &amp; military effluents", "Agricultural &amp; forestry effluents"]</t>
  </si>
  <si>
    <t>["Biological resource use", "Pollution", "Residential &amp; commercial development"]</t>
  </si>
  <si>
    <t>["Pollution", "Residential &amp; commercial development"]</t>
  </si>
  <si>
    <t>["Hunting &amp; Collecting Terrestrial Animals", "Fishing &amp; Harvesting Aquatic Resources"]</t>
  </si>
  <si>
    <t>["Biological resource use", "Residential &amp; commercial development", "Pollution", "Climate change &amp; severe weather"]</t>
  </si>
  <si>
    <t>["Fishing &amp; Harvesting Aquatic Resources", "Invasive non-native/alien species/diseases"]</t>
  </si>
  <si>
    <t>["Hunting &amp; Collecting Terrestrial Animals", "Fishing &amp; Harvesting Aquatic Resources", "Roads &amp; railroads"]</t>
  </si>
  <si>
    <t>["Biological resource use", "Transportation &amp; service corridors", "Pollution"]</t>
  </si>
  <si>
    <t>["Dams &amp; water management/use"]</t>
  </si>
  <si>
    <t>["Industrial &amp; military effluents", "Hunting &amp; collecting terrestrial animals", "Fishing &amp; harvesting aquatic resources", "Mining &amp; quarrying", "Invasive &amp; other problematic species, genes &amp; diseases"]</t>
  </si>
  <si>
    <t>["Pollution", "Biological resource use", "Transportation &amp; service corridors", "Energy production &amp; mining", "Pollution"]</t>
  </si>
  <si>
    <t>["Livestock farming &amp; ranching", "Dams &amp; water management/use"]</t>
  </si>
  <si>
    <t>["Agriculture &amp; aquaculture", "Natural system modifications"]</t>
  </si>
  <si>
    <t>["Hunting &amp; Collecting Terrestrial Animals", "Invasive non-native/alien species/diseases"]</t>
  </si>
  <si>
    <t>["Hunting &amp; collecting terrestrial animals"]</t>
  </si>
  <si>
    <t>["Natural system modifications", "Biological resource use"]</t>
  </si>
  <si>
    <t>["Hunting &amp; Collecting Terrestrial Animals", "Fishing &amp; Harvesting Aquatic Resources", "Dams &amp; water management/use", "Mining &amp; quarrying", "Habitat shifting &amp; alteration"]</t>
  </si>
  <si>
    <t>["Biological resource use", "Natural system modifications", "Energy production &amp; mining", "Climate change &amp; severe weather"]</t>
  </si>
  <si>
    <t>["Dams &amp; water management/use", "Hunting &amp; collecting terrestrial animals"]</t>
  </si>
  <si>
    <t>["Natural system modifications", "Agriculture &amp; aquaculture", "Pollution", "Biological resource use"]</t>
  </si>
  <si>
    <t>["Hunting &amp; Collecting Terrestrial Animals", "Invasive non-native/alien species/diseases", "Viral/prion-induced diseases", "Agricultural &amp; forestry effluents"]</t>
  </si>
  <si>
    <t>["Biological resource use", "Invasive &amp; other problematic species, genes &amp; diseases", "Pollution", "Natural system modifications"]</t>
  </si>
  <si>
    <t>["Pollution", "Human intrusions &amp; disturbance"]</t>
  </si>
  <si>
    <t>["Agriculture &amp; aquaculture", "Pollution", "Biological resource use", "Natural system modifications"]</t>
  </si>
  <si>
    <t>["Marine &amp; freshwater aquaculture", "Industrial &amp; military effluents"]</t>
  </si>
  <si>
    <t>["Agriculture &amp; aquaculture", "Pollution", "Natural system modifications"]</t>
  </si>
  <si>
    <t>["Agriculture &amp; aquaculture", "Pollution"]</t>
  </si>
  <si>
    <t>["Fishing &amp; Harvesting Aquatic Resources", "Marine &amp; freshwater aquaculture"]</t>
  </si>
  <si>
    <t>["Hunting &amp; Collecting Terrestrial Animals", "Marine &amp; freshwater aquaculture"]</t>
  </si>
  <si>
    <t>["Biological resource use", "Human intrusions &amp; disturbance", "Residential &amp; commercial development", "Natural system modifications"]</t>
  </si>
  <si>
    <t>["Hunting &amp; Collecting Terrestrial Animals", "Fishing &amp; Harvesting Aquatic Resources", "Diseases of unknown cause", "Roads &amp; railroads", "Industrial &amp; military effluents"]</t>
  </si>
  <si>
    <t>["Biological resource use", "Invasive &amp; other problematic species, genes &amp; diseases", "Transportation &amp; service corridors", "Pollution"]</t>
  </si>
  <si>
    <t>["Hunting &amp; Collecting Terrestrial Animals", "Dams &amp; water management/use", "Industrial &amp; military effluents", "Agricultural &amp; forestry effluents"]</t>
  </si>
  <si>
    <t>["Biological resource use", "Natural system modifications", "Pollution"]</t>
  </si>
  <si>
    <t>["Hunting &amp; Collecting Terrestrial Animals", "Industrial &amp; military effluents"]</t>
  </si>
  <si>
    <t>["Biological resource use", "Pollution", "Invasive &amp; other problematic species, genes &amp; diseases"]</t>
  </si>
  <si>
    <t>["Hunting &amp; Collecting Terrestrial Animals", "Industrial &amp; military effluents", "Roads &amp; railroads"]</t>
  </si>
  <si>
    <t>["Biological resource use", "Pollution", "Natural system modifications", "Transportation &amp; service corridors"]</t>
  </si>
  <si>
    <t>["Hunting &amp; Collecting Terrestrial Animals", "Dams &amp; water management/use", "Roads &amp; railroads"]</t>
  </si>
  <si>
    <t>["Biological resource use", "Pollution", "Natural system modifications"]</t>
  </si>
  <si>
    <t>["Droughts"]</t>
  </si>
  <si>
    <t>["Recreational activities", "Renewable energy", "Livestock farming &amp; ranching"]</t>
  </si>
  <si>
    <t>["Human intrusions &amp; disturbance", "Natural system modifications", "Energy production &amp; mining", "Agriculture &amp; aquaculture"]</t>
  </si>
  <si>
    <t>["Roads &amp; railroads"]</t>
  </si>
  <si>
    <t>["Human intrusions &amp; disturbance", "Pollution", "Transportation &amp; service corridors"]</t>
  </si>
  <si>
    <t>["Work &amp; other activities"]</t>
  </si>
  <si>
    <t>["Natural system modifications", "Biological resource use", "Pollution"]</t>
  </si>
  <si>
    <t>["Natural system modifications", "Human intrusions &amp; disturbance"]</t>
  </si>
  <si>
    <t>["Dams &amp; water management/use", "Recreational activities"]</t>
  </si>
  <si>
    <t>["Marine &amp; freshwater aquaculture", "Hunting &amp; collecting terrestrial animals"]</t>
  </si>
  <si>
    <t>["Pollution", "Agriculture &amp; aquaculture", "Biological resource use", "Natural system modifications"]</t>
  </si>
  <si>
    <t>["Agricultural &amp; forestry effluents", "Industrial &amp; military effluents", "Marine &amp; freshwater aquaculture"]</t>
  </si>
  <si>
    <t>["Pollution", "Agriculture &amp; aquaculture", "Human intrusions &amp; disturbance", "Natural system modifications"]</t>
  </si>
  <si>
    <t>["Commercial &amp; industrial areas"]</t>
  </si>
  <si>
    <t>["Pollution", "Agriculture &amp; aquaculture"]</t>
  </si>
  <si>
    <t>["Industrial &amp; military effluents", "Agricultural &amp; forestry effluents", "Hunting &amp; collecting terrestrial animals", "Marine &amp; freshwater aquaculture", "Roads &amp; railroads"]</t>
  </si>
  <si>
    <t>["Pollution", "Biological resource use", "Agriculture &amp; aquaculture", "Transportation &amp; service corridors"]</t>
  </si>
  <si>
    <t>["Pollution", "Biological resource use", "Human intrusions &amp; disturbance", "Natural system modifications"]</t>
  </si>
  <si>
    <t>["Pollution", "Biological resource use", "Natural system modifications"]</t>
  </si>
  <si>
    <t>["Industrial &amp; military effluents", "Hunting &amp; collecting terrestrial animals", "Dams &amp; water management/use"]</t>
  </si>
  <si>
    <t>["Industrial &amp; military effluents", "Agricultural &amp; forestry effluents", "Hunting &amp; collecting terrestrial animals"]</t>
  </si>
  <si>
    <t>["Hunting &amp; collecting terrestrial animals", "Roads &amp; railroads"]</t>
  </si>
  <si>
    <t>["Pollution", "Biological resource use", "Transportation &amp; service corridors", "Natural system modifications"]</t>
  </si>
  <si>
    <t>["Agricultural &amp; forestry effluents", "Hunting &amp; collecting terrestrial animals", "Roads &amp; railroads"]</t>
  </si>
  <si>
    <t>["Hunting &amp; collecting terrestrial animals", "Fishing &amp; harvesting aquatic resources", "Roads &amp; railroads"]</t>
  </si>
  <si>
    <t>["Industrial &amp; military effluents", "Hunting &amp; collecting terrestrial animals", "Fishing &amp; harvesting aquatic resources", "Roads &amp; railroads"]</t>
  </si>
  <si>
    <t>["Hunting &amp; collecting terrestrial animals", "Dams &amp; water management/use"]</t>
  </si>
  <si>
    <t>["Pollution", "Human intrusions &amp; disturbance", "Biological resource use", "Natural system modifications"]</t>
  </si>
  <si>
    <t>["Industrial &amp; military effluents", "Work &amp; other activities", "Hunting &amp; collecting terrestrial animals", "Dams &amp; water management/use"]</t>
  </si>
  <si>
    <t>["Pollution", "Natural system modifications", "Biological resource use"]</t>
  </si>
  <si>
    <t>["Industrial &amp; military effluents", "Agricultural &amp; forestry effluents", "Housing &amp; urban areas", "Roads &amp; railroads"]</t>
  </si>
  <si>
    <t>["Pollution", "Residential &amp; commercial development", "Transportation &amp; service corridors"]</t>
  </si>
  <si>
    <t>["Roads &amp; railroads", "Marine &amp; freshwater aquaculture", "Hunting &amp; collecting terrestrial animals"]</t>
  </si>
  <si>
    <t>["Pollution", "Transportation &amp; service corridors", "Agriculture &amp; aquaculture", "Biological resource use"]</t>
  </si>
  <si>
    <t>["Roads &amp; railroads", "Marine &amp; freshwater aquaculture"]</t>
  </si>
  <si>
    <t>["Pollution", "Transportation &amp; service corridors", "Agriculture &amp; aquaculture"]</t>
  </si>
  <si>
    <t>["Roads &amp; railroads", "Hunting &amp; collecting terrestrial animals"]</t>
  </si>
  <si>
    <t>["Pollution", "Transportation &amp; service corridors", "Natural system modifications", "Biological resource use"]</t>
  </si>
  <si>
    <t>["Industrial &amp; military effluents", "Agricultural &amp; forestry effluents", "Roads &amp; railroads", "Housing &amp; urban areas"]</t>
  </si>
  <si>
    <t>["Pollution", "Transportation &amp; service corridors", "Residential &amp; commercial development"]</t>
  </si>
  <si>
    <t>["Pollution", "Transportation &amp; service corridors"]</t>
  </si>
  <si>
    <t>["Annual &amp; perennial non-timber crops", "Livestock farming &amp; ranching", "Housing &amp; urban areas", "Dams &amp; water management/use"]</t>
  </si>
  <si>
    <t>["Agriculture &amp; aquaculture", "Residential &amp; commercial development", "Natural system modifications"]</t>
  </si>
  <si>
    <t>["Fishing &amp; Harvesting Aquatic Resources", "Livestock farming &amp; ranching", "Dams &amp; water management/use"]</t>
  </si>
  <si>
    <t>["Biological resource use", "Agriculture &amp; aquaculture", "Natural system modifications"]</t>
  </si>
  <si>
    <t>["Hunting &amp; Collecting Terrestrial Animals", "Renewable energy", "Agricultural &amp; forestry effluents"]</t>
  </si>
  <si>
    <t>["Biological resource use", "Energy production &amp; mining", "Pollution", "Agriculture &amp; aquaculture"]</t>
  </si>
  <si>
    <t>["Hunting &amp; Collecting Terrestrial Animals", "Dams &amp; water management/use"]</t>
  </si>
  <si>
    <t>["Introduced genetic material"]</t>
  </si>
  <si>
    <t>["Logging &amp; Wood Harvesting", "Housing &amp; urban areas"]</t>
  </si>
  <si>
    <t>["Biological resource use", "Residential &amp; commercial development"]</t>
  </si>
  <si>
    <t>["Hunting &amp; Collecting Terrestrial Animals", "Logging &amp; Wood Harvesting", "Habitat shifting &amp; alteration"]</t>
  </si>
  <si>
    <t>["Logging &amp; Wood Harvesting", "Habitat shifting &amp; alteration"]</t>
  </si>
  <si>
    <t>["Logging &amp; Wood Harvesting", "Problematic native species/diseases"]</t>
  </si>
  <si>
    <t>["Hunting &amp; Collecting Terrestrial Animals", "Logging &amp; Wood Harvesting", "Roads &amp; railroads", "Habitat shifting &amp; alteration"]</t>
  </si>
  <si>
    <t>["Biological resource use", "Transportation &amp; service corridors", "Climate change &amp; severe weather"]</t>
  </si>
  <si>
    <t>["Habitat shifting &amp; alteration", "Logging &amp; wood harvesting", "Housing &amp; urban areas"]</t>
  </si>
  <si>
    <t>["Climate change &amp; severe weather", "Biological resource use", "Residential &amp; commercial development"]</t>
  </si>
  <si>
    <t>["Habitat shifting &amp; alteration", "Housing &amp; urban areas", "Logging &amp; wood harvesting"]</t>
  </si>
  <si>
    <t>["Climate change &amp; severe weather", "Residential &amp; commercial development", "Biological resource use"]</t>
  </si>
  <si>
    <t>["Wood &amp; pulp plantations", "Logging &amp; wood harvesting"]</t>
  </si>
  <si>
    <t>["Logging &amp; Wood Harvesting", "Hunting &amp; Collecting Terrestrial Animals"]</t>
  </si>
  <si>
    <t>["Annual &amp; perennial non-timber crops", "Livestock farming &amp; ranching"]</t>
  </si>
  <si>
    <t>["Hunting &amp; Collecting Terrestrial Animals", "Logging &amp; Wood Harvesting", "Annual &amp; perennial non-timber crops", "Livestock farming &amp; ranching"]</t>
  </si>
  <si>
    <t>["Hunting &amp; Collecting Terrestrial Animals", "Logging &amp; Wood Harvesting", "Housing &amp; urban areas", "Annual &amp; perennial non-timber crops", "Livestock farming &amp; ranching", "Introduced genetic material"]</t>
  </si>
  <si>
    <t>["Biological resource use", "Residential &amp; commercial development", "Agriculture &amp; aquaculture", "Invasive &amp; other problematic species, genes &amp; diseases"]</t>
  </si>
  <si>
    <t>["Hunting &amp; Collecting Terrestrial Animals", "Logging &amp; Wood Harvesting", "Roads &amp; railroads"]</t>
  </si>
  <si>
    <t>["Hunting &amp; Collecting Terrestrial Animals", "Habitat shifting &amp; alteration", "Housing &amp; urban areas"]</t>
  </si>
  <si>
    <t>["Biological resource use", "Climate change &amp; severe weather", "Residential &amp; commercial development"]</t>
  </si>
  <si>
    <t>["Hunting &amp; Collecting Terrestrial Animals", "Fire &amp; fire suppression"]</t>
  </si>
  <si>
    <t>["Hunting &amp; Collecting Terrestrial Animals", "Logging &amp; Wood Harvesting", "Wood &amp; pulp plantations"]</t>
  </si>
  <si>
    <t>["Annual &amp; perennial non-timber crops", "Hunting &amp; collecting terrestrial animals", "Housing &amp; urban areas", "Roads &amp; railroads"]</t>
  </si>
  <si>
    <t>["Agriculture &amp; aquaculture", "Biological resource use", "Residential &amp; commercial development", "Transportation &amp; service corridors"]</t>
  </si>
  <si>
    <t>["Annual &amp; perennial non-timber crops", "Livestock farming &amp; ranching", "Habitat shifting &amp; alteration"]</t>
  </si>
  <si>
    <t>["Agriculture &amp; aquaculture", "Climate change &amp; severe weather"]</t>
  </si>
  <si>
    <t>["Annual &amp; perennial non-timber crops", "Housing &amp; urban areas"]</t>
  </si>
  <si>
    <t>["Agriculture &amp; aquaculture", "Residential &amp; commercial development"]</t>
  </si>
  <si>
    <t>["Livestock farming &amp; ranching"]</t>
  </si>
  <si>
    <t>["Hunting &amp; Collecting Terrestrial Animals", "Annual &amp; perennial non-timber crops", "Livestock farming &amp; ranching", "Roads &amp; railroads", "Agricultural &amp; forestry effluents"]</t>
  </si>
  <si>
    <t>["Biological resource use", "Agriculture &amp; aquaculture", "Transportation &amp; service corridors", "Pollution"]</t>
  </si>
  <si>
    <t>["Hunting &amp; Collecting Terrestrial Animals", "Annual &amp; perennial non-timber crops"]</t>
  </si>
  <si>
    <t>["Logging &amp; Wood Harvesting", "Work &amp; other activities", "Recreational activities"]</t>
  </si>
  <si>
    <t>["Hunting &amp; Collecting Terrestrial Animals", "Problematic native species/diseases"]</t>
  </si>
  <si>
    <t>["Hunting &amp; Collecting Terrestrial Animals", "Housing &amp; urban areas"]</t>
  </si>
  <si>
    <t>["Hunting &amp; Collecting Terrestrial Animals", "Roads &amp; railroads", "Agricultural &amp; forestry effluents"]</t>
  </si>
  <si>
    <t>["Biological resource use", "Transportation &amp; service corridors", "Pollution", "Human intrusions &amp; disturbance"]</t>
  </si>
  <si>
    <t>["Climate change &amp; severe weather", "Transportation &amp; service corridors"]</t>
  </si>
  <si>
    <t>["Logging &amp; Wood Harvesting", "Hunting &amp; Collecting Terrestrial Animals", "Wood &amp; pulp plantations"]</t>
  </si>
  <si>
    <t>["Dams &amp; water management/use", "Livestock farming &amp; ranching", "Habitat shifting &amp; alteration"]</t>
  </si>
  <si>
    <t>["Natural system modifications", "Agriculture &amp; aquaculture", "Climate change &amp; severe weather"]</t>
  </si>
  <si>
    <t>["Annual &amp; perennial non-timber crops", "Livestock farming &amp; ranching", "Dams &amp; water management/use"]</t>
  </si>
  <si>
    <t>["Hunting &amp; Collecting Terrestrial Animals", "Dams &amp; water management/use", "Annual &amp; perennial non-timber crops", "Livestock farming &amp; ranching", "Invasive non-native/alien species/diseases", "Industrial &amp; military effluents"]</t>
  </si>
  <si>
    <t>["Biological resource use", "Natural system modifications", "Agriculture &amp; aquaculture", "Invasive &amp; other problematic species, genes &amp; diseases", "Pollution"]</t>
  </si>
  <si>
    <t>["Hunting &amp; Collecting Terrestrial Animals", "Logging &amp; Wood Harvesting", "Dams &amp; water management/use", "Invasive non-native/alien species/diseases", "Introduced genetic material"]</t>
  </si>
  <si>
    <t>["Biological resource use", "Natural system modifications", "Invasive &amp; other problematic species, genes &amp; diseases"]</t>
  </si>
  <si>
    <t>["Hunting &amp; Collecting Terrestrial Animals", "Industrial &amp; military effluents", "Invasive non-native/alien species/diseases"]</t>
  </si>
  <si>
    <t>["Invasive &amp; other problematic species, genes &amp; diseases", "Biological resource use", "Pollution", "Natural system modifications"]</t>
  </si>
  <si>
    <t>["Viral/prion-induced diseases", "Hunting &amp; collecting terrestrial animals", "Industrial &amp; military effluents", "Roads &amp; railroads"]</t>
  </si>
  <si>
    <t>["Invasive &amp; other problematic species, genes &amp; diseases", "Biological resource use", "Pollution", "Transportation &amp; service corridors"]</t>
  </si>
  <si>
    <t>["Invasive non-native/alien species/diseases", "Hunting &amp; collecting terrestrial animals", "Industrial &amp; military effluents"]</t>
  </si>
  <si>
    <t>["Invasive &amp; other problematic species, genes &amp; diseases", "Biological resource use", "Pollution"]</t>
  </si>
  <si>
    <t>["Introduced genetic material", "Invasive non-native/alien species/diseases", "Dams &amp; water management/use", "Hunting &amp; collecting terrestrial animals", "Industrial &amp; military effluents"]</t>
  </si>
  <si>
    <t>["Invasive &amp; other problematic species, genes &amp; diseases", "Natural system modifications", "Biological resource use", "Pollution"]</t>
  </si>
  <si>
    <t>["Problematic native species/diseases", "Dams &amp; water management/use"]</t>
  </si>
  <si>
    <t>["Invasive non-native/alien species/diseases", "Roads &amp; railroads", "Industrial &amp; military effluents"]</t>
  </si>
  <si>
    <t>["Invasive &amp; other problematic species, genes &amp; diseases", "Transportation &amp; service corridors", "Pollution"]</t>
  </si>
  <si>
    <t>["Dams &amp; water management/use", "Industrial &amp; military effluents", "Agricultural &amp; forestry effluents"]</t>
  </si>
  <si>
    <t>["Natural system modifications", "Pollution"]</t>
  </si>
  <si>
    <t>["Industrial &amp; military effluents", "Dams &amp; water management/use"]</t>
  </si>
  <si>
    <t>["Hunting &amp; Collecting Terrestrial Animals", "Annual &amp; perennial non-timber crops", "Livestock farming &amp; ranching", "Invasive non-native/alien species/diseases"]</t>
  </si>
  <si>
    <t>["Biological resource use", "Agriculture &amp; aquaculture", "Invasive &amp; other problematic species, genes &amp; diseases"]</t>
  </si>
  <si>
    <t>["Problematic native species/diseases", "Annual &amp; perennial non-timber crops", "Livestock farming &amp; ranching"]</t>
  </si>
  <si>
    <t>["Invasive &amp; other problematic species, genes &amp; diseases", "Agriculture &amp; aquaculture"]</t>
  </si>
  <si>
    <t>["Natural system modifications", "Climate change &amp; severe weather", "Transportation &amp; service corridors"]</t>
  </si>
  <si>
    <t>["Hunting &amp; Collecting Terrestrial Animals", "Roads &amp; railroads", "Invasive non-native/alien species/diseases", "Introduced genetic material"]</t>
  </si>
  <si>
    <t>["Biological resource use", "Transportation &amp; service corridors", "Invasive &amp; other problematic species, genes &amp; diseases"]</t>
  </si>
  <si>
    <t>["Agricultural &amp; forestry effluents", "Hunting &amp; collecting terrestrial animals", "Dams &amp; water management/use", "Invasive non-native/alien species/diseases"]</t>
  </si>
  <si>
    <t>["Pollution", "Biological resource use", "Natural system modifications", "Invasive &amp; other problematic species, genes &amp; diseases"]</t>
  </si>
  <si>
    <t>["Industrial &amp; military effluents", "Dams &amp; water management/use", "Roads &amp; railroads"]</t>
  </si>
  <si>
    <t>["Pollution", "Natural system modifications", "Transportation &amp; service corridors"]</t>
  </si>
  <si>
    <t>["Invasive non-native/alien species/diseases", "Introduced genetic material"]</t>
  </si>
  <si>
    <t>["Dams &amp; water management/use", "Invasive non-native/alien species/diseases"]</t>
  </si>
  <si>
    <t>["Hunting &amp; Collecting Terrestrial Animals", "Logging &amp; Wood Harvesting", "Roads &amp; railroads", "Housing &amp; urban areas"]</t>
  </si>
  <si>
    <t>["Biological resource use", "Transportation &amp; service corridors", "Residential &amp; commercial development"]</t>
  </si>
  <si>
    <t>["Hunting &amp; Collecting Terrestrial Animals", "Logging &amp; Wood Harvesting", "Habitat shifting &amp; alteration", "Problematic native species/diseases"]</t>
  </si>
  <si>
    <t>["Biological resource use", "Climate change &amp; severe weather", "Invasive &amp; other problematic species, genes &amp; diseases"]</t>
  </si>
  <si>
    <t>["Biological resource use", "Human intrusions &amp; disturbance", "Residential &amp; commercial development"]</t>
  </si>
  <si>
    <t>["Hunting &amp; Collecting Terrestrial Animals", "Logging &amp; Wood Harvesting", "Recreational activities", "Housing &amp; urban areas"]</t>
  </si>
  <si>
    <t>["Logging &amp; Wood Harvesting", "Fire &amp; fire suppression"]</t>
  </si>
  <si>
    <t>["Problematic native species/diseases", "Agricultural &amp; forestry effluents", "Roads &amp; railroads"]</t>
  </si>
  <si>
    <t>["Invasive &amp; other problematic species, genes &amp; diseases", "Pollution", "Transportation &amp; service corridors"]</t>
  </si>
  <si>
    <t>["Viral/prion-induced diseases", "Roads &amp; railroads", "Agricultural &amp; forestry effluents"]</t>
  </si>
  <si>
    <t>["Fire &amp; fire suppression", "Hunting &amp; collecting terrestrial animals", "Logging &amp; wood harvesting", "Problematic native species/diseases", "Roads &amp; railroads"]</t>
  </si>
  <si>
    <t>["Natural system modifications", "Biological resource use", "Invasive &amp; other problematic species, genes &amp; diseases", "Transportation &amp; service corridors"]</t>
  </si>
  <si>
    <t>["Fire &amp; fire suppression", "Viral/prion-induced diseases"]</t>
  </si>
  <si>
    <t>["Fire &amp; fire suppression"]</t>
  </si>
  <si>
    <t>["Livestock farming &amp; ranching", "Logging &amp; wood harvesting", "Dams &amp; water management/use", "Invasive non-native/alien species/diseases"]</t>
  </si>
  <si>
    <t>["Agriculture &amp; aquaculture", "Biological resource use", "Natural system modifications", "Invasive &amp; other problematic species, genes &amp; diseases"]</t>
  </si>
  <si>
    <t>["Hunting &amp; Collecting Terrestrial Animals", "Livestock farming &amp; ranching", "Mining &amp; quarrying"]</t>
  </si>
  <si>
    <t>["Biological resource use", "Agriculture &amp; aquaculture", "Energy production &amp; mining"]</t>
  </si>
  <si>
    <t>["Hunting &amp; Collecting Terrestrial Animals", "Logging &amp; Wood Harvesting", "Mining &amp; quarrying", "Livestock farming &amp; ranching", "Industrial &amp; military effluents"]</t>
  </si>
  <si>
    <t>["Biological resource use", "Energy production &amp; mining", "Agriculture &amp; aquaculture", "Pollution"]</t>
  </si>
  <si>
    <t>["Hunting &amp; Collecting Terrestrial Animals", "Mining &amp; quarrying", "Industrial &amp; military effluents", "Oil &amp; gas drilling", "Dams &amp; water management/use"]</t>
  </si>
  <si>
    <t>["Biological resource use", "Energy production &amp; mining", "Pollution", "Natural system modifications"]</t>
  </si>
  <si>
    <t>["Hunting &amp; Collecting Terrestrial Animals", "Fishing &amp; Harvesting Aquatic Resources", "Housing &amp; urban areas", "Work &amp; other activities", "Domestic &amp; urban waste water", "Livestock farming &amp; ranching"]</t>
  </si>
  <si>
    <t>["Biological resource use", "Residential &amp; commercial development", "Human intrusions &amp; disturbance", "Pollution", "Agriculture &amp; aquaculture"]</t>
  </si>
  <si>
    <t>["Mining &amp; quarrying", "Hunting &amp; collecting terrestrial animals", "Logging &amp; wood harvesting", "Roads &amp; railroads", "Dams &amp; water management/use", "Industrial &amp; military effluents"]</t>
  </si>
  <si>
    <t>["Energy production &amp; mining", "Biological resource use", "Transportation &amp; service corridors", "Natural system modifications", "Pollution"]</t>
  </si>
  <si>
    <t>["Work &amp; other activities", "Housing &amp; urban areas"]</t>
  </si>
  <si>
    <t>["Human intrusions &amp; disturbance", "Residential &amp; commercial development"]</t>
  </si>
  <si>
    <t>["Annual &amp; perennial non-timber crops", "Livestock farming &amp; ranching", "Hunting &amp; collecting terrestrial animals", "Roads &amp; railroads", "Housing &amp; urban areas"]</t>
  </si>
  <si>
    <t>["Agriculture &amp; aquaculture", "Biological resource use", "Transportation &amp; service corridors", "Residential &amp; commercial development"]</t>
  </si>
  <si>
    <t>-&gt;</t>
  </si>
  <si>
    <t>Americas</t>
  </si>
  <si>
    <t>Europe and Central Asia</t>
  </si>
  <si>
    <t>Asia and the Pacific</t>
  </si>
  <si>
    <t>?</t>
  </si>
  <si>
    <t>All regions</t>
  </si>
  <si>
    <t>only these two region. skip others</t>
  </si>
  <si>
    <t>replace col name</t>
  </si>
  <si>
    <t>new</t>
  </si>
  <si>
    <t>Czechia</t>
  </si>
  <si>
    <t>Fix space</t>
  </si>
  <si>
    <t>Iran (Islamic Republic of)</t>
  </si>
  <si>
    <t>Korea (the Democratic People's Republic of)</t>
  </si>
  <si>
    <t>Korea (the Republic of)</t>
  </si>
  <si>
    <t>Lao People's Democratic Republic (the)</t>
  </si>
  <si>
    <t>North Macedonia</t>
  </si>
  <si>
    <t>Philippines (the)</t>
  </si>
  <si>
    <t>reempve space</t>
  </si>
  <si>
    <t>remove space</t>
  </si>
  <si>
    <t>United Kingdom of Great Britain and Northern Ireland (the)</t>
  </si>
  <si>
    <t>United States of America (the)</t>
  </si>
  <si>
    <t>Venezuela (Bolivarian Republic of)</t>
  </si>
  <si>
    <t>Viet Nam</t>
  </si>
  <si>
    <t>x</t>
  </si>
  <si>
    <t>xx</t>
  </si>
  <si>
    <t>threats l1</t>
  </si>
  <si>
    <t>ok</t>
  </si>
  <si>
    <t>oka</t>
  </si>
  <si>
    <t>change</t>
  </si>
  <si>
    <t>Other Options</t>
  </si>
  <si>
    <t>deleted</t>
  </si>
  <si>
    <t>delete</t>
  </si>
  <si>
    <t>change 2</t>
  </si>
  <si>
    <t>Change 2</t>
  </si>
  <si>
    <t>change to</t>
  </si>
  <si>
    <t>Publication Type</t>
  </si>
  <si>
    <t>Authors</t>
  </si>
  <si>
    <t>Book Authors</t>
  </si>
  <si>
    <t>Book Editors</t>
  </si>
  <si>
    <t>Book Group Authors</t>
  </si>
  <si>
    <t>Author Full Names</t>
  </si>
  <si>
    <t>Book Author Full Names</t>
  </si>
  <si>
    <t>Group Authors</t>
  </si>
  <si>
    <t>Article Title</t>
  </si>
  <si>
    <t>Source Title</t>
  </si>
  <si>
    <t>Book Series Title</t>
  </si>
  <si>
    <t>Book Series Subtitle</t>
  </si>
  <si>
    <t>Language</t>
  </si>
  <si>
    <t>Document Type</t>
  </si>
  <si>
    <t>Conference Title</t>
  </si>
  <si>
    <t>Conference Date</t>
  </si>
  <si>
    <t>Conference Location</t>
  </si>
  <si>
    <t>Conference Sponsor</t>
  </si>
  <si>
    <t>Conference Host</t>
  </si>
  <si>
    <t>Author Keywords</t>
  </si>
  <si>
    <t>Keywords Plus</t>
  </si>
  <si>
    <t>Abstract</t>
  </si>
  <si>
    <t>Addresses</t>
  </si>
  <si>
    <t>Affiliations</t>
  </si>
  <si>
    <t>Reprint Addresses</t>
  </si>
  <si>
    <t>Email Addresses</t>
  </si>
  <si>
    <t>Researcher Ids</t>
  </si>
  <si>
    <t>ORCIDs</t>
  </si>
  <si>
    <t>Funding Orgs</t>
  </si>
  <si>
    <t>Funding Name Preferred</t>
  </si>
  <si>
    <t>Funding Text</t>
  </si>
  <si>
    <t>Cited References</t>
  </si>
  <si>
    <t>Cited Reference Count</t>
  </si>
  <si>
    <t>Times Cited, WoS Core</t>
  </si>
  <si>
    <t>Times Cited, All Databases</t>
  </si>
  <si>
    <t>180 Day Usage Count</t>
  </si>
  <si>
    <t>Since 2013 Usage Count</t>
  </si>
  <si>
    <t>Publisher</t>
  </si>
  <si>
    <t>Publisher City</t>
  </si>
  <si>
    <t>Publisher Address</t>
  </si>
  <si>
    <t>ISSN</t>
  </si>
  <si>
    <t>eISSN</t>
  </si>
  <si>
    <t>ISBN</t>
  </si>
  <si>
    <t>Journal Abbreviation</t>
  </si>
  <si>
    <t>Journal ISO Abbreviation</t>
  </si>
  <si>
    <t>Publication Date</t>
  </si>
  <si>
    <t>Publication Year</t>
  </si>
  <si>
    <t>Volume</t>
  </si>
  <si>
    <t>Issue</t>
  </si>
  <si>
    <t>Part Number</t>
  </si>
  <si>
    <t>Supplement</t>
  </si>
  <si>
    <t>Special Issue</t>
  </si>
  <si>
    <t>Meeting Abstract</t>
  </si>
  <si>
    <t>Start Page</t>
  </si>
  <si>
    <t>End Page</t>
  </si>
  <si>
    <t>Article Number</t>
  </si>
  <si>
    <t>DOI</t>
  </si>
  <si>
    <t>DOI Link</t>
  </si>
  <si>
    <t>Book DOI</t>
  </si>
  <si>
    <t>Early Access Date</t>
  </si>
  <si>
    <t>Number of Pages</t>
  </si>
  <si>
    <t>WoS Categories</t>
  </si>
  <si>
    <t>Web of Science Index</t>
  </si>
  <si>
    <t>Research Areas</t>
  </si>
  <si>
    <t>IDS Number</t>
  </si>
  <si>
    <t>Pubmed Id</t>
  </si>
  <si>
    <t>Open Access Designations</t>
  </si>
  <si>
    <t>Highly Cited Status</t>
  </si>
  <si>
    <t>Hot Paper Status</t>
  </si>
  <si>
    <t>Date of Export</t>
  </si>
  <si>
    <t>UT (Unique WOS ID)</t>
  </si>
  <si>
    <t>Web of Science Record</t>
  </si>
  <si>
    <t>J</t>
  </si>
  <si>
    <t>Harris, MB; Tomas, W; Mourao, G; Da Silva, CJ; Guimaraes, E; Sonoda, F; Fachim, E</t>
  </si>
  <si>
    <t>CONSERVATION BIOLOGY</t>
  </si>
  <si>
    <t>English</t>
  </si>
  <si>
    <t>Article</t>
  </si>
  <si>
    <t>CAIMAN</t>
  </si>
  <si>
    <t>The Pantanal, one of the largest wetlands on the planet, comprises 140, 000 km(2) of lowland flood-plain of the upper Rio Paraguai basin that drains the Cerrado of central Brazil. The diverse mosaics of habitats resulting from the varied soil types and inundation regimes are responsible for an extraordinarily rich terrestrial and aquatic biota, exemplified by the bird richest wetland in the world-463 birds have been recorded there-and the largest known populations of several threatened mammals, such as Pampas deer (Ozotoceros bezoarticus), marsh deer (Blastocerus dichotomus), giant otter (Pteronura brusiliensis), and jaguar (Panthera onca). Until recently, deforestation of the adjoining Brazilian central plateau was considered the major threat to this area, but now deforestation is a critical problem within the floodplain itself More than 40% of the forest and savanna habitats have been altered for cattle ranching through the introduction of exotic grasses. And there are other threats that lead to large-scale disruption of ecological processes, severely affecting biodiversity. Although the Pantanal wetland is a Biosphere Reserve and is considered a Wetland of International Importance, only 25% of the upper Paraguai River basin is formally protected. To date, protected areas have been created opportunistically and as such, although of undoubted value, protect only a fraction of the Pantanal's wildlife and habitats. Among the conservation initiatives in the area, the private sector is increasingly participating in the establishment of private reserves. The prospects are far from optimistic, however, and the major challenge is to find alternative socioeconomic models that allow for conservation and economic uses of the land in association with the development of specific environmental legislation that reflects the unique characteristics of the region.</t>
  </si>
  <si>
    <t>Conservacao Int Brasil, BR-79021220 Campo Grande, MS, Brazil; Embrapa Pantanal, BR-79320900 Corumba, MS, Brazil; Univ Estado Mato Grosso, Dept Bot &amp; Ecol, BR-78200000 Caceres, MS, Brazil; ECOTROPICA, BR-78068370 Cuiaba, MS, Brazil</t>
  </si>
  <si>
    <t>Empresa Brasileira de Pesquisa Agropecuaria (EMBRAPA); EMBRAPA Pantanal; Universidade do Estado de Mato Grosso</t>
  </si>
  <si>
    <t>Harris, MB (corresponding author), Conservacao Int Brasil, Rua Parana 32, BR-79021220 Campo Grande, MS, Brazil.</t>
  </si>
  <si>
    <t>m.harris@conservation.org.br</t>
  </si>
  <si>
    <t>Mourão, Guilherme/C-3319-2013</t>
  </si>
  <si>
    <t>Mourão, Guilherme/0000-0002-8300-4191</t>
  </si>
  <si>
    <t>WILEY</t>
  </si>
  <si>
    <t>HOBOKEN</t>
  </si>
  <si>
    <t>111 RIVER ST, HOBOKEN 07030-5774, NJ USA</t>
  </si>
  <si>
    <t>0888-8892</t>
  </si>
  <si>
    <t>1523-1739</t>
  </si>
  <si>
    <t>CONSERV BIOL</t>
  </si>
  <si>
    <t>Conserv. Biol.</t>
  </si>
  <si>
    <t>JUN</t>
  </si>
  <si>
    <t>10.1111/j.1523-1739.2005.00708.x</t>
  </si>
  <si>
    <t>Biodiversity Conservation; Ecology; Environmental Sciences</t>
  </si>
  <si>
    <t>Science Citation Index Expanded (SCI-EXPANDED)</t>
  </si>
  <si>
    <t>Biodiversity &amp; Conservation; Environmental Sciences &amp; Ecology</t>
  </si>
  <si>
    <t>930WP</t>
  </si>
  <si>
    <t>2025-12-26</t>
  </si>
  <si>
    <t>WOS:000229448100021</t>
  </si>
  <si>
    <t>Van Apeldoorn, RC; Knaapen, JP; Schippers, P; Verboom, J; Van Engen, H; Meeuwsen, H</t>
  </si>
  <si>
    <t>LANDSCAPE AND URBAN PLANNING</t>
  </si>
  <si>
    <t>simulation models; scenarios; evaluation; landscape planning</t>
  </si>
  <si>
    <t>MELES-MELES; POPULATION; CORRIDORS; COUGARS</t>
  </si>
  <si>
    <t>The distribution of the Eurasian badger (Meles meles, L.) in the Netherlands is fragmented and adult mortality is high in many places because of traffic casualties. Both these facts affect the survival and dispersal of badgers in a negative way and are suggested to be the main causes of the decline of this species. For this reason the species receives special attention from the government in the national Nature Policy Plan and also from the lower administration in the provinces in their policy on physical planning and nature conservation, To evaluate changes in land use by means of spatial scenarios and conservation strategies in favour of the species, an individual-based simulation model was built that describes population dynamics in space and time. The model was used to evaluate three scenarios. The results indicate that the survival of groups benefits strongly from measures directed at lowering adult mortality. Also the (re)colonization of suitable but not inhabited areas increases the survival and is favoured by measures that encourage dispersal. The results indicate that simulation models as described are useful tools for establishing the comparative effectiveness of plans or measures aimed at increasing the viability of the species. (C) 1998 Elsevier Science B.V.</t>
  </si>
  <si>
    <t>Inst Forestry &amp; Nat Res, NL-6700 AA Wageningen, Netherlands; Winand Staring Ctr Integrated Land Soil, NL-6700 AC Wageningen, Netherlands</t>
  </si>
  <si>
    <t>Van Apeldoorn, RC (corresponding author), Inst Forestry &amp; Nat Res, POB 23, NL-6700 AA Wageningen, Netherlands.</t>
  </si>
  <si>
    <t>Schippers, Peter/H-2920-2012</t>
  </si>
  <si>
    <t>Schippers, Peter/0000-0002-0206-6877</t>
  </si>
  <si>
    <t>ELSEVIER SCIENCE BV</t>
  </si>
  <si>
    <t>AMSTERDAM</t>
  </si>
  <si>
    <t>PO BOX 211, 1000 AE AMSTERDAM, NETHERLANDS</t>
  </si>
  <si>
    <t>0169-2046</t>
  </si>
  <si>
    <t>LANDSCAPE URBAN PLAN</t>
  </si>
  <si>
    <t>Landsc. Urban Plan.</t>
  </si>
  <si>
    <t>MAY 15</t>
  </si>
  <si>
    <t>10.1016/S0169-2046(97)00058-3</t>
  </si>
  <si>
    <t>Ecology; Environmental Studies; Geography; Geography, Physical; Regional &amp; Urban Planning; Urban Studies</t>
  </si>
  <si>
    <t>Social Science Citation Index (SSCI)</t>
  </si>
  <si>
    <t>Environmental Sciences &amp; Ecology; Geography; Physical Geography; Public Administration; Urban Studies</t>
  </si>
  <si>
    <t>109PY</t>
  </si>
  <si>
    <t>WOS:000075333200006</t>
  </si>
  <si>
    <t>Kyle, CJ; Weir, RD; Newhouse, NJ; Davis, H; Strobeck, C</t>
  </si>
  <si>
    <t>JOURNAL OF MAMMALOGY</t>
  </si>
  <si>
    <t>American badger; conservation genetics; genetic structure; mustelid; population fragmentation; Taxidea taxus</t>
  </si>
  <si>
    <t>MARTEN MARTES-AMERICANA; GULO-GULO POPULATIONS; MINK MUSTELA-VISON; MICROSATELLITE ANALYSIS; WOLVERINE; VARIABILITY; REGRESSION; DISPERSAL; DISTANCE; ECOLOGY</t>
  </si>
  <si>
    <t>American badgers (Taxidea taxus) are semifossorial carnivores present in many and regions of central and western North America. Negative demographic trends have prompted recent discussion concerning their conservation status in the northwestern portion of their range. As such, further information regarding the metapopulation structure of this species and factors affecting dispersal is needed. To provide a preliminary assessment of genetic structure and variation, badgers from Alberta and British Columbia, Canada, and Montana were sampled and genotyped at 12 microsatellite loci, including individuals from 2 subspecitic designations: T. t. taxus and T. t. jeffersonii. Relatively high levels of genetic variation were observed (average expected heterozygosity [HE] = 77%). Gene flow between prairie populations of T. t. taxus did not seem to be restricted, nor did there seem to be a restriction of gene flow for populations within mountain ranges for T. t. jeffersonii. In contrast, minimal gene flow was observed between populations separated by mountain ranges. Our results support the current geographic delineation of the northwestern subspecies, T. t. taxus and T. t. jeffersonii, and have implications for their conservation by identifying genetically distinct units that may have independent population dynamics.</t>
  </si>
  <si>
    <t>Univ Alberta, Dept Biol Sci, Edmonton, AB T6G 2E9, Canada; Artemis Wildlife Consultants, Armstrong, BC V0E 1B4, Canada; Sylvan Consulting Ltd, Invermere, BC V0A 1K5, Canada</t>
  </si>
  <si>
    <t>University of Alberta</t>
  </si>
  <si>
    <t>Kyle, CJ (corresponding author), Univ Alberta, Dept Biol Sci, Edmonton, AB T6G 2E9, Canada.</t>
  </si>
  <si>
    <t>christopher.kyle@mnr.gov.on.ca</t>
  </si>
  <si>
    <t>Strobeck, Curtis/E-9998-2011</t>
  </si>
  <si>
    <t>ALLIANCE COMMUNICATIONS GROUP DIVISION ALLEN PRESS</t>
  </si>
  <si>
    <t>LAWRENCE</t>
  </si>
  <si>
    <t>810 EAST 10TH STREET, LAWRENCE, KS 66044 USA</t>
  </si>
  <si>
    <t>0022-2372</t>
  </si>
  <si>
    <t>J MAMMAL</t>
  </si>
  <si>
    <t>J. Mammal.</t>
  </si>
  <si>
    <t>AUG</t>
  </si>
  <si>
    <t>10.1644/BRB-129</t>
  </si>
  <si>
    <t>Zoology</t>
  </si>
  <si>
    <t>848HH</t>
  </si>
  <si>
    <t>WOS:000223457700006</t>
  </si>
  <si>
    <t>Piao, ZJ; Tang, LN; Swihart, RK; Wang, SX</t>
  </si>
  <si>
    <t>Piao, Zhengji; Tang, Lina; Swihart, Robert K.; Wang, Shaoxian</t>
  </si>
  <si>
    <t>ANNALS OF FOREST SCIENCE</t>
  </si>
  <si>
    <t>Pine seed harvest; Ecological meltdown; Ecological degradation; Forest conservation; Granivore; Omnivore; Wildlife</t>
  </si>
  <si>
    <t>SQUIRREL SCIURUS-VULGARIS; SABLES MARTES ZIBELLINA; RED SQUIRREL; FRAGMENTATION; CONSEQUENCES; MAMMALS; ECOLOGY</t>
  </si>
  <si>
    <t>Introduction Korean pine (Pinus koraiensis) is a dominant tree species in the cold temperate mixed forest zone in eastern Eurasia. Its seeds are food sources for wildlife but have become an important and marketable part of the economy for local communities. Methods We conducted ecological surveys inside and around Changbai Mountain Nature Reserve (CMNR) each year following the legalization of pine seed harvesting in 2000-2005 and restrictions on pine seed harvesting in 2006-2009. Results We found that human harvesting of pine cones was associated with declines in pine seed production and quality, pine regeneration, and populations of Eurasian red squirrel (Sciurus vulgaris), sable (Martes zibellina), and Siberian weasel (Mustela sibirica). Discussion CMNR generally harbored greater wildlife populations than were found outside of its boundaries, but populations inside and outside of CMNR tended to decline in response to unrestricted cone harvesting. Enactment of restrictions on harvesting of cones in 2006 led to rebounds in populations of squirrel, sable, weasel, yellow-throated marten (Martes flavigula) and Eurasian jay (Garrulus glandarius) in CMNR relative to outside, concurrent with a reduced percent of seed being usurped by humans. However, harvest restrictions failed to diminish damage to trees by humans or seeds by insect pests, and regeneration of pine did not rebound. Conclusion Our findings suggest that wildlife declines are reversible in the short-term, but long-term forest ecosystem stability is likely only if pine seed harvesting is either stopped or dramatically reduced on a permanent basis within CMNR.</t>
  </si>
  <si>
    <t>[Tang, Lina] Chinese Acad Sci, Key Lab Urban Environm &amp; Hlth, Inst Urban Environm, Xiamen 361021, Peoples R China; [Piao, Zhengji; Wang, Shaoxian] Jilin Changbai Mt Acad Sci, Antu Cty 133613, Jilin Province, Peoples R China; [Swihart, Robert K.] Purdue Univ, Dept Forestry &amp; Nat Resources, W Lafayette, IN 47907 USA</t>
  </si>
  <si>
    <t>Chinese Academy of Sciences; Institute of Urban Environment, CAS; Purdue University System; Purdue University</t>
  </si>
  <si>
    <t>Tang, LN (corresponding author), Chinese Acad Sci, Key Lab Urban Environm &amp; Hlth, Inst Urban Environm, 1799 Jimei Rd, Xiamen 361021, Peoples R China.</t>
  </si>
  <si>
    <t>lntang@iue.ac.cn</t>
  </si>
  <si>
    <t>; Tang, Lina/N-8708-2019; Swihart, Robert/D-2787-2016</t>
  </si>
  <si>
    <t>Tang, Lina/0000-0001-7975-2472;</t>
  </si>
  <si>
    <t>Forestry Bureau of Jilin Province, P.R. China</t>
  </si>
  <si>
    <t>This project was funded by the Forestry Bureau of Jilin Province, P.R. China.</t>
  </si>
  <si>
    <t>SPRINGER FRANCE</t>
  </si>
  <si>
    <t>PARIS</t>
  </si>
  <si>
    <t>22 RUE DE PALESTRO, PARIS, 75002, FRANCE</t>
  </si>
  <si>
    <t>1286-4560</t>
  </si>
  <si>
    <t>1297-966X</t>
  </si>
  <si>
    <t>ANN FOREST SCI</t>
  </si>
  <si>
    <t>Ann. For. Sci.</t>
  </si>
  <si>
    <t>SI</t>
  </si>
  <si>
    <t>10.1007/s13595-011-0097-8</t>
  </si>
  <si>
    <t>Forestry</t>
  </si>
  <si>
    <t>814ZC</t>
  </si>
  <si>
    <t>Green Submitted</t>
  </si>
  <si>
    <t>WOS:000294494900004</t>
  </si>
  <si>
    <t>Kurki, S; Nikula, A; Helle, P; Lindén, H</t>
  </si>
  <si>
    <t>JOURNAL OF ANIMAL ECOLOGY</t>
  </si>
  <si>
    <t>Finland; forest fragmentation; geographical information systems; landscape ecology; predation</t>
  </si>
  <si>
    <t>WILDLIFE TRIANGLE DATA; NEST PREDATION; BLACK GROUSE; FRAGMENTATION; POPULATIONS; DYNAMICS; FINLAND; ECOLOGY; SUCCESS; PATTERN</t>
  </si>
  <si>
    <t>1. The effects of human-caused fragmentation of boreal forest on the abundance of red fox Vulpes vulpes L. and pine marten Martes martes L. were studied by combining the Finnish wildlife-triangle snow-track data (1990-94) with land-use and forest resources data employing the GIS. Two study areas (each 45 000 km(2)) located in northern and southern Finland were selected for the investigation. 2. The extent of landscape that best explained predator abundance (tracks per 10 km 24 h(-1)) was the same (about 100 km(2)) in both species and study areas. 3. The decreasing proportion of older forest and the increasing proportions of young forest and agricultural land in the landscape positively affected track density of red fox. The relationship between agricultural land and fox abundance, however, was characterized by a convex curve peaking at 20-30% of agricultural land. With the habitat classification used, landscape composition explained 26% and 11% of the spatial variation in fox abundance in the northern and southern study area, respectively. 4. The relationship between landscape composition and pine marten abundance was not as clear as in that of red fox. Landscape composition explained 10% and 6% of spatial variation in pine marten abundance in the northern and southern study area, respectively. In both areas a positive impact occurred with the increasing proportion of young forest in the landscape, but in the northern area the negative effect of increasing proportion of agricultural land was dominant. 5. The abundances of red fox and pine marten were not negatively correlated, indicating that competition or intraguild predation by red fox do not determine abundance of pine marten on a landscape scale. 6. A general increase in predation pressure by generalist predators in fragmented forest landscapes has been an intensively discussed conservation problem during recent years. We conclude that the red fox is a species potentially able to cause elevated predation pressure in boreal landscapes fragmented by human activities, but that the evidence against the pine marten is weaker.</t>
  </si>
  <si>
    <t>Univ Turku, Dept Biol, Lab Ecol &amp; Anim Systemat, FIN-20014 Turku, Finland; Finnish Forest Res Inst, Rovaniemi Res Stn, FIN-96301 Rovaniemi, Finland; Finnish Game &amp; Fisheries Res Inst, Meltaus Game Res Stn, FIN-97340 Meltaus, Finland; Finnish Game &amp; Fisheries Res Inst, FIN-00721 Helsinki, Finland</t>
  </si>
  <si>
    <t>University of Turku; Natural Resources Institute Finland (Luke); Natural Resources Institute Finland (Luke); Natural Resources Institute Finland (Luke)</t>
  </si>
  <si>
    <t>Kurki, S (corresponding author), Univ Turku, Dept Biol, Lab Ecol &amp; Anim Systemat, FIN-20014 Turku, Finland.</t>
  </si>
  <si>
    <t>Kurki, Sami/A-3088-2010</t>
  </si>
  <si>
    <t>0021-8790</t>
  </si>
  <si>
    <t>1365-2656</t>
  </si>
  <si>
    <t>J ANIM ECOL</t>
  </si>
  <si>
    <t>J. Anim. Ecol.</t>
  </si>
  <si>
    <t>NOV</t>
  </si>
  <si>
    <t>10.1046/j.1365-2656.1998.6760874.x</t>
  </si>
  <si>
    <t>Ecology; Zoology</t>
  </si>
  <si>
    <t>Environmental Sciences &amp; Ecology; Zoology</t>
  </si>
  <si>
    <t>150ND</t>
  </si>
  <si>
    <t>Bronze</t>
  </si>
  <si>
    <t>WOS:000077670300004</t>
  </si>
  <si>
    <t>BUTLER, JRA; DUTOIT, JT</t>
  </si>
  <si>
    <t>SOUTH AFRICAN JOURNAL OF WILDLIFE RESEARCH</t>
  </si>
  <si>
    <t>AONYX-CAPENSIS; CONSERVATION; DENSITY; DIET; POTAMON-PERLATUS</t>
  </si>
  <si>
    <t>AONYX-CAPENSIS; LUTRA-LUTRA; SOUTH-AFRICA; MARINE HABITAT; FOOD; SCOTLAND; ECOLOGY</t>
  </si>
  <si>
    <t>Declining numbers of rainbow trout Oncorhynchus mykiss in the Upper Kairezi River, Zimbabwe, are threatening the viability of a community-based catchment conservation scheme that depends on profits from sport fishing. Cape clawless otters Aonyx capensis have been suspected to prey significantly on trout in the fishery but the analysis of 255 scats collected from a 20 km stretch of the river between January and June 1993 revealed that trout are unimportant prey, occurring in the otter's diet with a 1% relative occurrence. The otters ate mainly river crabs Potamon perlatus (42%). The size of the trout eaten (190-260 mm) suggested that they were some of those stocked in February 1993, which despite their size, were easily caught because of their mutilated fins (which reduced their mobility), and naivety of predators. Using holt density and the identification of individual animals from sign, otter density was estimated to be 1/8-10 km of river bank. Although otters in the area are persecuted by local residents, the low density is probably a reflection of the poor productivity of the Kairezi system resulting in a low availability of river crabs Potamon perlatus. The conservation status of clawless otters in the catchment is fragile because of the threats posed to the riverine habitat by subsistence agriculture.</t>
  </si>
  <si>
    <t>BUTLER, JRA (corresponding author), UNIV ZIMBABWE, DEPT BIOL SCI, POB MP 167, MT PLEASANT, HARARE, ZIMBABWE.</t>
  </si>
  <si>
    <t>; du Toit, Johan/D-3390-2009; du Toit, Johan T/D-3390-2009; Butler, James/D-7446-2011</t>
  </si>
  <si>
    <t>Butler, James/0000-0001-8333-947X; du Toit, Johan T/0000-0003-0705-7117;</t>
  </si>
  <si>
    <t>SOUTHERN AFRICAN WILDLIFE MANAGEMENT ASSOC</t>
  </si>
  <si>
    <t>BLOUBERGSTRAND</t>
  </si>
  <si>
    <t>P O BOX 217, BLOUBERGSTRAND 7437, SOUTH AFRICA</t>
  </si>
  <si>
    <t>0379-4369</t>
  </si>
  <si>
    <t>1996-8477</t>
  </si>
  <si>
    <t>S AFR J WILDL RES</t>
  </si>
  <si>
    <t>South Afr. J. Wildl. Res.</t>
  </si>
  <si>
    <t>SEP</t>
  </si>
  <si>
    <t>PW116</t>
  </si>
  <si>
    <t>WOS:A1994PW11600001</t>
  </si>
  <si>
    <t>Reid, N; Wilson, GJ; Montgomery, WI; McDonald, RA</t>
  </si>
  <si>
    <t>Reid, Neil; Wilson, Gavin J.; Montgomery, W. Ian; McDonald, Robbie A.</t>
  </si>
  <si>
    <t>EUROPEAN JOURNAL OF WILDLIFE RESEARCH</t>
  </si>
  <si>
    <t>Badger baiting; Eurasian badger; Meles meles; Badger sett; Legislation; Sett disturbance; Sett interference</t>
  </si>
  <si>
    <t>MELES-MELES; SETT DISTURBANCE; NUMBERS; POPULATION; DENSITY; IMPACT; UK</t>
  </si>
  <si>
    <t>Animal populations generally increase after release from hunting pressure and/or cessation of illegal persecution. Implementation of full legislative protection of the Eurasian badger Meles meles in Great Britain is thought to have led to increases in badger abundance due to reduced levels of persecution. Conversely, prevalence of badger persecution in Northern Ireland was historically much higher than in Great Britain, and badger abundance remained stable over time despite similar legislative protection. We examined temporal changes in the prevalence of badger sett disturbance in Northern Ireland from 1990/1993 to 2007/2008 in relation to population status. A total of 56 (12.6%) of 445 setts surveyed during 1990/1993 had been disturbed compared to 29 (4.4%) of 653 setts during 2007/2008. This was a significant decline (-65%) in the incidence of sett disturbance over the 14-18-year period. Most notably, the incidence of digging at badger setts, indicative of local badger baiting activity, declined from 50% to 3.5% of disturbed setts. Signs of recent disturbance were significantly more frequent at disused setts suggesting that once disturbed, badgers may vacate a sett. The number of badger social groups in Northern Ireland did not differ between the two study periods, suggesting that previously high levels of badger persecution did not limit the number of badger social groups. The stability of the badger population in Northern Ireland compared to the growing population in Great Britain cannot be attributed to changes in the prevalence of persecution. Differences in the trajectories of both populations could be due to a range of factors including climate, habitat composition and structure, farming practices or food availability. More work is needed to determine how such factors influence badger population dynamics.</t>
  </si>
  <si>
    <t>[Reid, Neil; Montgomery, W. Ian] Queens Univ Belfast, Sch Biol Sci, Belfast BT9 7BL, Antrim, North Ireland; [Wilson, Gavin J.; McDonald, Robbie A.] Food &amp; Environm Res Agcy, York YO41 1LZ, N Yorkshire, England</t>
  </si>
  <si>
    <t>Queens University Belfast; Food &amp; Environment Research Agency</t>
  </si>
  <si>
    <t>Reid, N (corresponding author), Queens Univ Belfast, Sch Biol Sci, Belfast BT9 7BL, Antrim, North Ireland.</t>
  </si>
  <si>
    <t>neil.reid@qub.ac.uk</t>
  </si>
  <si>
    <t>Reid, Neil/D-1896-2010; Montgomery, Ian/ISS-3537-2023; Wilson, Gavin/J-5409-2014; McDonald, Robbie/AAK-2718-2020</t>
  </si>
  <si>
    <t>Reid, Neil/0000-0001-8951-8292; McDonald, Robbie/0000-0002-6922-3195</t>
  </si>
  <si>
    <t>Department of Agriculture and Rural Development (DARD), Northern Ireland</t>
  </si>
  <si>
    <t>This project was funded by the Department of Agriculture and Rural Development (DARD), Northern Ireland. Particular thanks to Paul Spyvee, Sarah Boxall and Dr. Jane Preston for providing in-the-field training to sett surveyors. We are grateful to all those who were involved in fieldwork including (listed in alphabetical order of surname) Tom Allsop, Iain Barrett, Gareth Burns, Carol Christie, Paul Cropper, Kieran Flood, Sheila George, Justin Hart, Amy Isherwood, Paula Keane, Berit Kostka, Toby Lancaster, Donal McCambridge, Alan McCluskie, Peadar O'Connell, Christine Oines, Kate Palphramand, Gill Robb, Adrian Woodley and Matt Wright. Thanks also to Drs. Sarah Hazel (nee Feore) and Chris Smal for making data from the 1990/1993 survey available.</t>
  </si>
  <si>
    <t>SPRINGER</t>
  </si>
  <si>
    <t>NEW YORK</t>
  </si>
  <si>
    <t>233 SPRING ST, NEW YORK, NY 10013 USA</t>
  </si>
  <si>
    <t>1612-4642</t>
  </si>
  <si>
    <t>EUR J WILDLIFE RES</t>
  </si>
  <si>
    <t>Eur. J. Wildl. Res.</t>
  </si>
  <si>
    <t>FEB</t>
  </si>
  <si>
    <t>10.1007/s10344-011-0560-8</t>
  </si>
  <si>
    <t>912GB</t>
  </si>
  <si>
    <t>WOS:000301781700019</t>
  </si>
  <si>
    <t>Sálek, M; Spassov, N; Andera, M; Enzinger, K; Ottlecz, B; Hegyeli, Z</t>
  </si>
  <si>
    <t>Salek, Martin; Spassov, Nikolai; Andera, Milos; Enzinger, Karin; Ottlecz, Barnabas; Hegyeli, Zsolt</t>
  </si>
  <si>
    <t>ACTA THERIOLOGICA</t>
  </si>
  <si>
    <t>Review</t>
  </si>
  <si>
    <t>Steppe polecat; Mustela eversmanii; Distribution; Habitat associations; Population status; Europe</t>
  </si>
  <si>
    <t>LANDSCAPE CHANGES; LAND ABANDONMENT; CONSERVATION; PUTORIUS; HYBRIDIZATION; CONSEQUENCES; MANAGEMENT; RESPONSES; APODEMUS; DENSITY</t>
  </si>
  <si>
    <t>The steppe polecat Mustela eversmanii is a medium-sized mustelid species whose European population has significantly declined over the past century. However, due to the lack of systematic surveys, little is known about its status and distribution. In this paper, we review the current distribution, habitat associations, and population trends of steppe polecats in Europe and assess the main factors associated with these trends. Our results reveal ongoing population declines in most of the studied countries, which led to fragmentation and local population extinctions at the beginning of the twenty-first century. The species was assessed as rapidly declining in Austria, Czech Republic, Moldova, Slovakia, and Ukraine; declining in Bulgaria; and stable in Hungary. Due to insufficient data, its status was not evaluated for Romania, Poland, and Serbia. M. eversmanii naturally occurs in steppe habitats, but recently seems to have adopted open agricultural landscapes consisting of a mosaic of grasslands, small fields with hedges, and dry embankments. Its distribution often coincides with populations of ground squirrels and hamsters. However, in intensively used agricultural landscapes, smaller rodents (especially voles) could also be an important dietary component. Intensive agricultural production, habitat loss, the degradation of steppe and grassland habitats, and significant declines in the availability of its main prey are the crucial factors for the species' current population decline. Further research is urgently needed to fill the gaps in our knowledge of its distribution, population densities, feeding ecology, habitat associations, and population genetics. This would enable first steps towards its effective conservation and management strategies.</t>
  </si>
  <si>
    <t>[Salek, Martin] Acad Sci Czech Republ, Inst Vertebrate Biol, CS-60365 Brno, Czech Republic; [Spassov, Nikolai] Bulgarian Acad Sci, Natl Museum Nat Hist, Sofia 1000, Bulgaria; [Andera, Milos] Natl Museum, Prague 11579 1, Czech Republic; [Enzinger, Karin] Naturschutzbund NO, Austrian League Nat Conservat, Lower Austria, A-1090 Vienna, Austria; [Ottlecz, Barnabas] Univ West Hungary, Inst Wildlife Management &amp; Vertebrate Zool, H-9400 Sopron, Hungary; [Hegyeli, Zsolt] Milvus Grp Bird &amp; Nat Protect Assoc, Targu Mures, Romania</t>
  </si>
  <si>
    <t>Czech Academy of Sciences; Institute of Vertebrate Biology of the Czech Academy of Sciences; Bulgarian Academy of Sciences; National Museum</t>
  </si>
  <si>
    <t>Sálek, M (corresponding author), Acad Sci Czech Republ, Inst Vertebrate Biol, Kvetna 8, CS-60365 Brno, Czech Republic.</t>
  </si>
  <si>
    <t>martin.sali@post.cz; nspassov@nmnhs.com; milos_andera@nm.cz; karin.enzinger@naturschutzbund.at; ottlecz@emk.nyme.hu; zsolt.hegyeli@milvus.ro</t>
  </si>
  <si>
    <t>Šálek, Martin/AAE-9233-2019; Hegyeli, Zsolt/ABC-2363-2020</t>
  </si>
  <si>
    <t>Šálek, Martin/0000-0003-2639-9745;</t>
  </si>
  <si>
    <t>research aim of the Academy of Sciences of the Czech Republic [RVO 68081766]</t>
  </si>
  <si>
    <t>research aim of the Academy of Sciences of the Czech Republic</t>
  </si>
  <si>
    <t>We are grateful for the information provided by Miklos Heltai (Institute for Wildlife Conservation, Hungary), Dumitru Murariu (Grigore Antipa National Museum of Natural History, Bucharest, Romania), Victoria Nistreanu (Institute of Zoology, Academy of Sciences of Moldova, Moldova), Dusko Cirovic (Faculty of Biology, University of Belgrade, Serbia), Anton Kristin (Institute of Forest Ecology, Slovak Academy of Sciences, Slovakia), Petr Koubek (Institute of Vertebrate Biology, ASCR, Czech Republic), Wieslaw Bogdanowicz (Museum &amp; Institute of Zoology PAS, Poland), Andrzej Zalewski (Mammal Research Institute, Polish Academy of Sciences, Poland), Hermann Ansorge (Senckenberg Museum fur Naturkunde Gorlitz, Germany), Boris Krystufek (Group for Biodiversity, Slovenia), Jerzy Romanowski (Centre for Ecological Research PAN, Poland), and Vlasta Skorpikova (Regional Council Znojmo, Czech Republic). We would also like to thank Phil Butterill and Marina Kipson for editing the English manuscript and Frank Zachos, Franz Suchentrunk, and Barbara Herzig for their comments on the first draft of the manuscript. This work was supported by the research aim of the Academy of Sciences of the Czech Republic (RVO 68081766).</t>
  </si>
  <si>
    <t>SPRINGER HEIDELBERG</t>
  </si>
  <si>
    <t>HEIDELBERG</t>
  </si>
  <si>
    <t>TIERGARTENSTRASSE 17, D-69121 HEIDELBERG, GERMANY</t>
  </si>
  <si>
    <t>0001-7051</t>
  </si>
  <si>
    <t>2190-3743</t>
  </si>
  <si>
    <t>ACTA THERIOL</t>
  </si>
  <si>
    <t>Acta Theriol.</t>
  </si>
  <si>
    <t>JUL</t>
  </si>
  <si>
    <t>10.1007/s13364-013-0134-0</t>
  </si>
  <si>
    <t>163JA</t>
  </si>
  <si>
    <t>WOS:000320330900001</t>
  </si>
  <si>
    <t>Mirzaei, R; Karami, M; Kar, AD; Abdoli, A</t>
  </si>
  <si>
    <t>Mirzaei, Roohallah; Karami, Mahmud; Kar, Afshin Daneh; Abdoli, Asghar</t>
  </si>
  <si>
    <t>HYSTRIX-ITALIAN JOURNAL OF MAMMALOGY</t>
  </si>
  <si>
    <t>distribution; Eurasian otter; habitat suitability; water quality; Tehran province</t>
  </si>
  <si>
    <t>There is little information about the status and ecology of the Eurasian otter (Lutra lutra) in Iran. We assessed the habitat suitability for otters of the River Jajrood, Tehran province, measuring, or visually estimating, 12 environmental parameters along 16 600 m long river stretches (sampling sites). The downstream stretches of the river were found to be more suitable for otters with respect to the upper part of its course. Although the assessments of habitat suitability for the otter may be affected by several limits, the current distribution of the species on the river agrees with the results of this study. The preservation of the otter in Tehran province should involve the restoration of the ecosystem of the River Jajrood in order to improve the length of suitable river stretches.</t>
  </si>
  <si>
    <t>[Mirzaei, Roohallah] Tarbiat Modares Univ, Tehran, Iran; [Karami, Mahmud; Kar, Afshin Daneh] Univ Tehran, Tehran 14174, Iran; [Abdoli, Asghar] Shahid Beheshti Univ GC, Environm Sci Res Inst, Tehran, Iran</t>
  </si>
  <si>
    <t>Tarbiat Modares University; University of Tehran; Shahid Beheshti University</t>
  </si>
  <si>
    <t>Mirzaei, R (corresponding author), Tarbiat Modares Univ, Campus Nat Resources, Tehran, Iran.</t>
  </si>
  <si>
    <t>r_mirzaei@yahoo.com</t>
  </si>
  <si>
    <t>Mirzaei, Rouhollah/T-2257-2018</t>
  </si>
  <si>
    <t>Mirzaei, Rouhollah/0000-0002-8294-2215; Abdoli, Asghar/0000-0003-1229-933X</t>
  </si>
  <si>
    <t>ASSOC TERIOLOGICA ITAL</t>
  </si>
  <si>
    <t>PAVIA</t>
  </si>
  <si>
    <t>C/O CLAUDIO PRIGIONI, DEPT BIOLOGIA ANIMALE, UNIV PAVIA, PIAZZA BOTTA 9, PAVIA, I-56126, ITALY</t>
  </si>
  <si>
    <t>0394-1914</t>
  </si>
  <si>
    <t>HYSTRIX</t>
  </si>
  <si>
    <t>Hystrix</t>
  </si>
  <si>
    <t>554DB</t>
  </si>
  <si>
    <t>WOS:000274414600009</t>
  </si>
  <si>
    <t>Balestrieri, A; Messina, S; Pella, F; Prigioni, C; Saino, N; Fasola, M</t>
  </si>
  <si>
    <t>Balestrieri, Alessandro; Messina, Simone; Pella, Francesca; Prigioni, Claudio; Saino, Nicola; Fasola, Mauro</t>
  </si>
  <si>
    <t>ORYX</t>
  </si>
  <si>
    <t>Albania; distribution; Eurasian otter; habitat change; Lutra lutra; monitoring; standard survey; transitional countries</t>
  </si>
  <si>
    <t>POPULATIONS; CONSERVATION; QUALITY; RIVER</t>
  </si>
  <si>
    <t>In countries with emerging and developing economies the need to promote development and the lack of information on the status of the Near Threatened Eurasian otter Lutra lutra have given rise for concern about the conservation status of the species. In Albania information about the distribution of this otter dates from 1985. In 2013 we re-surveyed 31 sites previously surveyed in 1985, and a further 42 sites throughout the country. At each site nine habitat variables of potential importance to otters were recorded and analysed. Overall the distribution pattern in 2013 did not differ from that recorded in 1985 although a reduction in marking intensity suggested a possible decline in otter numbers. Distribution of the otter has been influenced by land use and human density, suggesting man-induced habitat changes since the fall of communism may have affected the quality and fragmentation of otter habitats.</t>
  </si>
  <si>
    <t>[Balestrieri, Alessandro; Saino, Nicola] Univ Milan, Dept Biosci, Via Celoria 26, I-20133 Milan, Italy; [Messina, Simone] Univ Roma La Sapienza, Dept Biol &amp; Biotechnol, Piazzale Aldo Moro 5, I-00185 Rome, Italy; [Pella, Francesca] IUCN, Rruga Abdi Toptani, Torre Drin, Tirana, Albania; [Prigioni, Claudio; Fasola, Mauro] Univ Pavia, Dept Earth &amp; Environm Sci, Via Palestro 3, I-27100 Pavia, Italy</t>
  </si>
  <si>
    <t>University of Milan; Sapienza University Rome; University of Pavia</t>
  </si>
  <si>
    <t>Balestrieri, A (corresponding author), Univ Milan, Dept Biosci, Via Celoria 26, I-20133 Milan, Italy.</t>
  </si>
  <si>
    <t>alebls@libero.it</t>
  </si>
  <si>
    <t>Messina, Simone/ABI-2054-2020; Balestrieri, Alessandro/IYJ-1301-2023</t>
  </si>
  <si>
    <t>Messina, Simone/0000-0001-6034-7450; Saino, Nicola/0000-0002-0230-3967; FASOLA, MAURO/0000-0002-7366-5893</t>
  </si>
  <si>
    <t>Italian Ministry of Foreign Affairs; General Directorate for Cooperation Development; MoEFWA</t>
  </si>
  <si>
    <t>Italian Ministry of Foreign Affairs(Ministry of Foreign Affairs and International Cooperation (Italy)); General Directorate for Cooperation Development; MoEFWA</t>
  </si>
  <si>
    <t>This study was conducted within the framework of the Institutional Support to the Albanian Ministry of Environment, Forest and Water Administration (MoEFWA) for Sustainable Biodiversity Conservation and Use in Protected Areas project by IUCN, funded by the Italian Ministry of Foreign Affairs, General Directorate for Cooperation Development, in collaboration with MoEFWA. We thank the project manager, Andrea Ghiurghi, for supporting and facilitating the research, and the trainees of the Animal Ecology Units of IUCN's project, specifically Tonin Macaj, Eduard Gajtani, Zeqir Ujka, Festim Broja and Elvin Shala (APA Shkoder) of the Buna River Protected Landscape, and Lavdim Qoshi, Enver Koci, Mitat Bicaku (Librazhd Forest Office), Eriola Katjai, Luljeta Koci and Bledar Pepa (Elbasan University), and Bledi Oxha (PPNEA NGO) of Shebenik-Jabllanice National Park. We thank Etleva Hysaj and Ferdinand Bego for help with fish identification and promoting research on otters in Albania. Lesley C. Wright (IUCN Species Survival Commission Otter Specialist Group) and Prof. Christopher F. Mason kindly revised the English.</t>
  </si>
  <si>
    <t>CAMBRIDGE UNIV PRESS</t>
  </si>
  <si>
    <t>CAMBRIDGE</t>
  </si>
  <si>
    <t>EDINBURGH BLDG, SHAFTESBURY RD, CB2 8RU CAMBRIDGE, ENGLAND</t>
  </si>
  <si>
    <t>0030-6053</t>
  </si>
  <si>
    <t>1365-3008</t>
  </si>
  <si>
    <t>Oryx</t>
  </si>
  <si>
    <t>APR</t>
  </si>
  <si>
    <t>10.1017/S0030605314000921</t>
  </si>
  <si>
    <t>Biodiversity Conservation; Ecology</t>
  </si>
  <si>
    <t>DH1DZ</t>
  </si>
  <si>
    <t>Green Submitted, Bronze</t>
  </si>
  <si>
    <t>WOS:000372525900035</t>
  </si>
  <si>
    <t>Marcelli, M; Poledník, L; Poledníková, K; Fusillo, R</t>
  </si>
  <si>
    <t>Marcelli, Manlio; Polednik, Lukas; Polednikova, Katerina; Fusillo, Romina</t>
  </si>
  <si>
    <t>DIVERSITY AND DISTRIBUTIONS</t>
  </si>
  <si>
    <t>Detection probability; land use intensity; multi-season occupancy models; recolonization process; species distribution; stream habitat</t>
  </si>
  <si>
    <t>SITE-OCCUPANCY; LUTRA-LUTRA; POPULATION; DECLINE; RANGE; CONSERVATION; CONTRACTION; EXTINCTION; EXPANSION; CZECHIA</t>
  </si>
  <si>
    <t>Aim Land use intensity has been recognized as one of the major determinants of native species declines. The re-expansion of species previously constrained by habitat degradation has been rarely investigated. Here, we use site occupancy models incorporating imperfect detection to identify the land use drivers of the re-expansion of the Eurasian otter (Lutra lutra). Location Czech Republic. Methods We applied multi-season occupancy models to otter presencenon-detection data collected in three national surveys (1992, 2000, 2006) at 552 sites (11.2 X 12 km grid cells). Model parameters included site occupancy, colonization and extinction probabilities, and detection probability at a sub-site level. We modelled changes in occupancy over time as a function of agricultural, urban and industrial land use and change in the extent of agricultural land use. Results Under the best fitting model, occupancy was estimated to be 34.6% in 1992, 51.3% in 2000 and 83.7% in 2006. Detection probability was neither perfect nor constant. Occupancy probability in 1992 was negatively related to land use gradients. Colonization was more likely to occur where a reduction in agricultural land was larger. Variation in extinction and colonization rates along land use gradients resulted in increased occupancy in industrial and especially urban landscapes. Conversely, occupancy remained almost unchanged along agricultural gradients. Main conclusions Dynamics of otter expansion were strongly associated with the two main patterns of the rapid environmental transition that has taken place in the Czech Republic since the early 1990s. Results show that a reduction in intensive agricultural land use led to an increase in otter distribution, providing evidence of the impact of agricultural land use on stream ecosystems. Moreover, otters recolonized urban and industrial landscapes, probably as a result of extensive reduction in water pollution from point sources. Our results suggest that active conservation of otter populations should focus on restoration of freshwater habitat at large scales, especially in agricultural landscapes.</t>
  </si>
  <si>
    <t>[Marcelli, Manlio; Fusillo, Romina] Lutria Wildlife Res &amp; Consulting Snc, I-00173 Rome, Italy; [Polednik, Lukas; Polednikova, Katerina] ALKA Wildlife Ops, Dacice 38001, Czech Republic</t>
  </si>
  <si>
    <t>Marcelli, M (corresponding author), Lutria Wildlife Res &amp; Consulting Snc, Via Stefano Oberto 69, I-00173 Rome, Italy.</t>
  </si>
  <si>
    <t>manlio.marcelli@lutria.eu</t>
  </si>
  <si>
    <t>Poledníková, Kateřina/GLU-1831-2022; Poledník, Lukáš/KII-2330-2024</t>
  </si>
  <si>
    <t>Poledníková, Kateřina/0000-0002-2459-9455; Poledník, Lukáš/0000-0001-9081-4961; Fusillo, Romina/0000-0003-2590-5773</t>
  </si>
  <si>
    <t>ANCLP; ANCLP CR; COFF; Ministry of the Environment of the Czech Republic [VAV-SP/2d4/16/08]</t>
  </si>
  <si>
    <t>ANCLP; ANCLP CR; COFF; Ministry of the Environment of the Czech Republic</t>
  </si>
  <si>
    <t>We would like to thank to all field workers who participated on surveys: mainly employers of Agency for Nature Conservation and Landscape Protection of the Czech Republic (ANCLP CR), employers of Czech Otter Foundation Fund (COFF) and other external co-workers. The first national survey was financed by ANCLP, the second survey by ANCLP CR and COFF and the third one by ANCLP CR within the project 'Monitoring of habitat and species'. Thanks are also due to two anonymous referees for comments that helped to improve this paper. Analysis of the data was financed by grant No. VAV-SP/2d4/16/08 from the Ministry of the Environment of the Czech Republic.</t>
  </si>
  <si>
    <t>1366-9516</t>
  </si>
  <si>
    <t>1472-4642</t>
  </si>
  <si>
    <t>DIVERS DISTRIB</t>
  </si>
  <si>
    <t>Divers. Distrib.</t>
  </si>
  <si>
    <t>OCT</t>
  </si>
  <si>
    <t>10.1111/j.1472-4642.2012.00898.x</t>
  </si>
  <si>
    <t>001NH</t>
  </si>
  <si>
    <t>Green Submitted, hybrid</t>
  </si>
  <si>
    <t>WOS:000308466900005</t>
  </si>
  <si>
    <t>Khan, MS; Dimri, NK; Nawab, A; Ilyas, O; Gautam, P</t>
  </si>
  <si>
    <t>Khan, M. S.; Dimri, N. K.; Nawab, A.; Ilyas, O.; Gautam, P.</t>
  </si>
  <si>
    <t>ANIMAL BIODIVERSITY AND CONSERVATION</t>
  </si>
  <si>
    <t>Otter; Ganges Basin; Conservation status; Habitat use</t>
  </si>
  <si>
    <t>NATIONAL-CHAMBAL-SANCTUARY; LUTRA-PERSPICILLATA; AVAILABILITY DATA; WETLAND; ECOLOGY</t>
  </si>
  <si>
    <t>Smooth coated otters inhabit several major river systems in southern Asia, and their environmental requirements link them to food and water security issues as the region is so densely populated by humans. The lack of baseline data on their distribution and ecology is another major constraint that the species is facing in India. The present study was stimulated by the rapid decline in the otter's population in the country and focuses on estimating the conservation status, habitat use pattern, and associated threats in the upper Ganges River Basin (N India). Our findings contribute towards a better understanding of the complex ecological interactions and the design of effective conservation measures. Coupled with the habitat preferences, the study also provides new locations in the species distribution. This paper highlights the gap areas in the conservation of the species and suggests areas that should be prioritized for management.</t>
  </si>
  <si>
    <t>[Khan, M. S.; Nawab, A.] WWF India, New Delhi 110003, India; [Dimri, N. K.] WII, Dehra Dun, Uttarakhand, India; [Ilyas, O.] Aligarh Muslim Univ, Aligarh 202002, Uttar Pradesh, India; [Gautam, P.] FES, New Delhi 110029, India</t>
  </si>
  <si>
    <t>World Wildlife Fund; Wildlife Institute of India; Aligarh Muslim University</t>
  </si>
  <si>
    <t>Khan, MS (corresponding author), WWF India, 172 B Lodi Estate, New Delhi 110003, India.</t>
  </si>
  <si>
    <t>Shahnawaz Khan, Mohd/AAS-2031-2021</t>
  </si>
  <si>
    <t>Shahnawaz Khan, Mohd/0000-0002-4467-3763; ilyas, orus/0000-0002-9046-214X</t>
  </si>
  <si>
    <t>Living Ganga Programme of WWF India</t>
  </si>
  <si>
    <t>The data were collected during an M.Sc. internship of the first and second author, in the project Otter Conservation under the sponsorship of Living Ganga Programme of WWF India. We are thankful to Mr. Ravi Singh and Dr. Sejal Worah (WWF India) for constant encouragement and support. The help rendered by staff of WWF India's Hastinapur field office is highly appreciated. We are also grateful to Dr. Anjana Pant (WWF India), Dr. Satish Kumar, Dr. Faiza Abbasi and Zarreen Syed (AMU, Aligarh) for their valuable suggestions on the manuscript.</t>
  </si>
  <si>
    <t>MUSEU DE CIENCIES NATURALS-ZOOLOGIA</t>
  </si>
  <si>
    <t>BARCELONA</t>
  </si>
  <si>
    <t>PASSEIG PICASSO S-N, PARC CIUTADELLA, BARCELONA, E-08003, SPAIN</t>
  </si>
  <si>
    <t>1578-665X</t>
  </si>
  <si>
    <t>ANIM BIODIV CONSERV</t>
  </si>
  <si>
    <t>Anim. Biodivers. Conserv.</t>
  </si>
  <si>
    <t>Biodiversity Conservation</t>
  </si>
  <si>
    <t>Biodiversity &amp; Conservation</t>
  </si>
  <si>
    <t>AO3IS</t>
  </si>
  <si>
    <t>WOS:000341223500007</t>
  </si>
  <si>
    <t>Lara-Romero, C; Virgós, E; Escribano-Avila, G; Mangas, JG; Barja, I; Pardavila, X</t>
  </si>
  <si>
    <t>Lara-Romero, C.; Virgos, E.; Escribano-Avila, G.; Mangas, J. G.; Barja, I.; Pardavila, X.</t>
  </si>
  <si>
    <t>JOURNAL OF ARID ENVIRONMENTS</t>
  </si>
  <si>
    <t>AIC; Arid environments; Fruit orchards; Latrine; Low density; Meles meles</t>
  </si>
  <si>
    <t>MELES-MELES L.; LOW-DENSITY POPULATIONS; EURASIAN BADGERS; FOREST FRAGMENTATION; CENTRAL SPAIN; FOOD-HABITS; ENVIRONMENTS; BIODIVERSITY; LANDSCAPE; IMPACTS</t>
  </si>
  <si>
    <t>We studied the habitat selection patterns of badgers Metes metes (Linnaeus, 1758) in Mediterranean semi-arid ecosystems. Fifty-seven plots were sampled in two semi-arid regions of Spain. In each plot, badger latrines were located along 2.6 km transects. The number of badger latrines per km was used as a surrogate of badger abundance and as an index of habitat selection by badgers. For each plot, a series of environmental variables were measured at two spatial scales. These variables were related to land use and vegetation formation parameters that are considered potentially important for habitat requirements (i.e., food and shelter). The habitat selection model was carried out using generalised linear models (GLM) and an information-theoretic approach. Results indicated that badgers prefer fruit orchards, and shrub and rock-covered areas, which provide additional trophic and shelter resources, and avoid intensively cultivated fields and human settlements. We conclude that badger conservation in semi-arid environments of the Iberian Peninsula requires the existence of fruit orchards and the limitation of human development. Policies restraining agriculture intensification would encourage traditional or new non-intensive agricultural practices and increase shrub-patch availability, which would benefit this species. (C) 2011 Elsevier Ltd. All rights reserved.</t>
  </si>
  <si>
    <t>[Lara-Romero, C.; Virgos, E.; Escribano-Avila, G.; Mangas, J. G.] Univ Rey Juan Carlos, Area Biodiversidad &amp; Conservac, Escuela Super Ciencias Expt &amp; Tecnol, E-28933 Madrid, Spain; [Barja, I.] Univ Autonoma Madrid, Fac Ciencias, Dept Biol, Unidad Zool, E-28049 Madrid, Spain; [Pardavila, X.] Univ Santiago de Compostela, Area Ecol, Dept Biol Fundamental &amp; Ecol, Santiago De Compostela 15782, Spain</t>
  </si>
  <si>
    <t>Universidad Rey Juan Carlos; Autonomous University of Madrid; Universidade de Santiago de Compostela</t>
  </si>
  <si>
    <t>Lara-Romero, C (corresponding author), Univ Rey Juan Carlos, Area Biodiversidad &amp; Conservac, Escuela Super Ciencias Expt &amp; Tecnol, Dept 1,Despacho 216,C Tulipan S-N, E-28933 Madrid, Spain.</t>
  </si>
  <si>
    <t>carlos.lara@urjc.es</t>
  </si>
  <si>
    <t>Barja, Isabel/B-8303-2016; Pardavila, Xosé/AAD-2281-2019; Lara-Romero, Carlos/E-5549-2012</t>
  </si>
  <si>
    <t>Pardavila, Xosé/0000-0001-9772-0052; Lara-Romero, Carlos/0000-0003-0962-0567; Escribano-Avila, Gema/0000-0003-1362-8924</t>
  </si>
  <si>
    <t>Spanish Ministry of Science and Innovation [CGL-2005-07681]; Spanish Ministry of Education</t>
  </si>
  <si>
    <t>Spanish Ministry of Science and Innovation(Spanish GovernmentMinistry of Science &amp; Innovation, Spain (MICINN)); Spanish Ministry of Education(Spanish Government)</t>
  </si>
  <si>
    <t>We would like to thank E. F. Boluda, Y. Arnaud, M. Barea-Azcon, E. Ballesteros and R. Barrientos for providing field assistance; Manuel Lara Romero and Lori J De hond for their help with English editing of the manuscript. Three anonymous referees provided valuable comments on the manuscript. This work was part of Project CGL-2005-07681 (Spanish Ministry of Science and Innovation). C. Lara-Romero was supported by a FPI grant (Spanish Ministry of Science and Innovation) and G. Escribano-Avila was supported by a FPU grant (Spanish Ministry of Education).</t>
  </si>
  <si>
    <t>ACADEMIC PRESS LTD- ELSEVIER SCIENCE LTD</t>
  </si>
  <si>
    <t>LONDON</t>
  </si>
  <si>
    <t>24-28 OVAL RD, LONDON NW1 7DX, ENGLAND</t>
  </si>
  <si>
    <t>0140-1963</t>
  </si>
  <si>
    <t>J ARID ENVIRON</t>
  </si>
  <si>
    <t>J. Arid. Environ.</t>
  </si>
  <si>
    <t>JAN</t>
  </si>
  <si>
    <t>10.1016/j.jaridenv.2011.08.004</t>
  </si>
  <si>
    <t>Ecology; Environmental Sciences</t>
  </si>
  <si>
    <t>Environmental Sciences &amp; Ecology</t>
  </si>
  <si>
    <t>849QH</t>
  </si>
  <si>
    <t>WOS:000297139700007</t>
  </si>
  <si>
    <t>Dechner, A; Flesher, KM; Lindell, C; de Oliveira, TV; Maurer, BA</t>
  </si>
  <si>
    <t>Dechner, Andrea; Flesher, Kevin M.; Lindell, Catherine; de Oliveira, Teo Vega; Maurer, Brian A.</t>
  </si>
  <si>
    <t>PLOS ONE</t>
  </si>
  <si>
    <t>ESTIMATING SITE OCCUPANCY; ATLANTIC FOREST; SOUTHERN BAHIA; CAMERA TRAPS; NASUA-NASUA; WILDLIFE; SELECTION; IMPACTS; CONSERVATION; DISTURBANCE</t>
  </si>
  <si>
    <t>Understanding the factors that influence the presence and distribution of carnivores in human-dominated agricultural landscapes is one of the main challenges for biodiversity conservation, especially in landscapes where setting aside large protected areas is not feasible. Habitat use models of carnivore communities in rubber plantations are lacking despite the critical roles carnivores play in structuring ecosystems and the increasing expansion of rubber plantations. We investigated the habitat use of a mammalian carnivore community within a 4,200-ha rubber plantation/forest landscape in Bahia, Brazil. We placed two different brands of camera traps in a 90-site grid. We used a multispecies occupancy model to determine the probabilities of habitat use by each species and the effect of different brands of camera traps on their detection probabilities. Species showed significant differences in habitat use with domestic dogs (Canis familiaris) and crab-eating foxes (Cerdocyon thous) having higher probabilities of using rubber groves and coatis (Nasua nasua) having a higher probability of using forest. The moderate level of captures and low detection probabilities (&lt;= 0.1) of tayras (Eira barbara) and wildcats (Leopardus spp.) precluded a precise estimation of habitat use probabilities using the multispecies occupancy model. The different brands of camera traps had a significant effect on the detection probability of all species. Given that the carnivore community has persisted in this 70-year-old landscape, the results show the potential of rubber/forest landscapes to provide for the long-term conservation of carnivore communities in the Atlantic forest, especially in mosaics with 30-40% forest cover and guard patrolling systems. The results also provide insights for mitigating the impact of rubber production on biodiversity.</t>
  </si>
  <si>
    <t>[Dechner, Andrea; Maurer, Brian A.] Michigan State Univ, Dept Fisheries &amp; Wildlife, E Lansing, MI 48824 USA; [Dechner, Andrea; Lindell, Catherine; Maurer, Brian A.] Michigan State Univ, Program Ecol Evolutionary Biol &amp; Behav, E Lansing, MI 48824 USA; [Flesher, Kevin M.] Reserva Ecol Michelin, Ctr Estudos Biodiversidade, Igrapiuna, BA, Brazil; [Lindell, Catherine] Michigan State Univ, Dept Integrat Biol, E Lansing, MI 48824 USA; [Lindell, Catherine] Michigan State Univ, Ctr Global Change &amp; Earth Observat, E Lansing, MI 48824 USA; [de Oliveira, Teo Vega] Univ Estadual Feira de Santana, Div Mamiferos, Dept Ciencias Biol, Museu Zool, Feira De Santana, BA, Brazil; [Maurer, Brian A.] Michigan State Univ, Ctr Stat Training &amp; Consulting, E Lansing, MI 48824 USA</t>
  </si>
  <si>
    <t>Michigan State University; Michigan State University; Michigan State University; Michigan State University; Universidade Estadual de Feira de Santana; Michigan State University</t>
  </si>
  <si>
    <t>Dechner, A (corresponding author), Michigan State Univ, Dept Fisheries &amp; Wildlife, E Lansing, MI 48824 USA.;Dechner, A (corresponding author), Michigan State Univ, Program Ecol Evolutionary Biol &amp; Behav, E Lansing, MI 48824 USA.</t>
  </si>
  <si>
    <t>dechners@msu.edu</t>
  </si>
  <si>
    <t>Flesher, Kevin/KBQ-1371-2024</t>
  </si>
  <si>
    <t>Dechner, Anea/0000-0002-9704-6798</t>
  </si>
  <si>
    <t>Reserva Ecologica Michelin, Bahia, Brazil; Michelin</t>
  </si>
  <si>
    <t>This work was funded in whole by a grant to AD from Reserva Ecologica Michelin, Bahia, Brazil. The funder also provided support in the form of salaries for KMF, but did not have any additional role in the study design, data collection and analysis, decision to publish, or preparation of the manuscript. The specific roles of the authors are articulated in the 'author contributions' section. We thank Michelin for logistical and financial support, and the Michelin personnel who helped on a daily basis, especially Sonia Freitas da Hora, Tipo da Lapa and Andre Souza dos Santos. We also thank Lauren Philips for her help identifying the Leopardus species, often difficult to distinguish in the photographs. We thank Bernardo Maestrini for his comments on the manuscript. Finally, we thank the editor and the anonymous reviewers who made valuable comments that improved the manuscript.</t>
  </si>
  <si>
    <t>PUBLIC LIBRARY SCIENCE</t>
  </si>
  <si>
    <t>SAN FRANCISCO</t>
  </si>
  <si>
    <t>1160 BATTERY STREET, STE 100, SAN FRANCISCO, CA 94111 USA</t>
  </si>
  <si>
    <t>1932-6203</t>
  </si>
  <si>
    <t>PLoS One</t>
  </si>
  <si>
    <t>APR 16</t>
  </si>
  <si>
    <t>e0195311</t>
  </si>
  <si>
    <t>10.1371/journal.pone.0195311</t>
  </si>
  <si>
    <t>Multidisciplinary Sciences</t>
  </si>
  <si>
    <t>Science &amp; Technology - Other Topics</t>
  </si>
  <si>
    <t>GC8QO</t>
  </si>
  <si>
    <t>Green Submitted, gold</t>
  </si>
  <si>
    <t>WOS:000430061100013</t>
  </si>
  <si>
    <t>Aadrean; Usio, N</t>
  </si>
  <si>
    <t>Aadrean; Usio, Nisikawa</t>
  </si>
  <si>
    <t>ECOLOGICAL RESEARCH</t>
  </si>
  <si>
    <t>Scent marking; Otter spraint; Habitat preference; Satoyama; Rice paddy field</t>
  </si>
  <si>
    <t>LONTRA-CANADENSIS LATRINES; LUTRA-PERSPICILLATA; SCENT-MARKING; HABITAT QUALITY; WESTERN-GHATS; RIVER; CONSERVATION; LANDSCAPES; ABUNDANCE</t>
  </si>
  <si>
    <t>Latrine sites, or areas where otters scent-mark and deposit feces, are a habitat feature that serve an important role in communication for many otter species. The small-clawed otter (Aonyx cinereus) inhabits both natural and rice field landscapes in Southeast Asia. However, latrine site use by small-clawed otters in rice field landscapes is largely unknown. Based on a 53-week field survey and landscape analyses, we investigated latrine site use by small-clawed otters in rice field landscapes in West Sumatra, Indonesia. Using land use and/or local environmental variables as predictors, we performed generalized linear model analyses to explain the spatial patterns of latrine site occurrence and otter visitation frequency to latrine sites. We determined that small-clawed otters use some latrine sites repeatedly over time; 10 latrine sites were still in use more than 7 years after their initial discovery. Generalized linear model analyses revealed that an intermediate number of rice field huts was the single most important predictor of latrine site occurrence, whereas distance to the nearest settlement, distance to the river, and mean water depth of the rice field adjacent to the latrine site were important predictors of otter visitation frequency to latrine sites. These results indicate that the latrine site preferences of small-clawed otters in rice field landscapes are strongly associated with intermediate levels of rice farming activities. Indonesian rice fields are being degraded or disappearing at an accelerated rate because of land conversion and modernization of agriculture. We emphasize an urgent need for design and implementation of otter-friendly rice farming to conserve small-clawed otters.</t>
  </si>
  <si>
    <t>[Aadrean; Usio, Nisikawa] Kanazawa Univ, Grad Sch Nat Sci &amp; Technol, Kanazawa, Ishikawa 9201192, Japan; [Aadrean] Andalas Univ, Biol Dept, Padang West Sumatra 25163, Indonesia; [Usio, Nisikawa] Kanazawa Univ, Inst Nat &amp; Environm Technol, Kanazawa, Ishikawa 9201192, Japan</t>
  </si>
  <si>
    <t>Kanazawa University; Universitas Andalas; Kanazawa University</t>
  </si>
  <si>
    <t>Aadrean (corresponding author), Kanazawa Univ, Grad Sch Nat Sci &amp; Technol, Kanazawa, Ishikawa 9201192, Japan.</t>
  </si>
  <si>
    <t>aadrean@fmipa.unand.ac.id</t>
  </si>
  <si>
    <t>Usio, Nisikawa/G-3778-2010; Aadrean, Aadrean/AAB-5065-2021</t>
  </si>
  <si>
    <t>Usio, Nisikawa/0000-0002-5906-184X; , Aaean/0000-0001-8724-614X;</t>
  </si>
  <si>
    <t>Indonesian Ministry of Research, Technology, and Higher Education at Kanazawa University; Rufford Small Grant [17544-2]; Grants-in-Aid for Scientific Research [16KT0029] Funding Source: KAKEN</t>
  </si>
  <si>
    <t>Indonesian Ministry of Research, Technology, and Higher Education at Kanazawa University(Ministry of Research and Technology of the Republic of Indonesia (RISTEK)); Rufford Small Grant; Grants-in-Aid for Scientific Research(Ministry of Education, Culture, Sports, Science and Technology, Japan (MEXT)Japan Society for the Promotion of ScienceGrants-in-Aid for Scientific Research (KAKENHI))</t>
  </si>
  <si>
    <t>The first author received a RISTEKDIKTI scholarship from the Indonesian Ministry of Research, Technology, and Higher Education as a doctoral student at Kanazawa University. A portion of this research was funded by a Rufford Small Grant (No. 17544-2). We thank Mahfud Huda, Ferdi Andeska, and other students at Andalas University who helped with data collection in the field. We also thank the farmers for granting permission to conduct field surveys in their rice fields. We also thank the editors and two anonymous reviewers for their constructive comments on earlier drafts of the manuscript, which helped us to improve the content.</t>
  </si>
  <si>
    <t>0912-3814</t>
  </si>
  <si>
    <t>1440-1703</t>
  </si>
  <si>
    <t>ECOL RES</t>
  </si>
  <si>
    <t>Ecol. Res.</t>
  </si>
  <si>
    <t>10.1007/s11284-017-1496-6</t>
  </si>
  <si>
    <t>Ecology</t>
  </si>
  <si>
    <t>FM7IH</t>
  </si>
  <si>
    <t>WOS:000415248500015</t>
  </si>
  <si>
    <t>Chiatante, G; Dondina, O; Lucchelli, M; Bani, L; Meriggi, A</t>
  </si>
  <si>
    <t>Chiatante, Gianpasquale; Dondina, Olivia; Lucchelli, Martina; Bani, Luciano; Meriggi, Alberto</t>
  </si>
  <si>
    <t>poplar plantations; short rotation forestry; reforestations; habitat suitability; forest fragmentation; agro-ecosystems</t>
  </si>
  <si>
    <t>BIALOWIEZA-PRIMEVAL-FOREST; SETT SITE SELECTION; EURASIAN BADGER; SPATIAL-ORGANIZATION; POPULATION-DENSITY; SPECIES ABUNDANCE; RADIO-TRACKING; ROAD-KILLS; FOOD; LOCATION</t>
  </si>
  <si>
    <t>The European badger is a common and widespread species considered as a least-concern species by the IUCN. However, there are still many threats for its conservation, especially in areas where the original landscape has been highly modified by humans. The aim of this study was to define the habitat selection criteria of the European badger in a highly modified lowland area in northern Italy, with particular attention to the role that hedgerows and agro-forestry systems could have for this species. The study area is a typical lowland cultivated landscape, where small forest remnants are scattered within an agricultural matrix mainly characterized by intensive cereal crops and areas devoted to agro-forestry. Data collection followed a stratified random sampling design and consisted of detecting the presence of the species within 62 2-km cells. Presence signs were spotted along linear transect from April to September 2014. We investigated the association between species presence/abundance and the environmental variables measured within each cell by means of resource selection probability functions using GLMs. In our study area the European badger significantly depended on broadleaved forests, but the species also selected traditional poplar plantations, short rotation forestry, reforestations, and hedgerows. Conversely, the species avoided meadows with shrubs and trees and areas with scarce or absent vegetation. In conclusion, the European badger seemed to benefit from agricultural landscape elements, such as agro-forestry systems and hedgerows, which probably serve as forest surrogates for this species, both in providing food resources and suitable sett locations.</t>
  </si>
  <si>
    <t>[Chiatante, Gianpasquale; Lucchelli, Martina; Meriggi, Alberto] Univ Pavia, Dept Earth &amp; Environm Sci, Via Ferrata 1, I-27100 Pavia, Italy; [Dondina, Olivia; Bani, Luciano] Univ Milano Bicocca, Dept Earth &amp; Environm Sci, Piazza Sci 1, I-20126 Milan, Italy</t>
  </si>
  <si>
    <t>University of Pavia; University of Milano-Bicocca</t>
  </si>
  <si>
    <t>Chiatante, G (corresponding author), Univ Pavia, Dept Earth &amp; Environm Sci, Via Ferrata 1, I-27100 Pavia, Italy.</t>
  </si>
  <si>
    <t>laniusminor84@gmail.com</t>
  </si>
  <si>
    <t>Chiatante, Gianpasquale/AAF-9928-2020; Bani, Luciano/M-9522-2016</t>
  </si>
  <si>
    <t>Bani, Luciano/0000-0001-5795-9499</t>
  </si>
  <si>
    <t>ASSOC TERIOLOGICA ITALIANA</t>
  </si>
  <si>
    <t>ROMA</t>
  </si>
  <si>
    <t>C/O GIOVANNI AMORI, CNR-ISE VIALE DELL UNIVERSITA 23, ROMA, I-00185, ITALY</t>
  </si>
  <si>
    <t>1825-5272</t>
  </si>
  <si>
    <t>10.4404/hystrix-00005-2017</t>
  </si>
  <si>
    <t>HA2EL</t>
  </si>
  <si>
    <t>WOS:000450046400009</t>
  </si>
  <si>
    <t>Hipólito, D; Santos-Reis, M; Rosalino, LM</t>
  </si>
  <si>
    <t>Hipolito, Dario; Santos-Reis, Margarida; Rosalino, Luis M.</t>
  </si>
  <si>
    <t>MAMMALIAN BIOLOGY</t>
  </si>
  <si>
    <t>Meles meles; Multi-use forests; Sett selection; Forest management; Southwestern Europe</t>
  </si>
  <si>
    <t>MELES-MELES; SPATIAL AUTOCORRELATION; MEDITERRANEAN WOODLANDS; EURASIAN BADGERS; DENSITY; ORGANIZATION; POPULATION; MAMMALS; FOREST; COVER</t>
  </si>
  <si>
    <t>Mediterranean landscapes in Europe are characterized by a mixed matrix of agriculture, agro-forestry or cattle-farming areas, which have influenced native communities for centuries. Recently, new changes were imposed on these agro-forestry landscapes due to novel management options that provide new challenges for wildlife. From a conservation perspective, there is an urgent need to assess what are the impacts and ecological responses of local wildlife populations to those changes. In the present study, we assessed the influence of human-caused disturbances (e.g. agroforestry practices, cattle-breeding activities and game management), together with food/water and landscape-related factors, on sett site selection by European badgers. We also tested the role of these factors, together with climatic variability, on sett use. We detected that areas further away from water sources, but close to game species feeding structures, have a higher probability of hosting a European badger sett. Moreover, sett use was promoted by low disturbance: setts with lower cattle presence and without understory removal activities were more often in use. Thus, our study shows that, in our study area, agro-forestry and cattle breeding activities constrain badger sett use, while food and water availability influence their distribution. Although badgers have been adapting to anthropogenic activities for centuries, they respond differently depending on the type and intensity of management. Thus, to ensure biodiversity persistence and sustainable human exploitation of the landscape, we need to identify trade-offs between wildlife ecological adaptations and anthropogenic agriculture, forestry and cattle production. (C) 2015 Deutsche Gesellschaft fur Saugetierkunde. Published by Elsevier GmbH. All rights reserved.</t>
  </si>
  <si>
    <t>[Hipolito, Dario; Santos-Reis, Margarida; Rosalino, Luis M.] Univ Lisbon, Fac Ciencias, CE3c, P-1749016 Lisbon, Portugal; [Rosalino, Luis M.] Univ Aveiro, CESAM, Campus Univ Santiago, P-3810193 Aveiro, Portugal; [Rosalino, Luis M.] Univ Aveiro, Dept Biol, Campus Univ Santiago, P-3810193 Aveiro, Portugal</t>
  </si>
  <si>
    <t>Universidade de Lisboa; Universidade de Aveiro; Universidade de Aveiro</t>
  </si>
  <si>
    <t>Rosalino, LM (corresponding author), Univ Lisbon, Fac Ciencias, CE3c, P-1749016 Lisbon, Portugal.;Rosalino, LM (corresponding author), Univ Aveiro, CESAM, Campus Univ Santiago, P-3810193 Aveiro, Portugal.;Rosalino, LM (corresponding author), Univ Aveiro, Dept Biol, Campus Univ Santiago, P-3810193 Aveiro, Portugal.</t>
  </si>
  <si>
    <t>dariohipolito@gmail.com; mmreis@fc.ul.pt; lmrosalino@ua.pt</t>
  </si>
  <si>
    <t>Rosalino, Luís Miguel/B-9406-2009; Hipólito, Dário/A-2820-2017; Santos-Reis, Margarida/H-4064-2011; Hipólito, Dário/A-2820-2017</t>
  </si>
  <si>
    <t>Rosalino, Luís Miguel/0000-0003-4186-7332; Hipólito, Dário/0000-0002-2985-1314; Hipólito, Dário/0000-0002-2985-1314; Santos-Reis, Margarida/0000-0002-0337-963X</t>
  </si>
  <si>
    <t>Fundacao para a Ciencia e a Tecnologia [SFRH/BPD/35842/2007, SFRH/BPD/101556/2014]; Fundo Social Europeu (III Quadro Comunitario de Apoio); Fundação para a Ciência e a Tecnologia [SFRH/BPD/35842/2007, SFRH/BPD/101556/2014] Funding Source: FCT</t>
  </si>
  <si>
    <t>Fundacao para a Ciencia e a Tecnologia(Fundacao para a Ciencia e a Tecnologia (FCT)); Fundo Social Europeu (III Quadro Comunitario de Apoio); Fundação para a Ciência e a Tecnologia(Fundacao para a Ciencia e a Tecnologia (FCT))</t>
  </si>
  <si>
    <t>This study was carried out under the framework of a research protocol established between the Companhia das Lezirias, S.A. and the Centre for Ecology, Evolution and Environmental Changes (Lisbon University). Postdoctoral fellowships for LMR (SFRH/BPD/35842/2007; SFRH/BPD/101556/2014) were funded by Fundacao para a Ciencia e a Tecnologia and Fundo Social Europeu (III Quadro Comunitario de Apoio). The final version of the manuscript was reviewed by John O'Brien.</t>
  </si>
  <si>
    <t>1616-5047</t>
  </si>
  <si>
    <t>1618-1476</t>
  </si>
  <si>
    <t>MAMM BIOL</t>
  </si>
  <si>
    <t>Mamm. Biol.</t>
  </si>
  <si>
    <t>MAR</t>
  </si>
  <si>
    <t>10.1016/j.mambio.2015.11.005</t>
  </si>
  <si>
    <t>DG9CD</t>
  </si>
  <si>
    <t>WOS:000372379500011</t>
  </si>
  <si>
    <t>Mergey, M; Larroque, J; Ruette, S; Vandel, JM; Helder, R; Queney, G; Devillard, S</t>
  </si>
  <si>
    <t>Mergey, Marina; Larroque, Jeremy; Ruette, Sandrine; Vandel, Jean-Michel; Helder, Remi; Queney, Guillaume; Devillard, Sebastien</t>
  </si>
  <si>
    <t>Genetic diversity; Genetic structure; Microsatellites; Habitat fragmentation; Habitat loss; Pine marten; Martes martes</t>
  </si>
  <si>
    <t>POLYMORPHIC MICROSATELLITE LOCI; POPULATION-STRUCTURE; EXTINCTION THRESHOLDS; FOREST FRAGMENTATION; LANDSCAPE GENETICS; CENTRAL HIGHLANDS; COMPUTER-PROGRAM; PATTERNS; VARIABILITY; DIFFERENTIATION</t>
  </si>
  <si>
    <t>Although typically considered as a forest specialist species, the European pine marten (Martes martes) is an example of a number of species that have recently been found to also live in fragmented landscapes. Considering that habitat fragmentation and loss is a major threat to the persistence of mammal species in such landscapes, we investigated the association between habitat characteristics and genetic diversity across four pine marten populations occupying contrasting landscapes in France with different degrees of forest availability and fragmentation. Bayesian and multivariate clustering methods evidenced the presence of three genetic clusters and isolation by distance between populations was found at the national scale. We found an overall moderate level of genetic variability, but no evidence of a bottleneck or deficit in heterozygosity in any of the populations. No pattern of isolation by distance was found within the populations, except in the one located in the Pyrenean Mountains which appeared partly isolated from other continental populations and also showed a lower level of genetic diversity. No obvious association between the pattern of genetic variability and the pattern of forested habitat characteristics was found. We discuss the possibility that pine martens show greater behavioural plasticity than typically expected allowing them to adapt to different habitat types.</t>
  </si>
  <si>
    <t>[Larroque, Jeremy; Devillard, Sebastien] Univ Lyon 1, CNRS, UMR5558, Lab Biometrie &amp; Biol Evolut, F-69622 Villeurbanne, France; [Queney, Guillaume] Antagene, F-69578 Limonest, France; [Mergey, Marina; Helder, Remi] Ctr Rech &amp; Format Ecoethol, F-08240 Boult Aux Bois, France; [Larroque, Jeremy; Ruette, Sandrine; Vandel, Jean-Michel] CNERA PAD, Off Natl Chasse &amp; Faune Sauvage, F-01330 Montfort, Birieux, France</t>
  </si>
  <si>
    <t>VetAgro Sup; Centre National de la Recherche Scientifique (CNRS); CNRS - Institute of Ecology &amp; Environment (INEE); Universite Claude Bernard Lyon 1</t>
  </si>
  <si>
    <t>Devillard, S (corresponding author), Univ Lyon 1, CNRS, UMR5558, Lab Biometrie &amp; Biol Evolut, F-69622 Villeurbanne, France.</t>
  </si>
  <si>
    <t>marina.mergey@cerfe.com; larroque.jeremy@gmail.com; sandrine.ruette@oncfs.gouv.fr; jean-michel.vandel@oncfs.gouv.fr; remi.helder@cerfe.com; gqueney@antagene.com; sebastien.devillard@univ-lyon1.fr</t>
  </si>
  <si>
    <t>larroque, Jeremy/J-2136-2019; Mergey, Marina/GRX-8214-2022; QUENEY, Guillaume/C-5723-2009; DEVILLARD, Sébastien/IYJ-0117-2023; Ruette, Sandrine/GQQ-0903-2022</t>
  </si>
  <si>
    <t>larroque, Jeremy/0000-0002-4371-6426; DEVILLARD, Sébastien/0000-0001-6911-4362;</t>
  </si>
  <si>
    <t>French Hunting and Wildlife Agency (ONCFS); Biometry and Evolutionary Laboratory (LBBE) of the university of Lyon; Conseil General de l'Isere; Conseil General des Ardennes; Conseil Regional de Champagne-Ardennes; Communaute de communes de l'Argonne Ardennaise</t>
  </si>
  <si>
    <t>French Hunting and Wildlife Agency (ONCFS); Biometry and Evolutionary Laboratory (LBBE) of the university of Lyon; Conseil General de l'Isere(Region Auvergne-Rhone-Alpes); Conseil General des Ardennes; Conseil Regional de Champagne-Ardennes(Region Grand-Est); Communaute de communes de l'Argonne Ardennaise(Region Grand-Est)</t>
  </si>
  <si>
    <t>We are very grateful to all the hunters and trappers of Ain, Saone-et-Loire, Ardennes and Ariege who helped us in field work, especially Willy Genton, Leon Boully and Daniel Vivant. We also thank the Ariege Association of Hunters, the students and technicians of the URCA-CERFE and Jean-Francois Noblet (Conseil General Isere) for collecting samples. Many thanks to Ludovic Say for his very helpful comments and to John O'Brien who kindly edited the English. This study was supported by the French Hunting and Wildlife Agency (ONCFS), the Biometry and Evolutionary Laboratory (LBBE) of the university of Lyon, the Conseil General de l'Isere, the Conseil General des Ardennes, the Conseil Regional de Champagne-Ardennes, and the Communaute de communes de l'Argonne Ardennaise.</t>
  </si>
  <si>
    <t>ONE NEW YORK PLAZA, SUITE 4600, NEW YORK, NY, UNITED STATES</t>
  </si>
  <si>
    <t>1439-0574</t>
  </si>
  <si>
    <t>DEC</t>
  </si>
  <si>
    <t>10.1007/s10344-012-0634-2</t>
  </si>
  <si>
    <t>042UY</t>
  </si>
  <si>
    <t>WOS:000311498000003</t>
  </si>
  <si>
    <t>Jachowski, DS; Gitzen, RA; Grenier, MB; Holmes, B; Millspaugh, JJ</t>
  </si>
  <si>
    <t>Jachowski, David S.; Gitzen, Robert A.; Grenier, Martin B.; Holmes, Brian; Millspaugh, Joshua J.</t>
  </si>
  <si>
    <t>BIOLOGICAL CONSERVATION</t>
  </si>
  <si>
    <t>Carnivore; Endangered species; Mustela nigripes; Prairie dogs; Recovery; Reintroduction biology</t>
  </si>
  <si>
    <t>PRAIRIE DOGS CYNOMYS; MUSTELA-NIGRIPES; WILD DOGS; DOMESTIC FERRETS; LARGE CARNIVORES; LYCAON-PICTUS; FOOD-HABITS; PLAGUE; POPULATION; LYNX</t>
  </si>
  <si>
    <t>Objective evaluations of wildlife reintroductions are vital for increasing the success of future efforts to re-establish endangered species. Attempts to reintroduce one of the most endangered mammals in North America, the black-footed ferret (Mustela nigripes), have been ongoing for 18 years with no quantitative assessment of factors related to reintroduction success. We examined relationships between ferret reintroduction success and factors associated with disease outbreaks, release strategies, and the distribution and abundance of their primary prey, prairie dogs (Cynomys sp.), at 11 reintroduction sites. The most important factor related to ferret reintroduction success was a cumulative metric incorporating both size of the area occupied by prairie dogs and density of prairie dog burrows within that area. Each of the four successful sites had prairie dog populations that occupied an area of at least 4300 ha. No sites with &lt;4300 ha of prairie dogs were successful in maintaining &gt;= 30 adult individual ferrets over multiple years without augmentation even if they had a high prairie dog burrow density. The overarching importance of the availability of high-quality habitat suggests managers should prioritize actions that maintain and enhance the availability of large areas with high prairie dog burrow density, which are becoming increasingly rare due to anthropogenic impacts and disease outbreaks. (C) 2011 Elsevier Ltd. All rights reserved.</t>
  </si>
  <si>
    <t>[Jachowski, David S.; Gitzen, Robert A.; Millspaugh, Joshua J.] Univ Missouri, Dept Fisheries &amp; Wildlife, Columbia, MO 65211 USA; [Grenier, Martin B.] Wyoming Game &amp; Fish Dept, Lander, WY 82520 USA; [Holmes, Brian] Colorado Div Wildlife, Meeker, CO 81641 USA</t>
  </si>
  <si>
    <t>University of Missouri System; University of Missouri Columbia</t>
  </si>
  <si>
    <t>Jachowski, DS (corresponding author), Univ Missouri, Dept Fisheries &amp; Wildlife, 302 Nat Resources Bldg, Columbia, MO 65211 USA.</t>
  </si>
  <si>
    <t>davidjachowski@mail.mizzou.edu</t>
  </si>
  <si>
    <t>Gitzen, Robert/0000-0001-8507-8197</t>
  </si>
  <si>
    <t>Turner Endangered Species Fund; World Wildlife Fund</t>
  </si>
  <si>
    <t>We thank the many people who contributed to reintroduction of black-footed ferrets across western North America. While we cannot list here all those individuals involved in ferret recovery efforts, we wish to acknowledge the agencies, organizations and Tribes involved in recovery as current and prospective new members of the Black-footed Ferret Recovery Implementation Team including: US Fish and Wildlife Service, Bureau of Land Management, US Forest Service, National Park Service, US Army, US Geological Survey, US Department of Agriculture Wildlife Services, Arizona Game Fish and Parks, Colorado Division of Wildlife, Kansas Department of Wildlife and Parks, Montana Department of Fish, Wildlife, and Parks, Nebraska Game and Parks Commission, North Dakota Game and Fish Department, New Mexico Department of Game and Fish, South Dakota Department of Game, Fish and Parks, Utah Department of Natural Resources, Wyoming Game and Fish Department, Grasslands National Park Canada, Instituto de Ecologia Mexico, Cheyenne River Sioux Tribe, Gros Ventre and Assiniboine Tribes, Lower Brute Sioux Tribe, Northern Cheyenne Tribe, Rosebud Sioux Tribe, Navajo Nation, Hualapai Tribe, Cheyenne Mountain Zoological Park, National Zoological Park, Phoenix Zoo, Calgary Zoo, Toronto Zoo, Henry Doorly Zoo, Louisville Zoo, Defenders of Wildlife, National Wildlife Federation, Prairie Wildlife Research, Turner Endangered Species Fund, The Nature Conservancy, World Wildlife Fund, and Association of Zoos and Aquariums.</t>
  </si>
  <si>
    <t>ELSEVIER SCI LTD</t>
  </si>
  <si>
    <t>OXFORD</t>
  </si>
  <si>
    <t>THE BOULEVARD, LANGFORD LANE, KIDLINGTON, OXFORD OX5 1GB, OXON, ENGLAND</t>
  </si>
  <si>
    <t>0006-3207</t>
  </si>
  <si>
    <t>1873-2917</t>
  </si>
  <si>
    <t>BIOL CONSERV</t>
  </si>
  <si>
    <t>Biol. Conserv.</t>
  </si>
  <si>
    <t>MAY</t>
  </si>
  <si>
    <t>10.1016/j.biocon.2011.01.025</t>
  </si>
  <si>
    <t>791MB</t>
  </si>
  <si>
    <t>WOS:000292668200038</t>
  </si>
  <si>
    <t>Václavíková, M; Václavík, T; Kostkan, V</t>
  </si>
  <si>
    <t>Vaclavikova, Marketa; Vaclavik, Tomas; Kostkan, Vlastimil</t>
  </si>
  <si>
    <t>JOURNAL FOR NATURE CONSERVATION</t>
  </si>
  <si>
    <t>Central Europe; Conflict mitigation; Human-wildlife conflict; Lutra lutra; Questionnaire survey</t>
  </si>
  <si>
    <t>GAME MANAGEMENT; CENTRAL-EUROPE; CONFLICTS</t>
  </si>
  <si>
    <t>Habitat destruction and extensive hunting drove the population of Eurasian otter (Lutra lutra L.) in Central Europe nearly to extinction. Due to conservation efforts, otters are now returning to their original habitats, including fishpond areas in the Czech Republic. As their populations grow, conflicts with fishermen arise due to significant losses of commercial fish stocks caused by otter predation. Since 2000, Czech fisheries may claim compensation for otter damages under legislative Act No. 115/2000. However, negative attitudes towards otters persist and their illegal killing remains common. In order to provide decision-support material for conflict reconciliation, we conducted a questionnaire survey among fishermen (n = 125) and conservationists (n = 36) to investigate stakeholders' perceptions of otter predation and the damage compensation scheme in the Czech Republic. Results suggest that although otter damages on fish stocks were smaller than those caused by other piscivorous predators, fishermen perceived them as a significant hardship and demanded active control of otter populations. However, only one quarter of fish farmers actively protected their ponds from otter predation and not all conservationists were able to provide advice on preventive measures. Most respondents were aware of the current compensation scheme but its actual utilisation, especially by small private fish farmers, was low due to a perceived bureaucratic burden. All stakeholders considered current compensations to be insufficient and expressed a need for additional measures. We identified deficiencies in communication between both groups of stakeholders, and a lack of knowledge and use of available damage mitigation options. Our findings show prevailing gaps in the conservation plan for L. lutra and suggest areas into which the effort of conservation planning, public relations, and environmental awareness campaigns should be targeted. Understanding stakeholders' attitudes towards mitigation strategies is crucial for their successful application and for future improvement of reconciliation policies focused on conflicts between human activities and protected species. (C) 2010 Elsevier GmbH. All rights reserved.</t>
  </si>
  <si>
    <t>[Vaclavikova, Marketa; Vaclavik, Tomas] Univ N Carolina, Dept Geog &amp; Earth Sci, Ctr Appl GISci, Charlotte, NC 28223 USA; [Vaclavikova, Marketa; Vaclavik, Tomas; Kostkan, Vlastimil] Palacky Univ, Dept Ecol &amp; Environm Sci, Fac Sci, Olomouc 77146, Czech Republic</t>
  </si>
  <si>
    <t>University of North Carolina; University of North Carolina Charlotte; Palacky University Olomouc</t>
  </si>
  <si>
    <t>Václavíková, M (corresponding author), Univ N Carolina, Dept Geog &amp; Earth Sci, Ctr Appl GISci, 9201 Univ City Blvd, Charlotte, NC 28223 USA.</t>
  </si>
  <si>
    <t>mvaclavikova@email.cz</t>
  </si>
  <si>
    <t>Vaclavikova, Miroslava/MNO-5918-2025; Vaclavik, Tomas/N-3163-2019</t>
  </si>
  <si>
    <t>Vaclavik, Tomas/0000-0002-1113-6320</t>
  </si>
  <si>
    <t>Czech Otter Foundation; Czech Ministry of Environment [VaV/620/1/03]</t>
  </si>
  <si>
    <t>Czech Otter Foundation; Czech Ministry of Environment</t>
  </si>
  <si>
    <t>This study was conducted with the financial support of the Czech Otter Foundation Fund and was a part of the Czech Ministry of Environment's project VaV/620/1/03. We deeply thank Monica Dorning and all members of the Center for Applied GIScience at UNC Charlotte for their helpful comments on the manuscript.</t>
  </si>
  <si>
    <t>ELSEVIER GMBH</t>
  </si>
  <si>
    <t>MUNICH</t>
  </si>
  <si>
    <t>HACKERBRUCKE 6, 80335 MUNICH, GERMANY</t>
  </si>
  <si>
    <t>1617-1381</t>
  </si>
  <si>
    <t>1618-1093</t>
  </si>
  <si>
    <t>J NAT CONSERV</t>
  </si>
  <si>
    <t>J. Nat. Conserv.</t>
  </si>
  <si>
    <t>10.1016/j.jnc.2010.07.001</t>
  </si>
  <si>
    <t>732BJ</t>
  </si>
  <si>
    <t>WOS:000288156700005</t>
  </si>
  <si>
    <t>Mortelliti, A; Amori, G; Capizzi, D; Rondinini, C; Boitani, L</t>
  </si>
  <si>
    <t>Mortelliti, Alessio; Amori, Giovanni; Capizzi, Dario; Rondinini, Carlo; Boitani, Luigi</t>
  </si>
  <si>
    <t>MAMMAL REVIEW</t>
  </si>
  <si>
    <t>carnivores; habitat fragmentation; habitat loss; landscape; patch; rodents</t>
  </si>
  <si>
    <t>SQUIRREL SCIURUS-VULGARIS; MICE APODEMUS-SYLVATICUS; EURASIAN RED SQUIRREL; MARTEN MARTES-MARTES; BADGER MELES-MELES; ESTIMATING SITE OCCUPANCY; ROE DEER POPULATION; SPACE-USE RESPONSES; ARABLE HABITAT USE; WOOD MICE</t>
  </si>
  <si>
    <t>Habitat loss, habitat fragmentation and habitat degradation are the greatest threats to mammals in Europe and the rest of the world. Despite the fact that extensive literature exists, no comprehensive review or synthesis is available to date and this may slow down scientific progress and hamper conservation efforts. The goal of this study is to understand if and in what direction progress has been made in the study of the effects of habitat loss and fragmentation on the spatial distribution of European terrestrial mammals. Firstly, we carry out a general synthesis which is structured around 11 key points. The aim of this point-by-point analysis is to identify trends, knowledge gaps and any significant bias in the available literature, and to highlight strengths and shortfalls of the different approaches which have to date been applied. Secondly, we follow a species-specific systematic approach: for each species, we synthesise key results. Our results show how substantial progress has been hampered for several reasons including: a large predominance of small-scale field studies of short duration, and a generalised lack of control of: (i) confounding variables; (ii) spatial autocorrelation; and (iii) false absences. Also, despite the relatively high number of studies, few were theoretical studies and even fewer were meta-analyses. The lack of meta-analyses is likely to be due to the small amount of crucial details included in the publications, such as model parameters or information on the landscape context (such as the amount of residual forest cover). We synthesise the main results for 14 species. The level of progress is highly variable: for some species, such as the red squirrel Sciurus vulgaris, a series of long-term, large-scale process-oriented studies has allowed an in-depth understanding of its ecology in fragmented landscapes. On the other hand, with other species such as the bank vole Myodes glareolus, despite a relatively large number of field studies, little progress has been made.</t>
  </si>
  <si>
    <t>[Mortelliti, Alessio; Amori, Giovanni] Univ Roma La Sapienza, CNR, Inst Ecosyst Studies, Dept Anim &amp; Human Biol, I-00185 Rome, Italy; [Capizzi, Dario] ARP Reg Pk Agcy, I-00166 Rome, Italy</t>
  </si>
  <si>
    <t>Sapienza University Rome; Consiglio Nazionale delle Ricerche (CNR); Istituto per lo Studio degli Ecosistemi (ISE-CNR)</t>
  </si>
  <si>
    <t>Mortelliti, A (corresponding author), Univ Roma La Sapienza, CNR, Inst Ecosyst Studies, Dept Anim &amp; Human Biol, Viale Univ 32, I-00185 Rome, Italy.</t>
  </si>
  <si>
    <t>Alessio.Mortelliti@uniroma1.it; giovanni.amori@uniroma1.it; capizzi.arp@parchilazio.it; carlo.rondinini@uniroma1.it; luigi.boitani@uniroma1.it</t>
  </si>
  <si>
    <t>Capizzi, Dario/O-6431-2019; Rondinini, Carlo/E-9027-2011</t>
  </si>
  <si>
    <t>Capizzi, Dario/0000-0003-0871-9602; Rondinini, Carlo/0000-0002-6617-018X</t>
  </si>
  <si>
    <t>ARP-Agenzia Regionale dei Parchi del Lazio; CNR-Institute for Ecosystem Studies</t>
  </si>
  <si>
    <t>Alessio Mortelliti was supported by a grant from the ARP-Agenzia Regionale dei Parchi del Lazio to the CNR-Institute for Ecosystem Studies while carrying out this work. We would like to thank two anonymous reviewers for useful suggestions that helped us to improve the manuscript.</t>
  </si>
  <si>
    <t>0305-1838</t>
  </si>
  <si>
    <t>1365-2907</t>
  </si>
  <si>
    <t>MAMMAL REV</t>
  </si>
  <si>
    <t>Mammal Rev.</t>
  </si>
  <si>
    <t>10.1111/j.1365-2907.2009.00157.x</t>
  </si>
  <si>
    <t>571OE</t>
  </si>
  <si>
    <t>WOS:000275762100002</t>
  </si>
  <si>
    <t>Sales-Luís, T; Freitas, D; Santos-Reis, M</t>
  </si>
  <si>
    <t>Sales-Luis, T.; Freitas, D.; Santos-Reis, M.</t>
  </si>
  <si>
    <t>Otter diet; Otter numbers; Damages; Conflict; Risk assessment</t>
  </si>
  <si>
    <t>SOUTHEASTERN POLAND; PHALACROCORAX-CARBO; DNA; PREDATION; FISHERIES; DAMAGE; IDENTIFICATION; CORMORANTS; FISHPONDS; DIET</t>
  </si>
  <si>
    <t>Conflicts between the conservation of large vertebrates and the use of biological resources are common and affect many species and activities. The vast majority of the Portuguese fish farms are located in estuarine protected areas and production of marine fish species is done mostly in semi-intensive regimes and with the imposition of some restrictive rules. This exposed form of production is prone to predation by wild animals. The Eurasian otter Lutra lutra is widely distributed in Portugal and this combination of factors has led to a conflict scenario between fish farming and the conservation of otters. This study aimed to determine the influence of landscape factors in otter damages in fish farms of Sado estuary (SW Portugal) and the usefulness of visiting rates and otter diet as surrogates for damage assessment. The impact of otter predation (damage) in each fish farm was assessed by combining the percentage of consumption of reared species with otter daily food consumption, daily visitation rates, and number of otters visiting each fish farm. Landscape descriptors were recorded in the field and several landscape metrics were calculated using a geographic information system. Multiple linear regressions were used to identify key landscape factors for damage and for damage surrogates. Distance to streams and refuge cover areas were identified as key landscape features to damages. This information can be used as a management tool in landscape planning, specifically in estuaries with fish-farming activity, as high-risk farms can be identified and selectively protected.</t>
  </si>
  <si>
    <t>[Sales-Luis, T.; Freitas, D.; Santos-Reis, M.] Univ Lisbon, Ctr Biol Ambiental, Dept Biol Anim, Fac Ciencias, P-1749016 Lisbon, Portugal</t>
  </si>
  <si>
    <t>Universidade de Lisboa</t>
  </si>
  <si>
    <t>Sales-Luís, T (corresponding author), Univ Lisbon, Ctr Biol Ambiental, Dept Biol Anim, Fac Ciencias, Edificio C2,Campo Grande, P-1749016 Lisbon, Portugal.</t>
  </si>
  <si>
    <t>tsl@fc.ul.pt</t>
  </si>
  <si>
    <t>Santos-Reis, Margarida/H-4064-2011</t>
  </si>
  <si>
    <t>Santos-Reis, Margarida/0000-0002-0337-963X</t>
  </si>
  <si>
    <t>10.1007/s10344-009-0250-y</t>
  </si>
  <si>
    <t>474UO</t>
  </si>
  <si>
    <t>WOS:000268309900004</t>
  </si>
  <si>
    <t>Pereboom, V; Mergey, M; Villerette, N; Helder, R; Gerard, JF; Lodé, T</t>
  </si>
  <si>
    <t>Pereboom, Vincent; Mergey, Marina; Villerette, Nicolas; Helder, Remi; Gerard, Jean-Francois; Lode, Thierry</t>
  </si>
  <si>
    <t>CANADIAN JOURNAL OF ZOOLOGY</t>
  </si>
  <si>
    <t>BIALOWIEZA NATIONAL-PARK; RED SQUIRREL; HOME RANGES; CONSERVATION; DYNAMICS; FORESTS; RISK</t>
  </si>
  <si>
    <t>Woodland fragmentation through land consolidation practices (the merging of small fields by the removal of separating structures like hedgerows) is recognised as a major threat to biodiversity in Europe. While its impact on the occurrence of species has frequently been the object of focus, its impact on the movements of individuals has rarely been studied. We used paths of radio-tracked European pine martens (Martes martes (L., 1758)), a forest-dwelling species, with fixes taken at 3 min intervals to determine their habitat use in fragmented landscape. Our results differ from those generally reported in the literature. Monitored individuals were not confined to large forests, and made additional use of small wood plots and hedgerows. Indeed, individuals moved faster in forests than in all other habitat types, which suggests that martens preferentially foraged in small woods, edges, and hedgerows. Roads and buildings were not avoided; fields, however, were avoided, although they did not act as barriers. Martens stayed close to forest cover when venturing into open ground, which suggests that although not restricted to forests, pine martens exhibit a certain dependence on the presence of trees in the vicinity.</t>
  </si>
  <si>
    <t>[Pereboom, Vincent; Mergey, Marina; Villerette, Nicolas; Helder, Remi] Ctr Rech &amp; Format Ecoethol, F-08240 Boult Aux Bois, France; [Pereboom, Vincent] Univ Angers, Lab Paysages &amp; Biodiversite, F-49045 Angers 01, France; [Pereboom, Vincent; Lode, Thierry] Univ Rennes 1, CNRS Ethol Evolut Ecol, UMR 6552, F-36042 Rennes, France; [Villerette, Nicolas; Gerard, Jean-Francois] INRA, Comportement &amp; Ecol Faune Sauvage, F-31326 Castanet Tolosan, France</t>
  </si>
  <si>
    <t>Universite d'Angers; Centre National de la Recherche Scientifique (CNRS); CNRS - National Institute for Biology (INSB); Universite de Rennes; INRAE</t>
  </si>
  <si>
    <t>Pereboom, V (corresponding author), 920,Route 275, Frampton, PQ G0R 1M0, Canada.</t>
  </si>
  <si>
    <t>vincent.p@tele2.ch</t>
  </si>
  <si>
    <t>; Mergey, Marina/GRX-8214-2022</t>
  </si>
  <si>
    <t>Gerard, Jean-François/0000-0003-4590-3388;</t>
  </si>
  <si>
    <t>Conseil Regional de Champagne-Ardenne; Communaute de Communes de l'Argonne Ardennaise</t>
  </si>
  <si>
    <t>Conseil Regional de Champagne-Ardenne(Region Grand-Est); Communaute de Communes de l'Argonne Ardennaise(Region Grand-Est)</t>
  </si>
  <si>
    <t>We thank the Conseil Regional de Champagne-Ardenne and the Communaute de Communes de l'Argonne Ardennaise for financial support to V. Pereboom, M. Mergey, and N. Villerette. We also thank J. Baptiste, S. Morio, and T. Quintaine for their great help in collecting the data.</t>
  </si>
  <si>
    <t>CANADIAN SCIENCE PUBLISHING</t>
  </si>
  <si>
    <t>OTTAWA</t>
  </si>
  <si>
    <t>65 AURIGA DR, SUITE 203, OTTAWA, ON K2E 7W6, CANADA</t>
  </si>
  <si>
    <t>0008-4301</t>
  </si>
  <si>
    <t>1480-3283</t>
  </si>
  <si>
    <t>CAN J ZOOL</t>
  </si>
  <si>
    <t>Can. J. Zool.</t>
  </si>
  <si>
    <t>10.1139/Z08-076</t>
  </si>
  <si>
    <t>357GE</t>
  </si>
  <si>
    <t>WOS:000259833500006</t>
  </si>
  <si>
    <t>Pertoldi, C; Barker, SF; Madsen, AB; Jorgensen, H; Randi, E; Muñoz, J; Baagoe, HJ; Loeschcke, V</t>
  </si>
  <si>
    <t>Pertoldi, Cino; Barker, Stuart F.; Madsen, Aksel Bo; Jorgensen, Hanne; Randi, Ettore; Munoz, Joaquin; Baagoe, Hans J.; Loeschcke, Volker</t>
  </si>
  <si>
    <t>BIOLOGICAL JOURNAL OF THE LINNEAN SOCIETY</t>
  </si>
  <si>
    <t>ancient DNA; Bayesian statistic; effective population size; fragmentation; population decline</t>
  </si>
  <si>
    <t>BADGER MELES-MELES; MINK MUSTELA-VISON; OTTER LUTRA-LUTRA; EURASIAN BADGER; MICROSATELLITE PRIMERS; DNA; VARIABILITY; DECLINE; AMPLIFICATION; DIVERSITY</t>
  </si>
  <si>
    <t>A spatio-temporal study of genetic variation in the Danish pine marten (Martes martes) populations from the Jutland peninsula and from the island of Sealand was performed using 11 microsatellite markers. Samples obtained from 1892 to 2003 were subdivided into historical (prior to 1970) and recent (from 1970) groups. As compared with the historical samples, there was a significant loss of genetic variation in the recent Jutland population, but not in Sealand. Effective population sizes were estimated using Bayesian-based software (TMVP). Historical effective population sizes were 5897 (90% highest probability density, HPD, limits: 1502-6849) in Jutland and 1300 (90% HPD limits: 224-5929) in Sealand, whereas recent effective population sizes were 14.7 (90% HPD limits: 10.9-23.5) in Jutland and 802 (90% HPD limits: 51.8-5510) in Sealand. Significant genetic differentiation (F-ST) was found between the two historical samples, between the two recent samples, and between the historical and the recent sample in Jutland; whereas the F-ST value between the historical and the recent sample in Sealand was not significant. The significant genetic differentiation between the historical and the recent samples indicates changes in the genetic compositions over time, and the higher F-ST values between the two recent samples, as compared with the two historical samples, indicates that the populations in Sealand and Jutland have drifted apart within a short time span. No deviation from Hardy-Weinberg equilibrium was found within populations, indicating no further substructuring. (c) 2008 The Linnean Society of London.</t>
  </si>
  <si>
    <t>[Pertoldi, Cino; Loeschcke, Volker] Univ Aarhus, Dept Ecol &amp; Genet, DK-8000 Aarhus, Denmark; [Pertoldi, Cino] Polish Acad Sci, Mammal Res Inst, PL-17230 Bialowieza, Poland; [Barker, Stuart F.] Univ New England, Sch Rural Sci &amp; Agr, Armidale, NSW 2351, Australia; [Madsen, Aksel Bo] Natl Environm Res Inst, Dept Landscape Ecol, DK-8410 Ronde, Denmark; [Jorgensen, Hanne] Danish Inst Agr Res, Dept Genet &amp; Biotechnol, DK-8830 Tjele, Denmark; [Randi, Ettore] Ist Nazl Fauna Selvatica, I-40064 Ozzano Dell Emilia, Italy; [Munoz, Joaquin] CSIC, Estac Biol Donana, Lab Mol Ecol, E-41013 Seville, Spain; [Baagoe, Hans J.] Zool Museum, Mammal Sect, DK-2100 Copenhagen, Denmark</t>
  </si>
  <si>
    <t>Aarhus University; Polish Academy of Sciences; Mammal Research Institute of the Polish Academy of Sciences; University of New England; Aarhus University; Danish National Environmental Research Institute; Aarhus University; Italian Institute for Environmental Protection &amp; Research (ISPRA); Consejo Superior de Investigaciones Cientificas (CSIC); CSIC - Estacion Biologica de Donana (EBD)</t>
  </si>
  <si>
    <t>Pertoldi, C (corresponding author), Univ Aarhus, Dept Ecol &amp; Genet, Bldg 540,Ny Munkegade, DK-8000 Aarhus, Denmark.</t>
  </si>
  <si>
    <t>biocp@nf.au.dk</t>
  </si>
  <si>
    <t>Hede Jørgensen, Hanne Birgitte/JFK-4308-2023; Baagoe, Hans/A-8782-2013; Randi, Ettore/HOC-4300-2023; Munoz, Joaquin/B-9938-2009; Loeschcke, Volker/J-2527-2013</t>
  </si>
  <si>
    <t>Hede Jørgensen, Hanne Birgitte/0000-0002-8439-6609; Madsen, Aksel Bo/0000-0001-7274-586X; Munoz, Joaquin/0000-0003-3623-2439; Loeschcke, Volker/0000-0003-1450-0754; Barker, James/0000-0002-5232-458X</t>
  </si>
  <si>
    <t>OXFORD UNIV PRESS</t>
  </si>
  <si>
    <t>GREAT CLARENDON ST, OXFORD OX2 6DP, ENGLAND</t>
  </si>
  <si>
    <t>0024-4066</t>
  </si>
  <si>
    <t>1095-8312</t>
  </si>
  <si>
    <t>BIOL J LINN SOC</t>
  </si>
  <si>
    <t>Biol. J. Linnean Soc.</t>
  </si>
  <si>
    <t>10.1111/j.1095-8312.2007.00892.x</t>
  </si>
  <si>
    <t>Evolutionary Biology</t>
  </si>
  <si>
    <t>259GT</t>
  </si>
  <si>
    <t>WOS:000252928500003</t>
  </si>
  <si>
    <t>Gehring, TM; Swihart, RK</t>
  </si>
  <si>
    <t>habitat fragmentation; home range; long-tailed weasel; Mustela frenata; movements; radiotelemetry; spatial elements</t>
  </si>
  <si>
    <t>STOATS MUSTELA-ERMINEA; BODY-SIZE; HABITAT; CONSEQUENCES; LOCATIONS; RESPONSES; TRACKING; MAMMALS; SYSTEM; SCALE</t>
  </si>
  <si>
    <t>Quantitative assessments of home-range dynamics and movements of long-tailed weasels (Mustela frenata) are lacking, in spite of the importance of these data to understanding how habitat fragmentation influences behavior, ecology, and interspecific interactions. During autumn to late winter 1998-2000, we monitored 11 long-tailed weasels (7 male, 4 female) via radiotelemetry to examine home-range dynamics and movement rates in an Indiana landscape fragmented by agriculture. Mean (+/- SE) 95% adaptive kernel contour area for adult females and adult males was 51.8 +/- 8.1 ha and 180.3 +/- 60.3 ha, respectively, and differed significantly. Hourly rate of movement for male long-tailed weasels (130.5 +/- 12.7 m) was greater than that of females (79.2 +/- 13.5 m). Weasels demonstrated greater hourly rates of movement during the fallow season (138.2 +/- 12.8 m) compared with the preharvest season (63.0 +/- 11.2 m). Mean hourly rates of movement were lower in corridors, forest patches, and grassland patches compared to crop fields. Mean hourly rate of movement was positively related with home-range size (P &lt; 0.001) with the greatest rates of movement in the largest home ranges. Mean hourly rate of movement varied inversely with prey biomass (P = 0.07). Our results are consistent with the notion that long-tailed weasels may be sensitive to agriculturally induced fragmentation of habitat and the importance of maintaining landscape connectivity for species conservation.</t>
  </si>
  <si>
    <t>Cent Michigan Univ, Dept Biol, Mt Pleasant, MI 48859 USA; Purdue Univ, Dept Forestry &amp; Nat Resources, W Lafayette, IN 47907 USA</t>
  </si>
  <si>
    <t>Central Michigan University; Purdue University System; Purdue University</t>
  </si>
  <si>
    <t>Gehring, TM (corresponding author), Cent Michigan Univ, Dept Biol, Mt Pleasant, MI 48859 USA.</t>
  </si>
  <si>
    <t>tom.gehring@cnzich.edu</t>
  </si>
  <si>
    <t>Swihart, Robert/D-2787-2016</t>
  </si>
  <si>
    <t>10.1644/1545-1542(2004)085&lt;0079:HRAMOL&gt;2.0.CO;2</t>
  </si>
  <si>
    <t>802BZ</t>
  </si>
  <si>
    <t>WOS:000220140300014</t>
  </si>
  <si>
    <t>agriculture; body size; conservation; GIS; habitat fragmentation; landscape; mesopredators; models; niche breadth; spatial scale</t>
  </si>
  <si>
    <t>LEVEL PERCEPTUAL ABILITIES; NEW-ENGLAND COTTONTAILS; WHITE-FOOTED MICE; FOREST FRAGMENTS; NEST PREDATION; POPULATION; PATTERNS; ILLINOIS; EDGE; ASSEMBLAGES</t>
  </si>
  <si>
    <t>The ability to make a priori assessments of a species' response to fragmentation, based on its distribution in the landscape, would serve as a valuable conservation and management tool. During 1997-1999, we monitored 717 scent stations to examine seasonal use of forest patches, corridors, and crop fields by coyotes (Canis latrans), domestic cats (Felis catus), foxes (Vulpes vulpes and Urocyon cinereoargenteus), raccoons (Procyon lotor), striped skunks (Mephitis mephitis), opossums (Didelphis virginiana), and long-tailed weasels (Mustela frenata). For each species we developed landscape-based ecologically scaled landscape indices (ELSI), and we modeled species spatial distribution across three spatial scales (landscape-level, element-level, and local habitat-level). Our results suggest that these predators view landscape fragmentation at different spatial scales and demonstrate strong interspecific differences in their response to elements of the landscape. All species except coyotes and domestic cats avoided agricultural fields. In general, predator species that were more mobile (i.e. high ESLI for landscape connectivity; coyotes) were characterized by landscape- and element-based logistic models. In contrast, models including local habitat features generally were most appropriate for less mobile or more stenophagous predators (e.g. long-tailed weasels). Our analysis extends the application of the ESLI concept to species assemblages that do not appear to function as metapopulations, and it highlights the importance of examining spatial scale and species-specific responses to habitat fragmentation. We discuss the relevance of these findings for defining ecological landscapes, understanding predator-prey interactions at multiple spatial scales, and conserving predator and prey populations in fragmented landscapes. (C) 2002 Elsevier Science Ltd. All rights reserved.</t>
  </si>
  <si>
    <t>Purdue Univ, Dept Foods &amp; Nutr, W Lafayette, IN 47907 USA</t>
  </si>
  <si>
    <t>Purdue University System; Purdue University</t>
  </si>
  <si>
    <t>tom.gehring@cmich.edu</t>
  </si>
  <si>
    <t>London</t>
  </si>
  <si>
    <t>125 London Wall, London, ENGLAND</t>
  </si>
  <si>
    <t>PII S0006-3207(02)00156-8</t>
  </si>
  <si>
    <t>10.1016/S0006-3207(02)00156-8</t>
  </si>
  <si>
    <t>612XQ</t>
  </si>
  <si>
    <t>WOS:000179101100013</t>
  </si>
  <si>
    <t>Revilla, E; Palomares, F; Delibes, M</t>
  </si>
  <si>
    <t>badger conservation; habitat selection; Mediterranean areas; Meles meles; Donana</t>
  </si>
  <si>
    <t>DONANA-NATIONAL-PARK; MELES-MELES L; SPATIAL-ORGANIZATION; HOME-RANGE; ORYCTOLAGUS-CUNICULUS; EUROPEAN BADGER; RADIO-TRACKING; IBERIAN LYNX; SPAIN; SELECTION</t>
  </si>
  <si>
    <t>Populations of Eurasian badgers (Meles meles) living in Mediterranean ecosystems are of conservation concern. Deciduous forests are considered the main habitats of these badger populations in mountains, but key habitats for badgers have not been distinguished in Mediterranean lowlands. We provide a quantitative analysis of the overall habitat selection and preferences of Eurasian badgers in a Mediterranean area (Donana, SW Spain). Data on 17 radiomarked animals in a rabbit-based population and three animals from another population with no single staple food were analysed by compositional analysis for determining selection and preference order, and Jacobs' index for absolute preference/avoidance. Results indicate that, in the rabbit-based area, badgers preferred well-preserved Mediterranean scrubland at every level of the analysis. In the area where badgers had no staple food there was no clear pattern. Rabbit abundance explained a significant amount of variance of the Jacobs' index in the rabbit-based area at all levels of the analysis. It is concluded that badgers are selecting those habitat types which hold key resources, such us food or shelter. Thus, not only deciduous forest and associated pastures, but also scrubland holding healthy rabbit populations are key habitats for Mediterranean badgers living in the Iberian peninsula. (C) 2000 Elsevier Science Ltd. All rights reserved.</t>
  </si>
  <si>
    <t>CSIC, Estac Biol Donana, Dept Appl Biol, Seville 41013, Spain</t>
  </si>
  <si>
    <t>Consejo Superior de Investigaciones Cientificas (CSIC); CSIC - Estacion Biologica de Donana (EBD)</t>
  </si>
  <si>
    <t>Revilla, E (corresponding author), UFZ Helmholtz Ctr Environm Res, Environm Res Ctr, Dept Ecol Modelling, Leipzig Halle,POB 2, D-04301 Leipzig, Germany.</t>
  </si>
  <si>
    <t>revilla@ebd.csic.es</t>
  </si>
  <si>
    <t>Revilla, Eloy/B-5100-2008; Delibes, Miguel/K-2744-2014; Palomares, Francisco/F-5327-2016</t>
  </si>
  <si>
    <t>Revilla, Eloy/0000-0001-5534-5581; Delibes, Miguel/0000-0002-3569-567X; Palomares, Francisco/0000-0002-4655-7205</t>
  </si>
  <si>
    <t>10.1016/S0006-3207(00)00043-4</t>
  </si>
  <si>
    <t>335GJ</t>
  </si>
  <si>
    <t>WOS:000088235500005</t>
  </si>
  <si>
    <t>Wolf, KN; Wildt, DE; Vargas, A; Marinari, PE; Kreeger, JS; Ottinger, MA; Howard, JG</t>
  </si>
  <si>
    <t>BIOLOGY OF REPRODUCTION</t>
  </si>
  <si>
    <t>aging; Leydig cells; male sexual function; sperm; testosterone</t>
  </si>
  <si>
    <t>BROWN-NORWAY RAT; CELL TESTOSTERONE PRODUCTION; LUTEINIZING-HORMONE; SERUM CONCENTRATIONS; REPRODUCTION; MORPHOLOGY; EPIDIDYMIS; MEN; GONADOTROPIN; INSEMINATION</t>
  </si>
  <si>
    <t>The black-footed ferret (Mustela nigripes), which was extirpated from its native North American prairie habitat during the 1980s, is being reintroduced to the wild because of a successful captive-breeding program. To enhance propagation, the reproductive biology of this endangered species is being studied intensively. The typical life span of the black-footed ferret is approximately 7 yr. Female fecundity declines after 3 yr of age, but the influence of age on male reproduction is unknown. In this study, testis volume, seminal traits, sperm morphology, and serum testosterone were compared in 116 males from 1 to 7 yr of age living in captivity. Results demonstrated that testes volume during the peak breeding season was similar (P &gt; 0.05) among males 1 to 5 yr of age, reduced (P &lt; 0.05) among males 6 yr of age, and further reduced (P &lt; 0.05) among males 7 yr of age. Motile sperm/ejaculate was similar in males 1 to 6 yr of age but diminished (P &lt; 0.05) in those 7 yr of age. Males at 6 and 7 yr of age produced fewer (P &lt; 0.05) structurally normal sperm than younger counterparts; however, serum testosterone concentrations were not reduced (P &gt; 0.05) in older males. Histological comparison of testicular/epididymal tissue from 5- and 7-yr-old black-footed ferrets confirmed that the interval between these two ages may represent a transitional period to reproductive senescence. In summary, functional reproductive capacity of male black-footed ferrets exceeds that of females by at least 2 yr. Testes and seminal quality are indistinguishable among males 1 to 5 yr of age, with progressive reproductive aging occurring thereafter.</t>
  </si>
  <si>
    <t>Smithsonian Inst, Natl Zool Pk, Conservat &amp; Res Ctr, Front Royal, VA 22630 USA; US Fish &amp; Wildlife Serv, Natl Black Footed Ferret Conservat Ctr, Laramie, WY 82070 USA; Univ Maryland, College Pk, MD 20742 USA</t>
  </si>
  <si>
    <t>Smithsonian Institution; Smithsonian National Zoological Park &amp; Conservation Biology Institute; United States Department of the Interior; US Fish &amp; Wildlife Service; University System of Maryland; University of Maryland College Park</t>
  </si>
  <si>
    <t>Howard, JG (corresponding author), Smithsonian Inst, Natl Zool Pk, Reprod Physiol Program, Washington, DC 20008 USA.</t>
  </si>
  <si>
    <t>jhoward@nzp.si.edu</t>
  </si>
  <si>
    <t>OXFORD UNIV PRESS INC</t>
  </si>
  <si>
    <t>CARY</t>
  </si>
  <si>
    <t>JOURNALS DEPT, 2001 EVANS RD, CARY, NC 27513 USA</t>
  </si>
  <si>
    <t>0006-3363</t>
  </si>
  <si>
    <t>1529-7268</t>
  </si>
  <si>
    <t>BIOL REPROD</t>
  </si>
  <si>
    <t>Biol. Reprod.</t>
  </si>
  <si>
    <t>10.1095/biolreprod63.1.179</t>
  </si>
  <si>
    <t>Reproductive Biology</t>
  </si>
  <si>
    <t>327UP</t>
  </si>
  <si>
    <t>WOS:000087812400026</t>
  </si>
  <si>
    <t>STUART, CT</t>
  </si>
  <si>
    <t>Following a survey of carnivores occurring in Cape Province, in addition to the large carnivores, 2 smaller species were also endangered. The serval F. serval is now considered to be extinct as a viable species in the Province, but, reintroductions could be successful. Populations of the spotted-necked otter L. maculicollis still occur in the Bushman''s, Buffalo and Keiskamma Rivers and in the vicinity of the headwaters of the Orange River system. No positive evidence was obtained to show that they occur in any system west of 26.degree. East in the Cape Province. Other than trying to retain suitable water quality in these rivers, little can be done to improve the conservation position of this otter.</t>
  </si>
  <si>
    <t>ALBANY MUSEUM, GRAHAMSTOWN 6140, SOUTH AFRICA</t>
  </si>
  <si>
    <t>Rhodes University; Albany Museum</t>
  </si>
  <si>
    <t>10.1016/0006-3207(85)90024-2</t>
  </si>
  <si>
    <t>AKR19</t>
  </si>
  <si>
    <t>WOS:A1985AKR1900006</t>
  </si>
  <si>
    <t>Caballero, S; Correa-Cárdenas, CA; Trujillo, F</t>
  </si>
  <si>
    <t>Caballero, Susana; Correa-Cardenas, Camilo A.; Trujillo, Fernando</t>
  </si>
  <si>
    <t>JOURNAL OF HEREDITY</t>
  </si>
  <si>
    <t>conservation genetics; Colombia; mtDNA; Orinoco; reintroduction</t>
  </si>
  <si>
    <t>HISTORY; PHYLOGEOGRAPHY; IDENTIFICATION; AMAZONAS; BRAZIL; MTDNA; UNITS</t>
  </si>
  <si>
    <t>Endangered giant otters, Pteronura brasiliensis, are found along the Amazon and Orinoco rivers and most of their tributaries. Hunting in the mid-1970s pushed giant otter populations to the brink of extinction. We studied population structure and genetic diversity of giant otters from Colombia's Orinoco basin using analyses of partial mitochondrial DNA control region sequences obtained from scat material. We collected and analyzed 54 scat samples from 22 latrines, 2 tissue samples primarily from captive giant otters and 2 from hunted animals near Puerto Carreno and Puerto Inirida (Colombian Orinoco), as well as one tissue sample from Puerto Leguizamo (Colombian Amazon). Thirty-nine partial control region sequences were obtained (258 bp), corresponding to 15 unique haplotypes. Most of these haplotypes, found in samples collected around Puerto Carreno, defined one phylogeographic group (phylogroup) not previously described. Higher genetic diversity in the Colombian Orinoco populations than in other South American populations suggests that this newly described phylogroup, as well as a second phylogroup defined from a few Colombian Orinoco and Amazon samples, should be considered distinct genetic management units. National conservation programs, particularly those aiming to establish protected areas, should manage these independently. Current Colombian confiscated animal reintroduction and captive reproduction programs should also consider such differentiation when determining reintroduction locations or improving husbandry practices.</t>
  </si>
  <si>
    <t>[Caballero, Susana; Correa-Cardenas, Camilo A.] Univ los Andes, Lab Ecol Mol Vertebrados Acuat, Bogota, Colombia; [Trujillo, Fernando] Fdn OMACHA, Bogota, Colombia</t>
  </si>
  <si>
    <t>Universidad de los Andes (Colombia)</t>
  </si>
  <si>
    <t>Caballero, S (corresponding author), Univ los Andes, Lab Ecol Mol Vertebrados Acuat, Carrera 1 18A-10, Bogota, Colombia.</t>
  </si>
  <si>
    <t>sj.caballero26@uniandes.edu.co</t>
  </si>
  <si>
    <t>Correa-Cárdenas, Camilo A/ABF-1490-2020</t>
  </si>
  <si>
    <t>Correa-Cárdenas, Camilo A/0000-0001-5009-6213</t>
  </si>
  <si>
    <t>Fundacion OMACHA, proyecto de Profesor Asistente (Universidad de los Andes); Faculty of Sciences of Universidad de los Andes</t>
  </si>
  <si>
    <t>Fundacion OMACHA, proyecto de Profesor Asistente (Universidad de los Andes); the Faculty of Sciences of Universidad de los Andes.</t>
  </si>
  <si>
    <t>0022-1503</t>
  </si>
  <si>
    <t>1465-7333</t>
  </si>
  <si>
    <t>J HERED</t>
  </si>
  <si>
    <t>J. Hered.</t>
  </si>
  <si>
    <t>10.1093/jhered/esv049</t>
  </si>
  <si>
    <t>Evolutionary Biology; Genetics &amp; Heredity</t>
  </si>
  <si>
    <t>CP2TT</t>
  </si>
  <si>
    <t>WOS:000359730800006</t>
  </si>
  <si>
    <t>Biggins, DE; Godbey, JL</t>
  </si>
  <si>
    <t>COMPTES RENDUS BIOLOGIES</t>
  </si>
  <si>
    <t>Article; Proceedings Paper</t>
  </si>
  <si>
    <t>International Congress on Biodiversity Conservation and Management</t>
  </si>
  <si>
    <t>JUL 04-07, 2002</t>
  </si>
  <si>
    <t>VOUZIERS, FRANCE</t>
  </si>
  <si>
    <t>black-footed ferret; plague; recovery; endangered species</t>
  </si>
  <si>
    <t>MUSTELA-NIGRIPES; PRAIRIE DOGS; PLAGUE; MEETEETSE; EXPERIENCE; BEHAVIOR; SURVIVAL; ECOLOGY; SKILLS</t>
  </si>
  <si>
    <t>The black-footed ferret (Mustela nigripes) of North America is critically endangered due in part to its extreme specialization on formerly stable and abundant prairie dogs (Cynomys). Its close relative, the Siberian polecat (M. eversmannii) seems to have been subjected to a varying environment that was not conducive to specialization. One source of environmental variation in Asian steppes was plague (caused by Yersina pestis), which was absent from North America. Introduction of plague to North America presents serious challenges to ferret recovery. Partial solutions to other biological and political problems have been found, resulting in improved production in captivity, increased survival post-release, and thriving populations in plague-free South Dakota. (C) 2003 Academie des sciences. Published by Editions scientifiques et medicales Elsevier SAS. All rights reserved.</t>
  </si>
  <si>
    <t>US Geol Survey, Midcontinent Ecol Sci Ctr, Ft Collins, CO 80525 USA</t>
  </si>
  <si>
    <t>United States Department of the Interior; United States Geological Survey</t>
  </si>
  <si>
    <t>Biggins, DE (corresponding author), US Geol Survey, Midcontinent Ecol Sci Ctr, 4512 McMurry Ave, Ft Collins, CO 80525 USA.</t>
  </si>
  <si>
    <t>EDITIONS SCIENTIFIQUES MEDICALES ELSEVIER</t>
  </si>
  <si>
    <t>PARIS CEDEX 15</t>
  </si>
  <si>
    <t>23 RUE LINOIS, 75724 PARIS CEDEX 15, FRANCE</t>
  </si>
  <si>
    <t>1631-0691</t>
  </si>
  <si>
    <t>CR BIOL</t>
  </si>
  <si>
    <t>C. R. Biol.</t>
  </si>
  <si>
    <t>S104</t>
  </si>
  <si>
    <t>S111</t>
  </si>
  <si>
    <t>10.1016/S1631-0691(03)00046-5</t>
  </si>
  <si>
    <t>Biology</t>
  </si>
  <si>
    <t>Conference Proceedings Citation Index - Science (CPCI-S); Science Citation Index Expanded (SCI-EXPANDED)</t>
  </si>
  <si>
    <t>Life Sciences &amp; Biomedicine - Other Topics</t>
  </si>
  <si>
    <t>728ZH</t>
  </si>
  <si>
    <t>WOS:000185745900018</t>
  </si>
  <si>
    <t>Nawab, A; Hussain, SA</t>
  </si>
  <si>
    <t>Nawab, Asghar; Hussain, Syed Ainul</t>
  </si>
  <si>
    <t>AQUATIC CONSERVATION-MARINE AND FRESHWATER ECOSYSTEMS</t>
  </si>
  <si>
    <t>floodplains; rivers; reservoirs; Lutrogale perspicillata; distribution; protected area; abstraction</t>
  </si>
  <si>
    <t>NATIONAL-CHAMBAL-SANCTUARY; LUTRA-LUTRA; NORTHERN SCOTLAND; EURASIAN OTTERS; HABITAT; PERSPICILLATA; WATER; SELECTION; ECOLOGY; CONSERVATION</t>
  </si>
  <si>
    <t>With the increasing human pressure on wildlife and its habitat, particularly in South and Southeast Asia, the population of the smooth-coated otter (Lutrogale perspicillata), a key carnivore of freshwater ecosystems, is rapidly declining. Reliable information on its abundance and other factors affecting its occurrence is lacking from many parts of its range, hindering development of conservation measures. In this paper the findings are presented on relative abundance and habitat parameters associated with the occurrence of the smooth-coated otter in the Corbett Tiger Reserve (CTR), India. Information on habitat structure, spraint (faeces) sites, and otter signs (e.g. footprints, spraints), were recorded in each 500 m section of five rivers in different seasons. The search covered 380, 100 m?x?15 m plots laid along the shoreline of the river banks. The importance of different habitat features influencing habitat selection was assessed using an ordination technique. In the CTR, the presence of otters was recorded from the three river systems that were relatively undisturbed and supported potential microhabitats for otters. The relative abundance of otters in the Reserve varied between 0.3 and 0.48 individuals km-1. Occurrence of otters in the region was governed by the presence of habitat features such as rocky and sandy river stretches with gentle bank-slopes, bank-side vegetation serving as escape cover, and slow water current. Relatively narrow rivers with several streams joining the main course and with a large number of fallen dead trees were favoured. The reservoir was an unsuitable habitat for otters owing to its steep bank-slopes (47.38 degrees?+/-?1.69 degrees) and deep water (6.99 m?+/-?30.46 m). Various forms of fishing activities, followed by livestock grazing, removal of sand and boulders from the river and removal of shoreline vegetation adversely affected the presence of otter. Restoration of degraded habitats to meet the requirements of otters is the only option for their long-term conservation. Existing critical otter habitats should be identified and brought into the protected area network, and the wetlands and river basins forming otter habitat managed at a landscape level. Copyright (c) 2012 John Wiley &amp; Sons, Ltd.</t>
  </si>
  <si>
    <t>[Hussain, Syed Ainul] Wildlife Inst India, Dehra Dun 248001, Uttarakhand, India; [Nawab, Asghar] World Wide Fund Nat India, Freshwater &amp; Wetlands Programme, New Delhi 110003, India</t>
  </si>
  <si>
    <t>Wildlife Institute of India</t>
  </si>
  <si>
    <t>Hussain, SA (corresponding author), Wildlife Inst India, Post Box 18, Dehra Dun 248001, Uttarakhand, India.</t>
  </si>
  <si>
    <t>hussain@wii.gov.in</t>
  </si>
  <si>
    <t>Wildlife Institute of India, Dehra Dun; Columbus Zoo through the IUCN Otter Specialist Group Asian Section; Uttarakhand Forest Department</t>
  </si>
  <si>
    <t>This study was funded by the Grant in aid funds of the Wildlife Institute of India, Dehra Dun and Columbus Zoo through the IUCN Otter Specialist Group Asian Section. We express our sincere gratitude to Professor Padma Kumari de Silva, Asian Coordinator, IUCN SSC Otter Specialist Group for being a constant source of encouragement. Mr Qamar Qureshi helped with data analysis. Drs Ruchi Badola, Bilal Habib, and Shivani, Pariva, Ashi, Sutirtho and Archi provided valuable comments on the manuscript. We thank the Director and Dean, Wildlife Institute of India, Dehra Dun for providing the use of facilities and infrastructure support. Permission to conduct this study was granted by the Uttarakhand Forest Department.</t>
  </si>
  <si>
    <t>1052-7613</t>
  </si>
  <si>
    <t>1099-0755</t>
  </si>
  <si>
    <t>AQUAT CONSERV</t>
  </si>
  <si>
    <t>Aquat. Conserv.-Mar. Freshw. Ecosyst.</t>
  </si>
  <si>
    <t>10.1002/aqc.2253</t>
  </si>
  <si>
    <t>Environmental Sciences; Marine &amp; Freshwater Biology; Water Resources</t>
  </si>
  <si>
    <t>Environmental Sciences &amp; Ecology; Marine &amp; Freshwater Biology; Water Resources</t>
  </si>
  <si>
    <t>019CY</t>
  </si>
  <si>
    <t>WOS:000309715800007</t>
  </si>
  <si>
    <t>Regolin, AL; Cherem, JJ; Graipel, ME; Bogoni, JA; Ribeiro, JW; Vancine, MH; Tortato, MA; Oliveira-Santos, LG; Fantacini, FM; Luiz, MR; de Castilho, PV; Ribeiro, MC; Cáceres, NC</t>
  </si>
  <si>
    <t>Regolin, Andre Luis; Cherem, Jorge Jose; Graipel, Mauricio Eduardo; Bogoni, Juliano Andre; Ribeiro, John Wesley; Vancine, Mauricio Humberto; Tortato, Marcos Adriano; Oliveira-Santos, Luiz Gustavo; Fantacini, Felipe Moreli; Luiz, Micheli Ribeiro; de Castilho, Pedro Volkmer; Ribeiro, Milton Cezar; Caceres, Nilton Carlos</t>
  </si>
  <si>
    <t>camera trap; Cerdocyon thous; conservation; Eira barbara; Galictis cuja; habitat loss; Leopardus spp.; Nasua nasua; Procyon cancrivorus; Puma spp</t>
  </si>
  <si>
    <t>HABITAT USE; CAMERA TRAPS; HOME-RANGE; FRAGMENTATION; EXTINCTIONS; LANDSCAPES; OCCUPANCY; ECOLOGY; MATRIX</t>
  </si>
  <si>
    <t>Habitat fragmentation reduces biodiversity and affects ecological processes that are fundamental for maintaining ecosystem services. We investigated how landscape structure-percent forest cover, patch density, percent cover by edge, perimeter-area ratio, and spatial heterogeneity-affects the diversity of mammalian carnivores at multiple extents within 22 Atlantic Forest landscapes. We hypothesized that 1) species richness of carnivores is positively related to forest cover; and 2) the occurrence of species will vary according to its sensitivity to forest loss and its preference for forest or open areas. Species richness, composition, and occurrence of mammalian carnivores were correlated with several landscape structure metrics. Due to a high correlation among the metrics, we adopted forest cover as the principal predictor variable. We compared a forest cover model to a null model using Akaike Information Criterion (AICc), and evaluated other fragmentation metrics using a redundancy analysis. Carnivore species richness was positively related to forest cover and negatively associated with other fragmentation metrics. However, the responses to landscape structure differed among species, possibly due to their differences in habitat use. Landscape configuration is an important factor influencing carnivore species composition. Forest cover can explain some, but not all, carnivore species occurrence. Our results reinforce the protection of forests as fundamental to the conservation of carnivore species and the ecological processes in which they participate.</t>
  </si>
  <si>
    <t>[Regolin, Andre Luis] Univ Fed Santa Maria, PPG Biodiversidade Anim, BR-97105900 Santa Maria, RS, Brazil; [Regolin, Andre Luis; Ribeiro, John Wesley; Vancine, Mauricio Humberto; Ribeiro, Milton Cezar] Univ Estadual Paulista, Dept Ecol, Lab Ecol Espacial &amp; Conservacao, BR-13506900 Rio Claro, SP, Brazil; [Cherem, Jorge Jose; Graipel, Mauricio Eduardo; Tortato, Marcos Adriano] Caipora Cooperat Conservacao Nat, BR-88040400 Florianopolis, SC, Brazil; [Bogoni, Juliano Andre] Univ Fed Santa Catarina, PPG Ecol, BR-88040900 Florianopolis, SC, Brazil; [Graipel, Mauricio Eduardo] Univ Fed Santa Catarina, Dept Ecol &amp; Zool, BR-88040970 Florianopolis, SC, Brazil; [Tortato, Marcos Adriano] Univ Fed Mato Grosso, PPG Ecol &amp; Conservacao, BR-79070900 Campo Grande, MS, Brazil; [Oliveira-Santos, Luiz Gustavo] Univ Fed Mato Grosso do Sul, Dept Ecol, BR-79070900 Campo Grande, MS, Brazil; [Fantacini, Felipe Moreli] Univ East Anglia, Int Master Appl Ecol, Norwich NR4 7TJ, Norfolk, England; [Fantacini, Felipe Moreli] Inst Ambiental Bruderthal, BR-88353000 Brusque, SC, Brazil; [Luiz, Micheli Ribeiro] Inst Felinos Aguai, BR-88811410 Criciuma, SC, Brazil; [de Castilho, Pedro Volkmer] Univ Estado Santa Catarina, PPG Engn Florestal, BR-88520000 Lages, SC, Brazil; [Caceres, Nilton Carlos] Univ Fed Santa Maria, Dept Ecol Evolucao, BR-97105900 Santa Maria, RS, Brazil</t>
  </si>
  <si>
    <t>Universidade Federal de Santa Maria (UFSM); Universidade Estadual Paulista; Universidade Federal de Santa Catarina (UFSC); Universidade Federal de Santa Catarina (UFSC); Universidade Federal de Mato Grosso; Universidade Federal de Mato Grosso do Sul; University of East Anglia; Universidade do Estado de Santa Catarina; Universidade Federal de Santa Maria (UFSM)</t>
  </si>
  <si>
    <t>Regolin, AL (corresponding author), Univ Fed Santa Maria, PPG Biodiversidade Anim, BR-97105900 Santa Maria, RS, Brazil.</t>
  </si>
  <si>
    <t>andreregolin@gmail.com</t>
  </si>
  <si>
    <t>; Bogoni, Juliano André/HLX-7986-2023; Cáceres, Nilton/H-6899-2012; Oliveira-Santos, Luiz Gustavo Roigues/F-9562-2012; Vancine, Maurício Humberto/F-7305-2016; Graipel, Maurício/T-3443-2019; Castilho, Pedro/MTF-7944-2025; ribeiro, john/NYS-5403-2025; Regolin, André Luis/H-4020-2018</t>
  </si>
  <si>
    <t>Tortato, Marcos/0000-0003-4928-5150; Bogoni, Juliano André/0000-0002-8541-0556; Cáceres, Nilton/0000-0003-4904-0604; Oliveira-Santos, Luiz Gustavo Roigues/0000-0001-9632-5173; Vancine, Maurício Humberto/0000-0001-9650-7575; Regolin, André Luis/0000-0003-1820-8400</t>
  </si>
  <si>
    <t>Coordenacao de Aperfeicoamento de Pessoal do Ensino Superior (CAPES); FUNPESQUISA/UFSC; Sao Paulo Research Foundation (FAPESP) [2013/50421-2]; CNPq [312045/2013-1]</t>
  </si>
  <si>
    <t>Coordenacao de Aperfeicoamento de Pessoal do Ensino Superior (CAPES)(Coordenacao de Aperfeicoamento de Pessoal de Nivel Superior (CAPES)); FUNPESQUISA/UFSC; Sao Paulo Research Foundation (FAPESP)(Fundacao de Amparo a Pesquisa do Estado de Sao Paulo (FAPESP)); CNPq(Conselho Nacional de Desenvolvimento Cientifico e Tecnologico (CNPQ))</t>
  </si>
  <si>
    <t>We thank Coordenacao de Aperfeicoamento de Pessoal do Ensino Superior (CAPES) for the research fellowships granted to ALR and JAB. Thanks are also extended to Fundacao do Meio Ambiente (FATMA) and all reserve owners for areas access authorization. This research was partially sponsored by FUNPESQUISA/UFSC. MHV received grant 2013/50421-2, Sao Paulo Research Foundation (FAPESP). MCR received a research grant from CNPq (process 312045/2013-1) and is continually supported by FAPESP (process 2013/50421-2). NCC is a CNPq Ecology research fellow. We thank M. King, a native English speaker from Canada, for editing the manuscript. We also thank G. Leal Melo, C. Leuchtenberger, C. Benhur Kasper, and A. Senra for reviewing the manuscript.</t>
  </si>
  <si>
    <t>1545-1542</t>
  </si>
  <si>
    <t>DEC 1</t>
  </si>
  <si>
    <t>10.1093/jmammal/gyx103</t>
  </si>
  <si>
    <t>FO9UF</t>
  </si>
  <si>
    <t>WOS:000417241500021</t>
  </si>
  <si>
    <t>Reynolds, JC; Tapper, SC</t>
  </si>
  <si>
    <t>PIPING PLOVER NESTS; FOXES VULPES-VULPES; TERM POPULATION FLUCTUATIONS; WEASELS MUSTELA-NIVALIS; RED FOXES; TASTE-AVERSION; COYOTE CONTROL; ARCTIC FOX; FOREST FRAGMENTATION; INTRAGUILD PREDATION</t>
  </si>
  <si>
    <t>Wildlife management in modern environments has to contend with an inheritance of faunal and landscape changes caused by humans which affect the relationships between predatory and prey species. In both game management for harvesting, and in species preservation, this leads to difficult decisions about whether and how to manage predation. Predator control by humans is as old as livestock husbandry. The deliberate, often organized, destruction of many mammalian predator species has been a feature of human development in Europe - and later in countries to which Europeans spread - for centuries. Destruction to the point of extinction was practised for a number of reasons (self-protection, protection of domestic stock, protection of wild game, fur, adventure, sport) which were rarely distinguished. Reduction of predator numbers specifically to allow an increased harvest of some game species was mainly a nineteenth century development, while the adoption of predator control to benefit endangered species for their own sake belongs to recent decades. We review scientific literature relevant to predator control in game management and in conservation. Understanding of the role of predation in prey population dynamics has changed considerably during the last 20 years, and predation is now credited with a much more powerful role than in the past. Increasingly it becomes possible not merely to understand what predator control achieves, but to predict when it might be valuable in management, and what strategy will best achieve the aims. Examples of conservation problems involving predation illustrate the complexity of decisionmaking in management. Because of habitat loss, habitat degradation, altered predator communities, or altered predator-prey ratios, predation losses often have increased significance in modern environments. Novel approaches potentially offer non-lethal ways to manage mammalian predators. However, most are still in an exploratory phase and there have been no unqualified successes. The best tested approach, excluding predators from small areas by fencing, is discussed. In Britain, predator control to benefit small game populations and allow harvesting has been practised for nearly 200 years, and has undoubtedly played a role in shaping the present-day fauna. Although earlier gamekeeping severely reduced the geographical range of several mammalian (and avian) predator species, nowadays predator control is subject to legal restrictions based on species' conservation status and humaneness. However, illegal persecution of species protected by law remains a persistent and significant conservation problem. The predator species legitimately targeted are successful, common and increasing in the modem environment, while wild populations of gamebirds and many other ground-nesting birds are declining seriously in most areas.</t>
  </si>
  <si>
    <t>Reynolds, JC (corresponding author), GAME CONSERVANCY TRUST, FORDINGBRIDGE SP6 1EF, HANTS, ENGLAND.</t>
  </si>
  <si>
    <t>Reynolds, Jonathan/N-6079-2018</t>
  </si>
  <si>
    <t>Reynolds, Jonathan/0000-0003-2443-0999</t>
  </si>
  <si>
    <t>WILEY-BLACKWELL</t>
  </si>
  <si>
    <t>JUN-SEP</t>
  </si>
  <si>
    <t>2-3</t>
  </si>
  <si>
    <t>10.1111/j.1365-2907.1996.tb00150.x</t>
  </si>
  <si>
    <t>VA218</t>
  </si>
  <si>
    <t>WOS:A1996VA21800004</t>
  </si>
  <si>
    <t>SKINNER, C; SKINNER, P; HARRIS, S</t>
  </si>
  <si>
    <t>BRITAIN</t>
  </si>
  <si>
    <t>The past history of the Badger in Essex is reviewed. It is shown that the population has fluctuated in the past, and that heavy gamekeeping pressure probably reduced numbers at the turn of the century, although Badgers were probably never as rare as early recorders believed. In recent years Badgers have been rare or absent in many areas of the country because they did not afford suitable sett sites, and the country as a whole is not particularly good for Badgers. Against this already low-density Badger population, in the 20 years up to the mid-1980s, 36% of known setts had disappeared, with agricultural activities being the major cause of sett losses, and of the remaining setts there was a 14% reduction in the number occupied by Badgers. Also, the modal sett size was reduced from six holes to three. Direct disturbance affected nearly a quarter of all viable setts in Essex. The significance of these findings is evaluated, and the effects of changing land use, sett disturbance, Badger digging, road deaths and sub-lethal levels of agricultural chemicals on Badger numbers are discussed and quantified where possible. The possible effects of a continued fragmentation of the Badger population in Essex is reviewed. The need for further research on particular aspects of the problem, and the value of such data in understanding the population pressures facing the Badger elsewhere in Europe, are highlighted.</t>
  </si>
  <si>
    <t>UNIV BRISTOL,DEPT ZOOL,WOODLAND RD,BRISTOL BS8 1UG,AVON,ENGLAND</t>
  </si>
  <si>
    <t>University of Bristol</t>
  </si>
  <si>
    <t>BLACKWELL SCIENCE LTD</t>
  </si>
  <si>
    <t>OSNEY MEAD, OXFORD, OXON, ENGLAND OX2 0EL</t>
  </si>
  <si>
    <t>10.1111/j.1365-2907.1991.tb00289.x</t>
  </si>
  <si>
    <t>FR872</t>
  </si>
  <si>
    <t>WOS:A1991FR87200002</t>
  </si>
  <si>
    <t>Spur, N; Gomboc, KZ; Sorgo, A</t>
  </si>
  <si>
    <t>Spur, Natalija; Gomboc, Ksenija Zunic; Sorgo, Andrej</t>
  </si>
  <si>
    <t>Attitudes toward animals; Animal conservation; Eurasian otter; Lutra lutra; Wildlife management</t>
  </si>
  <si>
    <t>REPORTED FEAR; NATIONAL-PARK; ATTITUDES; MANAGEMENT; CONFLICT; WILLINGNESS; ANIMALS; CONSERVATION; INFORMATION; DIVERSITY</t>
  </si>
  <si>
    <t>The influence of humans on aquatic habitats, along with extensive hunting, has caused a decrease in the population of the Eurasian otter (Lutra lutra) in Central Europe. Although, in recent decades, the status of otters has improved as a result of conservation efforts. However, their increasing numbers have led to increased human-animal conflict (damage from predation on commercial fish). It is necessary to take continuing conservation measures to maintain the otter population and mitigate human-otter conflict. The purpose of this study was to identify attitude dimensions in Gorie'ko Landscape Park (GLP) Slovenia that affect the acceptability of measures for otter management and to identify the differences in attitudes among different groups of GLP residents. Understanding the public perception of otters will provide wildlife managers a better understanding of the public attitude towards these animals and towards the acceptability of measures for otter management, an understanding on which they can prepare management decisions and education programmes. A research model from variables in a survey was tested with Structural Equation Modeling and ordinal regression analysis. The acceptability of measures was influenced by various attitudes-scientistic, moralistic and naturalistic-in interaction with two moderator variables: living in the Natura 2000 conservation area; and, having a business connection with fish breeding. Most residents have a positive attitude towards otters; therefore, conservation should not be a problem. Those who have a business connection with fish breeding should be educated about feasible and effective measures for otter management, to be able to act appropriately in this type of conflict involving the endangered otter species and the prevention of economic damage.</t>
  </si>
  <si>
    <t>[Spur, Natalija; Gomboc, Ksenija Zunic; Sorgo, Andrej] Univ Maribor, Fac Nat Sci &amp; Math, Maribor, Slovenia; [Sorgo, Andrej] Univ Maribor, Fac Elect Engn &amp; Comp Sci, Maribor, Slovenia</t>
  </si>
  <si>
    <t>University of Maribor; University of Maribor</t>
  </si>
  <si>
    <t>Spur, N (corresponding author), Univ Maribor, Fac Nat Sci &amp; Math, Maribor, Slovenia.</t>
  </si>
  <si>
    <t>natalija.spur@um.si</t>
  </si>
  <si>
    <t>Šorgo, Andrej/AAC-4017-2021</t>
  </si>
  <si>
    <t>10.1016/j.jnc.2018.06.002</t>
  </si>
  <si>
    <t>Science Citation Index Expanded (SCI-EXPANDED); Social Science Citation Index (SSCI)</t>
  </si>
  <si>
    <t>GN1RI</t>
  </si>
  <si>
    <t>WOS:000438771100003</t>
  </si>
  <si>
    <t>Wilting, A; Hearn, AJ; Eaton, J; Belant, JL; Kramer-Schadt, S</t>
  </si>
  <si>
    <t>Wilting, Andreas; Hearn, Andrew J.; Eaton, James; Belant, Jerrold L.; Kramer-Schadt, Stephanie</t>
  </si>
  <si>
    <t>RAFFLES BULLETIN OF ZOOLOGY</t>
  </si>
  <si>
    <t>Borneo Carnivore Symposium; Brunei; conservation priorities; habitat suitability index; Indonesia; Malaysia; species distribution modelling; survey gaps</t>
  </si>
  <si>
    <t>The Bornean ferret badger Melogale everetti is one of the least known Bornean carnivores, and is currently classified as Data Deficient on The IUCN Red List of Threatened Species. Endemic to Borneo, it is associated with upland and highland forests in and around Kinabalu Park and Crocker Range Park. Of 52 Bornean ferret badger occurrence records, 14 were used to estimate potential habitat suitability. This species is likely to be confined to a very small range in western Sabah, potentially the smallest distribution range of any carnivore species in South-east Asia. All occurrence records were above 500 m elevation, which suggests that this species is restricted to upland and highland forests. Areas of particular importance predicted for survival of this species are Kinabalu Park, Crocker Range Park, and unprotected areas and commercial forest reserves east of Crocker Range Park. Because of the low number of recent records, the main threats to the Bornean ferret badger are unknown, but the transformation of forested areas to monoculture plantations and perhaps incidental hunting are likely to have negative effects on this species. As an upland and high-elevation specialist, climate change might also become an important future threat. Of particular importance for long-term survival of the Bornean ferret badger is an improved understanding of its current status, ecology and the threats it actually faces (if any).</t>
  </si>
  <si>
    <t>[Wilting, Andreas] Leibniz Inst Zoo &amp; Wildlife Res, Alfred Kowalke Str 17, D-10315 Berlin, Germany</t>
  </si>
  <si>
    <t>Leibniz Institut fur Zoo und Wildtierforschung</t>
  </si>
  <si>
    <t>Wilting, A (corresponding author), Leibniz Inst Zoo &amp; Wildlife Res, Alfred Kowalke Str 17, D-10315 Berlin, Germany.</t>
  </si>
  <si>
    <t>wilting@izw-berlin.de</t>
  </si>
  <si>
    <t>; Wilting, Aneas/B-1644-2010; Kramer-Schadt, Stephanie/A-8778-2013; Belant, Jerrold/HDM-7749-2022</t>
  </si>
  <si>
    <t>Eaton, James/0000-0002-4877-2208; Wilting, Aneas/0000-0001-5073-9186; Kramer-Schadt, Stephanie/0000-0002-9269-4446;</t>
  </si>
  <si>
    <t>NATL UNIV SINGAPORE, SCHOOL BIOLOGICAL SCIENCES</t>
  </si>
  <si>
    <t>SINGAPORE</t>
  </si>
  <si>
    <t>DEPT ZOOLOGY, KENT RIDGE, SINGAPORE 0511, SINGAPORE</t>
  </si>
  <si>
    <t>0217-2445</t>
  </si>
  <si>
    <t>RAFFLES B ZOOL</t>
  </si>
  <si>
    <t>Raffles Bull. Zool.</t>
  </si>
  <si>
    <t>MAY 30</t>
  </si>
  <si>
    <t>EJ4VE</t>
  </si>
  <si>
    <t>WOS:000393214300006</t>
  </si>
  <si>
    <t>Kloskowski, J</t>
  </si>
  <si>
    <t>Kloskowski, Janusz</t>
  </si>
  <si>
    <t>Antipredator controls; Compensation; Fish farming; Wildlife conflict; Wildlife damage</t>
  </si>
  <si>
    <t>MINK MUSTELA-VISON; LUTRA-LUTRA DAMAGE; PHALACROCORAX-CARBO; AMERICAN MINK; BIODIVERSITY CONSERVATION; SOUTHEASTERN POLAND; FARMED FISHERIES; FISH FARMS; OTTER; ATTITUDES</t>
  </si>
  <si>
    <t>Wildlife occurring at aquacultural sites can ignite conflicts over resources managed by humans. A telephone survey concerning nuisance wildlife occurrence, perceptions of inflicted damage, and use of preventive measures at pond fisheries was conducted in 2003-2004 in eastern Poland. Significant economic losses to wildlife were reported by 80% of the respondents, with 41% claiming severe losses to more than one species. Serious damage was attributed primarily to otters Lutra lutra (56% of farms), cormorants Phalacrocorax carbo (26%), grey herons Ardea cinerea (23%), and beavers Castor fiber (21%). Two alien species, mink Neovison vison and muskrat Ondatra zibethicus, were widespread, but rarely blamed for causing substantial harm. Lethal controls were the most popular means of damage reduction and were more likely to be deployed at fish farms reporting significant losses. Cormorants, shot at half of the farms visited, were the most widely persecuted. Both otters and beavers were culled, notwithstanding their protection status and compensation payments available for beaver damage to ponds. The survey indicated poor cooperation between conservation authorities and fish farmers in managing wildlife concerns. Monitoring conflict interactions, i.e., wildlife occurrence and alleged damage at fish farms vs damage management processes, is an essential step toward conflict alleviation. Considering the wide range of species interacting with fisheries, adoption of more flexible policies to address the conflicts than a single-species conservation approach is recommended.</t>
  </si>
  <si>
    <t>[Kloskowski, Janusz] M Curie Sklodowska Univ, Nat Conservat Dept, Inst Biol, PL-20033 Lublin, Poland</t>
  </si>
  <si>
    <t>Maria Curie-Sklodowska University</t>
  </si>
  <si>
    <t>Kloskowski, J (corresponding author), M Curie Sklodowska Univ, Nat Conservat Dept, Inst Biol, Akad 19, PL-20033 Lublin, Poland.</t>
  </si>
  <si>
    <t>januszkl@poczta.umcs.lublin.pl</t>
  </si>
  <si>
    <t>Kloskowski, Janusz/AGQ-5060-2022</t>
  </si>
  <si>
    <t>Kloskowski, Janusz/0000-0002-0525-2421</t>
  </si>
  <si>
    <t>10.1007/s10344-010-0426-5</t>
  </si>
  <si>
    <t>737FD</t>
  </si>
  <si>
    <t>WOS:000288553600012</t>
  </si>
  <si>
    <t>Lau, MWN; Fellowes, JR; Chan, BPL</t>
  </si>
  <si>
    <t>Lau, Michael Wai-Neng; Fellowes, John R.; Chan, Bosco Pui Lok</t>
  </si>
  <si>
    <t>China; declines; defaunation; extinction risk; mammals</t>
  </si>
  <si>
    <t>EXTINCTION; DIVERSITY; DECLINE</t>
  </si>
  <si>
    <t>Evidence from the literature, interviews, market surveys, general rapid field surveys and camera trapping was reviewed to infer the regional status of 33 recorded carnivores in South China (Guangxi, Guangdong, Hainan, Hong Kong and Macau). The carnivore fauna in South China is among the most depleted for any continental area in the world. The tiger Panthera tigris, leopard Panthera pardus, grey wolf Canis lupus and binturong Arctictis binturong are probably extirpated. The dhole Cuon alpinus, Asiatic golden cat Catopuma temmincki and clouded leopard Neofelis nebulosa are at great risk of regional extirpation, as are the more ecologically adaptable red fox Vulpes vulpes, raccoon dog Nyctereutes procyonoides, Asian badger Meles leucurus, Eurasian otter Lutra lutra, Oriental small-clawed otter Aonyx cinereus and large Indian civet Viverra zibetha. Though more widely reported, the Asiatic black bear Ursus thibetanus, yellow-throated marten Martes flavigula, hog badger Arctonyx collaris and Siberian weasel Mustela sibirica are at regional risk. The status of the Burmese ferret-badger Melogale personata, stripe-backed weasel Mustela strigidorsa, smooth-coated otter Lutrogale perspicillata, large-spotted civet Viverra megaspila and Owston's palm civet Chrotogale owstoni is uncertain due to inadequate information. Five carnivore species - the Chinese ferret-badger Melogale moschata, masked palm civet Paguma larvata, yellow-bellied weasel Mustela kathiah, small Indian civet Viverricula indica and leopard cat Prionailurus bengalensis - are relatively secure (though not common) in the region, along with the Asian palm civet Paradoxurus hermaphroditus and the Javan mongoose Herpestes javanicus in some areas, while the spotted linsang Prionodon pardicolor and crab-eating mongoose Herpestes urva may have been under-reported. The main threats have been habitat destruction and unsustainable exploitation. Only in Hong Kong, where enforcement of protection legislation has been stronger, are the surviving carnivore species easily encountered. Improved enforcement and monitoring are essential to retaining the remainder of South China's carnivores. Support could be boosted by conservation education and better research.</t>
  </si>
  <si>
    <t>[Lau, Michael Wai-Neng; Fellowes, John R.; Chan, Bosco Pui Lok] Kadoorie Farm &amp; Bot Garden, China Programme, Tai Po, Hong Kong, Peoples R China; [Fellowes, John R.] Oxford Brookes Univ, Oxford OX3 0BP, England</t>
  </si>
  <si>
    <t>Oxford Brookes University</t>
  </si>
  <si>
    <t>Lau, MWN (corresponding author), Kadoorie Farm &amp; Bot Garden, China Programme, Lam Kam Rd, Tai Po, Hong Kong, Peoples R China.</t>
  </si>
  <si>
    <t>mwnlau@kfbg.org; kfjrf@kfbg.org; boscokf@kfbg.org</t>
  </si>
  <si>
    <t>Forestry Departments of Hainan; Forestry Department of Guangxi; Forestry Department of Guang-dong</t>
  </si>
  <si>
    <t>We would like to thank the Forestry Departments of Hainan, Guangxi and Guang-dong, and the managers and staff of the reserves mentioned in this paper for allowing us to carry out the surveys and giving us their support. Many field staff and local villagers provided valuable information in the interviews. Help in conducting the interviews came from Billy C. H. Hau and Lee Kwok Shing, while field observations were kindly shared by colleagues including Yuan Xicai of the South China Institute of Endangered Animals, as well as Dave Cook, Barney Long, Lu Liren, Scott Roberton, Wang Yingxiang, Tim Woodward, Lu Gang and Zhang Rongjing; John MacKinnon spotted the Owston's palm civet in Haikou. We are especially grateful to Chen Qing and Zheng Haiqiang of Bawangling NNR, Hainan and Chen Tianbo of Nonggang NNR, Guangxi who helped in setting up the camera traps, Philip Lo who compiled some data and Will Duckworth who suggested this review. Richard Corlett, Will Duckworth, Andrew Smith, Sam Turvey, Sian Waters, two anonymous referees and the editor gave helpful comments on earlier versions of the manuscript.</t>
  </si>
  <si>
    <t>OCT 1</t>
  </si>
  <si>
    <t>10.1111/j.1365-2907.2010.00163.x</t>
  </si>
  <si>
    <t>656XF</t>
  </si>
  <si>
    <t>WOS:000282373700001</t>
  </si>
  <si>
    <t>Webster, JA</t>
  </si>
  <si>
    <t>Place names and evidence from the literature show the Pine Marten (Martes martes) to have been well distributed in Cumbria until late in the nineteenth century, with a core area in the central fells. The habitat available to these martens is assessed and the species' status and the reasons for its decline reviewed. Despite the modern emphasis on the absolute importance of woodland to the Pine Marten, it is argued that historical Cumbrian populations survived successfully for many generations in highly fragmented habitats.</t>
  </si>
  <si>
    <t>Common House Farm, Carlisle, Cumbria, England</t>
  </si>
  <si>
    <t>Webster, JA (corresponding author), Common House Farm, Carlisle, Cumbria, England.</t>
  </si>
  <si>
    <t>Bosch, Jennifer/B-5702-2009</t>
  </si>
  <si>
    <t>P O BOX 88, OSNEY MEAD, OXFORD OX2 0NE, OXON, ENGLAND</t>
  </si>
  <si>
    <t>10.1046/j.1365-2907.2001.00070.x</t>
  </si>
  <si>
    <t>432KL</t>
  </si>
  <si>
    <t>WOS:000168690700002</t>
  </si>
  <si>
    <t>Landa, A; Skogland, T</t>
  </si>
  <si>
    <t>Landa, Arild; Skogland, Terje</t>
  </si>
  <si>
    <t>WILDLIFE BIOLOGY</t>
  </si>
  <si>
    <t>wolverine; density; body size; Scandinavia</t>
  </si>
  <si>
    <t>Landa, A. &amp; Skogland, T.dagger 1995: The relationship between population density and body size of wolverines Gulo gulo in Scandinavia. - Wildl. Biol. 1: 165-175. The number of wolverines Gulo gulo in Scandinavia has declined dramatically since the middle of the last century, and the numbers killed continued to decrease until the species was protected. In 1968 the species was protected in Sweden; in 1973 the wolverine was given full protection in southern Norway and protection during the breeding period in northern Norway; and in 1982 the species was also given full protection in northern Norway. The protection has resulted in some increase in number, but the population density remains much lower than at the turn of the century, and the wolverine has yet not reoccupied all of its former range. Our analyses show that body size, as reflected by skull characters, was inversely correlated with population density from the mid-nineteenth to the mid-to late twentieth century. In contrast we found a strong decline in body size in the decades after ca 1960. The unexpectedly low wolverine resilience in this century may be explained by an energy-restricted model whose main factors include: 1) habitat fragmentation, 2) loss of habitat, 3) extinction of the dominant predator, the wolf Canis lupus, and 4) a maximised turnover in managed ungulate populations that has resulted in less natural mortality and fewer weakened animals available for scavengers and less efficient predators like the wolverine.</t>
  </si>
  <si>
    <t>[Landa, Arild; Skogland, Terje] Norwegian Inst Nat Res, N-7005 Trondheim, Norway</t>
  </si>
  <si>
    <t>Norwegian Institute Nature Research</t>
  </si>
  <si>
    <t>Landa, A (corresponding author), Norwegian Inst Nat Res, Tungasletta 2, N-7005 Trondheim, Norway.</t>
  </si>
  <si>
    <t>Landa, Arild/JHU-2978-2023</t>
  </si>
  <si>
    <t>Landa, Arild/0000-0002-2533-5179</t>
  </si>
  <si>
    <t>RONDE</t>
  </si>
  <si>
    <t>C/O JAN BERTELSEN, GRENAAVEJ 14, KALO, DK-8410 RONDE, DENMARK</t>
  </si>
  <si>
    <t>0909-6396</t>
  </si>
  <si>
    <t>WILDLIFE BIOL</t>
  </si>
  <si>
    <t>Wildlife Biol.</t>
  </si>
  <si>
    <t>10.2981/wlb.1995.021</t>
  </si>
  <si>
    <t>V27JP</t>
  </si>
  <si>
    <t>WOS:000208609800004</t>
  </si>
  <si>
    <t>OZOLINS, J; PILATS, V</t>
  </si>
  <si>
    <t>ANNALES ZOOLOGICI FENNICI</t>
  </si>
  <si>
    <t>II North European Symposium on the Ecology of Small and Medium-sized Carniwores</t>
  </si>
  <si>
    <t>APR 08-11, 1994</t>
  </si>
  <si>
    <t>LAMMI, FINLAND</t>
  </si>
  <si>
    <t>The present status of 11 small and medium-sized carnivores found in Latvia was estimated as part of the Latvian and European mammal atlas work. The main sources of information for the period since 1970 were questionnaires to amateur mammal observers and game statistics of the Latvian Forest Service. Data on estimated numbers and annual kill were available for game species-racoon dog (Nyctereutes procyonoides Gray), red fox (Vulpes vulpes L.), European badger (Meles meles L.), pine marten (Martes martes L.), polecat (Mustela putorius L.), American mink (Mustela vison Briss.) - and for non-game species that are caught as bycatches, especially otter (Lutra lutra L.). For these the population trends since 1920 were estimated. The reliability of game statistics is evaluated. The main factors influencing the status of the populations are suggested to be hunting, interspecific competition and habitat destruction. Four of the species, i.e. otter, stone marten (Martes foina Erxl.), stoat (Mustela erminea L.) and European mink (Mustela lutreola L.), are included in the up-dated Red Data list 1992, but the European mink is the only highly endangered species in Latvia at present.</t>
  </si>
  <si>
    <t>OZOLINS, J (corresponding author), RIGA STATE FOREST INVENTORY INST,KRISTAPA STR 30,RIGA 1046,LATVIA.</t>
  </si>
  <si>
    <t>FINNISH ZOOLOGICAL BOTANICAL PUBLISHING BOARD</t>
  </si>
  <si>
    <t>HELSINKI</t>
  </si>
  <si>
    <t>UNIV HELSINKI P O BOX 17 (P. RAUTATIEKATU 13), FIN-00014 HELSINKI, FINLAND</t>
  </si>
  <si>
    <t>0003-455X</t>
  </si>
  <si>
    <t>ANN ZOOL FENN</t>
  </si>
  <si>
    <t>Ann. Zool. Fenn.</t>
  </si>
  <si>
    <t>RB121</t>
  </si>
  <si>
    <t>WOS:A1995RB12100005</t>
  </si>
  <si>
    <t>REASON, P; HARRIS, S; CRESSWELL, P</t>
  </si>
  <si>
    <t>SPATIAL-ORGANIZATION; EUROPEAN BADGER; DECLINE; FOOD</t>
  </si>
  <si>
    <t>Data from a Badger sett survey undertaken in the mid-1980s were used to calculate the effects of past persecution and land-use changes on Badger numbers. The current British Badger population was estimated to be 41,894 +/- 4404 social groups; if the effects of past persecution were eliminated, the population could be 43,437 +/- 4731 social groups, an increase of 3.7%. Most of this increase relates to persecution in Norfolk and Suffolk last century. In Britain the Badger population is largely confined to those areas which are intensively managed, and the numbers and distribution of Badgers reflect patterns of agricultural activity. However, over-intensive use of the landscape is detrimental to Badger numbers. To quantify the impact of land-use changes on the British Badger population, a number of habitat features favourable to Badgers were identified; 1-km squares that contained five or more such features had significantly higher mean Badger densities. If all the 1-km squares were managed to include five or more of the habitat features favoured by Badgers, and the effects of persecution were eliminated, the Badger population could be 58,284 +/- 5640 social groups, an increase of 39%. The absence of semi-natural broadleaved woodlands in a 1-km square had the greatest effect in reducing Badger numbers, and tree-planting schemes may be beneficial in providing potential new sett sites. However, Badgers are poor colonists, and the construction of artificial setts and the translocation of displaced social groups of Badgers will greatly facilitate the colonization process. The value of such an approach for predicting the effects of future land-use policy on Badgers and other species, and for managing the British wildlife resources, is discussed.</t>
  </si>
  <si>
    <t>10.1111/j.1365-2907.1993.tb00413.x</t>
  </si>
  <si>
    <t>KZ754</t>
  </si>
  <si>
    <t>WOS:A1993KZ75400001</t>
  </si>
  <si>
    <t>Suffice, P; Cheveau, M; Imbeau, L; Mazerolle, MJ; Asselin, H; Drapeau, P</t>
  </si>
  <si>
    <t>Suffice, Pauline; Cheveau, Marianne; Imbeau, Louis; Mazerolle, Marc J.; Asselin, Hugo; Drapeau, Pierre</t>
  </si>
  <si>
    <t>JOURNAL OF WILDLIFE MANAGEMENT</t>
  </si>
  <si>
    <t>American marten; fisher; forest harvesting; furbearer management; mixedwood forest; mustelids; pelt sales; rain</t>
  </si>
  <si>
    <t>FOREST INVENTORY DATA; REST-SITE SELECTION; AMERICAN MARTEN; BOREAL FOREST; POPULATION-DYNAMICS; NORTH-AMERICA; LAND-USE; PENNANTI; QUEBEC; SNOW</t>
  </si>
  <si>
    <t>Since the mid-twentieth century, fisher populations (Pekania pennanti) increased in several eastern jurisdictions of North America, particularly in the northern part of the species' range. Changes in fisher distribution have led to increased overlap with the southern portion of the range of American marten (Martes americana), whose populations may be locally declining. This overlap occurs particularly in habitats undergoing natural and anthropogenic modification. The objective of our study was to determine the respective effects of habitat changes and climatic conditions on fisher and marten populations in Quebec, Canada, based on trapper knowledge. We analyzed annual fisher and marten harvest (number of pelts sold/100 km(2)) between the 1984-1985 and 2014-2015 trapping seasons using linear mixed models. Fisher harvest increased with the increased abundance of mixed forests &gt;12 m tall, resulting from decades of forest harvesting. Fisher harvest decreased with increasing spring rains, which can affect survival when rearing young. Marten harvest decreased with increasing winter rains, which lower thermoregulation capacity and hamper movements by creating an ice crust on the snowpack, reducing access to subnivean areas. Decline in marten harvest during the 30-year study period coincided with an increase in fisher harvest, suggesting possible interspecific competition. Results highlight that managers should strive to maintain mixedwood stands taller than 12 m to maintain high quality habitat for fishers. Our study confirms the importance of working with trappers to assess furbearing population trends in response to habitat changes and climatic conditions. (c) 2019 The Wildlife Society.</t>
  </si>
  <si>
    <t>[Suffice, Pauline; Imbeau, Louis; Asselin, Hugo] Univ Quebec Abitibi Temiscamingue, 445 Blvd Univ, Rouyn Noranda, PQ J9X 5E4, Canada; [Cheveau, Marianne] Govt Quebec, Minist Forets Faune &amp; Parcs, Direct Gen Gest Faune &amp; Habitats, 880 Chemin St Foy,2e Etage, Quebec City, PQ G1S 4X4, Canada; [Mazerolle, Marc J.] Univ Laval, Ctr Etud Foret, Dept Sci Bois &amp; Foret, Pavillon Abitibi Price,2405 Rue Terrasse, Quebec City, PQ G1V 0A6, Canada; [Drapeau, Pierre] Univ Quebec Montreal, Dept Sci Biol, 141 Ave President Kennedy, Montreal, PQ H2X 1Y4, Canada</t>
  </si>
  <si>
    <t>University of Quebec; University Quebec Abitibi-Temiscamingue; Laval University; University of Quebec; University of Quebec Montreal</t>
  </si>
  <si>
    <t>Suffice, P (corresponding author), Univ Quebec Abitibi Temiscamingue, 445 Blvd Univ, Rouyn Noranda, PQ J9X 5E4, Canada.</t>
  </si>
  <si>
    <t>pauline.suffice@uqat.ca</t>
  </si>
  <si>
    <t>Asselin, Hugo/H-9980-2013; Suffice, Pauline/MHQ-4514-2025; Imbeau, Louis/A-6642-2009</t>
  </si>
  <si>
    <t>Asselin, Hugo/0000-0002-9542-4994; apeau, Pierre/0000-0002-1115-2531; Mazerolle, Marc/0000-0002-0486-0310; Suffice, Pauline/0000-0002-1515-5406; Imbeau, Louis/0000-0003-4111-8059</t>
  </si>
  <si>
    <t>Fonds de Recherche du Quebec-Nature et Technologies</t>
  </si>
  <si>
    <t>Fonds de Recherche du Quebec-Nature et Technologies(Fonds de recherche du Quebec (FRQ)Fonds de recherche du Quebec - Nature et technologies (FRQNT))</t>
  </si>
  <si>
    <t>We thank M. Desrochers for geomatics analyses, J. Alluard for statistical analysis, R. St-Amant for his advice regarding the use of BioSIM, and W. F. J. Parsons for English translation. We are indebted to the trappers for having formulated hypotheses based on their experience and knowledge. Lastly, we thank P. Fournier for sharing his expertise on trapping and field work. This project was supported by a grant from the Fonds de Recherche du Quebec-Nature et Technologies.</t>
  </si>
  <si>
    <t>0022-541X</t>
  </si>
  <si>
    <t>1937-2817</t>
  </si>
  <si>
    <t>J WILDLIFE MANAGE</t>
  </si>
  <si>
    <t>J. Wildl. Manage.</t>
  </si>
  <si>
    <t>10.1002/jwmg.21795</t>
  </si>
  <si>
    <t>NOV 2019</t>
  </si>
  <si>
    <t>KC1DG</t>
  </si>
  <si>
    <t>WOS:000498724500001</t>
  </si>
  <si>
    <t>Zhang, R; Yang, L; Ai, L; Yang, QY; Chen, MH; Li, JX; Yang, L; Luan, XF</t>
  </si>
  <si>
    <t>Zhang, Rui; Yang, Li; Ai, Lin; Yang, Qiuyuan; Chen, Minhao; Li, Jingxi; Yang, Lei; Luan, Xiaofeng</t>
  </si>
  <si>
    <t>ECOLOGY AND EVOLUTION</t>
  </si>
  <si>
    <t>climate change; conservation; historical change; Martes zibellina; potential distribution; sable</t>
  </si>
  <si>
    <t>CLIMATE-CHANGE; BIODIVERSITY CONSERVATION; POTENTIAL IMPACTS; DIVERSITY; VULNERABILITY; PREDICTION; PATTERNS; MAMMALS; LAND</t>
  </si>
  <si>
    <t>Understanding historical context can help clarify the ecological and biogeographic characteristics of species population changes. The sable (Martes zibellina) population has decreased dramatically in Northeast China since the l950s, and understanding the changes in its distribution over time is necessary to support conservation efforts. To achieve this goal, we integrated ecological niche modeling and historical records of sables to estimate the magnitude of change in their distribution over time. Our results revealed a 51.71% reduction in their distribution in 2000-2016 compared with the potential distribution in the 1950s. This reduction was related to climate change (Pearson's correlation: Bio1, -.962, p&lt;.01; Bio2, -.962, p&lt;.01; Bio5, .817, p&lt;.05; Bio6, .847, p&lt;.05) and human population size (-.956, p&lt;.01). The sable population tended to migrate in different directions and elevations over time in different areas due to climate change: In the Greater Khingan Mountains, they moved northward and to lower elevations; in the Lesser Khingan Mountains, they moved northward; and in the Changbai Mountains, they move southward and to higher elevations. Active conservation strategies should be considered in locations where sable populations have migrated or may migrate to.</t>
  </si>
  <si>
    <t>[Zhang, Rui; Yang, Li; Yang, Qiuyuan; Chen, Minhao; Li, Jingxi; Yang, Lei; Luan, Xiaofeng] Beijing Forestry Univ, Sch Nat Conservat, Beijing, Peoples R China; [Ai, Lin] Beijing Forestry Univ, Sch Forestry, Beijing, Peoples R China</t>
  </si>
  <si>
    <t>Beijing Forestry University; Beijing Forestry University</t>
  </si>
  <si>
    <t>Luan, XF (corresponding author), Beijing Forestry Univ, Sch Nat Conservat, Beijing, Peoples R China.</t>
  </si>
  <si>
    <t>luanxiaofeng@bjfu.edu.cn</t>
  </si>
  <si>
    <t>Yang, Li/JDD-1359-2023</t>
  </si>
  <si>
    <t>Yang, Li/0000-0003-1654-4806; Chen, Minhao/0000-0003-0473-6018</t>
  </si>
  <si>
    <t>Survey of wildlife in the Hebei Wulingshan National Nature Reserve [2015HXFUBHQ-LXF-002]; Intelligent management system based on 3S for Zhejiang Dapanshan National Nature Reserve [2014-HXFUBHQ-LXF-003]; Ministry of Science and Technology of the People's Republic of China [2013BAC09B00]</t>
  </si>
  <si>
    <t>Survey of wildlife in the Hebei Wulingshan National Nature Reserve; Intelligent management system based on 3S for Zhejiang Dapanshan National Nature Reserve; Ministry of Science and Technology of the People's Republic of China(Ministry of Science and Technology, China)</t>
  </si>
  <si>
    <t>Survey of wildlife in the Hebei Wulingshan National Nature Reserve, Grant/Award Number: 2015HXFUBHQ-LXF-002; Intelligent management system based on 3S for Zhejiang Dapanshan National Nature Reserve, Grant/Award Number: 2014-HXFUBHQ-LXF-003; Ministry of Science and Technology of the People's Republic of China, Grant/Award Number: 2013BAC09B00</t>
  </si>
  <si>
    <t>2045-7758</t>
  </si>
  <si>
    <t>ECOL EVOL</t>
  </si>
  <si>
    <t>Ecol. Evol.</t>
  </si>
  <si>
    <t>10.1002/ece3.2983</t>
  </si>
  <si>
    <t>Ecology; Evolutionary Biology</t>
  </si>
  <si>
    <t>Environmental Sciences &amp; Ecology; Evolutionary Biology</t>
  </si>
  <si>
    <t>EX5IE</t>
  </si>
  <si>
    <t>WOS:000403273000037</t>
  </si>
  <si>
    <t>Clare, J; McKinney, ST; Simons-Legaard, EM; DePue, JE; Loftin, CS</t>
  </si>
  <si>
    <t>Clare, John; McKinney, Shawn T.; Simons-Legaard, Erin M.; DePue, John E.; Loftin, Cynthia S.</t>
  </si>
  <si>
    <t>Land-use change; Spatial capture-recapture; American marten; Remote sensing; Monitoring; Species distribution model</t>
  </si>
  <si>
    <t>SPECIES-DISTRIBUTION MODELS; LANDSCAPE PATTERN; HABITAT SELECTION; DISTANCE; LYNX; BIODIVERSITY; ABUNDANCE; COMMON; RISK; SIZE</t>
  </si>
  <si>
    <t>Limited monitoring resources often constrain rigorous monitoring practices to species or populations of conservation concern. Insufficient monitoring can induce a tautology as lack of monitoring resources makes it difficult to determine whether a species or population deserves additional monitoring resources. When in-situ monitoring resources are limited, remote habitat monitoring could be a useful supplementary tool, as linking parameterized species distribution models to spatially explicit time-series of environmental correlates allows iterative prediction of population change. Yet the performance of predictive forecasts or hindcasts has been difficult to evaluate. We paired contemporary field data, historic population estimates, and a remotely-sensed archive of landscape change to evaluate predictions of American marten (Martes americana) population decline owing to habitat loss in Maine, USA. We estimated contemporary spatial patterns in marten density relative to landscape disturbance with spatial capture-recapture models. We compared current density estimates to historical density calculations to evaluate population decline, and compared historical calculations to habitat-based model predictions to evaluate the efficacy of habitat monitoring as a proxy for direct monitoring. Marten density was negatively associated with the proportion of surrounding regenerating forest, and point estimates within focal townships were 50-80% lower than historical calculations. Habitat-based hindcasts of marten density across our entire focal area interest suggested a smaller population decline (roughly 50%) within our focal area. Thus, although habitat-based predictions underpredicted marten decline, they provided correct directional inference. Habitat monitoring and predictions from species distribution models may provide useful inference about population changes given trends in habitat at limited expense when in-situ information is lacking.</t>
  </si>
  <si>
    <t>[Clare, John] Univ Maine, Dept Wildlife Fisheries &amp; Conservat Biol, Orono, ME 04469 USA; [McKinney, Shawn T.; Loftin, Cynthia S.] US Geol Survey, Maine Cooperat Fish &amp; Wildlife Res Unit, Orono, ME 04469 USA; [Simons-Legaard, Erin M.] Univ Maine, Sch Forest Resources, Orono, ME 04469 USA; [DePue, John E.] Maine Dept Inland Fisheries &amp; Wildlife, Bangor, ME 04402 USA; [DePue, John E.] Michigan Dept Nat Resources, Baraga, MI 49908 USA</t>
  </si>
  <si>
    <t>University of Maine System; University of Maine Orono; United States Department of the Interior; United States Geological Survey; University of Maine System; University of Maine Orono; University of Maine System; University of Maine Orono</t>
  </si>
  <si>
    <t>Clare, J (corresponding author), Univ Maine, Dept Wildlife Fisheries &amp; Conservat Biol, Orono, ME 04469 USA.</t>
  </si>
  <si>
    <t>jclare2@wisc.edu</t>
  </si>
  <si>
    <t>Simons-Legaard, Erin/IQT-1021-2023</t>
  </si>
  <si>
    <t>Maine Department of Inland Fisheries and Wildlife (MDIFW) through the Federal Aid in Wildlife Restoration Act [3013311]; University of Maine; MDIFW; U.S. Geological Survey, Maine Cooperative Fish and Wildlife Research Unit; NASA Ecological Forecasting [NNX14AC36G]; NESSF [NNX16AO61H]; NASA [NNX14AC36G, 686418] Funding Source: Federal RePORTER</t>
  </si>
  <si>
    <t>Maine Department of Inland Fisheries and Wildlife (MDIFW) through the Federal Aid in Wildlife Restoration Act; University of Maine; MDIFW; U.S. Geological Survey, Maine Cooperative Fish and Wildlife Research Unit(United States Geological Survey); NASA Ecological Forecasting; NESSF; NASA(National Aeronautics &amp; Space Administration (NASA))</t>
  </si>
  <si>
    <t>Funding was provided by the Maine Department of Inland Fisheries and Wildlife (MDIFW) through the Federal Aid in Wildlife Restoration Act (award #3013311). Additional support was provided by the University of Maine and MDIFW through the Cooperative Agreement with the U.S. Geological Survey, Maine Cooperative Fish and Wildlife Research Unit. We thank K. Legaard for providing the interpreted Landsat time-series, A. Siren and J. Fryxell for previous feedback, D. Linden for suggestions that improved computational speed, and J. Eddy, R. Kanarr, B. Peterson, and L. Skora for field assistance. Comments provided by A. Siren and three anonymous reviewers improved the manuscript. This research was conducted with approval of the University of Maine Institutional Animal and Care Use Committee for protocol number A2014-01-03. JC was supported by NASA Ecological Forecasting #NNX14AC36G and NESSF #NNX16AO61H during manuscript development. Mention of trade names and commercial products does not constitute endorsement or recommendation for use by the U.S. Government.</t>
  </si>
  <si>
    <t>10.1016/j.biocon.2019.02.020</t>
  </si>
  <si>
    <t>HX6KW</t>
  </si>
  <si>
    <t>WOS:000467513500038</t>
  </si>
  <si>
    <t>Wilsey, CB; Lawler, JJ; Maurer, EP; McKenzie, D; Townsend, PA; Gwozdz, R; Freund, JA; Hagmann, K; Hutten, KM</t>
  </si>
  <si>
    <t>Wilsey, Chad B.; Lawler, Joshua J.; Maurer, Edwin P.; McKenzie, Donald; Townsend, Patricia A.; Gwozdz, Richard; Freund, James A.; Hagmann, Keala; Hutten, Karen M.</t>
  </si>
  <si>
    <t>JOURNAL OF FISH AND WILDLIFE MANAGEMENT</t>
  </si>
  <si>
    <t>climate change; ecological modeling; hydrology; vegetation; fire</t>
  </si>
  <si>
    <t>SPECIES RANGE SHIFTS; NORTH-SEA COD; LAND-USE; VEGETATION DYNAMICS; CHANGING CLIMATE; UNITED-STATES; FIRE REGIMES; GAP MODEL; CONSERVATION; UNCERTAINTY</t>
  </si>
  <si>
    <t>Climate change is already affecting many fish and wildlife populations. Managing these populations requires an understanding of the nature, magnitude, and distribution of current and future climate impacts. Scientists and managers have at their disposal a wide array of models for projecting climate impacts that can be used to build such an understanding. Here, we provide a broad overview of the types of models available for forecasting the effects of climate change on key processes that affect fish and wildlife habitat (hydrology, fire, and vegetation), as well as on individual species distributions and populations. We present a framework for how climate-impacts modeling can be used to address management concerns, providing examples of model-based assessments of climate impacts on salmon populations in the Pacific Northwest, fire regimes in the boreal region of Canada, prairies and savannas in the Willamette Valley-Puget Sound Trough-Georgia Basin ecoregion, and marten Martes americana populations in the northeastern United States and southeastern Canada. We also highlight some key limitations of these models and discuss how such limitations should be managed. We conclude with a general discussion of how these models can be integrated into fish and wildlife management.</t>
  </si>
  <si>
    <t>[Wilsey, Chad B.; Lawler, Joshua J.; Freund, James A.; Hagmann, Keala; Hutten, Karen M.] Univ Washington, Sch Environm &amp; Forest Sci, Seattle, WA 98105 USA; [Maurer, Edwin P.] Santa Clara Univ, Dept Civil Engn, Santa Clara, CA 95053 USA; [McKenzie, Donald] Pacific Wildland Fire Sci Lab, Seattle, WA 98103 USA; [Townsend, Patricia A.] Univ Washington, Dept Biol, Seattle, WA 98195 USA</t>
  </si>
  <si>
    <t>University of Washington; University of Washington Seattle; Santa Clara University; University of Washington; University of Washington Seattle</t>
  </si>
  <si>
    <t>Wilsey, CB (corresponding author), Univ Washington, Sch Environm &amp; Forest Sci, Box 352100, Seattle, WA 98105 USA.</t>
  </si>
  <si>
    <t>cbwilsey@uw.edu</t>
  </si>
  <si>
    <t>; Maurer, Edwin/C-7190-2009</t>
  </si>
  <si>
    <t>Hagmann, Keala/0000-0002-1952-7449; Wilsey, Chad/0000-0002-1448-1445; Maurer, Edwin/0000-0001-7134-487X</t>
  </si>
  <si>
    <t>Strategic Environmental Research and Development Program (SERDP) [SI-1541]; U.S. Environmental Protection Agency (EPA) under the Science to Achieve Results (STAR) Graduate Fellowship Program; Wind River Canopy Crane Research Facility</t>
  </si>
  <si>
    <t>Strategic Environmental Research and Development Program (SERDP); U.S. Environmental Protection Agency (EPA) under the Science to Achieve Results (STAR) Graduate Fellowship Program; Wind River Canopy Crane Research Facility</t>
  </si>
  <si>
    <t>C.B.W. was supported by the Strategic Environmental Research and Development Program (SERDP) Sustainable Infrastructure Project SI-1541. Funding for P.A.T. came from the U.S. Environmental Protection Agency (EPA) under the Science to Achieve Results (STAR) Graduate Fellowship Program. J.A.F. was supported by the Wind River Canopy Crane Research Facility. The EPA has not officially endorsed this publication and these views may not reflect those of the EPA.</t>
  </si>
  <si>
    <t>U S FISH &amp; WILDLIFE SERVICE</t>
  </si>
  <si>
    <t>SHEPHERDSTOWN</t>
  </si>
  <si>
    <t>NATL CONSERVATION TRAINING CENTER, CONSERVATION LIBRARY, 698 CONSERVATION WAY, SHEPHERDSTOWN, WV 25443 USA</t>
  </si>
  <si>
    <t>1944-687X</t>
  </si>
  <si>
    <t>J FISH WILDL MANAG</t>
  </si>
  <si>
    <t>J. Fish Wildl. Manag.</t>
  </si>
  <si>
    <t>10.3996/062012-JFWM-055</t>
  </si>
  <si>
    <t>163AC</t>
  </si>
  <si>
    <t>WOS:000320306700022</t>
  </si>
  <si>
    <t>Kelly, JR; Fuller, TK; Kanter, JJ</t>
  </si>
  <si>
    <t>Kelly, Jillian R.; Fuller, Todd K.; Kanter, John J.</t>
  </si>
  <si>
    <t>CANADIAN FIELD-NATURALIST</t>
  </si>
  <si>
    <t>American Marten; Martes americana; distribution; New Hampshire</t>
  </si>
  <si>
    <t>HABITAT USE; POPULATIONS; FISHER; WINTER; SNOW</t>
  </si>
  <si>
    <t>Recent and current distribution of state-threatened American Marten (Martes americana) in New Hampshire was identified by summarizing 157 occurrence records (1980-2004) in a database and mapped using Geographic Information Systems (GIS). Records included visual observations, snow tracks, road kill, trapper captures, systematic live-trapping, locations, and other miscellaneous locations. Marten in New Hampshire are now found throughout the White Mountains north to the Canadian border, with the highest relative abundance in the very northern tip of New Hampshire. The recent expansion in the range of Martens includes reproducing females, but a sex ratio biased towards males in some areas suggests that dispersing individuals might inhabit much of the range.</t>
  </si>
  <si>
    <t>[Kelly, Jillian R.] New Hampshire Fish &amp; Game Dept, Lancaster, NH 03584 USA; [Kelly, Jillian R.; Fuller, Todd K.] Univ Massachusetts, Dept Nat Resources Conservat, Amherst, MA 01003 USA; [Kanter, John J.] New Hampshire Fish &amp; Game Dept, Concord, NH 03301 USA</t>
  </si>
  <si>
    <t>University of Massachusetts System; University of Massachusetts Amherst</t>
  </si>
  <si>
    <t>Kelly, JR (corresponding author), New Hampshire Fish &amp; Game Dept, 629B Main St, Lancaster, NH 03584 USA.</t>
  </si>
  <si>
    <t>New Hampshire Fish and Game Department</t>
  </si>
  <si>
    <t>We thank W. Staats, S. De Stefano, J. Comeau, P. Kelly, and D. Laneur for review, comments, and contributions to this manuscript. This study was funded by the New Hampshire Fish and Game Department through the conservation and heritage license plate and state wildlife grants.</t>
  </si>
  <si>
    <t>OTTAWA FIELD-NATURALISTS CLUB</t>
  </si>
  <si>
    <t>PO BOX 35069, WESTGATE PO, OTTAWA, ONTARIO K1Z 1A2, CANADA</t>
  </si>
  <si>
    <t>0008-3550</t>
  </si>
  <si>
    <t>CAN FIELD NAT</t>
  </si>
  <si>
    <t>Can. Field-Nat.</t>
  </si>
  <si>
    <t>JAN-MAR</t>
  </si>
  <si>
    <t>617QN</t>
  </si>
  <si>
    <t>WOS:000279296000001</t>
  </si>
  <si>
    <t>Schwartz, MK; Aubry, KB; Mckelvey, KS; Pilgrim, KL; Copeland, JP; Squires, JR; Inman, RM; Wisely, SM; Ruggiero, LF</t>
  </si>
  <si>
    <t>Schwartz, Michael K.; Aubry, Keith B.; Mckelvey, Kevin S.; Pilgrim, Kristine L.; Copeland, Jeffrey P.; Squires, John R.; Inman, Robert M.; Wisely, Samantha M.; Ruggiero, Leonard F.</t>
  </si>
  <si>
    <t>distribution; geographic range; Gulo gulo; historical DNA; management units; microsatellite; mitochondrial DNA; reintroduction; translocations; wolverines</t>
  </si>
  <si>
    <t>GULO-GULO POPULATIONS; BREEDING BIRD SURVEY; ANCIENT DNA; MITOCHONDRIAL-DNA; POLYMORPHIC MICROSATELLITES; GENETIC DIVERSITY; MARTES-PENNANTI; NORTH-AMERICA; CONSERVATION; VARIABILITY</t>
  </si>
  <si>
    <t>Delineating a species' geographic range using the spatial distribution of museum specimens or even contemporary detection-non-detection data can be difficult. This is particularly true at the periphery of a species range where species' distributions are often disjunct. Wolverines (Gulo gulo) are wide-ranging mammals with discontinuous and potentially isolated populations at the periphery of their range. One potentially disjunct population occurred in the Sierra Nevada Mountains, California, USA, and appears to have been extirpated by the 1930s. Many early 20th century naturalists believed that this population was connected to other populations occurring in the Cascade Range of northern California, Oregon, and Washington, USA, but a recent analysis of historical records suggests that California wolverines were isolated from other populations in North America. We used DNA extracted from museum specimens to examine whether California wolverines were isolated. Both nuclear and mitochondrial DNA data indicate that California wolverines were genetically distinct from extant populations, suggesting long-term isolation. We identified 2 new control region (mitochondrial DNA) haplotypes located only within California. We used these data and referenced sequences from the Rocky Mountains, USA, to make inferences regarding potential wolverine translocations into California. In addition, we used these genetic data to make inferences about wolverine conservation throughout western North America.</t>
  </si>
  <si>
    <t>US Forest Serv, Rocky Mt Res Stn, Missoula, MT 59801 USA; US Forest Serv, Pacific NW Res Stn, Olympia, WA 98512 USA; Wildlife Conservat Soc, Ennis, MT 59729 USA; Kansas State Univ, Dept Biol, Manhattan, KS 66506 USA</t>
  </si>
  <si>
    <t>United States Department of Agriculture (USDA); United States Forest Service; United States Department of Agriculture (USDA); United States Forest Service; Wildlife Conservation Society; Kansas State University</t>
  </si>
  <si>
    <t>Schwartz, MK (corresponding author), US Forest Serv, Rocky Mt Res Stn, Missoula, MT 59801 USA.</t>
  </si>
  <si>
    <t>mkschwartz@fs.fed.us</t>
  </si>
  <si>
    <t>Schwartz, Michael/C-3184-2014</t>
  </si>
  <si>
    <t>Schwartz, Michael/0000-0003-3521-3367</t>
  </si>
  <si>
    <t>WILDLIFE SOC</t>
  </si>
  <si>
    <t>BETHESDA</t>
  </si>
  <si>
    <t>5410 GROSVENOR LANE, BETHESDA, MD 20814-2197 USA</t>
  </si>
  <si>
    <t>10.2193/2007-026</t>
  </si>
  <si>
    <t>208WY</t>
  </si>
  <si>
    <t>WOS:000249351100010</t>
  </si>
  <si>
    <t>Carroll, C</t>
  </si>
  <si>
    <t>Carroll, Carlos</t>
  </si>
  <si>
    <t>connectivity; conservation planning; focal species; Lynx canadensis; Martes americana; population viability analysis; resource selection function; spatially explicit population model</t>
  </si>
  <si>
    <t>EXTINCTION RISK; AMERICAN MARTEN; HABITAT USE; DYNAMICS; DISTRIBUTIONS; FOREST; MODELS</t>
  </si>
  <si>
    <t>Assessing the effects of climate change on threatened species requires moving beyond simple bioclimatic models to models that incorporate interactions among climatic trends, landscape change, environmental stochasticity, and species life history. Populations of marten (Martes americana) and lynx (Lynx canadensis) in southeastern Canada and the northeastern United States represent peninsular extensions of boreal ranges and illustrate the potential impact of these threats on semi-isolated populations at the range margin. Decreased snowfall may affect marten and lynx through decreased prey vulnerability and decreased competitive advantage over sympatric carnivores. I used a spatially explicit population model to assess potential effects of predicted changes in snowfall by 2055 on regional marten and lynx populations. The models' habitat rankings were derived from previous static models that correlated regional distribution with snowfall and vegetation data. Trapping scenarios were parameterized as a 10% proportional decrease in survival, and logging scenarios were parameterized as a 10% decrease in the extent of older coniferous or mixed forest. Both species showed stronger declines in the simulations due to climate change than to overexploitation or logging. Marten populations declined 40% because of climate change, 16% because of logging, and 30% because of trapping. Lynx populations declined 59% because of climate change, 36% because of trapping, and 20% in scenarios evaluating the effects of population cycles. Climate change interacted with logging in its effects on the marten and with trapping in its effects on the lynx, increasing overall vulnerability. For both species larger lowland populations were vulnerable to climate change, which suggests that contraction may occur in the core of their current regional range as well as among smaller peripheral populations. Despite their greater data requirements compared with bioclimatic models, mesoscale spatial viability models are important tools for generating more biologically realistic hypotheses regarding biotic response to climate change.</t>
  </si>
  <si>
    <t>Klamath Ctr Conservat Res, Orleans, CA 95556 USA</t>
  </si>
  <si>
    <t>Carroll, C (corresponding author), Klamath Ctr Conservat Res, POB 104, Orleans, CA 95556 USA.</t>
  </si>
  <si>
    <t>carlos@klamathconservation.org</t>
  </si>
  <si>
    <t>10.1111/j.1523-1739.2007.00719.x</t>
  </si>
  <si>
    <t>195GT</t>
  </si>
  <si>
    <t>WOS:000248401200029</t>
  </si>
  <si>
    <t>Groenendijk, J; Hajek, F; Johnson, PJ; Macdonald, DW; Calvimontes, J; Staib, E; Schenck, C</t>
  </si>
  <si>
    <t>Groenendijk, Jessica; Hajek, Frank; Johnson, Paul J.; Macdonald, David W.; Calvimontes, Jorge; Staib, Elke; Schenck, Christof</t>
  </si>
  <si>
    <t>GROUP-SIZE; POPULATION; MUSTELIDAE; CARNIVORA; FISH</t>
  </si>
  <si>
    <t>The giant otter (Pteronura brasiliensis) is an endangered semi-aquatic carnivore of South America. We present findings on the demography of a population inhabiting the floodplain of Manu National Park, south-eastern Peru, arising from 14 annual dry season censuses over a 16 year period. The breeding system of territorial groups, including only a single breeding female with non-reproductive adult 'helpers', resulted in a low intrinsic rate of increase (0.03) and a slow recovery from decades of hunting for the pelt trade. This is explained by a combination of factors: (1) physiological traits such as late age at first reproduction and long generation time, (2) a high degree of reproductive skew, (3) small litters produced only once a year, and (4) a 50% mortality between den emergence and age of dispersal, as well as high mortality amongst dispersers (especially males). Female and male giant otters show similar traits with respect to average reproductive life-spans (female 5.4 yrs., male 5.2 yrs.) and average cub productivity (female 6.9, male 6.7 cubs per lifetime); the longest reproductive life spans were 11 and 13 years respectively. Individual reproductive success varied substantially and depended mainly on the duration of dominance tenure in the territory. When breeding females died, the reproductive position in the group was usually occupied by sisters or daughters (n = 11), with immigrant male partners. Male philopatry was not observed. The vulnerability of the Manu giant otter population to anthropogenic disturbance emphasises the importance of effective protection of core lake habitats in particular. Riverine forests are the most endangered ecosystem in the Department of Madre de Dios due to the concentration of gold mining, logging and agricultural activities in floodplains, highlighting the need for a giant otter habitat conservation corridor along the Madre de Dios River.</t>
  </si>
  <si>
    <t>[Groenendijk, Jessica] Dept Cusco, San Diego Zoo Global Peru, Cuzco, Peru; [Hajek, Frank] Dept Cusco, Nat Serv Peru, Cuzco, Peru; [Groenendijk, Jessica; Johnson, Paul J.; Macdonald, David W.] Univ Oxford, Wildlife Conservat Res Unit, Abingdon, Oxon, England; [Calvimontes, Jorge] Univ Estadual Campinas, Environm Studies &amp; Res Ctr, Sao Paulo, Brazil; [Groenendijk, Jessica; Hajek, Frank; Calvimontes, Jorge; Staib, Elke; Schenck, Christof] Frankfurt Zool Soc, Frankfurt, Germany</t>
  </si>
  <si>
    <t>University of Oxford; Universidade Estadual de Campinas</t>
  </si>
  <si>
    <t>Groenendijk, J (corresponding author), Dept Cusco, San Diego Zoo Global Peru, Cuzco, Peru.</t>
  </si>
  <si>
    <t>jessica.groenendijk@gmail.com</t>
  </si>
  <si>
    <t>Calvimontes, Jorge/0000-0001-6498-6903</t>
  </si>
  <si>
    <t>Munich Wildlife Society; Gottlieb Daimler and Karl Benz Foundation; Frankfurt Zoological Society - Help for Threatened Wildlife; Whitley Wildlife Conservation Trust; John Ellerman Foundation</t>
  </si>
  <si>
    <t>ES and CS received support from the Munich Wildlife Society as well as two doctorate grants from the Gottlieb Daimler and Karl Benz Foundation. JG, FH, JC, ES, and CS received funding from the Frankfurt Zoological Society - Help for Threatened Wildlife (http://www.zgf.de/?id =148danguage= en). PJ received support from the Whitley Wildlife Conservation Trust (http://www.wwct.org.uk/) and the John Ellerman Foundation (http://ellerman.org.uk/). The funders had no role in study design, data collection and analysis, decision to publish, or preparation of the manuscript.</t>
  </si>
  <si>
    <t>AUG 27</t>
  </si>
  <si>
    <t>e106202</t>
  </si>
  <si>
    <t>10.1371/journal.pone.0106202</t>
  </si>
  <si>
    <t>AN8UR</t>
  </si>
  <si>
    <t>WOS:000340880900096</t>
  </si>
  <si>
    <t>Prakash, N; Mudappa, D; Raman, TRS; Kumar, A</t>
  </si>
  <si>
    <t>Prakash, Nisarg; Mudappa, Divya; Raman, T. R. Shankar; Kumar, Ajith</t>
  </si>
  <si>
    <t>TROPICAL CONSERVATION SCIENCE</t>
  </si>
  <si>
    <t>plantations; hill streams; land-use; occupancy; protected area</t>
  </si>
  <si>
    <t>TROPICAL FOREST BIODIVERSITY; LUTRA-LUTRA POPULATIONS; SOUTHERN RIVER OTTERS; COFFEE PLANTATIONS; LONTRA-PROVOCAX; HABITAT STRUCTURE; PROTECTED AREAS; SITE OCCUPANCY; COMMUNITIES; SELECTION</t>
  </si>
  <si>
    <t>Conservation in human-modified landscapes is important for riparian animals as their habitats extend linearly beyond adjoining protected areas. We examined occupancy and intensity of habitat use of Asian small-clawed otters in coffee and tea plantations and an adjoining protected area in the Western Ghats. We sampled 66 stream segments of 500 m length, using spraints as an indicator of habitat use. Several variables characterising the stream and shoreline were also measured. Occupancy, corrected for detection of spraints, was &gt;0.75 in all three land use types, indicating widespread use of the riparian ecosystem in human-modified landscapes. Intensity of habitat use, however, was much lower in tea (2.08 spraints/500 m) and coffee (2.42) plantations than in the protected area (3.86). Using GLMs we identified the abundance of potential refuges (such as boulders and fallen trees), which was greater in the protected area, as the major factor influencing intensity of habitat use. Shoreline diversity, which was lowest in the tea plantation, might also be another factor. The retention of much of the riparian vegetation and the presence of forest fragments which provide refuges have led to wide occupancy of the tea and coffee plantations although with less intensive use. Sand mining, fishing and infrequent poaching might be other reasons for the relatively low use of human-modified landscape. This study highlights the need to retain remnant forests and riparian vegetation, and to control some human activities for integrated management of species like the small-clawed otter in both protected areas and adjoining human-modified habitats.</t>
  </si>
  <si>
    <t>[Prakash, Nisarg; Kumar, Ajith] Natl Ctr Biol Sci, Wildlife Conservat Soc India Program, Postgrad Program Wildlife Biol &amp; Conservat, Bangalore 560065, Karnataka, India; [Prakash, Nisarg; Mudappa, Divya; Raman, T. R. Shankar] Nat Conservat Fdn, Mysore 570002, Karnataka, India</t>
  </si>
  <si>
    <t>Tata Institute of Fundamental Research (TIFR); National Centre for Biological Sciences (NCBS)</t>
  </si>
  <si>
    <t>Kumar, A (corresponding author), Natl Ctr Biol Sci, Wildlife Conservat Soc India Program, Postgrad Program Wildlife Biol &amp; Conservat, Bangalore 560065, Karnataka, India.</t>
  </si>
  <si>
    <t>nisargprakash@gmail.com; divya@ncf-india.org; trsr@ncf-india.org; ajith@ncbs.res.in</t>
  </si>
  <si>
    <t>; KUMAR, AJITH/LKJ-8114-2024</t>
  </si>
  <si>
    <t>Mudappa, Divya/0000-0001-9708-4826; Raman, T R Shankar/0000-0002-1347-3953;</t>
  </si>
  <si>
    <t>Department of Science and Technology, Government of India; Anamalai Tiger Reserve; IUCN Netherlands</t>
  </si>
  <si>
    <t>Department of Science and Technology, Government of India(Department of Science &amp; Technology (India)); Anamalai Tiger Reserve; IUCN Netherlands</t>
  </si>
  <si>
    <t>We thank the Department of Science and Technology, Government of India, for funding this study; Tamil Nadu Forest Department for research permits; the Field Director and Range Forest Officers of the Anamalai Tiger Reserve for their support; Nityata Foundation for logistics and other support and Ashoka Trust for Research in Ecology and the Environment for digital maps. DM and TRSR thank the IUCN Netherlands Ecosystems Grant Programme and Critical Ecosystems Partnership Fund for funding. We also thank the plantation owners and managers in Valparai for access to their properties; and Dinesh and Satish for assistance in the field. We acknowledge valuable comments from two anonymous reviewers.</t>
  </si>
  <si>
    <t>SAGE PUBLICATIONS INC</t>
  </si>
  <si>
    <t>THOUSAND OAKS</t>
  </si>
  <si>
    <t>2455 TELLER RD, THOUSAND OAKS, CA 91320 USA</t>
  </si>
  <si>
    <t>1940-0829</t>
  </si>
  <si>
    <t>TROP CONSERV SCI</t>
  </si>
  <si>
    <t>Trop. Conserv. Sci.</t>
  </si>
  <si>
    <t>10.1177/194008291200500107</t>
  </si>
  <si>
    <t>933JC</t>
  </si>
  <si>
    <t>hybrid</t>
  </si>
  <si>
    <t>WOS:000303355700007</t>
  </si>
  <si>
    <t>Omer, SA; Wronski, T; Alwash, A; Elamin, MH; Mohammed, OB; Lerp, H</t>
  </si>
  <si>
    <t>Omer, Sawsan A.; Wronski, Torsten; Alwash, Azzam; Elamin, Maha H.; Mohammed, Osama B.; Lerp, Hannes</t>
  </si>
  <si>
    <t>FOLIA ZOOLOGICA</t>
  </si>
  <si>
    <t>Middle East; Tigris wetlands; Kurdistan; phylogenetic analysis; mitochondrial marker; conservation status</t>
  </si>
  <si>
    <t>EVOLUTION</t>
  </si>
  <si>
    <t>The species IUCN conservation status of smooth-coated otter (Lutrogale perspicillata) is considered 'Vulnerable', due to an inferred future population decline caused by habitat loss and sustained exploitation. The status of the Arabian subspecies (L. p. maxwelli) occurring in the Tigris marshes of Iraq and Iran is uncertain due to political problems and limited access to this border region in recent years. With this study we could confirm the persistence of the smooth-coated otter in the marshlands of southern Iraq by using a mitochondrial marker (cytochrome b). Moreover, a second sample from Kurdistan was also identified to be L. perspicillata. This observation represents a major range extension of more than 500 km for this poorly known species. It is recommended to undertake further surveys of suitable habitat in the Tigris wetlands, as well as in Kurdistan, to obtain additional information on the distribution of smooth-coated otter in Iraq, and implement conservation measures in those areas.</t>
  </si>
  <si>
    <t>[Omer, Sawsan A.; Elamin, Maha H.] King Saud Univ, Coll Sci, Dept Zool, Univ Ctr Women Students, Riyadh 11495, Saudi Arabia; [Omer, Sawsan A.; Wronski, Torsten; Mohammed, Osama B.] Saudi Wildlife Author, King Khalid Wildlife Res Ctr, Riyadh 11575, Saudi Arabia; [Wronski, Torsten] Zool Soc London, Conservat Programmes, London NW1 4RY, England; [Alwash, Azzam] Nat Iraq, Sulaymaniyah, Iraq; [Alwash, Azzam] Amer Univ Iraq, Ablakh Area, Sulaimani, Iraq; [Mohammed, Osama B.] King Saud Univ, Coll Sci, Dept Zool, KSU Mammals Res Chair, Riyadh 11451, Saudi Arabia; [Lerp, Hannes] Goethe Univ Frankfurt, Dept Ecol &amp; Evolut, D-60438 Frankfurt, Germany</t>
  </si>
  <si>
    <t>King Saud University; Zoological Society of London; American University of Iraq Sulaimani; King Saud University; Goethe University Frankfurt</t>
  </si>
  <si>
    <t>Omer, SA (corresponding author), King Saud Univ, Coll Sci, Dept Zool, Univ Ctr Women Students, POB 22452, Riyadh 11495, Saudi Arabia.</t>
  </si>
  <si>
    <t>t_wronski@gmx.de</t>
  </si>
  <si>
    <t>Mohammed, Osama/C-3226-2011; Mohammed, Osama/C-3226-2011</t>
  </si>
  <si>
    <t>Mohammed, Osama/0000-0001-5457-2555; Wronski, Torsten/0000-0002-0853-6008; Mohammed, Osama/0000-0001-5457-2555</t>
  </si>
  <si>
    <t>INST VERTEBRATE BIOLOGY AS CR</t>
  </si>
  <si>
    <t>BRNO</t>
  </si>
  <si>
    <t>KVETNA 8, BRNO 603 65, CZECH REPUBLIC</t>
  </si>
  <si>
    <t>0139-7893</t>
  </si>
  <si>
    <t>1573-1189</t>
  </si>
  <si>
    <t>FOLIA ZOOL</t>
  </si>
  <si>
    <t>Folia Zool.</t>
  </si>
  <si>
    <t>10.25225/fozo.v61.i2.a10.2012</t>
  </si>
  <si>
    <t>969WU</t>
  </si>
  <si>
    <t>WOS:000306090900009</t>
  </si>
  <si>
    <t>Slough, BG</t>
  </si>
  <si>
    <t>Slough, Brian G.</t>
  </si>
  <si>
    <t>1st International Symposium on Wolverine Research and Management</t>
  </si>
  <si>
    <t>JUN 13-15, 2005</t>
  </si>
  <si>
    <t>Jokkmokk, SWEDEN</t>
  </si>
  <si>
    <t>Canada; COSEWIC; Gulo gulo; status; wolverine</t>
  </si>
  <si>
    <t>NORTH-AMERICAN WOLVERINES</t>
  </si>
  <si>
    <t>Wolverines Gulo gulo are found in northern forested wilderness across Canada, in alpine tundra of the western mountains, and in the arctic. They formerly occupied habitats that are now heavily settled by humans in the Prairie Provinces and eastern Canada. Forest harvesting, hydroelectric development, the exploration and development of oil, gas and minerals, transportation corridors and human settlement continue to alter, remove or fragment habitats. About 6% of all current wolverine range in Canada is within parks and protected areas, and 10% of high quality habitats in western Canada are protected. The population estimate for the western population (Yukon to Ontario) is 15,000-19,000 resident wolverines, based on the best available information on densities and areas of occupancy. With the addition of juveniles, the population before the winter trapping season may approach or exceed 20,000. Wolverine populations are apparently benefiting from the cessation of wolf Canis lupus poisoning, harvest closures, advanced trapline and harvest management systems. Recent range recoveries have been recorded in northwestern Ontario and Manitoba, where caribou numbers have increased. Wolverine populations in Canada are stable within the normal range of long-term population fluctuations elsewhere, except locally in southern Alberta and British Columbia where caribou have declined or habitats are becoming fragmented. Wolverines may be extirpated on Vancouver Island. The eastern wolverine population is either extremely rare or extirpated. The COSEWIC (Committee on the Status of Endangered Wildlife in Canada) status designations are Endangered for the eastern population and Special Concern for the western population.</t>
  </si>
  <si>
    <t>Slough, BG (corresponding author), 35 Cronkhite Rd, Whitehorse, YT Y1A 5S9, Canada.</t>
  </si>
  <si>
    <t>slough@northwestel.net</t>
  </si>
  <si>
    <t>10.2981/0909-6396(2007)13[76:SOTWGG]2.0.CO;2</t>
  </si>
  <si>
    <t>226KS</t>
  </si>
  <si>
    <t>WOS:000250588600009</t>
  </si>
  <si>
    <t>Primm, SA; Clark, TW</t>
  </si>
  <si>
    <t>SCIENCE</t>
  </si>
  <si>
    <t>Grizzly bears (Ursus arctos horribilis), mountain lions (Puma concolor), wolverines (Gulo gulo), wolves (Canis lupus), and lynx (Felis lynx) are all top-level carnivores in the Rocky Mountains of the northern U.S. and southern Canada. Because of their body size and high trophic position, these species require abundant prey species and large habitat areas-requirements that make their conservation a controversial public policy problem. Because the challenge of conserving these species extends beyond biological issues, it is necessary to involve other relevant disciplines and perspectives in understanding and solving the problem. Our examination of the context, content, and process of large carnivore conservation policies suggests more effective and active roles for scientists in designing solutions to the problem of landscape-level carnivore conservation. Scientists must develop an understanding of the range of participants in the policy process and the ways in which these participants receive and utilize information. This knowledge of the policy process could help scientists to better understand their roles in framing and clarifying policy questions, projecting the consequences of various alternatives, and presenting policy information in appropriate fora.</t>
  </si>
  <si>
    <t>NO ROCKIES CONSERVAT COOPERAT,JACKSON,WY 83001; YALE UNIV,SCH FORESTRY &amp; ENVIRONM STUDIES,NEW HAVEN,CT 06511</t>
  </si>
  <si>
    <t>Yale University</t>
  </si>
  <si>
    <t>BLACKWELL SCIENCE INC</t>
  </si>
  <si>
    <t>238 MAIN ST, CAMBRIDGE, MA 02142</t>
  </si>
  <si>
    <t>10.1046/j.1523-1739.1996.10041036.x</t>
  </si>
  <si>
    <t>VC103</t>
  </si>
  <si>
    <t>WOS:A1996VC10300020</t>
  </si>
  <si>
    <t>Hong, S; Kim, DK; Do, Y; Kim, JY; Kim, YM; Cowan, P; Joo, GJ</t>
  </si>
  <si>
    <t>Hong, Sungwon; Kim, Dong-Kyun; Do, Yuno; Kim, Ji Yoon; Kim, Young-Min; Cowan, Phil; Joo, Gea-Jae</t>
  </si>
  <si>
    <t>ECOLOGICAL INDICATORS</t>
  </si>
  <si>
    <t>Habitat condition; Conservation; Eurasian otter; Stream health assessment index; Umbrella species</t>
  </si>
  <si>
    <t>BENTHIC MACROINVERTEBRATE INDEX; INTEGRITY B-IBI; BIOTIC INTEGRITY; SPRAINTING ACTIVITY; POPULATIONS; INDICATORS; ABUNDANCE; ECOLOGY; DENSITY</t>
  </si>
  <si>
    <t>In South Korea, Eurasian otter (Lutra lutra) habitat has increased since the 1990 s because of legal protection, forest development, and increased public awareness. Although otters have been detected throughout the country, a precise investigation of habitat conditions has not previously been undertaken. We hypothesized that higher values of stream health assessment programme (SHAP) indices would indicate better habitat for otters. Otter distribution based on spraint density was investigated along 600 m riverside transects at 250 sites in the Nakdong River basin. We defined four otter population categories (absent, rare, normal, and abundant) and compared the results with presence and absence data. Use of the four population categories provided more details about habitat conditions than presence and absence analysis. The highest spraint densities were found at higher altitudes, and densities declined in areas with high human density and urbanization. The benthic macro invertebrate community index was highly positively related to the otter population indices. In terms of fish as prey items, the proportion of species tolerant to environmental change were negatively related to otter indices, otherwise number of species sensitive to environmental change positively related. Overall, stream health assessment indices provided the highest correlations with otter population numbers and distribution.</t>
  </si>
  <si>
    <t>[Hong, Sungwon; Kim, Ji Yoon; Kim, Young-Min; Joo, Gea-Jae] Pusan Natl Univ, Dept Biol Sci, Busan 46241, South Korea; [Kim, Dong-Kyun] Univ Toronto, Dept Phys &amp; Environm Sci, Toronto, ON M1C 1A4, Canada; [Do, Yuno] Kongju Natl Univ, Dept Biol Sci, Gongju 32588, South Korea; [Cowan, Phil] Landcare Res, Lincoln 7640, New Zealand</t>
  </si>
  <si>
    <t>Pusan National University; University of Toronto; Kongju National University; Landcare Research - New Zealand</t>
  </si>
  <si>
    <t>Joo, GJ (corresponding author), Pusan Natl Univ, Dept Biol Sci, Busan 46241, South Korea.</t>
  </si>
  <si>
    <t>rjjoo@pusan.ac.kr</t>
  </si>
  <si>
    <t>Hong, Sungwon/K-2809-2019</t>
  </si>
  <si>
    <t>Hong, Sungwon/0000-0002-2838-2464; Kim, Ji Yoon/0000-0001-5228-4939</t>
  </si>
  <si>
    <t>NRF (National Research Foundation of Korea) [NRF-2016R1D1A1B01009492, NRF-2015]</t>
  </si>
  <si>
    <t>NRF (National Research Foundation of Korea)(National Research Foundation of Korea)</t>
  </si>
  <si>
    <t>This work was supported by both grants from the Basic Research (NRF-2016R1D1A1B01009492) and Infrastructure and Human Resources in S&amp;T (NRF-2015-Fostering Core Leaders of the Future Basic Science Program/Global Ph.D. Fellowship Program) supported by an NRF (National Research Foundation of Korea).</t>
  </si>
  <si>
    <t>ELSEVIER</t>
  </si>
  <si>
    <t>RADARWEG 29, 1043 NX AMSTERDAM, NETHERLANDS</t>
  </si>
  <si>
    <t>1470-160X</t>
  </si>
  <si>
    <t>1872-7034</t>
  </si>
  <si>
    <t>ECOL INDIC</t>
  </si>
  <si>
    <t>Ecol. Indic.</t>
  </si>
  <si>
    <t>10.1016/j.ecolind.2018.01.004</t>
  </si>
  <si>
    <t>Biodiversity Conservation; Environmental Sciences</t>
  </si>
  <si>
    <t>GD8KH</t>
  </si>
  <si>
    <t>WOS:000430760800026</t>
  </si>
  <si>
    <t>Loy, A; Carranza, ML; Cianfrani, C; D'Alessandro, E; Bonesi, L; Di Marzio, P; Minotti, M; Reggiani, G</t>
  </si>
  <si>
    <t>Loy, Anna; Carranza, Maria Laura; Cianfrani, Carmen; D'Alessandro, Evelina; Bonesi, Laura; Di Marzio, Piera; Minotti, Michele; Reggiani, Gabriella</t>
  </si>
  <si>
    <t>5th European Mammal Congress on Mammal Conservation Europe - Status and Priorities</t>
  </si>
  <si>
    <t>SEP 21-26, 2007</t>
  </si>
  <si>
    <t>Siena, ITALY</t>
  </si>
  <si>
    <t>potential distribution; deterministic models; dispersal; GIS</t>
  </si>
  <si>
    <t>LANDSCAPE INDEXES; NORTHERN SCOTLAND; AVAILABILITY; CONSERVATION; ECOLOGY; RIVER; MARKING; MODELS; TRENDS; FECES</t>
  </si>
  <si>
    <t>The Eurasian otter is one of the most endangered mammals in Italy and its distribution is now restricted in two isolated portions in southern Italy. However, in recent times, this species has shown a tendency to expand its range. especially northwards. It is therefore important to identify suitable areas oil the border of its expansion range where the species call establish and disperse, so that these areas call be targeted for conservation actions. To this aim. the distribution. quality and connectivity of habitats of seven river catchments located in the northern portion of the current otter range in Italy were assessed. Catchments included both rivers where the otter currently occurs and where it is likely to expand in the short-medium term. An expert-based Habitat Suitability (HS) model was developed and validated using otter presence-absence data based oil standard field surveys. Fine scale riverbank land cover. extra-riparian coarse scale land cover, attitude, bank slope, and human disturbance were considered as the main factors in the HS model. These variables were available or newly created in the form of digital maps (layers) and the HS model was built by sequentially filtering these layers. Connectivity was assessed within and between river basins through landscape algorithms by taking into account variables that could influence otter dispersal. The results indicated that the seven rivers considered are heterogeneous both in terms of habitat suitability and in terms of connectivity. Among these, one river in particular (the river Volturno). where otters are currently present, showed one of the largest extensions Of Suitable habitats and the best connectivity both within the river and between the river and the neighbouring catchments, suggesting that this river could play a strategic role in the survival and expansion of otters in the surrounding areas.</t>
  </si>
  <si>
    <t>[Loy, Anna; Carranza, Maria Laura; Cianfrani, Carmen; D'Alessandro, Evelina; Di Marzio, Piera; Minotti, Michele] Univ Molise, I-86090 Pesche, Italy; [Bonesi, Laura] Univ Trieste, I-34127 Trieste, Italy; [Reggiani, Gabriella] Ist Ecol Applicata, I-00161 Rome, Italy</t>
  </si>
  <si>
    <t>University of Molise; University of Trieste</t>
  </si>
  <si>
    <t>Loy, A (corresponding author), Univ Molise, I-86090 Pesche, Italy.</t>
  </si>
  <si>
    <t>a.loy@unimol.it</t>
  </si>
  <si>
    <t>Di Marzio, Piera/F-4953-2012; Carranza, Maria Laura/E-7698-2012</t>
  </si>
  <si>
    <t>Di Marzio, Piera/0000-0002-3831-5388; Carranza, Maria Laura/0000-0001-5753-890X; Bonesi, Laura/0000-0003-3351-3892; LOY, Anna/0000-0002-8934-6694</t>
  </si>
  <si>
    <t>Science Citation Index Expanded (SCI-EXPANDED); Conference Proceedings Citation Index - Science (CPCI-S)</t>
  </si>
  <si>
    <t>522AH</t>
  </si>
  <si>
    <t>WOS:000271968300007</t>
  </si>
  <si>
    <t>Kyle, CJ; Strobeck, C</t>
  </si>
  <si>
    <t>MOLECULAR ECOLOGY</t>
  </si>
  <si>
    <t>forest carnivore; Gulo gulo; microsatellite; Mustelidae; population structure; wolverine</t>
  </si>
  <si>
    <t>MICROSATELLITE ANALYSIS; BEAR POPULATIONS; DISTANCE; VARIABILITY; TERRITORIES; STATISTICS; MARKERS; ALLELES; YUKON</t>
  </si>
  <si>
    <t>Wolverines (Gulo gulo) are found in low densities throughout their circumpolar distribution. They are also potentially susceptible to human-caused population fragmentation (development, recreation and fur harvesting). The combination of these factors has contributed to this species being listed as having either vulnerable or endangered status across much of its current range. The effects of inherently low densities and anthropogenic pressures on the genetic structure and variation of wolverine populations are, as yet, unknown. In this study, 461 individuals were typed at 12 microsatellite loci to investigate the population genetic structure of wolverines from north-western Alaska to eastern Manitoba. Levels of gene flow and population differentiation among the sampled regions were estimated via a genotype assignment test, pairwise F-ST, and two genetic distance measures. Our results suggest that wolverine populations from southernmost regions, in which anthropogenic factors are strongest, revealed more genetic structuring than did northern populations. Furthermore, these results suggest that reductions in this species' range may have led to population fragmentation in the extreme reaches of its southern distribution. The continued reduction of suitable habitat for this species may lead to more populations becoming isolated remnants of a larger distribution of northern wolverines, as documented in other North American carnivore species.</t>
  </si>
  <si>
    <t>Univ Alberta, Dept Biol Sci, Edmonton, AB T6G 2E9, Canada</t>
  </si>
  <si>
    <t>Strobeck, Curtis/A-3762-2014</t>
  </si>
  <si>
    <t>Strobeck, Curtis/0000-0002-6171-3130</t>
  </si>
  <si>
    <t>0962-1083</t>
  </si>
  <si>
    <t>MOL ECOL</t>
  </si>
  <si>
    <t>Mol. Ecol.</t>
  </si>
  <si>
    <t>10.1046/j.1365-294x.2001.01222.x</t>
  </si>
  <si>
    <t>Biochemistry &amp; Molecular Biology; Ecology; Evolutionary Biology</t>
  </si>
  <si>
    <t>Biochemistry &amp; Molecular Biology; Environmental Sciences &amp; Ecology; Evolutionary Biology</t>
  </si>
  <si>
    <t>416KJ</t>
  </si>
  <si>
    <t>WOS:000167779400006</t>
  </si>
  <si>
    <t>AARISSORENSEN, J</t>
  </si>
  <si>
    <t>Two surveys of badgers Meles meles in the Copenhagen area, one in 1973-75 and one in 1983-85, are presented. The data suggest a 33% decrease in the number of badgers in that 10-year period. Possible reasons for this drop in population size are discussed. Human disturbance seems to play a major role and depletion of habitat only a minor role. The Danish game bag records demonstrate a halving of the number of badgersshot during the last 30 years. Among other things, this probably reflects some decline of the badger population also outside the metropolitan area. It is suggested that the causes for the decline observed within the Copenhagen area might well be contributing to a decline in badgers in the rest of the country.</t>
  </si>
  <si>
    <t>10.1016/0006-3207(87)90099-1</t>
  </si>
  <si>
    <t>J6021</t>
  </si>
  <si>
    <t>WOS:A1987J602100001</t>
  </si>
  <si>
    <t>Gerber, LR; Tinker, MT; Doak, DF; Estes, JA; Jessup, DA</t>
  </si>
  <si>
    <t>ECOLOGICAL APPLICATIONS</t>
  </si>
  <si>
    <t>age specific; cause of mortality; conservation; demography; disease; Enhydra lutris; life stage simulation analysis; population growth; sea otters; sex specific</t>
  </si>
  <si>
    <t>DEATH ASSEMBLAGES; POPULATION-GROWTH; PATTERNS; SURVIVAL; MODEL</t>
  </si>
  <si>
    <t>Currently, there are no generally recognized approaches for linking detailed mortality and pathology data to population-level analyses of extinction risk. We used a combination of analytical and simulation-based analyses to examine 20 years of age- and sex-specific mortality data for southern sea otters (Enhydra lutris), and we applied results to project the efficacy of alternative conservation strategies. Population recovery of the southern sea otter has been slow (rate of population increase lambda = 1.05) compared to other recovering populations (lambda = 1.17-1.20), and the population declined (lambda = 0.975) between 1995 and 1999. Age-based Leslie matrices were developed to explore explanations for the slow recovery and recent decline in the southern sea other population. An elasticity analysis was performed to predict effects of proportional changes in stage-specific reproductive or survival rates on the rate of population increase. A life-stage simulation analysis (LSA) was developed to evaluate the impact of changing age- and cause-specific mortality rates on lambda. The information used to develop these models was derived from death assemblage, pathology, and live population census data to examine the sensitivity of sea otter population growth to different sources of mortality (e.g., disease and starvation, direct human take [fisheries, gun shot, boat strike, oil pollution], mating trauma and intraspecific aggression, shark bites, and unknowns. We used resampling simulations to generate random combinations of vital rates for a large number of matrix replicates and drew on these to estimate potential effects of mortality sources on population growth (lambda). Our analyses suggest management actions that are likely and unlikely to promote recovery of the southern sea otter and more broadly indicate a methodology to better utilize cause-of-death data in conservation decision-making.</t>
  </si>
  <si>
    <t>Arizona State Univ, Sch Life Sci, Tempe, AZ 85287 USA; Univ Calif Santa Barbara, Natl Ctr Ecol Anal &amp; Synth, Santa Barbara, CA 93101 USA; Univ Calif Santa Cruz, Dept Ecol &amp; Evolut Biol, Santa Cruz, CA 95064 USA; Univ Calif Santa Cruz, Ctr Ocean Hlth, US Geol Survey, Santa Cruz, CA 95060 USA; Calif Dept Fish &amp; Game, Marine Wildlife Vet Care &amp; Res Ctr, Santa Cruz, CA 95060 USA</t>
  </si>
  <si>
    <t>Arizona State University; Arizona State University-Tempe; University of California System; University of California Santa Barbara; University of California System; University of California Santa Cruz; University of California System; University of California Santa Cruz; United States Department of the Interior; United States Geological Survey</t>
  </si>
  <si>
    <t>Gerber, LR (corresponding author), Arizona State Univ, Sch Life Sci, POB 874501, Tempe, AZ 85287 USA.</t>
  </si>
  <si>
    <t>leah.gerber@asu.edu</t>
  </si>
  <si>
    <t>; Tinker, Martin/D-3249-2018</t>
  </si>
  <si>
    <t>Gerber, Leah/0000-0002-6763-6842; Tinker, Martin/0000-0002-3314-839X</t>
  </si>
  <si>
    <t>1051-0761</t>
  </si>
  <si>
    <t>1939-5582</t>
  </si>
  <si>
    <t>ECOL APPL</t>
  </si>
  <si>
    <t>Ecol. Appl.</t>
  </si>
  <si>
    <t>10.1890/03-5006</t>
  </si>
  <si>
    <t>863NN</t>
  </si>
  <si>
    <t>WOS:000224568800020</t>
  </si>
  <si>
    <t>Sainsbury, KA; Shore, RF; Schofield, H; Croose, E; Campbell, RD; Mcdonald, RA</t>
  </si>
  <si>
    <t>Sainsbury, Katherine A.; Shore, Richard F.; Schofield, Henry; Croose, Elizabeth; Campbell, Ruairidh D.; Mcdonald, Robbie A.</t>
  </si>
  <si>
    <t>carnivores; hybridisation; monitoring; pollutants; predator control</t>
  </si>
  <si>
    <t>WEASELS MUSTELA-NIVALIS; BADGER MELES-MELES; OTTER LUTRA-LUTRA; MARTES-MARTES; FELIS-SILVESTRIS; BRITISH; POPULATION; DECLINE; INTROGRESSION; HYBRIDIZATION</t>
  </si>
  <si>
    <t>After historical declines in population sizes and ranges, we compare and contrast the recent history and contemporary variation in the status of Great Britain's eight native mammalian carnivore species from the 1960s to 2017. Wildcat Felis silvestris conservation status is unfavourable and is masked by hybridisation with domestic cats Felis catus. Red foxes Vulpes vulpes remain widespread but are currently declining. European otter Lutra lutra, European pine marten Martes martes and European polecat Mustela putorius populations are characterised by rapid recovery. Otters have almost completely recolonised Great Britain, polecats have expanded their range throughout southern Britain from refugia in Wales and pine martens have expanded their range from the Scottish Highlands. European badgers Meles meles have generally increased in population density. Status assessments of stoats Mustela erminea and weasels Mustela nivalis are data-deficient but available evidence suggests that stoats may have increased while weasels may have declined. Anthropogenic processes influencing carnivore status include legal protections, habitat quality, reintroductions, predator control, pollutants, hybridisation and diseases and their associated control practices. Population effects of contaminants, such as anticoagulant rodenticides, remain poorly characterised. The widespread interface with domestic and feral cats makes the wildcat's situation precarious. Recent declines in rabbit Oryctolagus cuniculus populations are a concern, given that several carnivore species depend on them as food. We conclude that, with the exception of the wildcat, the status of Great Britain's mammalian carnivores has markedly improved since the 1960s. Better understanding of the social aspects of interactions between humans and expanding predator populations is needed if conflict is to be avoided and long-term co-existence with people is to be possible.</t>
  </si>
  <si>
    <t>[Sainsbury, Katherine A.; Mcdonald, Robbie A.] Univ Exeter, Environm &amp; Sustainabil Inst, Penryn Campus, Penryn TR10 9FE, England; [Shore, Richard F.] Lancaster Environm Ctr, Ctr Ecol &amp; Hydrol, Lancaster LA1 4AP, England; [Schofield, Henry; Croose, Elizabeth] Vincent Wildlife Trust, 3&amp;4 Bronsil Courtyard, Eastnor HR8 1EP, Ledbury, England; [Campbell, Ruairidh D.] Scottish Nat Heritage, Great Glen House, Inverness IV3 8NW, Scotland</t>
  </si>
  <si>
    <t>University of Exeter; UK Centre for Ecology &amp; Hydrology (UKCEH); Lancaster University</t>
  </si>
  <si>
    <t>Mcdonald, RA (corresponding author), Univ Exeter, Environm &amp; Sustainabil Inst, Penryn Campus, Penryn TR10 9FE, England.</t>
  </si>
  <si>
    <t>ks547@exeter.ac.uk; rfs@ceh.ac.uk; henryschofield@vwt.org.uk; elizabethcroose@vwt.org.uk; Roo.Campbell@nature.scot; R.McDonald@exeter.ac.uk</t>
  </si>
  <si>
    <t>Schofield, Henry/OYE-0300-2025; McDonald, Robbie/AAK-2718-2020; Shore, Richard/A-2638-2012</t>
  </si>
  <si>
    <t>McDonald, Robbie/0000-0002-6922-3195;</t>
  </si>
  <si>
    <t>Vincent Wildlife Trust; University of Exeter; Centre for Ecology and Hydrology</t>
  </si>
  <si>
    <t>K.S. holds a scholarship funded by the Vincent Wildlife Trust and the University of Exeter, with support from the Centre for Ecology and Hydrology. We thank N. Aebischer of the Game and Wildlife Conservation Trust for providing National Gamebag Census data. We thank E. Chadwick, P. Chanin, R. Clew-Roberts, L. Halliwell, C. McLeod, S. Ratcliffe, R. Raynor and G. Scholey for advice and assistance with otter survey data.</t>
  </si>
  <si>
    <t>10.1111/mam.12150</t>
  </si>
  <si>
    <t>HO5EG</t>
  </si>
  <si>
    <t>Green Accepted, hybrid</t>
  </si>
  <si>
    <t>WOS:000460945200006</t>
  </si>
  <si>
    <t>SIDOROVICH, VE</t>
  </si>
  <si>
    <t>POPULATION ECOLOGY; LUTRA-LUTRA; BELORUSSIA</t>
  </si>
  <si>
    <t>LUTRA-LUTRA</t>
  </si>
  <si>
    <t>The study was carried out from 1982 - 1989 at seven stations located in various parts of Byelorussia. The stations represented different land-use types. The abundance and structure (spacial, sex, age) of the otter Lutra lutra (Linnaeus, 1758) population and some features of breeding biology (time of birth, female role in reproduction, fecundity) were examined. Mortality of both adult and young animals, together with causes of death, were assessed. The effects of harvest and of man-made modifications to areas (mostly transformation of natural waterbodies and the creation of new water reservoirs) on the structure and breeding of otter populations were studied.</t>
  </si>
  <si>
    <t>SIDOROVICH, VE (corresponding author), BSSR ACAD SCI, INST ZOOL, SCORINY 27, Minsk 220733, BELARUS.</t>
  </si>
  <si>
    <t>1-2</t>
  </si>
  <si>
    <t>10.4098/AT.arch.91-12</t>
  </si>
  <si>
    <t>HD033</t>
  </si>
  <si>
    <t>WOS:A1991HD03300011</t>
  </si>
  <si>
    <t>Halsey, SM; Zielinski, WJ; Scheller, RM</t>
  </si>
  <si>
    <t>Halsey, Shiloh M.; Zielinski, William J.; Scheller, Robert M.</t>
  </si>
  <si>
    <t>LANDSCAPE ECOLOGY</t>
  </si>
  <si>
    <t>Fisher (Pekania pennanti); Bobcat (Lynx rufus); Reintroduction; Predation; Habitat modeling; Classification tree</t>
  </si>
  <si>
    <t>FISHERS MARTES-PENNANTI; BOBCATS; LANDSCAPE; SELECTION; POPULATIONS; COMPETITION; RISKS; TREES; DNA</t>
  </si>
  <si>
    <t>The success of species reintroduction often depends on predation risk and spatial estimates of predator habitat. The fisher (Pekania pennanti) is a species of conservation concern and populations in the western United States have declined substantially in the last century. Reintroduction plans are underway, but the ability of the species to establish a self-sustaining population is affected by predation from its primary predator, the bobcat (Lynx rufus). To develop a habitat model that incorporates both habitat of the focal species and the spatial patterning of predator habitat. To locate areas of densely aggregated habitat that would be suitable for reintroduction. Using camera survey data, we modeled the association between bobcat presence and environmental features using a classification tree. We applied this model to a spatial analysis of fisher habitat and identified reintroduction areas in the southern Washington Cascade Range. The classification tree predicted bobcat detection based on elevation and mean tree diameter. The final model identified fisher reintroduction locations primarily in or near existing wilderness areas. Fisher habitat areas identified considering both habitat and predation risk differed from those identified without considering predation. Our spatial approach is unique among fisher reintroduction plans by accounting for both resource requirements and risk of predation. It can be used as a template for future reintroduction efforts in other regions and for other species. Using similar models to refine population management and reintroduction should improve the probability of successful population establishment and stability.</t>
  </si>
  <si>
    <t>[Halsey, Shiloh M.; Scheller, Robert M.] Portland State Univ, Dynam Ecosyst &amp; Landscapes Lab, 1719 SW 10th Ave, Portland, OR 97201 USA; [Zielinski, William J.] US Forest Serv, Redwood Sci Lab, USDA, Pacific Southwest Res Stn, Arcata, CA 95521 USA</t>
  </si>
  <si>
    <t>Portland State University; United States Department of Agriculture (USDA); United States Forest Service</t>
  </si>
  <si>
    <t>Halsey, SM (corresponding author), Portland State Univ, Dynam Ecosyst &amp; Landscapes Lab, 1719 SW 10th Ave, Portland, OR 97201 USA.</t>
  </si>
  <si>
    <t>shilohhalsey@gmail.com</t>
  </si>
  <si>
    <t>Scheller, Robert/B-3135-2009</t>
  </si>
  <si>
    <t>Scheller, Robert/0000-0002-7507-4499</t>
  </si>
  <si>
    <t>Gifford Pinchot Task Force</t>
  </si>
  <si>
    <t>The Gifford Pinchot Task Force (gptaskforce.org) generously supplied survey equipment and funding for this research. Survey data from the National Park Service and the Cascades Carnivore Project were valuable additions to the work. Greta Wengert offered important insights from fisher and bobcat studies in California, and Jeffrey Lewis (WA-DFW) provided valuable review comments.</t>
  </si>
  <si>
    <t>DORDRECHT</t>
  </si>
  <si>
    <t>VAN GODEWIJCKSTRAAT 30, 3311 GZ DORDRECHT, NETHERLANDS</t>
  </si>
  <si>
    <t>0921-2973</t>
  </si>
  <si>
    <t>1572-9761</t>
  </si>
  <si>
    <t>LANDSCAPE ECOL</t>
  </si>
  <si>
    <t>Landsc. Ecol.</t>
  </si>
  <si>
    <t>10.1007/s10980-015-0177-5</t>
  </si>
  <si>
    <t>Ecology; Geography, Physical; Geosciences, Multidisciplinary</t>
  </si>
  <si>
    <t>Environmental Sciences &amp; Ecology; Physical Geography; Geology</t>
  </si>
  <si>
    <t>CL9JI</t>
  </si>
  <si>
    <t>WOS:000357293800008</t>
  </si>
  <si>
    <t>Steventon, JD; Daust, DK</t>
  </si>
  <si>
    <t>Steventon, J. Douglas; Daust, David K.</t>
  </si>
  <si>
    <t>FOREST ECOLOGY AND MANAGEMENT</t>
  </si>
  <si>
    <t>Marten; Martes americana; Mountain pine beetle; Partial cutting; Landscape management; Wildlife; Sub-boreal forests; British Columbia; Population and landscape modelling; Climate change</t>
  </si>
  <si>
    <t>AGE-CLASS STRUCTURE; HOME-RANGE SIZE; LANDSCAPE PATTERN; HABITAT SELECTION; FORESTS; DYNAMICS; DISTANCE; FUTURE; WINTER; RISK</t>
  </si>
  <si>
    <t>We assessed the effectiveness of alternative forest management strategies for maintaining American martens (Martes americana) in a sub-boreal landscape subject to an extensive mountain pine beetle (Dendroctonus ponderosae) outbreak, associated salvage logging, and climate change in north-central British Columbia, Canada. We structured the analysis in a Bayesian network (BN) meta-model that incorporated the results of spatially explicit modelling of landscape conditions (natural and logging disturbance. habitat quality, number of potential territories, and connectedness of territories) with analytical population modelling. The BN meta-model was then used to examine habitat and population size responses (adult females only are presented) to management scenarios, in the context of uncertainty of model parameters, management objectives, and climate change. Status quo management is dominantly clear-cutting with 3-20% of each harvest unit retained as mature patches, with reforestation by planting in the remainder. Management options we examined were: (1) the status quo, (2) varying the total annual timber harvest on the landscape (100%, 80% or 50% of current long-term sustained yield estimates), (3) the protection of understory trees during logging, and (4) 30-70% retention of overstory (partial cutting in distinct patches &lt;1 ha in size) in each harvest unit, for 33% or 50% of the annual timber harvest. We found that marten habitat and population size declined substantively with the beetle outbreak and associated salvage cutting. The choice of management strategy then had a long-term effect on the potential for marten recovery after the beetle outbreak. Partial cutting scenarios had the greatest average long-term marten population levels, followed in order by reduced harvest rates, understory protection, and the status quo. Management scenarios with the best chance of meeting conservation goals without over-protecting habitat (and thus unnecessarily constraining timber management) varied with the population objective chosen. The choice of management strategy will depend on the weighting of marten outcomes against the economic desirability of timber harvest strategies, willingness to gamble on climate change, and the time-frame of interest. Crown Copyright (C) 2009 Published by Elsevier B.V. All rights reserved.</t>
  </si>
  <si>
    <t>[Steventon, J. Douglas] British Columbia Minist Forests &amp; Range, Smithers, BC V0J 2NO, Canada</t>
  </si>
  <si>
    <t>Steventon, JD (corresponding author), British Columbia Minist Forests &amp; Range, Bag 6000, Smithers, BC V0J 2NO, Canada.</t>
  </si>
  <si>
    <t>Doug.Steventon@gov.bc.ca; pricedau@telus.net</t>
  </si>
  <si>
    <t>Centre by the Forest Science Program of the Forest Investment Account of the Province of British Columbia; B.C. Ministry of Forests and Range, Northern Interior Forest Region; Sustainable Forest Management Network</t>
  </si>
  <si>
    <t>This work was conducted on behalf of the non-profit Bulkley Valley Centre for Natural Resources Research and Management, Smithers, British Columbia. Funding was provided to the Centre by the Forest Science Program of the Forest Investment Account of the Province of British Columbia, and from the B.C. Ministry of Forests and Range, Northern Interior Forest Region, and from the Sustainable Forest Management Network. E. Lofroth, A. Bernard, and J. Lloyd-Smith provided comments on earlier drafts. The comments by two anonymous reviewers helped us improve the final manuscript.</t>
  </si>
  <si>
    <t>0378-1127</t>
  </si>
  <si>
    <t>1872-7042</t>
  </si>
  <si>
    <t>FOREST ECOL MANAG</t>
  </si>
  <si>
    <t>For. Ecol. Manage.</t>
  </si>
  <si>
    <t>10.1016/j.foreco.2009.02.013</t>
  </si>
  <si>
    <t>438RC</t>
  </si>
  <si>
    <t>WOS:000265572100014</t>
  </si>
  <si>
    <t>Shaughnessy, MJ; Cifelli, RL</t>
  </si>
  <si>
    <t>WESTERN NORTH AMERICAN NATURALIST</t>
  </si>
  <si>
    <t>prairie dog town; keystone species; carnivore; swift fox; coyote; badger; skunk</t>
  </si>
  <si>
    <t>WESTERN SOUTH-DAKOTA; MIXED-GRASS PRAIRIE; JOAQUIN KIT FOXES; RED FOXES; NATIONAL-PARK; ARCTIC FOXES; COYOTES; CONSEQUENCES; DIVERSITY</t>
  </si>
  <si>
    <t>Carnivores were recorded at prairie dog towns kind non-prairie dog town paired sites in the Oklahoma Panhandle over 4 sampling sessions from October 1995 to February 1997. We established carnivore presence through the use of baited tracking plates dusted with chalk and matched with infrared-triggered cameras. Five carnivore species were recorded at both prairie clog towns and paired sites across the Oklahoma Panhandle. Of these, 4 were recorded with sufficient regularity to permit analyses, Carnivores were analyzed at prairie dog towns across the entire Panhandle and in the Panhandle's westernmost county (Cimarron County) only Canids showed no significant preference for prairie dog towns or other areas. In the Oklahoma Panhandle and Cimarron County only. occurrence of swift fox (Vulpes velox) between prairie dog towns and control sites was insignificant. Badgers (Taxidea taxus) and spotted skunks (Spilogale putorius) occurred significantly more often at prairie dog towns in Cimarron County but not in the Panhandle. No single mustelid species showed a significant association with either prairie dog towns or non-prairie dog town habitats. Our results indicate that whereas prairie dog towns do attract some carnivore species, the presumption that prairie dogs are keystone species for so many organisms (especially threatened or endangered species) in the current plains ecosystem may not be as clear as previously thought.</t>
  </si>
  <si>
    <t>Univ Oklahoma, Dept Zool, Norman, OK 73019 USA; Univ Oklahoma, Oklahoma Museum Nat Hist, Norman, OK 73072 USA</t>
  </si>
  <si>
    <t>University of Oklahoma System; University of Oklahoma - Norman; University of Oklahoma System; University of Oklahoma - Norman</t>
  </si>
  <si>
    <t>Shaughnessy, MJ (corresponding author), Univ Cent Oklahoma, Dept Biol, Coll Math &amp; Sci, 100 N Univ Dr, Edmond, OK 73034 USA.</t>
  </si>
  <si>
    <t>BRIGHAM YOUNG UNIV</t>
  </si>
  <si>
    <t>PROVO</t>
  </si>
  <si>
    <t>290 LIFE SCIENCE MUSEUM, PROVO, UT 84602 USA</t>
  </si>
  <si>
    <t>1527-0904</t>
  </si>
  <si>
    <t>WEST N AM NATURALIST</t>
  </si>
  <si>
    <t>West. North Am. Naturalist</t>
  </si>
  <si>
    <t>820ND</t>
  </si>
  <si>
    <t>WOS:000221395500005</t>
  </si>
  <si>
    <t>Estes, JA; Hatfield, BB; Ralls, K; Ames, J</t>
  </si>
  <si>
    <t>MARINE MAMMAL SCIENCE</t>
  </si>
  <si>
    <t>California sea otter; Enhydra lutris nereis; mortality; population trends; salvage of beach-cast carcasses</t>
  </si>
  <si>
    <t>AGE; PATTERNS</t>
  </si>
  <si>
    <t>Elevated mortality appears to be the main reason for both sluggish growth and periods of decline in the threatened California sea otter population. We assessed causes of mortality from salvage records of 3,105 beach-cast carcasses recovered from 1968 through 1999, contrasting two periods of growth with two periods of decline. Overall, an estimated 40%-60% of the deaths were not recovered and 70% of the recovered carcasses died from unknown causes. Nonetheless, several common patterns were evident in the salvage records during the periods of population decline. These included greater percentages of (1) prime age animals (3-10 yr), (2) carcasses killed by great white shark attacks, (3) carcasses recovered in spring and summer, and (4) carcasses for which the cause of death was unknown. Neither sex composition nor the proportion of carcasses dying of infectious disease varied consistently between periods of population increase and decline. The population decline from 1976 to 1984 was likely due to incidental mortality in a set-net fishery, and the decline from 1995 to 1999 may be related to a developing live-fish fishery. Long-term trends unrelated to periods of growth and decline included a decrease in per capita pup production and mass/length ratios of adult carcasses over the 31-yr study. The generally high proportion of deaths from infectious disease suggests that this factor has contributed to the chronically sluggish growth rate of the California sea otter population.</t>
  </si>
  <si>
    <t>Univ Calif Santa Cruz, US Geol Survey, Santa Cruz, CA 95060 USA; Univ Calif Santa Cruz, Ctr Ocean Hlth, Santa Cruz, CA 95060 USA; US Geol Survey, San Simeon, CA 93452 USA; Smithsonian Natl Zool Pk, Conservat &amp; Res Ctr, Washington, DC 20008 USA; Calif Dept Fish &amp; Game, Santa Cruz, CA 95060 USA</t>
  </si>
  <si>
    <t>University of California System; University of California Santa Cruz; United States Department of the Interior; United States Geological Survey; University of California System; University of California Santa Cruz; United States Department of the Interior; United States Geological Survey; Smithsonian Institution; Smithsonian National Zoological Park &amp; Conservation Biology Institute</t>
  </si>
  <si>
    <t>Estes, JA (corresponding author), Univ Calif Santa Cruz, US Geol Survey, 100 Shafter Rd, Santa Cruz, CA 95060 USA.</t>
  </si>
  <si>
    <t>jestes@cats.ucsc.edu</t>
  </si>
  <si>
    <t>0824-0469</t>
  </si>
  <si>
    <t>1748-7692</t>
  </si>
  <si>
    <t>MAR MAMMAL SCI</t>
  </si>
  <si>
    <t>Mar. Mamm. Sci.</t>
  </si>
  <si>
    <t>10.1111/j.1748-7692.2003.tb01102.x</t>
  </si>
  <si>
    <t>Marine &amp; Freshwater Biology; Zoology</t>
  </si>
  <si>
    <t>631ZQ</t>
  </si>
  <si>
    <t>WOS:000180198700014</t>
  </si>
  <si>
    <t>Thompson, ID; Curran, WJ</t>
  </si>
  <si>
    <t>CANADIAN JOURNAL OF ZOOLOGY-REVUE CANADIENNE DE ZOOLOGIE</t>
  </si>
  <si>
    <t>WESTERN NEWFOUNDLAND; STANDS</t>
  </si>
  <si>
    <t>The marten subspecies on the island of Newfoundland, Martes americana atrata, is threatened. Survey data suggest that most of the extant marten population lives in old uncut balsam fir (Abies balsamea) forests, but a very few live in adjacent 40- to 60-year-old second-growth stands of balsam fir. We compared habitat structure and composition and prey abundance in old forest and second-growth stands to test the hypotheses that either food abundance or habitat quality, or both, limit use of the 40- to 60-year-old forests by marten. Snowshoe hares (Lepus americana) were most abundant in 40-year-old forests and also occurred in old forests, but field voles (Microtus pennsylvanicus) were not found in second-growth stands. A multivariate discriminant model indicated that older, uncut forests contained more structure than younger forests al ground level, because there was more woody debris, more young balsam fir, less litter, more mosses, and more low shrubs. Canopy cover was similar in all forest types, and subnivean access did not differ among the three age-classes when snow was about 1 m deep. We suggest that marten did not use 40- or 60-year-old forest stands because of the lack of the meadow voles that form a necessary part of their diet. Meadow voles likely respond to ground-level forest structure in selecting habitat, and this structure is unavailable in young forests. We recommend a management strategy for marten that would preserve current old forests as long as possible and allow sufficient second-growth balsam fir forest to become old forest with the required characteristics to maintain a viable marten population.</t>
  </si>
  <si>
    <t>FORESTRY CANADA,ST JOHNS,NF A1C 5X8,CANADA</t>
  </si>
  <si>
    <t>Natural Resources Canada; Canadian Forest Service</t>
  </si>
  <si>
    <t>NATL RESEARCH COUNCIL CANADA</t>
  </si>
  <si>
    <t>RESEARCH JOURNALS, MONTREAL RD, OTTAWA ON K1A 0R6, CANADA</t>
  </si>
  <si>
    <t>Can. J. Zool.-Rev. Can. Zool.</t>
  </si>
  <si>
    <t>10.1139/z95-242</t>
  </si>
  <si>
    <t>TQ063</t>
  </si>
  <si>
    <t>WOS:A1995TQ06300011</t>
  </si>
  <si>
    <t>KAUHALA, K</t>
  </si>
  <si>
    <t>Distribution of the badger Meles meles in Finland was studied using game inquiries. The northern distribution limit of the badger has moved about 100 km northwards since the mid-1940s, and the frequency of occurrence has increased. Thus, the distribution area is larger and less fragmented today than it was a few decades ago. The increase in badger population has been particularly clear near the northern distribution limit. Climate seems to be the most important factor affecting the distribution area of the badger in Finland. Near the northern limit of distribution, climate, too, partly explained the change in badger occurrence. The onset of spring and the length of the snow-free period are important for species that sleep in winter; if the summer is very short the young do not have enough time to accumulate fat reserves for the winter. Habitat changes (the extent of fields) may also have affected the occurrence of the badger. The availability of wild berries may also have had some effect on badger numbers. Both badgers and raccoon dogs have increased in most provinces during the study period. Thus, the rapid increase of the raccoon dog population has not caused a decline in the native badger population of Finland.</t>
  </si>
  <si>
    <t>KAUHALA, K (corresponding author), FINNISH GAME &amp; FISHERIES RES INST,POB 202,SF-00151 HELSINKI,FINLAND.</t>
  </si>
  <si>
    <t>RR377</t>
  </si>
  <si>
    <t>WOS:A1995RR37700002</t>
  </si>
  <si>
    <t>CHEHEBAR, CE; GALLUR, A; GIANNICO, G; GOTTELLI, MD; YORIO, P</t>
  </si>
  <si>
    <t>A survey of the huillin or southern river otter Lutra provocax distribution was made in Lanin, Puelo and Los Alerces National Parks. Signs of otters were found at only 4 of 175 sites visited and all of these were in the south of Lanin. According to local people the species occurred in all three National Parks until 25-40 years ago. The main reason for the loss of huillines seems to be intensive hunting in the past. The geography and structure of the hydrological basins may help explain the lack of recolonisation by huillines from remnant populations. Signs of mink Mustela vison were found in both Puelo and Los Alerces and, while mink could not have been responsible for the decline of the otter, they may hinder re-establishment of otter populations. Human disturbance and tourism are not thought to have a significant impact on huillin distribution although remote refuges should be maintained, and our results show the importance of good coastal vegetation cover for permanent populations of the species. It is clear that the only important and permanent population of huillines in Argentina, between 39.degree. S and 43.degree. S, occurs at Nahuel Huapi National Park, which was surveyed in 1982-83. This population is not of critical importance for the conservation of the species, which should retain its ''endangered'' status in Argentina. Measures to implement huillin conservation are proposed.</t>
  </si>
  <si>
    <t>ADM PARQUES NACL, SANTE FE 690, RA-1059 BUENOS AIRES, ARGENTINA</t>
  </si>
  <si>
    <t>Giannico, Guillermo/AAO-8328-2020</t>
  </si>
  <si>
    <t>10.1016/0006-3207(86)90056-X</t>
  </si>
  <si>
    <t>F5584</t>
  </si>
  <si>
    <t>WOS:A1986F558400001</t>
  </si>
  <si>
    <t>Gupta, N; Tiwari, V; Everard, M; Savage, M; Hussain, SA; Chadwick, MA; Johnson, JA; Nawab, A; Belwal, VK</t>
  </si>
  <si>
    <t>Gupta, Nishikant; Tiwari, Varun; Everard, Mark; Savage, Melissa; Hussain, Syed Ainul; Chadwick, Michael A.; Johnson, Jeyaraj Antony; Nawab, Asghar; Belwal, Vinod K.</t>
  </si>
  <si>
    <t>climate change; freshwater; human-induced stressors; Lutrinae; Mustelidae; otters; Uttarakhand; wetlands</t>
  </si>
  <si>
    <t>SMOOTH-COATED OTTER; UPPER GANGETIC PLAINS; LUTRA-LUTRA; EURASIAN OTTER; LUTROGALE-PERSPICILLATA; SELECTION</t>
  </si>
  <si>
    <t>The Eurasian otter (Lutra lutra), smooth-coated otter (Lutrogale perspicillata), and Asian small-clawed otter (Aonyx cinereus) have all been reported previously from the Indian state of Uttarakhand. However, little information is available about their current distribution in a mountainous region that is subject to increasing human-induced stressors (such as hydropower plants, pollution, sand and boulder mining, destructive fishing techniques, poaching). Owing to important roles played by these otters in structuring riverine food webs (particularly taking account of their roles as top carnivores), it is critical that they receive suitable protection in the face of projected temperature rise, change in precipitation patterns, and associated river flows in this Himalayan biodiversity hotspot. This study assesses otter distribution in four rivers of Uttarakhand as a basis for informing future conservation actions. Field surveys were conducted (October 2018-January 2019) in reaches of the Kosi, Ramganga, Khoh, and Song rivers, supported by semi-structured interviews (N = 379) conducted with members of local communities to collect qualitative data on views and perceptions of otter species. In addition, community-based otter awareness camps were organized for local youths (N = 105), adults (N = 115), and schoolchildren (N = 256 covering 10 schools). Habitat suitability maps were created using remote-sensing data, survey findings, and a geographic information system to provide information about priority reaches of river to be targeted for future conservation efforts. This study provides critical interdisciplinary baseline information to guide decision-makers towards developing a targeted, otter-specific conservation programme for this important Himalayan biodiversity hotspot. The otter conservation education programmes conducted during this study resulted in a proposal to set up a community-based conservation initiative to monitor and report otter sightings from the area, potentially representing a way forward for achieving simultaneous otter conservation and associated ecosystem benefits for local communities.</t>
  </si>
  <si>
    <t>[Gupta, Nishikant; Tiwari, Varun] Int Ctr Integrated Mt Dev ICIMOD, Post Box 3226, Kathmandu, Nepal; [Everard, Mark] UWE, Bristol, Avon, England; [Savage, Melissa] Univ Calif Los Angeles, Los Angeles, CA USA; [Hussain, Syed Ainul; Johnson, Jeyaraj Antony] Wildlife Inst India, Chandrabani, Uttarakhand, India; [Chadwick, Michael A.] Kings Coll London, Dept Geog, London, England; [Nawab, Asghar] WWF India, New Delhi, India; [Nawab, Asghar] Wildlife Conservat Soc Turtle Survival Alliance I, Lucknow, Uttar Pradesh, India</t>
  </si>
  <si>
    <t>University of West England; University of California System; University of California Los Angeles; Wildlife Institute of India; University of London; King's College London; World Wildlife Fund</t>
  </si>
  <si>
    <t>Gupta, N (corresponding author), Int Ctr Integrated Mt Dev ICIMOD, Post Box 3226, Kathmandu, Nepal.</t>
  </si>
  <si>
    <t>nishikantgupta@live.in</t>
  </si>
  <si>
    <t>tiwari, varun/AAT-5938-2021; Chadwick, Michael/ABF-6431-2020; Johnson, Antony/AAU-7939-2021</t>
  </si>
  <si>
    <t>Everard, Mark/0000-0002-0251-8482; Gupta, Nishikant/0000-0002-8429-7707; Johnson, Antony/0000-0002-6089-6182</t>
  </si>
  <si>
    <t>Rufford Foundation [24456-1]</t>
  </si>
  <si>
    <t>Rufford Foundation</t>
  </si>
  <si>
    <t>Rufford Foundation, Grant/Award Number: 24456-1</t>
  </si>
  <si>
    <t>10.1002/aqc.3284</t>
  </si>
  <si>
    <t>JAN 2020</t>
  </si>
  <si>
    <t>KS0TM</t>
  </si>
  <si>
    <t>WOS:000509475000001</t>
  </si>
  <si>
    <t>MARAN, T; HENTTONEN, H</t>
  </si>
  <si>
    <t>The historical range of Mustela lutreola extended from Finland to east of Ural Mountains, to northern Spain and Caucasian Mountains. The species went extinct in some parts of Central Europe already a hundred years ago. During this century, populations have declined almost everywhere. Several hypotheses have been put forward to explain the disappearance of the species. These include climatic change, competition with the American mink M. vison, destruction of the habitat, disease transmitted by the introduced American mink, crash of the favored food item, crayfish Astacus astacus, hybridization with the European polecat M. putorius, etc. It is very clear, however, that none of the hypothesized factors alone could explain the events in various place at different times. The early declines in Central Europe and later in Finland took place before the spread of the American mink. On the other hand, the present decline of M. lutreola in Estonia seems to coincide well with the spread of M. vison. The early declines in Central Europe could have been caused by destruction of the natural river ecosystems, especially river banks. Still, in Finland the major disappearance happened well before the major environmental change of natural small river ecosystems due to modern forestry. Even if the detailed explanations seem to vary, there is an underlying theme: environmental change. The European mink seems to be a much more specialized species than the American mink. Before the arrival of M. vison, the change in the preferred habitat, small sandy brooks, or the crash of the food source, could have been the underlying cause. With the arrival of the American mink, the European one loses even without the environmental change.</t>
  </si>
  <si>
    <t>FINNISH FOREST RES INST,SF-01301 VANTAA,FINLAND</t>
  </si>
  <si>
    <t>Natural Resources Institute Finland (Luke)</t>
  </si>
  <si>
    <t>MARAN, T (corresponding author), TALLINN ZOO,PALDISKI MNT 145,TALLINN 0035,ESTONIA.</t>
  </si>
  <si>
    <t>WOS:A1995RB12100008</t>
  </si>
  <si>
    <t>Mucci, N; Arrendal, J; Ansorge, H; Bailey, M; Bodner, M; Delibes, M; Ferrando, A; Fournier, P; Fournier, C; Godoy, JA; Hajkova, P; Hauer, S; Heggberget, T; Heidecke, D; Kirjavainen, H; Krueger, HH; Kvaloy, K; Lafontaine, L; Lanszki, J; Lemarchand, C; Liukko, UM; Loeschcke, V; Ludwig, G; Madsen, AB; Mercier, L; Ozolins, J; Paunovic, M; Pertoldi, C; Piriz, A; Prigioni, C; Santos-Reis, M; Luis, TS; Stjernberg, T; Schmid, H; Suchentrunk, F; Teubner, J; Tornberg, R; Zinke, O; Randi, E</t>
  </si>
  <si>
    <t>Mucci, Nadia; Arrendal, Johanna; Ansorge, Hermann; Bailey, Michael; Bodner, Michaela; Delibes, Miguel; Ferrando, Ainhoa; Fournier, Pascal; Fournier, Christine; Godoy, Jose A.; Hajkova, Petra; Hauer, Silke; Heggberget, Thrine Moen; Heidecke, Dietrich; Kirjavainen, Harri; Krueger, Hans-Heinrich; Kvaloy, Kirsti; Lafontaine, Lionel; Lanszki, Jozsef; Lemarchand, Charles; Liukko, Ulla-Maija; Loeschcke, Volker; Ludwig, Gilbert; Madsen, Aksel Bo; Mercier, Laurent; Ozolins, Janis; Paunovic, Momir; Pertoldi, Cino; Piriz, Ana; Prigioni, Claudio; Santos-Reis, Margarida; Luis, Teresa Sales; Stjernberg, Torsten; Schmid, Hans; Suchentrunk, Franz; Teubner, Jens; Tornberg, Risto; Zinke, Olaf; Randi, Ettore</t>
  </si>
  <si>
    <t>CONSERVATION GENETICS</t>
  </si>
  <si>
    <t>ESF-ConGen Meeting on Integrating Population Genetics and Conservation Biology</t>
  </si>
  <si>
    <t>MAY 23-27, 2009</t>
  </si>
  <si>
    <t>Trondheim, NORWAY</t>
  </si>
  <si>
    <t>European Sci Fdn Res Network</t>
  </si>
  <si>
    <t>Eurasian otter; Mitochondrial DNA; Microsatellites; Bayesian clustering; Spatial genetic structure; Landscape genetics</t>
  </si>
  <si>
    <t>MITOCHONDRIAL CONTROL REGION; EURASIAN OTTER; DNA VARIATION; CONSERVATION; MUSTELIDAE; DECLINE; POLYMORPHISM; CARNIVORA; INFERENCE; PROGRAM</t>
  </si>
  <si>
    <t>Eurasian otter populations strongly declined and partially disappeared due to global and local causes (habitat destruction, water pollution, human persecution) in parts of their continental range. Conservation strategies, based on reintroduction projects or restoration of dispersal corridors, should rely on sound knowledge of the historical or recent consequences of population genetic structuring. Here we present the results of a survey performed on 616 samples, collected from 19 European countries, genotyped at the mtDNA control-region and 11 autosomal microsatellites. The mtDNA variability was low (nucleotide diversity = 0.0014; average number of pairwise differences = 2.25), suggesting that extant otter mtDNA lineages originated recently. A star-shaped mtDNA network did not allow outlining any phylogeographic inference. Microsatellites were only moderately variable (H (o) = 0.50; H (e) = 0.58, on average across populations), the average allele number was low (observed A (o) = 4.9, range 2.5-6.8; effective A (e) = 2.8; range 1.6-3.7), suggesting small historical effective population size. Extant otters likely originated from the expansion of a single refugial population. Bayesian clustering and landscape genetic analyses however indicate that local populations are genetically differentiated, perhaps as consequence of post-glacial demographic fluctuations and recent isolation. These results delineate a framework that should be used for implementing conservation programs in Europe, particularly if they are based on the reintroduction of wild or captive-reproduced otters.</t>
  </si>
  <si>
    <t>[Mucci, Nadia; Randi, Ettore] ISPRA, Genet Lab, I-40064 Bologna, Italy; [Arrendal, Johanna] Uppsala Univ, Dept Anim Ecol, Evolutionary Biol Ctr, S-75236 Uppsala, Sweden; [Ansorge, Hermann] Senckenberg Museum Nat Hist Goerlitz, D-02806 Goerlitz, Germany; [Bailey, Michael] Univ Dublin Trinity Coll, Dept Zool, Coll Green, Dublin 2, Ireland; [Delibes, Miguel; Godoy, Jose A.; Piriz, Ana] CSIC, Estac Biol Donana, Seville 41092, Spain; [Ferrando, Ainhoa] Univ Autonoma Barcelona, Dept Biol Cellular Fisiol &amp; Immunol, Cerdanyola Del Valles 08193, Spain; [Fournier, Pascal; Fournier, Christine] Grp Rech &amp; Etud Gest Environm, F-33730 Villandraut, France; [Hajkova, Petra] Acad Sci Czech Republ, Inst Vertebrate Biol, CS-60365 Brno, Czech Republic; [Hauer, Silke] Martin Luther Univ Halle Saale, Inst Zool, Halle, Saale, Germany; [Heidecke, Dietrich] Univ Halle Wittenberg, Inst Biol Zool, D-06108 Halle, Saale, Germany; [Kirjavainen, Harri] Univ Joensuu, Dept Biol, FIN-80101 Joensuu, Finland; [Krueger, Hans-Heinrich] Akt Fischotterschutz eV, Otter Zentrum, D-29386 Hankensbuttel, Germany; [Heggberget, Thrine Moen; Kvaloy, Kirsti] Norwegian Inst Nat Res, N-7485 Trondheim, Norway; [Lafontaine, Lionel] Reseau Loutre Francophone, F-29670 Locquenole, France; [Lanszki, Jozsef] Univ Kaposvar, Nat Conservat Dept, H-7401 Kaposvar, Hungary; [Lemarchand, Charles] ENVL, INRA, UMR 1233, F-69280 Marcy Ietoile, France; [Liukko, Ulla-Maija] Finnish Environm Inst, Helsinki 00251, Finland; [Loeschcke, Volker; Pertoldi, Cino] Aarhus Univ, Dept Biol Sci Ecol &amp; Genet, DK-8000 Aarhus C, Denmark; [Ludwig, Gilbert] Univ Jyvaskyla, Dept Biol &amp; Environm Sci, Jyvaskyla 40014, Finland; [Madsen, Aksel Bo] Univ Aarhus, Dept Wildlife Ecol &amp; Biodivers, Natl Environm Res Inst, Kalo, Ronde, Denmark; [Mercier, Laurent] Otter Reintroduct Ctr, Hunawihr, France; [Ozolins, Janis] State Forest Serv, LV-1932 Riga, Latvia; [Paunovic, Momir] Inst Biol Res, Belgrade 11000, Serbia; [Pertoldi, Cino] Polish Acad Sci, Mammal Res Inst, PL-17230 Bialowieza, Poland; [Prigioni, Claudio] Univ Pavia, Dept Anim Biol, I-27100 Pavia, Italy; [Santos-Reis, Margarida; Luis, Teresa Sales] Univ Lisbon, Dept Biol Anim, Fac Ciencias, Ctr Biol Ambiental, P-1749016 Lisbon, Portugal; [Stjernberg, Torsten] Univ Helsinki, Finnish Museum Nat Hist, Zool Museum, Helsinki, Finland; [Suchentrunk, Franz] Univ Vet Med Vienna, Res Inst Wildlife Ecol, A-1160 Vienna, Austria; [Tornberg, Risto] Univ Oulu, Fac Sci, Dept Biol, Oulu, Finland; [Teubner, Jens] Landesumweltamt Brandenburg, Naturschutzstn Zippelsforde, D-16827 Zippelsforde, Germany; [Schmid, Hans; Zinke, Olaf] Zurich Zoo, CH-8044 Zurich, Switzerland</t>
  </si>
  <si>
    <t>Italian Institute for Environmental Protection &amp; Research (ISPRA); Uppsala University; Leibniz Association; Senckenberg Gesellschaft fur Naturforschung (SGN); Trinity College Dublin; Consejo Superior de Investigaciones Cientificas (CSIC); CSIC - Estacion Biologica de Donana (EBD); Autonomous University of Barcelona; Czech Academy of Sciences; Institute of Vertebrate Biology of the Czech Academy of Sciences; Martin Luther University Halle Wittenberg; Martin Luther University Halle Wittenberg; University of Eastern Finland; Norwegian Institute Nature Research; Kaposvar University; VetAgro Sup; INRAE; Finnish Environment Institute; Aarhus University; University of Jyvaskyla; Aarhus University; Danish National Environmental Research Institute; University of Belgrade; Polish Academy of Sciences; Mammal Research Institute of the Polish Academy of Sciences; University of Pavia; Universidade de Lisboa; University of Helsinki; University of Veterinary Medicine Vienna; University of Oulu</t>
  </si>
  <si>
    <t>Randi, E (corresponding author), ISPRA, Genet Lab, Via Ca Fornacetta 9, I-40064 Bologna, Italy.</t>
  </si>
  <si>
    <t>ettore.randi@infs.it</t>
  </si>
  <si>
    <t>Lanszki, József/AAN-1013-2020; Loeschcke, Volker/J-2527-2013; Godoy, José A/B-9288-2008; Ferrando, Adolfo/Q-7026-2016; Delibes, Miguel/K-2744-2014; Ozolins, Janis/KIK-5011-2024; Preatoni, Damiano/A-8621-2010; Santos-Reis, Margarida/H-4064-2011; Randi, Ettore/HOC-4300-2023; Paunović, Momir/H-9177-2019</t>
  </si>
  <si>
    <t>Lanszki, József/0000-0002-2067-6601; Loeschcke, Volker/0000-0003-1450-0754; Stjernberg, Torsten Gustav/0000-0001-5247-4601; Madsen, Aksel Bo/0000-0001-7274-586X; Godoy, José A/0000-0001-7502-9471; Delibes, Miguel/0000-0002-3569-567X; Hajkova, Petra/0000-0001-5776-3285; Preatoni, Damiano/0000-0001-8760-1316; Santos-Reis, Margarida/0000-0002-0337-963X;</t>
  </si>
  <si>
    <t>1566-0621</t>
  </si>
  <si>
    <t>1572-9737</t>
  </si>
  <si>
    <t>CONSERV GENET</t>
  </si>
  <si>
    <t>Conserv. Genet.</t>
  </si>
  <si>
    <t>10.1007/s10592-010-0054-3</t>
  </si>
  <si>
    <t>Biodiversity Conservation; Genetics &amp; Heredity</t>
  </si>
  <si>
    <t>Biodiversity &amp; Conservation; Genetics &amp; Heredity</t>
  </si>
  <si>
    <t>567OE</t>
  </si>
  <si>
    <t>WOS:000275455700021</t>
  </si>
  <si>
    <t>Marler, PN; Jose, ED; Castro, LSG; Gonzalez, JB</t>
  </si>
  <si>
    <t>Marler, Paris N.; Jose, Edgar D.; Castro, Lyca Sandrea G.; Gonzalez, Jeric B.</t>
  </si>
  <si>
    <t>PALAWAN SCIENTIST</t>
  </si>
  <si>
    <t>biodiversity; mammals; Red List; survey</t>
  </si>
  <si>
    <t>LOWLAND RAIN-FOREST; CONSERVATION; BIODIVERSITY; PHILIPPINES; CARNIVORE; PALAWAN; COMMUNITIES; DISTURBANCE; LANDSCAPE; ISLAND</t>
  </si>
  <si>
    <t>A rapid biodiversity assessment of mammalian fauna was conducted in the Cleopatra's Needle mountain range in the biodiversity hotspot province of Palawan, Philippines to determine species diversity of, anthropogenic activities affecting and conservation status of the species in the area. Standard methods of research sampling for capturing or observing volant and non-volant mammalian species included: baited cage trapping, drift-fenced pitfall trapping, camera trapping, mist-net trapping and opportunistic hand-capturing or observing. A total of 12 mammalian species were documented. Maxomys panglima and Crucidura palawanensis were the most commonly captured species with the use of baited cage traps and pitfall traps, respectively. The rare Chiropodomys calamianensis was also captured with a baited cage trap. Aonyx cinereus is listed as Vulnerable in the International Union for Conservation of Nature Red List of Threatened Species; Prionailurus bengalensis heaneyi and Sus ahoenobarbus, are listed as Vulnerable under the Department of Environmental and Natural Resources' 2017 National List of Threatened Philippine Fauna and their Categories. The results revealed this area is an important habitat for threatened and poorly studied species of mammals, most of which are imperiled by individual threats and habitat loss.</t>
  </si>
  <si>
    <t>[Marler, Paris N.] Ctr Sustainabil PH Inc, PENRO Rd, Puerto Princesa 5300, Palawan, Philippines; [Jose, Edgar D.; Castro, Lyca Sandrea G.] Philippine Taxon Initiat Inc, El Nido, Palawan, Philippines; [Jose, Edgar D.; Castro, Lyca Sandrea G.] Western Philippines Univ, Puerto Princesa Campus, Puerto Princesa, Palawan, Philippines; [Gonzalez, Jeric B.] Romblon State Univ, San Agustin Campus, Odiongan, Romblon, Philippines</t>
  </si>
  <si>
    <t>Marler, PN (corresponding author), Ctr Sustainabil PH Inc, PENRO Rd, Puerto Princesa 5300, Palawan, Philippines.</t>
  </si>
  <si>
    <t>pariscsph@gmail.com</t>
  </si>
  <si>
    <t>gonzalez, jeric/JYP-4647-2024</t>
  </si>
  <si>
    <t>gonzalez, jeric/0000-0002-1701-5247; Marler, Paris/0000-0002-6240-4823; Dela Fuente Jose, Edgar/0009-0008-9193-0698</t>
  </si>
  <si>
    <t>Global Wildlife Conservancy; Rainforest Trust; Amphibian Survival Alliance; GIZ; Idea Wild</t>
  </si>
  <si>
    <t>Global Wildlife Conservancy, Rainforest Trust, Amphibian Survival Alliance, GIZ, and Idea Wild provided funding for the fieldwork and equipment. We thank the Palawan Centre for Sustainable Development (PCSD) for granting permits to make this research possible. This expedition was made possible by PCSD's Wildlife Gratuitous Permit 2014-15. Special thanks to the Western Philippines University and Centre for Sustainability PH, Inc for providing the needed resources and leadership for this endeavor. Gratitude also goes to the Batak and Tagbanua tribes for leading us in their forests and sharing their knowledge of the animals inhabiting their home.</t>
  </si>
  <si>
    <t>WESTERN PHILIPPINES UNIV</t>
  </si>
  <si>
    <t>PALAWAN</t>
  </si>
  <si>
    <t>ABORIAN, PALAWAN, 00000, PHILIPPINES</t>
  </si>
  <si>
    <t>2467-5903</t>
  </si>
  <si>
    <t>PALAWAN SCI</t>
  </si>
  <si>
    <t>Palawan Sci.</t>
  </si>
  <si>
    <t>Emerging Sources Citation Index (ESCI)</t>
  </si>
  <si>
    <t>GO8YK</t>
  </si>
  <si>
    <t>WOS:000440388800006</t>
  </si>
  <si>
    <t>Sauder, JD; Rachlow, JL</t>
  </si>
  <si>
    <t>Sauder, Joel D.; Rachlow, Janet L.</t>
  </si>
  <si>
    <t>Fisher; Pekania pennanti; Habitat selection; Forest pattern; Heterogeneity; Home range</t>
  </si>
  <si>
    <t>MARTES-PENNANTI; SCALE; MOUNTAINS; MODELS; COVER</t>
  </si>
  <si>
    <t>Habitat selection by animals occurs across a wide range of spatial and temporal scales. Information about habitat requirements across scales is needed to develop effective habitat management strategies that promote wildlife conservation. The fisher (Pekania pennanti) is a wide ranging mesocarnivore that occurs at low population densities, uses large tracts of forested land, and has been repeatedly petitioned for listing under the Endangered Species Act, primarily due to habitat loss. Although habitat selection by fishers at fine and broad spatial scales has been studied, selection at scales between these extremes is poorly reported in the literature. We used data from 18 fishers fitted with Argos satellite telemetry collars to evaluate two competing hypotheses about habitat selection by fishers within home ranges: fishers select core use areas based on (1) abundant and contiguous Mature forest, or (2) heterogeneity and diversity of habitats. We identified core and peripheral use areas within home ranges using an optimal isopleth analysis, and we evaluated a suite of a priori models that described how forest composition and configuration might influence habitat selection within home ranges. Results indicated that core use areas were composed of intermediate amounts of both landscape edge and high canopy cover forest. Such selection potentially facilitates access to a diverse array of resources. Overall, our results supported the hypothesis that fishers select core use areas within home ranges based on habitat heterogeneity and diversity. Because most forest management occurs at a scale similar to our analysis, these results contribute to a better understanding about how forest management strategies can facilitate persistence of fishers in managed forest landscapes. (C) 2015 Elsevier B.V. All rights reserved.</t>
  </si>
  <si>
    <t>[Sauder, Joel D.] Idaho Dept Fish &amp; Game, Lewiston, ID 83501 USA; [Sauder, Joel D.; Rachlow, Janet L.] Univ Idaho, Dept Fish &amp; Wildlife Sci, Moscow, ID 83844 USA</t>
  </si>
  <si>
    <t>University of Idaho</t>
  </si>
  <si>
    <t>Sauder, JD (corresponding author), Idaho Dept Fish &amp; Game, 3316 16th St, Lewiston, ID 83501 USA.</t>
  </si>
  <si>
    <t>joel.sauder@idfg.idaho.gov; jrachlow@uidaho.edu</t>
  </si>
  <si>
    <t>Idaho Department of Fish and Game; Potlatch Corporation; University of Idaho; Idaho Conservation League; Yellowstone to Yukon Initiative; National Council for Air and Stream Improvement; Clearwater National Forest</t>
  </si>
  <si>
    <t>Funding for this project was provided by the Idaho Department of Fish and Game, Potlatch Corporation, the University of Idaho, the Idaho Conservation League, the Yellowstone to Yukon Initiative, the National Council for Air and Stream Improvement, and the Clearwater National Forest. O. Garton, L Vierling, and W. Melquist were instrumental in the design of the project and revising this manuscript. B. Moser, M. Houser, and J. Oppenheimer provided substantial support for the project and M. Wiest provided statistical assistance. R. Wilson graciously provided help and R code for the optimal isopleth analysis. C. Claire, T. Hinck, R. Fortier, N. Stone, B. Bickford, N. Albrecht, and C. Heuser were priceless in the effort to collar fishers for this study. M. Schwartz and J. Lewis provided many helpful discussions on fishers, fisher habitat, and fisher conservation in the Northern Rockies.</t>
  </si>
  <si>
    <t>JUL 1</t>
  </si>
  <si>
    <t>10.1016/j.foreco.2015.03.009</t>
  </si>
  <si>
    <t>CI2LR</t>
  </si>
  <si>
    <t>WOS:000354579600005</t>
  </si>
  <si>
    <t>Rozhnov, VV; Pishchulina, SL; Meschersky, IG; Simakin, LV; Lazebny, OE; Kashtanov, SN</t>
  </si>
  <si>
    <t>Rozhnov, V. V.; Pishchulina, S. L.; Meschersky, I. G.; Simakin, L. V.; Lazebny, O. E.; Kashtanov, S. N.</t>
  </si>
  <si>
    <t>RUSSIAN JOURNAL OF GENETICS</t>
  </si>
  <si>
    <t>MUSTELIDAE; DIVERSITY</t>
  </si>
  <si>
    <t>The phylogeography of the sable, which is a commercially valuable species, is extremely complicated and poorly investigated. Specifically, the effects of factors such as the range dynamics of the sable during the Pleistocene Epoch, the localization of glacial refugia, species distribution pattern in Holocene, and recent dramatic population decline, along with massive reacclimatization measures, on the species phylogeography remain unclear. Based on the sequence analysis of the control region of mitochondrial DNA from sables that inhabit different parts of the species range, a suggestion was made of the considerably high Pleistocene genetic diversity in sable, which was subsequently lost. The initial diversity of mitochondrial lineages is mostly preserved in the Urals, while in the eastern part of the range, it seems to have been depleted as early as before the last glacial maximum. On the other hand, the even greater depletion of the mitochondrial lineages observed in some populations of central Siberia can be associated with the dramatic population decline at the turn of the 20th century.</t>
  </si>
  <si>
    <t>[Rozhnov, V. V.; Pishchulina, S. L.; Meschersky, I. G.] Russian Acad Sci, Severtsov Inst Ecol &amp; Evolut, Moscow 119071, Russia; [Simakin, L. V.] Pechoro Ilychskii Biosphere Reserve, Yaksha 169436, Komi Republic, Russia; [Lazebny, O. E.] Russian Acad Sci, Koltsov Inst Dev Biol, Moscow 119334, Russia; [Kashtanov, S. N.] Russian Acad Sci, Vavilov Inst Gen Genet, Moscow 119991, Russia</t>
  </si>
  <si>
    <t>Russian Academy of Sciences; Saratov Scientific Center of the Russian Academy of Sciences; Severtsov Institute of Ecology &amp; Evolution; Russian Academy of Sciences; Koltzov Institute of Developmental Biology of the Russian Academy of Sciences; Russian Academy of Sciences; Vavilov Institute of General Genetics</t>
  </si>
  <si>
    <t>Rozhnov, VV (corresponding author), Russian Acad Sci, Severtsov Inst Ecol &amp; Evolut, Moscow 119071, Russia.</t>
  </si>
  <si>
    <t>molecoldna@gmail.com</t>
  </si>
  <si>
    <t>Lazebny, Oleg/R-9208-2016; Simakin, Leonid/ABB-4731-2021; Kashtanov, Sergey/J-5337-2018; Meschersky, Ilya/V-1269-2017; Rozhnov, Viatcheslav/AAC-3563-2022</t>
  </si>
  <si>
    <t>Kashtanov, Sergey/0000-0003-4256-8510; Meschersky, Ilya/0000-0003-4739-3342; Rozhnov, Viatcheslav/0000-0002-2142-0763</t>
  </si>
  <si>
    <t>Basic Research Program of the Presidium of Russian Academy of Sciences; Federal Targeted Program Scientific and Scientific-Pedagogical Personnel of Innovative Russia [14.740.11.0164]; Russian Foundation for Basic Research [10-04-01351a]</t>
  </si>
  <si>
    <t>Basic Research Program of the Presidium of Russian Academy of Sciences(Russian Academy of Sciences); Federal Targeted Program Scientific and Scientific-Pedagogical Personnel of Innovative Russia; Russian Foundation for Basic Research(Russian Foundation for Basic Research (RFBR))</t>
  </si>
  <si>
    <t>This work was supported by the Basic Research Program of the Presidium of Russian Academy of Sciences, Living Nature: State of the Art and Issues of Development; the Grant GK no. 14.740.11.0164, from 15.09.2010, Federal Targeted Program Scientific and Scientific-Pedagogical Personnel of Innovative Russia in 2009-2013 and the Russian Foundation for Basic Research (grant no. 10-04-01351a).</t>
  </si>
  <si>
    <t>PLEIADES PUBLISHING INC</t>
  </si>
  <si>
    <t>PLEIADES HOUSE, 7 W 54 ST, NEW YORK, NY, UNITED STATES</t>
  </si>
  <si>
    <t>1022-7954</t>
  </si>
  <si>
    <t>1608-3369</t>
  </si>
  <si>
    <t>RUSS J GENET+</t>
  </si>
  <si>
    <t>Russ. J. Genet.</t>
  </si>
  <si>
    <t>10.1134/S1022795413020105</t>
  </si>
  <si>
    <t>Genetics &amp; Heredity</t>
  </si>
  <si>
    <t>091FY</t>
  </si>
  <si>
    <t>WOS:000315036000012</t>
  </si>
  <si>
    <t>Pickles, RSA; Groombridge, JJ; Rojas, VDZ; Van Damme, P; Gottelli, D; Ariani, CV; Jordan, WC</t>
  </si>
  <si>
    <t>Pickles, R. S. A.; Groombridge, J. J.; Rojas, V. D. Zambrana; Van Damme, P.; Gottelli, D.; Ariani, C. V.; Jordan, W. C.</t>
  </si>
  <si>
    <t>Gene flow; South America; Genetic bottleneck; Drainage basins; Populations; Evolutionary significant units</t>
  </si>
  <si>
    <t>POLYMORPHIC MICROSATELLITE LOCI; LONTRA-CANADENSIS; RIVER; CONSERVATION; SIZE; DIFFERENTIATION; BIOGEOGRAPHY; INDIVIDUALS; MIGRATION; SOFTWARE</t>
  </si>
  <si>
    <t>We assessed levels of genetic diversity and investigated patterns of population structure in three remnant populations of the endangered giant otter, Pteronura brasiliensis, using microsatellite loci. All populations displayed moderate to low levels of heterozygosity and allelic richness (H-O 0.56-0.57, A(R) 4.00-5.15) and effective population sizes were low (N-E 10.8-54) although only the Itenez population exhibited the signature of a genetic bottleneck. Population structure analyses revealed a pattern in which the populations of the Upper Amazon, Orinoco and Essequibo drainages comprised partially differentiated segments of a northern South American metapopulation, whereas the population of the Itenez appeared isolated. The observed patterns are congruent with previous mitochondrial DNA analysis which suggested the Itenez and northern South American groups constitute two evolutionary significant units. The results presented here should be considered in planning future policies aiming to manage the recovery of the giant otter across its range.</t>
  </si>
  <si>
    <t>[Pickles, R. S. A.; Gottelli, D.; Jordan, W. C.] Zool Soc London, Inst Zool, London NW1 4RY, England; [Pickles, R. S. A.; Groombridge, J. J.] Univ Kent, Durrell Inst Conservat &amp; Ecol, Canterbury CT2 7NR, Kent, England; [Rojas, V. D. Zambrana; Van Damme, P.] Asociaci FaunAgua, Cochabamba 5263, Bolivia; [Ariani, C. V.] Univ Cambridge, Cambridge CB2 3EH, England</t>
  </si>
  <si>
    <t>Zoological Society of London; University of Kent; University of Cambridge</t>
  </si>
  <si>
    <t>Pickles, RSA (corresponding author), Zool Soc London, Inst Zool, Regents Pk, London NW1 4RY, England.</t>
  </si>
  <si>
    <t>rsapickles@hotmail.co.uk</t>
  </si>
  <si>
    <t>Groombridge, Jim/G-8060-2011</t>
  </si>
  <si>
    <t>Groombridge, Jim/0000-0002-6941-8187</t>
  </si>
  <si>
    <t>NERC; Gilchrist Educational Trust; Linnaean Society; ZSL</t>
  </si>
  <si>
    <t>NERC(UK Research &amp; Innovation (UKRI)Natural Environment Research Council (NERC)); Gilchrist Educational Trust; Linnaean Society; ZSL</t>
  </si>
  <si>
    <t>Many thanks go to all the many collaborators who have helped to provide samples for this study especially to Sheila Sykes-Gatz, Nathalie Lindholm, Terry Webb, Volker Gatz, Maribel Recharte, Mark Bowler, Lisa Davenport, Isla Hoffmann-Heap, Adriana Salinas and Niall McCann. Special mention must go to Jessica Groenendijk and Frank Hajek for advice on dispersal in giant otters. This Research was funded by a NERC studentship award, a Gilchrist Educational Trust Expeditions Award, and additional funds from the Linnaean Society's Percy Sladen Memorial Fund and the ZSL Daisy Balogh Travel Award.</t>
  </si>
  <si>
    <t>10.1007/s10592-011-0279-9</t>
  </si>
  <si>
    <t>934VW</t>
  </si>
  <si>
    <t>WOS:000303475800019</t>
  </si>
  <si>
    <t>Rais, M; Khan, MZ; Ghalib, SA; Abbass, D; Khan, WA; Saeed-ul-Islam; Husnain, A</t>
  </si>
  <si>
    <t>Rais, Muhammad; Khan, Muhammad Zaheer; Ghalib, Syed Ali; Abbass, Darakhshan; Khan, Waseem Ahmad; Saeed-ul-Islam; Husnain, Ali</t>
  </si>
  <si>
    <t>PAKISTAN JOURNAL OF ZOOLOGY</t>
  </si>
  <si>
    <t>Nara Canal; status of smooth-coated otter; Sanghar; Thatta</t>
  </si>
  <si>
    <t>Mammals have no parallel in animal kingdom in terms of their adaptability and specializations. Smooth-coated otter (Lutrogale perspicillata) is classified as Vulnerable on the 2005 IUCN Red List of mammals for Pakistan, and is listed on Appendix II of CITES. Direct sightings and indirect records confirmed the presence of smooth-coated otter at Nara Canal and Chotiari Reservoir, District Sangahr and Haleji lake, District Thatta, Sindh. It has been a first record of the direct sightings by any scientific research team in more than a decade. The population seems to comprise of few individuals. It is facing extremely high risk of extinction due to multitude of detrimental factors.</t>
  </si>
  <si>
    <t>[Rais, Muhammad] PMAS Arid Agr Univ, Fac Forestry Range Management &amp; Wildlife, Dept Wildlife Management, Rawalpindi, Pakistan; [Khan, Muhammad Zaheer; Ghalib, Syed Ali; Abbass, Darakhshan] Univ Karachi, Dept Zool, Karachi, Pakistan</t>
  </si>
  <si>
    <t>Arid Agriculture University; University of Karachi</t>
  </si>
  <si>
    <t>Rais, M (corresponding author), PMAS Arid Agr Univ, Fac Forestry Range Management &amp; Wildlife, Dept Wildlife Management, Rawalpindi, Pakistan.</t>
  </si>
  <si>
    <t>sahil@uaar.edu.pk</t>
  </si>
  <si>
    <t>Rais, Muhammad/JLM-6679-2023</t>
  </si>
  <si>
    <t>ZOOLOGICAL SOC PAKISTAN</t>
  </si>
  <si>
    <t>LAHORE</t>
  </si>
  <si>
    <t>UNIV PUNJAB, NEW CAMPUS, C/O DEPT ZOOLOGY, LAHORE, PAKISTAN</t>
  </si>
  <si>
    <t>0030-9923</t>
  </si>
  <si>
    <t>PAK J ZOOL</t>
  </si>
  <si>
    <t>Pak. J. Zool.</t>
  </si>
  <si>
    <t>472KR</t>
  </si>
  <si>
    <t>WOS:000268130200011</t>
  </si>
  <si>
    <t>LODE, T</t>
  </si>
  <si>
    <t>WESTERN FRANCE; OTTERS; POPULATION; HABITAT DESTRUCTION</t>
  </si>
  <si>
    <t>SPRAINTS; MINK; SCOTLAND; FECES; VISON</t>
  </si>
  <si>
    <t>In the Pays de Loire region of western France, a field survey carried out between 1984 and 1991 showed that otter populations decreased over 54.2% of sites and are now highly fragmented. In 1991 only 9.5% of 348 sites produced positive records compared to 20.7% in 1984. The decline was most notable in the larger rivers whereas the relative use of marsh habitat increased. Populations become more vulnerable when riparian vegetation declines. Accidental drowning in eel Anguilla anguilla fyke nets appears to be the major cause of accidental mortality. The scarcity of otter populations is an indication of serious degradation of aquatic ecosystems.</t>
  </si>
  <si>
    <t>LODE, T (corresponding author), UNIV RENNES 1, ETHOL LAB, F-35042 RENNES, FRANCE.</t>
  </si>
  <si>
    <t>10.1016/0006-3207(93)90190-C</t>
  </si>
  <si>
    <t>LH734</t>
  </si>
  <si>
    <t>WOS:A1993LH73400002</t>
  </si>
  <si>
    <t>Mathai, J; Duckworth, JW; Meijaard, E; Fredriksson, G; Hon, J; Sebastian, A; Ancrenaz, M; Hearn, AJ; Ross, J; Cheyne, S; Wilting, A</t>
  </si>
  <si>
    <t>Mathai, John; Duckworth, J. W.; Meijaard, Erik; Fredriksson, Gabriella; Hon, Jason; Sebastian, Anthony; Ancrenaz, Marc; Hearn, Andrew J.; Ross, Joanna; Cheyne, Susan; Wilting, Andreas</t>
  </si>
  <si>
    <t>Borneo Carnivore Consortium</t>
  </si>
  <si>
    <t>Borneo Carnivore Symposium; Brunei; conservation priorities; habitat suitability index; Heart of Borneo; Indonesia; Malaysia; species distribution modelling; survey gaps</t>
  </si>
  <si>
    <t>NATIONAL PROTECTED AREA; LEOPARD NEOFELIS-DIARDI; PREDICTED DISTRIBUTION; SABAH; FOREST; CONTAMINATION; KALIMANTAN; VIVERRIDAE; DIVERSITY; SAFEGUARD</t>
  </si>
  <si>
    <t>Borneo harbours more endemic carnivores than does any other island in the world except Madagascar, and almost half of the Bornean carnivore species have been classified by The IUCN Red List of Threatened Species as globally threatened. Here, a systematic conservation planning framework highlighted key carnivore landscapes, conservation research and intervention priorities, and gaps in current knowledge of Bornean carnivore ecology. All single-species predictive habitat suitability index (HSI) models presented in this issue (20 species, comprising all carnivores on Borneo except otters [Lutrinae] and sun bear Helarctos malayanus) were standardised by converting HSI values into binary maps, and combined to derive species richness maps to discuss and delineate areas of conservation priority. The highest predicted carnivore species richness (defined here as the sum of the binary threshold maps), corresponds to interior lowland, upland and lower montane forest, whereas areas with lowest predicted species richness correspond to coastal lowlands already largely converted to oil palm plantations. The 12 proposed areas of conservation importance for carnivores focus on large landscapes and connectivity between subunits, many centred around the tri-national Heart of Borneo initiative, with additional areas for wetland/lowland species. A large proportion of these proposed conservation landscapes are being exploited for commercial purposes (e.g., logging concessions) and would, therefore, improve in conservation value if their management became more sustainable. The most important research priorities for Bornean carnivores are species resilience to altered and fragmented landscapes; under-surveyed regions; and the effects and relative intensity of hunting across the island. The most pressing conservation interventions include conservation research on the most threatened Bornean carnivores: the Bornean ferret badger Melogale everetti and Hose's civet Diplogale hosei (highland endemics), and the flat-headed cat Prionailurus planiceps and otter civet Cynogale bennettii (wetland specialists). Targeted conservation research and integration of research findings into decision-making, maintaining and restoring connectivity, raising awareness and improving enforcement and governance are also important conservation interventions. Although more resources are needed for conservation and research, the joint effort of scientists, conservationists and government authorities in the identification of key carnivore landscapes, research priorities and conservation issues which this study presents raises hope that more targeted conservation efforts for Bornean carnivores will follow in the future.</t>
  </si>
  <si>
    <t>[Mathai, John] Leibniz Inst Zoo &amp; Wildlife Res, Alfred Kowalke Str 17, D-10315 Berlin, Germany; [Mathai, John] Univ Malaysia Sarawak, IBEC, Kota Samarahan 94300, Sarawak, Malaysia; [Mathai, John] Wildlife Conservat Soc, Malaysia Program, 7 Jalan Ridgeway, Kuching 93200, Sarawak, Malaysia</t>
  </si>
  <si>
    <t>Leibniz Institut fur Zoo und Wildtierforschung; University of Malaysia Sarawak</t>
  </si>
  <si>
    <t>Mathai, J (corresponding author), Leibniz Inst Zoo &amp; Wildlife Res, Alfred Kowalke Str 17, D-10315 Berlin, Germany.;Mathai, J (corresponding author), Univ Malaysia Sarawak, IBEC, Kota Samarahan 94300, Sarawak, Malaysia.;Mathai, J (corresponding author), Wildlife Conservat Soc, Malaysia Program, 7 Jalan Ridgeway, Kuching 93200, Sarawak, Malaysia.</t>
  </si>
  <si>
    <t>johnmathai11@gmail.com</t>
  </si>
  <si>
    <t>Cheyne, Susan/P-2404-2019; Wielstra, Ben/G-3773-2015; Wilting, Aneas/B-1644-2010; Meijaard, Erik/A-2687-2016</t>
  </si>
  <si>
    <t>Wielstra, Ben/0000-0002-7112-5965; Wilting, Aneas/0000-0001-5073-9186;</t>
  </si>
  <si>
    <t>NATL UNIV SINGAPOIRE, FAC SCIENCE,LEE KONG CHIAN NATURAL HISTORY MUSEUM</t>
  </si>
  <si>
    <t>2 Conservatory Drive, Singapore, SINGAPORE</t>
  </si>
  <si>
    <t>2345-7600</t>
  </si>
  <si>
    <t>WOS:000393214300024</t>
  </si>
  <si>
    <t>Tison, JL; Blennow, V; Palkopoulou, E; Gustafsson, P; Roos, A; Dalén, L</t>
  </si>
  <si>
    <t>Tison, Jean-Luc; Blennow, Victor; Palkopoulou, Eleftheria; Gustafsson, Petra; Roos, Anna; Dalen, Love</t>
  </si>
  <si>
    <t>Lutra lutra; Microsatellites; Population structure; Bottleneck; Coalescent simulations</t>
  </si>
  <si>
    <t>ORGANOCHLORINE PESTICIDE-RESIDUES; FISH FUNDULUS-HETEROCLITUS; LUTRA-LUTRA POPULATION; SPATIAL AUTOCORRELATION ANALYSIS; MITOCHONDRIAL CONTROL REGION; MULTILOCUS GENOTYPE DATA; ALLELE FREQUENCY DATA; EUROPEAN OTTER; ENHYDRA-LUTRIS; DNA VARIATION</t>
  </si>
  <si>
    <t>The Eurasian otter (Lutra lutra) population in Sweden went through a drastic decline in population size between the 1950s and 1980s, caused mostly by anthropogenic factors such as high hunting pressure and the introduction of environmental toxic chemicals into the otter's habitats. However, after the bans of PCBs and DDT in the 1970s, the population began to recover in the 1990s. This study compares microsatellite data across twelve loci from historical and contemporary otter samples to investigate whether there has been a change in population structure and genetic diversity across time in various locations throughout Sweden. The results suggest that otters in the south were more severely affected by the bottleneck, demonstrated by a decline in genetic diversity and a shift in genetic composition. In contrast, the genetic composition in otters from northern Sweden remained mostly unchanged, both in terms of population structure and diversity. This suggests that the decline was not uniform across the country. Moreover, our analyses of historical samples provide an overview of the level of genetic variation and population structure that existed prior to the bottleneck, which may be helpful for the future management and conservation of the species.</t>
  </si>
  <si>
    <t>[Tison, Jean-Luc; Blennow, Victor; Palkopoulou, Eleftheria; Gustafsson, Petra; Dalen, Love] Swedish Museum Nat Hist, Dept Bioinformat &amp; Genet, SE-10405 Stockholm, Sweden; [Tison, Jean-Luc] Stockholm Univ, Wenner Gren Inst, Dept Mol Biosci, SE-10691 Stockholm, Sweden; [Blennow, Victor; Palkopoulou, Eleftheria; Gustafsson, Petra] Stockholm Univ, Dept Zool, SE-10691 Stockholm, Sweden; [Roos, Anna] Swedish Museum Nat Hist, Dept Environm Res &amp; Monitoring, SE-10405 Stockholm, Sweden</t>
  </si>
  <si>
    <t>Swedish Museum of Natural History; Stockholm University; Stockholm University; Swedish Museum of Natural History</t>
  </si>
  <si>
    <t>Tison, JL (corresponding author), Swedish Museum Nat Hist, Dept Bioinformat &amp; Genet, SE-10405 Stockholm, Sweden.</t>
  </si>
  <si>
    <t>jeanluc.tison@gmail.com</t>
  </si>
  <si>
    <t>Tison, Jean-Luc/HKF-2531-2023; Palkopoulou, Eleftheria/JMC-5245-2023; Dalén, Love/A-6686-2008</t>
  </si>
  <si>
    <t>Tison, Jean-Luc/0000-0001-7777-4133; Dalén, Love/0000-0001-8270-7613</t>
  </si>
  <si>
    <t>Swedish Research Council</t>
  </si>
  <si>
    <t>Swedish Research Council(Swedish Research Council)</t>
  </si>
  <si>
    <t>We are grateful to Daniela Kalthoff (Swedish Museum of Natural History, Stockholm) and Friederike Johansson (Goteborg Museum of Natural History) for providing the museum samples for the DNA analysis. We also thank Nils Ryman, Olle Karlsson and Ulf Jondelius for comments on an earlier version of the manuscript. This work was supported by a grant from the Swedish Research Council to LD.</t>
  </si>
  <si>
    <t>10.1007/s10592-014-0664-2</t>
  </si>
  <si>
    <t>CD7RA</t>
  </si>
  <si>
    <t>WOS:000351287400010</t>
  </si>
  <si>
    <t>Zabala, J; Zuberogoitia, I; Garin, I; Aihartza, J</t>
  </si>
  <si>
    <t>JOURNAL OF ZOOLOGY</t>
  </si>
  <si>
    <t>European mink; Mustela lutreola; denning behaviour; bramble thickets; semi-aquatic carnivore; riverbank management; conservation; south-western Europe</t>
  </si>
  <si>
    <t>BIALOWIEZA NATIONAL-PARK; MARTEN MARTES MARTES; WINTER HOME RANGES; PINE MARTEN; POLECATS; PUTORIUS; VISON; MOVEMENTS; DYNAMICS; PATTERNS</t>
  </si>
  <si>
    <t>Habitat change is one of the main factors influencing the decline of the western population of European mink Mustela lutreola, but data on habitat selection are scarce. Landscape features influencing selection of habitat and resting sites of male European mink were studied using radio-tracking. None of the habitat descriptors accounted for the habitat selection of European mink during their activity periods. On the other hand, resting site selection was correlated with the presence of bramble patches. Intensive use of bramble patches is explained as a consequence of the need of mink for protection against predators. Moreover, the high availability of bramble patches provides the mink with easy resting sites.</t>
  </si>
  <si>
    <t>Univ Basque Country, Fac Sci, Dept Zool &amp; Anim Cellular Dynam, E-48480 Bilbao, Spain</t>
  </si>
  <si>
    <t>University of Basque Country</t>
  </si>
  <si>
    <t>Zabala, J (corresponding author), Sebero Otxoa 45,5 B, Biscay 48480, Basque Country, Spain.</t>
  </si>
  <si>
    <t>jzabalaalbizua@yahoo.com</t>
  </si>
  <si>
    <t>Aihartza, Joxerra/Z-3061-2019; Garin, Inazio/B-8115-2009; Iñigo, Zuberogoitia/H-5062-2019; Zabala, Jabi/B-8157-2009</t>
  </si>
  <si>
    <t>Aihartza, Joxerra/0000-0003-0882-8964; Zabala, Jabi/0000-0002-1425-1594;</t>
  </si>
  <si>
    <t>0952-8369</t>
  </si>
  <si>
    <t>1469-7998</t>
  </si>
  <si>
    <t>J ZOOL</t>
  </si>
  <si>
    <t>J. Zool.</t>
  </si>
  <si>
    <t>10.1017/S0952836903003881</t>
  </si>
  <si>
    <t>714HR</t>
  </si>
  <si>
    <t>WOS:000184908100009</t>
  </si>
  <si>
    <t>Lehoczky, I; Dalton, DL; Lanszki, J; Sallai, Z; Madisha, MT; Nupen, LJ; Kotzé, A</t>
  </si>
  <si>
    <t>Lehoczky, Istvan; Dalton, Desire L.; Lanszki, Jozseff; Sallai, Zoltan; Madisha, M. Thabang; Nupen, Lisa J.; Kotze, Antoinette</t>
  </si>
  <si>
    <t>Eurasian otter; genetic diversity; Hungary; Lutra lutra; microsatellites</t>
  </si>
  <si>
    <t>SEX-BIASED DISPERSAL; LUTRA-LUTRA; GENETIC-STRUCTURE; SOFTWARE; RIVER; FLOW; PROGRAM; DECLINE</t>
  </si>
  <si>
    <t>The Eurasian otter (Lutra lutra) is widely distributed in Europe and has been down-listed from Vulnerable to Near Threatened on the IUCN Red List in 2004 following successful conservation interventions. River otter recoveries were driven by active and passive protection of wetlands and a decrease in environmental pollutants. In Hungary, although otter populations have been stable in recent decades, there is little information available regarding genetic diversity, population genetic or phylogeographic structure, and potential barriers affecting gene flow. This study, therefore, aimed to determine genetic diversity and structure across the range of this species in Hungary. To achieve this, we analyzed 255 tissue samples collected since 2002, mainly from road-kill incidents, in various regions of Hungary. We found a relatively high level of genetic diversity in Hungarian otter populations (expected heterozygosity: 0.69-0.74; mean number of alleles per locus: 6.8-7.7). At a regional level, we identified 2 distinct genetic clusters corresponding to 2 river basins (Danube and Tisza). We also identified isolation by distance and patterns of genetic differentiation that appear to reflect population divergence of otters that are spatially restricted to one of these 2 river basins. Our results show the strong influence of river networks on population structure and genetic divergence in otters and provide a framework for the development of conservation management plans for otters in Hungary.</t>
  </si>
  <si>
    <t>[Lehoczky, Istvan] Ctr Farm Anim Gene Conservat, H-2100 Godollo, Hungary; [Dalton, Desire L.; Madisha, M. Thabang; Nupen, Lisa J.; Kotze, Antoinette] Natl Zool Gardens South Africa, ZA-0001 Pretoria, South Africa; [Dalton, Desire L.; Kotze, Antoinette] Univ Orange Free State, Dept Genet, ZA-9300 Bloemfontein, South Africa; [Lanszki, Jozseff] Kaposvar Univ, Nat Conservat Dept, H-7401 Kaposvar, Hungary; [Sallai, Zoltan] Hortobagy Natl Pk Directorate, H-4002 Debrecen, Hungary</t>
  </si>
  <si>
    <t>National Research Foundation - South Africa; National Zoological Gardens of South Africa; University of the Free State; Hungarian University of Agriculture &amp; Life Sciences; Kaposvar University</t>
  </si>
  <si>
    <t>Dalton, DL (corresponding author), Natl Zool Gardens South Africa, POB 754, ZA-0001 Pretoria, South Africa.</t>
  </si>
  <si>
    <t>desire@nzg.ac.za</t>
  </si>
  <si>
    <t>; Lanszki, Jozsef/AAN-1013-2020</t>
  </si>
  <si>
    <t>Nupen, Lisa/0000-0003-1030-6057; Lanszki, József/0000-0002-2067-6601; Dalton, Desire Lee/0000-0001-5975-6425; Madisha, M Thabang/0000-0002-7295-9283</t>
  </si>
  <si>
    <t>National Research Foundation in South Africa; National Innovation Office in Hungary [OMFB-00542/2010]; Orszagos Tudomanyos Kutatasi Alapprogramok [K62216]; Bolyai Scholarship [BO/00111/11/4]</t>
  </si>
  <si>
    <t>National Research Foundation in South Africa(National Research Foundation - South Africa); National Innovation Office in Hungary; Orszagos Tudomanyos Kutatasi Alapprogramok(Orszagos Tudomanyos Kutatasi Alapprogramok (OTKA)); Bolyai Scholarship(Hungarian Academy of Sciences)</t>
  </si>
  <si>
    <t>This study would not have been possible without the joint research grant under the South African/Hungarian agreement on cooperation in science and technology. We thank the National Research Foundation in South Africa and the National Innovation Office (OMFB-00542/2010) in Hungary for their support and funding. The study was further supported by the Orszagos Tudomanyos Kutatasi Alapprogramok (K62216) and Bolyai Scholarship (BO/00111/11/4).</t>
  </si>
  <si>
    <t>10.1093/jmammal/gyv136</t>
  </si>
  <si>
    <t>CY4PF</t>
  </si>
  <si>
    <t>WOS:000366389800016</t>
  </si>
  <si>
    <t>Cohen, TM; Narkiss, T; Dolev, A; Ben-Ari, Y; Kronfeld-Schor, N; Guter, A; Saltz, D; Bar-Gal, GK</t>
  </si>
  <si>
    <t>Cohen, Tali Magory; Narkiss, Tamar; Dolev, Amit; Ben-Ari, Yossi; Kronfeld-Schor, Noga; Guter, Amichai; Saltz, David; Bar-Gal, Gila Kahila</t>
  </si>
  <si>
    <t>conservation genetics; Israeli otter population; microsatellites; spraint</t>
  </si>
  <si>
    <t>HABITAT FRAGMENTATION; MICROSATELLITE DNA; CONSERVATION; DECLINE; SOFTWARE; FLOW; CONSEQUENCES; PURIFICATION; EXTINCTION; BRITAIN</t>
  </si>
  <si>
    <t>The Israeli population of Eurasian otter (Lutra lutra) marks the Palearctic southern boundary of the species' distribution in the Levant. During the 20th century, the otter population in Israel experienced a dramatic decline due to anthropogenic habitat alterations. Currently, the otter population in Israel is estimated at about 100 individuals and defined as Critically Endangered. The aim of this research was to characterize the Israeli otter population in order to determine its genetic diversity and fragmentation state for conservation purposes. Monitoring spraint sites during 20002011 along active and historic otter distribution regions indicate both stable and unstable otter subpopulations, mainly along the Jordan River. Four otter subpopulations, representing 57 individuals, were characterized by 12 microsatellites, previously used to characterize the European otter populations. The genetic results indicated three subpopulations correlating with three geographical regions: the Hula Valley, Sea of Galilee, and the Harod Valley. A moderate genetic diversity (F-st 0.0870.123) was found among the subpopulations, suggesting sporadic interactions between individuals from distinct geographical locations along the Jordan Rift Valley. The Israeli otter population was found to be very small, demographically remote and genetically distinct, harboring unique alleles absent from the studied European populations. Therefore, immediate conservation actions are recommended to prevent the deterioration of the isolated, unique, and critically endangered otter population in Israel.</t>
  </si>
  <si>
    <t>[Cohen, Tali Magory; Narkiss, Tamar; Bar-Gal, Gila Kahila] Hebrew Univ Jerusalem, Koret Sch Vet Med, Robert H Smith Fac Agr Food &amp; Environm, IL-76100 Rehovot, Israel; [Dolev, Amit; Guter, Amichai] Israel Mammal Res Ctr, Soc Protect Nat Israel, IL-66183 Tel Aviv, Israel; [Ben-Ari, Yossi; Kronfeld-Schor, Noga] Tel Aviv Univ, Dept Zool, IL-69978 Tel Aviv, Israel; [Saltz, David] Ben Gurion Univ Negev, Jacob Blaustein Inst Desert Res, Mitrani Dept Desert Ecol, IL-84105 Beer Sheva, Israel</t>
  </si>
  <si>
    <t>Hebrew University of Jerusalem; Tel Aviv University; Ben-Gurion University of the Negev</t>
  </si>
  <si>
    <t>Bar-Gal, GK (corresponding author), Hebrew Univ Jerusalem, Koret Sch Vet Med, Robert H Smith Fac Agr Food &amp; Environm, IL-76100 Rehovot, Israel.</t>
  </si>
  <si>
    <t>bargal@agri.huji.ac.il</t>
  </si>
  <si>
    <t>Kahila Bar-Gal, Gila/IXW-5379-2023; Cohen, Tali/ABI-7795-2020; Saltz, David/AAC-7054-2019; Kronfeld-Schor, Noga/AAU-3792-2020</t>
  </si>
  <si>
    <t>Saltz, David/0000-0002-7437-0472; Kronfeld-Schor, Noga/0000-0002-5224-3341</t>
  </si>
  <si>
    <t>Israel Mammal Research Centre; Israel Mammal Research Centre, Society for the Protection of Nature in Israel</t>
  </si>
  <si>
    <t>This work was partially supported by a grant from the Israel Mammal Research Centre, Society for the Protection of Nature in Israel.</t>
  </si>
  <si>
    <t>MAR-APR</t>
  </si>
  <si>
    <t>10.1093/jhered/ess094</t>
  </si>
  <si>
    <t>092XI</t>
  </si>
  <si>
    <t>WOS:000315155900004</t>
  </si>
  <si>
    <t>Martin, EA; Heurich, M; Müller, J; Bufka, L; Bubliy, O; Fickel, J</t>
  </si>
  <si>
    <t>Martin, Edith Andrea; Heurich, Marco; Mueller, Joerg; Bufka, Ludek; Bubliy, Oleg; Fickel, Joerns</t>
  </si>
  <si>
    <t>Eurasian otter; Bohemian forest ecosystem</t>
  </si>
  <si>
    <t>COMPUTER-PROGRAM; INDIVIDUAL IDENTIFICATION; MICROSATELLITE LOCI; DNA; SUCCESS; MARKERS; FECES; AMPLIFICATION; SOFTWARE; SAMPLE</t>
  </si>
  <si>
    <t>Even though recent years have shown a slow recovery of the Eurasian otter (Lutra lutra) populations from their previous lows, the species is still highly endangered in most parts of its European distribution range. Surprisingly, only a few studies have so far assessed the species' genetic variability and population density, and they have mostly been carried out only in small territories. In Germany, most otter populations live in protected areas whose management urgently needs data on population sizes and densities as well as on genetic variability of the species under their custody. Thus, we analyzed genetic variability and assessed size and density of the otter population in the Bohemian Forest Ecosystem, an area that had not been included in the few previous molecular studies. The study area comprised of 1500 km(2), divided into fifteen squares of 10 x 10 km2, each of which was sampled in two collection periods. Overall we collected 261 fecal samples (spraints), of which 60 (23%) could be genotyped at least at eight microsatellite loci, yielding 38 distinct otter genotypes. The low genotyping success rate was the result of high ambient temperature at the time of sampling rather than that of high humidity. The population did not show signs of a past bottleneck, indicating a small yet stable population size. Population size was estimated to be 118 (CI95% 64-163) individuals, with a mean density of 1 animal per 8.5 km(2) or 3.1 km river length. Our results imply that hunting, requested by local fishpond owners, should remain banned to avoid a decline in (effective) population size. (C) 2016 Deutsche Gesellschaft fiir Saugetierkunde. Published by Elsevier GmbH. All rights reserved.</t>
  </si>
  <si>
    <t>[Martin, Edith Andrea] Tech Univ Munich, Sci Ctr Weihenstephan, Alte Akad 8, D-85354 Freising Weihenstephan, Germany; [Heurich, Marco; Bubliy, Oleg; Fickel, Joerns] Leibniz Inst Zoo &amp; Wildlife Res Berlin, Dept Evolutionary Genet, Alfred Kowalke Str 17, D-10315 Berlin, Germany; [Martin, Edith Andrea; Heurich, Marco; Mueller, Joerg] Bavarian Forest Natl Pk, Freyunger Str 2, D-94481 Grafenau, Germany; [Heurich, Marco] Albert Ludwigs Univ Freiburg, Chair Wildlife Ecol &amp; Management, Tennenbacher Str 4, D-79106 Freiburg, Germany; [Mueller, Joerg] Univ Wurzburg, Bioctr, Dept Anim Ecol &amp; Trop Biol, Field Stn Fabrikschleichach, Glashuttenstr 5, D-96181 Rauhenebrach, Germany; [Bufka, Ludek] Sumava Natl Pk, 1 Maje 260, CZ-38501 Vimperk, Czech Republic; [Fickel, Joerns] Potsdam Univ, Inst Biochem &amp; Biol, Karl Liebknecht Str 24-25, D-14476 Potsdam, Germany</t>
  </si>
  <si>
    <t>Technical University of Munich; Leibniz Institut fur Zoo und Wildtierforschung; University of Freiburg; University of Wurzburg; University of Potsdam</t>
  </si>
  <si>
    <t>Fickel, J (corresponding author), Leibniz Inst Zoo &amp; Wildlife Res Berlin, Dept Evolutionary Genet, Alfred Kowalke Str 17, D-10315 Berlin, Germany.</t>
  </si>
  <si>
    <t>Fickel@IZW-Berlin.de</t>
  </si>
  <si>
    <t>Onufrieva, Ksenia/A-4609-2008; Heurich, Marco/O-4653-2014</t>
  </si>
  <si>
    <t>Heurich, Marco/0000-0003-0051-2930</t>
  </si>
  <si>
    <t>Bavarian State Institute of Forestry (LWF); Bavarian State Office for Environment (LFU); government of Lower Bavaria; Leibniz-Association [SAW-2011-SGN-3]</t>
  </si>
  <si>
    <t>Bavarian State Institute of Forestry (LWF); Bavarian State Office for Environment (LFU); government of Lower Bavaria; Leibniz-Association</t>
  </si>
  <si>
    <t>We thank U. Markel, D. Weitowitz, N. Magg, St. Jager, and J. Wertheimer from the Bavarian Forest National Park and I. Auer from the Bavarian Forest Nature Park for their help during sample collection and M. Schwaiger and H. Burghart for their advice in marking point selection. T. Noventa (IZW) provided technical help and A. Schramm from the Water Management Office Deggendorf calculated water body lengths on the German side of the study area. The map was generated by Miller Dunn based on a Europe map from Eurostat (ec.europa.eu/eurostat/). The work was supported by the Bavarian State Institute of Forestry (LWF), the Bavarian State Office for Environment (LFU), the government of Lower Bavaria, and the Leibniz-Association (Grant SAW-2011-SGN-3). We thank K. A. Brune for improving the manuscript linguistically. We also thank all reviewers of previous versions of the manuscript for their truly helpful comments and suggestions.</t>
  </si>
  <si>
    <t>ELSEVIER GMBH, URBAN &amp; FISCHER VERLAG</t>
  </si>
  <si>
    <t>JENA</t>
  </si>
  <si>
    <t>OFFICE JENA, P O BOX 100537, 07705 JENA, GERMANY</t>
  </si>
  <si>
    <t>10.1016/j.mambio.2016.12.001</t>
  </si>
  <si>
    <t>FJ9WO</t>
  </si>
  <si>
    <t>WOS:000413132400007</t>
  </si>
  <si>
    <t>Carone, TM; Guisan, A; Cianfrani, C; Simoniello, T; Loy, A; Carranza, ML</t>
  </si>
  <si>
    <t>Carone, Teresa Maria; Guisan, Antoine; Cianfrani, Carmen; Simoniello, Tiziana; Loy, Anna; Carranza, Maria Laura</t>
  </si>
  <si>
    <t>ECOLOGICAL MODELLING</t>
  </si>
  <si>
    <t>Multitemporal species distribution modeling; Otter; Italy</t>
  </si>
  <si>
    <t>LUTRA-LUTRA POPULATION; HABITAT SUITABILITY; SEMIAQUATIC VERTEBRATES; CONSERVATION; DYNAMICS; SCALE; FRAGMENTATION; AVAILABILITY; CONNECTIVITY; PREDICTION</t>
  </si>
  <si>
    <t>We analyzed the relationship between changes in land cover patterns and the Eurasian otter occurrence in southern Italy over the course of approximately 20 years (1985-2006) using multi-temporal species distribution models (SDMs). The study area includes five river catchments covering most of the otter's Italian range. Land cover and topographic data were used as proxies for the ecological requirements of the otter within a 300-m buffer around river courses. We used species presence, pseudo-absence data, and environmental predictors to build past (1985) and current (2006) SDMs by applying an ensemble procedure through the BIOMOD modeling package. The performance of each model was evaluated by measuring the area under the curve (AUC) of the receiver-operating characteristic (ROC). Multi-temporal analysis of species distribution was performed by comparing the maps produced for 1985 and 2006. The ensemble procedure provided good overall modeling accuracy, revealing that elevation and slope affected the otter's distribution in the past; in contrast, land cover predictors, such as cultivations and forests, were more important in the present period. During the transition period, 20.5% of the area became suitable, with 76% of the new otter presence data being located in these newly available areas. The multi-temporal analysis suggested that the quality of otter habitat improved in the past 20 years due to the expansion of forests and to the reduction of cultivated fields in riparian belts. This evidence stresses the great potential of riverine habitat restoration and environmental management in supporting the future expansion of the otter in Italy. (C) 2013 Elsevier B.V. All rights reserved.</t>
  </si>
  <si>
    <t>[Carone, Teresa Maria; Loy, Anna; Carranza, Maria Laura] Univ Molise, Dept Biosci &amp; Terr, Envix Lab, I-86090 Pesche, IS, Italy; [Guisan, Antoine; Cianfrani, Carmen] Univ Lausanne, Dept Ecol &amp; Evolut, CH-1015 Lausanne, Switzerland; [Simoniello, Tiziana] Italian Natl Res Council CNR, IMAA, I-85050 Tito, PZ, Italy</t>
  </si>
  <si>
    <t>University of Molise; University of Lausanne; Consiglio Nazionale delle Ricerche (CNR); Istituto di Metodologie per l'Analisi Ambientale (IMAA-CNR); Istituto di Neuroscienze (IN-CNR)</t>
  </si>
  <si>
    <t>Loy, A (corresponding author), Univ Molise, Dept Biosci &amp; Terr, Envix Lab, I-86090 Pesche, IS, Italy.</t>
  </si>
  <si>
    <t>Simoniello, Tiziana/J-9061-2019; Guisan, Antoine/A-1057-2011; Carranza, Maria Laura/E-7698-2012; Carone, Maria Teresa/JRX-7002-2023</t>
  </si>
  <si>
    <t>Simoniello, Tiziana/0000-0002-4287-2400; Guisan, Antoine/0000-0002-3998-4815; Carranza, Maria Laura/0000-0001-5753-890X; Carone, Maria Teresa/0000-0001-7145-6425</t>
  </si>
  <si>
    <t>0304-3800</t>
  </si>
  <si>
    <t>1872-7026</t>
  </si>
  <si>
    <t>ECOL MODEL</t>
  </si>
  <si>
    <t>Ecol. Model.</t>
  </si>
  <si>
    <t>FEB 24</t>
  </si>
  <si>
    <t>10.1016/j.ecolmodel.2013.11.027</t>
  </si>
  <si>
    <t>AA5TH</t>
  </si>
  <si>
    <t>WOS:000331162000003</t>
  </si>
  <si>
    <t>Randi, E; Davoli, F; Pierpaoli, M; Pertoldi, C; Madsen, AB; Loeschcke, V</t>
  </si>
  <si>
    <t>ANIMAL CONSERVATION</t>
  </si>
  <si>
    <t>MITOCHONDRIAL-DNA; EURASIAN OTTER; WILD; MICROSATELLITES; DECLINE; FLOW</t>
  </si>
  <si>
    <t>During the twentieth century otter (Lutra lutra) populations in central and western Europe declined and became fragmented because of habitat alterations, chemical pollution and direct persecution. In this study we used microsatellites to describe spatial patterns of genetic diversity and subdivision in otters from eight populations in Europe. Genetic diversity was moderately high within populations (He = 0.45-0.77), and significantly partitioned among locations (F-ST = 0.17; R-ST = 0.16; P &lt; 0.001). A Bayesian cluster analysis of multilocus genotypes assigned individuals to seven genetically distinct groups, which were partly concordant with the geographical origin of the samples. An assignment test of the individuals to the populations showed that the Danish and, to a lesser extent, the Spanish populations were unique and distinct. whereas the other populations were partially admixed. Inference of past demographic fluctuations from coalescent analysis suggested that otter populations probably declined several thousand years ago, with the exception of the Irish population for which no such decline could be detected. No genetic evidence for recent bottlenecks was found. The historical decline could stem from post-glacial founding events and recolonization of northern Europe after the last glacial maximum, or from more recent dry stages in the early Holocene in central Europe. On the basis of these results, we recommend that recovery plans should promote the expansion of existing natural populations through improvements of river and wetland habitats.</t>
  </si>
  <si>
    <t>Ist Nazl Fauna Selvat, I-40064 Ozzano Dell Emilia, Bo, Italy; Natl Environm Res Inst, Dept Landscape Ecol, Ronde, Denmark; Univ Aarhus, Dept Ecol &amp; Genet, DK-8000 Aarhus C, Denmark; La Trobe Univ, Inst Adv Study, Bundoora, Vic 3086, Australia</t>
  </si>
  <si>
    <t>Italian Institute for Environmental Protection &amp; Research (ISPRA); Aarhus University; Danish National Environmental Research Institute; Aarhus University; La Trobe University</t>
  </si>
  <si>
    <t>Randi, E (corresponding author), Ist Nazl Fauna Selvat, Via Ca Fornacetta 9, I-40064 Ozzano Dell Emilia, Bo, Italy.</t>
  </si>
  <si>
    <t>met0217@iperbole.bo.it</t>
  </si>
  <si>
    <t>; Loeschcke, Volker/J-2527-2013; Davoli, Francesca/ABE-3881-2020; Randi, Ettore/HOC-4300-2023</t>
  </si>
  <si>
    <t>Madsen, Aksel Bo/0000-0001-7274-586X; Loeschcke, Volker/0000-0003-1450-0754; Davoli, Francesca/0000-0003-3231-2415;</t>
  </si>
  <si>
    <t>1367-9430</t>
  </si>
  <si>
    <t>1469-1795</t>
  </si>
  <si>
    <t>ANIM CONSERV</t>
  </si>
  <si>
    <t>Anim. Conserv.</t>
  </si>
  <si>
    <t>10.1017/S1367943003003123</t>
  </si>
  <si>
    <t>688XB</t>
  </si>
  <si>
    <t>WOS:000183461600001</t>
  </si>
  <si>
    <t>Latch, EK; Scognamillo, DG; Fike, JA; Chamberlain, MJ; Rhodes, OE</t>
  </si>
  <si>
    <t>Latch, Emily K.; Scognamillo, Daniel G.; Fike, Jennifer A.; Chamberlain, Michael J.; Rhodes, Olin E., Jr.</t>
  </si>
  <si>
    <t>POLYMORPHIC MICROSATELLITE LOCI; FALSE DISCOVERY RATE; SOFTWARE; COASTAL; CONSERVATION; POPULATIONS; BONFERRONI; ASSIGNMENT; DIVERSITY; INFERENCE</t>
  </si>
  <si>
    <t>For North American river otters (Lontra canadensis) in Louisiana, statewide distribution, availability of aquatic habitats, and the absence of physical barriers to dispersal might suggest that they exist as a large, panmictic population. However, the wide variety of habitat types in this region, and the dynamic nature of these habitats over time, could potentially structure river otter populations in accordance with cryptic landscape features. Recently developed landscape genetic models offer a spatially explicit approach that could be useful in identifying potential barriers to the movement of river otters through the dynamic aquatic landscape of Louisiana. We used georeferenced multilocus microsatellite genotypes in spatially implicit (STRUCTURE) and spatially explicit (GENELAND) models to characterize patterns of landscape genetic structure. All models identified 3 subpopulations of river otters in Louisiana, corresponding to Inland, Atchafalaya River, and Mississippi River regions. Variation in breeding seasonality, brought about by variation in prey abundance between inland and coastal populations, may have contributed to genetic differentiation among populations. It is also possible that the genetic discontinuities we observed indicate a correlation between otter distribution and access to freshwater. Regardless of the mechanism, it is likely that any genetic differentiation among subpopulations is exacerbated by relatively poor dispersal.</t>
  </si>
  <si>
    <t>[Latch, Emily K.; Fike, Jennifer A.; Rhodes, Olin E., Jr.] Purdue Univ, Dept Forestry &amp; Nat Resources, W Lafayette, IN 47907 USA; [Scognamillo, Daniel G.] Stephen F Austin State Univ, Coll Forestry &amp; Agr, Nacogdoches, TX 75962 USA; [Chamberlain, Michael J.] Louisiana State Univ, Ctr Agr, Sch Renewable Nat Resources, Baton Rouge, LA 70803 USA</t>
  </si>
  <si>
    <t>Purdue University System; Purdue University; Stephen F Austin State University; Louisiana State University System; Louisiana State University</t>
  </si>
  <si>
    <t>Latch, EK (corresponding author), Smithsonians Natl Zool Pk, Ctr Conservat &amp; Evolutionary Genet, 3001 Connecticut Ave,NW, Washington, DC 20008 USA.</t>
  </si>
  <si>
    <t>latche@si.edu</t>
  </si>
  <si>
    <t>Latch, Emily/0000-0002-9892-1056; Rhodes, Olin/0000-0001-7271-9805</t>
  </si>
  <si>
    <t>MAY-JUN</t>
  </si>
  <si>
    <t>10.1093/jhered/esn009</t>
  </si>
  <si>
    <t>290VT</t>
  </si>
  <si>
    <t>WOS:000255151500003</t>
  </si>
  <si>
    <t>Poblete, AA; Gorski, K; Moscoso, J</t>
  </si>
  <si>
    <t>Poblete, Aldo A.; Gorski, Konrad; Moscoso, Julio</t>
  </si>
  <si>
    <t>GAYANA</t>
  </si>
  <si>
    <t>Spanish</t>
  </si>
  <si>
    <t>faeces; feeding; marine otter; prey items; Talcahuano coast</t>
  </si>
  <si>
    <t>OTTER LUTRA-FELINA; MARINE OTTER; CARNIVORE MUSTELIDAE; FEEDING ECOLOGY; WAVE EXPOSURE; PATTERNS; BEHAVIOR; SOUTH</t>
  </si>
  <si>
    <t>Chungungo Lontra felina (Molina, 1782), is a marine mustelid. Its distribution extends from Peru to Cape Horn. This species is considered endangered throughout its entire range of distribution. The main threats to its populations are illegal hunting, coastal pollution and exploitation of their food resources. It has been reported that chungungo feeds mainly on crustaceans, fish and shellfish. Previous studies have compared feeding ecology of L. felina in some locations of Chile. There are, however, no reports that determine and compare feeding ecology of L. felina in the Biobio Region. Non-invasive methods such as fecal analyses allow to determine some properties of the diet by analyses of indigested prey or their parts. Present study was conducted in two locations in the Biobio Region: Caleta Chome and San Vicente and a total of 131 fecal remains was collected (65 in Caleta Chome and 66 in San Vicente). Fecal specimens were sieved and the remains of undigested prey were identified and categorised as crustaceans, fish or shellfish and counted. Furthermore, they were identified to the lowest possible taxonomic level using magnifying glass and identification keys available in literature. Low diversity of prey was found in both locations and the diet of chungungo consisted mainly of crustaceans, followed by fish and shellfish. Furthermore, greater variability and diversity of prey consumed by chungungo was found in Caleta Chome compared to San Vicente.</t>
  </si>
  <si>
    <t>[Poblete, Aldo A.; Gorski, Konrad] Univ Catolica Santisima Concepcion, Dept Ecol, Fac Ciencias, Av Alonso de Ribera 2850, Concepcion, Chile; [Poblete, Aldo A.; Gorski, Konrad] Univ Catolica Santisima Concepcion, CIBAS, Av Alonso de Ribera 2850, Concepcion, Chile; [Gorski, Konrad] Univ Austral Chile, Fac Ciencias, Inst Ciencias Marinas &amp; Limnol, Edificio Emilio Pugin,Campus Isla Teja, Valdivia, Chile; [Moscoso, Julio] Ecogest Ambiental Ltda, Progreso Pje 1, Chiguayante 1560, Chile</t>
  </si>
  <si>
    <t>Universidad Catolica de la Santisima Concepcion; Universidad Catolica de la Santisima Concepcion; Universidad Austral de Chile</t>
  </si>
  <si>
    <t>Poblete, AA (corresponding author), Univ Catolica Santisima Concepcion, Dept Ecol, Fac Ciencias, Av Alonso de Ribera 2850, Concepcion, Chile.;Poblete, AA (corresponding author), Univ Catolica Santisima Concepcion, CIBAS, Av Alonso de Ribera 2850, Concepcion, Chile.</t>
  </si>
  <si>
    <t>aldopoblete.m@gmail.com</t>
  </si>
  <si>
    <t>Górski, Konrad/AAL-6332-2021</t>
  </si>
  <si>
    <t>Górski, Konrad/0000-0003-1154-7717</t>
  </si>
  <si>
    <t>EDICIONES UNIV, CONCEPCION</t>
  </si>
  <si>
    <t>CONCEPCION</t>
  </si>
  <si>
    <t>COMITE DE PUBLICACION, CASILLA 2407, CONCEPCION, 00000, CHILE</t>
  </si>
  <si>
    <t>0717-6538</t>
  </si>
  <si>
    <t>Gayana</t>
  </si>
  <si>
    <t>Oceanography; Zoology</t>
  </si>
  <si>
    <t>IS4DO</t>
  </si>
  <si>
    <t>WOS:000482103800001</t>
  </si>
  <si>
    <t>Jeffress, MR; Paukert, CP; Whittier, JB; Sandercock, BK; Gipson, PS</t>
  </si>
  <si>
    <t>Jeffress, Mackenzie R.; Paukert, Craig P.; Whittier, Joanna B.; Sandercock, Brett K.; Gipson, Philip S.</t>
  </si>
  <si>
    <t>AMERICAN MIDLAND NATURALIST</t>
  </si>
  <si>
    <t>LUTRA-LUTRA; DETECTION PROBABILITIES; LONTRA-CANADENSIS; HABITAT QUALITY; LAND-USE; OCCUPANCY; SIGN; CONSERVATION; VEGETATION; FISH</t>
  </si>
  <si>
    <t>The North American river otter (Lontra canadensis) is recovering from near extirpation throughout much of its range. Although reintroductions, trapping regulations and habitat improvements have led to the reestablishment of river otters in the Midwest, little is known about how their distribution is influenced by local- and landscape-scale habitat. We conducted river otter sign surveys from Jan. to Apr. in 2008 and 2009 in eastern Kansas to assess how local- and landscape-scale habitat factors affect river otter occupancy. We surveyed three to nine 400-m stretches of stream and reservoir shorelines for 110 sites and measured local-scale variables (e.g., stream order, land cover types) within a 100 m buffer of the survey site and landscape-scale variables (e.g., road density, land cover types) for Hydrological Unit Code 14 watersheds. We then used occupancy models that account for the probability of detection to estimate occupancy as a function of these covariates using Program PRESENCE. The best-fitting model indicated river otter occupancy increased with the proportion of woodland cover and decreased with the proportion of cropland and grassland cover at the local scale. Occupancy also increased with decreased shoreline diversity, waterbody density and stream density at the landscape scale. Occupancy was not affected by land cover or human disturbance at the landscape scale. Understanding the factors and scale important to river otter occurrence will be useful in identifying areas for management and continued restoration.</t>
  </si>
  <si>
    <t>[Paukert, Craig P.] Kansas State Univ, US Geol Survey, Kansas Cooperat Fish &amp; Wildlife Res Unit, Div Biol, Manhattan, KS 66506 USA; [Gipson, Philip S.] Texas Tech Univ, Dept Nat Resources Management, Lubbock, TX 79409 USA</t>
  </si>
  <si>
    <t>Kansas State University; United States Department of the Interior; United States Geological Survey; Texas Tech University System; Texas Tech University</t>
  </si>
  <si>
    <t>Jeffress, MR (corresponding author), Univ Idaho, Dept Fish &amp; Wildlife, Moscow, ID 83844 USA.</t>
  </si>
  <si>
    <t>jeffress@uidaho.edu</t>
  </si>
  <si>
    <t>Whittier, Joanna/V-3683-2019; Sandercock, Brett/L-1644-2016</t>
  </si>
  <si>
    <t>Whittier, Joanna/0000-0002-1048-9490; Sandercock, Brett/0000-0002-9240-0268; Paukert, Craig/0000-0002-9369-8545</t>
  </si>
  <si>
    <t>Kansas Department of Wildlife and Parks through the Kansas Cooperative Fish and Wildlife Research Unit; Kansas Department of Wildlife and Parks; Kansas State University; U.S. Geological Survey; Wildlife Management Institute</t>
  </si>
  <si>
    <t>Kansas Department of Wildlife and Parks through the Kansas Cooperative Fish and Wildlife Research Unit; Kansas Department of Wildlife and Parks; Kansas State University; U.S. Geological Survey(United States Geological Survey); Wildlife Management Institute</t>
  </si>
  <si>
    <t>Funding was provided by the Kansas Department of Wildlife and Parks through the Kansas Cooperative Fish and Wildlife Research Unit. The use of trade, product, industry or firm names or products is for informative purposes only and does not constitute an endorsement by the U.S. Government or the U.S. Geological Survey. The Kansas Cooperative Fish and Wildlife Research Unit is jointly sponsored by the Kansas Department of Wildlife and Parks, Kansas State University, the U.S. Geological Survey and the Wildlife Management Institute. We thank M. Jeffress, K. Blecha and B. Tristch for field assistance. We also are grateful for the many cooperative landowners who gave us permission to access the streams and reservoirs on their property.</t>
  </si>
  <si>
    <t>AMER MIDLAND NATURALIST</t>
  </si>
  <si>
    <t>NOTRE DAME</t>
  </si>
  <si>
    <t>UNIV NOTRE DAME, BOX 369, ROOM 295 GLSC, NOTRE DAME, IN 46556 USA</t>
  </si>
  <si>
    <t>0003-0031</t>
  </si>
  <si>
    <t>1938-4238</t>
  </si>
  <si>
    <t>AM MIDL NAT</t>
  </si>
  <si>
    <t>Am. Midl. Nat.</t>
  </si>
  <si>
    <t>10.1674/0003-0031-166.1.177</t>
  </si>
  <si>
    <t>793ER</t>
  </si>
  <si>
    <t>WOS:000292803700015</t>
  </si>
  <si>
    <t>McCafferty, DJ; Parsons, ECM</t>
  </si>
  <si>
    <t>McCafferty, Dominic J.; Parsons, E. Chris M.</t>
  </si>
  <si>
    <t>AQUATIC MAMMALS</t>
  </si>
  <si>
    <t>LUTRA-LUTRA; SEA-WATER</t>
  </si>
  <si>
    <t>[McCafferty, Dominic J.] Univ Glasgow, Inst Biodivers Anim Hlth &amp; Comparat Med, Coll Med Vet &amp; Life Sci, Glasgow G12 8QQ, Lanark, Scotland; [McCafferty, Dominic J.] Univ Glasgow, Sch Educ, Coll Social Sci, Glasgow G3 6NH, Lanark, Scotland; [Parsons, E. Chris M.] George Mason Univ, Dept Environm Sci &amp; Policy, Fairfax, VA 22030 USA</t>
  </si>
  <si>
    <t>University of Glasgow; University of Glasgow; George Mason University</t>
  </si>
  <si>
    <t>McCafferty, DJ (corresponding author), Univ Glasgow, Inst Biodivers Anim Hlth &amp; Comparat Med, Coll Med Vet &amp; Life Sci, Glasgow G12 8QQ, Lanark, Scotland.</t>
  </si>
  <si>
    <t>dominic.mccafferty@glasgow.ac.uk</t>
  </si>
  <si>
    <t>; Parsons, Edward Christien Michael/C-2409-2011</t>
  </si>
  <si>
    <t>McCafferty, Dominic/0000-0002-3079-3326; Parsons, Edward Christien Michael/0000-0002-0464-1046</t>
  </si>
  <si>
    <t>EUROPEAN ASSOC AQUATIC MAMMALS</t>
  </si>
  <si>
    <t>MOLINE</t>
  </si>
  <si>
    <t>C/O DR JEANETTE THOMAS, BIOLOGICAL SCIENCES, WESTERN ILLIONIS UNIV-QUAD CITIES, 3561 60TH STREET, MOLINE, IL 61265 USA</t>
  </si>
  <si>
    <t>0167-5427</t>
  </si>
  <si>
    <t>AQUAT MAMM</t>
  </si>
  <si>
    <t>Aquat. Mamm.</t>
  </si>
  <si>
    <t>10.1578/AM.37.2.2011.205</t>
  </si>
  <si>
    <t>784ID</t>
  </si>
  <si>
    <t>WOS:000292149400012</t>
  </si>
  <si>
    <t>Raesly, EJ</t>
  </si>
  <si>
    <t>WILDLIFE SOCIETY BULLETIN</t>
  </si>
  <si>
    <t>Lontra canadensis; reintroduction; river otter; survey; United States</t>
  </si>
  <si>
    <t>CLINICAL-EVALUATION; LUTRA-CANADENSIS; TRANSLOCATION; PENNSYLVANIA; AMPHIBIANS; REPTILES; STRATEGY</t>
  </si>
  <si>
    <t>The river otter (Lontra canadensis) is an important North American furbearer species that was eliminated from most of its range by the early 1900s. Many state agencies have undertaken restoration efforts, although no comprehensive study on the extent or type of management exists. I conducted telephone interviews with wildlife agency biologists in the 49 continental states (USA) to update status and management of river otters, with emphasis on reviewing the use of reintroduction as a management tool to restore extirpated otter populations. As of 1998, river otters occupied at least portions of their historic range in every state except New Mexico. Between 1976 and 1998, 21 states and 1 national park implemented reintroduction projects, releasing 4,018 river otters. States conducting reintroduction projects obtained otters from a variety of sources, but 14 (64%) used at least some otters obtained from coastal Louisiana. All states implemented postrelease evaluations, including radiotelemetry studies by 15 projects. Based on various forms of direct and circumstantial evidence, most biologists stated that reintroductions were successful in restoring extirpated otter populations.</t>
  </si>
  <si>
    <t>Frostburg State Univ, Dept Biol, Frostburg, MD 21532 USA</t>
  </si>
  <si>
    <t>University System of Maryland; Frostburg State University</t>
  </si>
  <si>
    <t>Raesly, EJ (corresponding author), Frostburg State Univ, Dept Biol, Frostburg, MD 21532 USA.</t>
  </si>
  <si>
    <t>0091-7648</t>
  </si>
  <si>
    <t>WILDLIFE SOC B</t>
  </si>
  <si>
    <t>Wildl. Soc. Bull.</t>
  </si>
  <si>
    <t>FAL</t>
  </si>
  <si>
    <t>478UF</t>
  </si>
  <si>
    <t>WOS:000171363200013</t>
  </si>
  <si>
    <t>Kyle, CJ; Davison, A; Strobeck, C</t>
  </si>
  <si>
    <t>genetic structure; Martes martes; microsatellite; mustelid; pine marten</t>
  </si>
  <si>
    <t>GULO-GULO POPULATIONS; MICROSATELLITE ANALYSIS; CONSERVATION; DISTANCE; PHYLOGEOGRAPHY; CARNIVORES; STATISTICS; NORTHWEST; HISTORY; BEARS</t>
  </si>
  <si>
    <t>European pine martens ( Martes martes) were once distributed across much of western Europe. A combination of factors, such as persecution, trapping, and habitat loss have led to sharp declines in the species' numbers and range and, as such, local populations have become more vulnerable to extinction. To evaluate the influence of these factors on both the level of genetic variation and population structure, we genotyped pine martens from across much of their current distribution. Continental M. martes populations were found to have a higher level of genetic structure and lower genetic variation than their North American sibling species, M. americana, sampled throughout Canada. The differences among mainland populations of these species may lie in greater levels of habitat fragmentation and persecution experienced by European martens, though it is difficult to exclude more ancient processes such as the influence of glaciations. Among island populations of the two species, the Scottish population revealed a similar level of structure and variation to the M. a. atrata population of Newfoundland, however Ireland was more differentiated with less genetic variation. Our work using microsatellites also extends previous mtDNA evidence for the presence of M. americana haplotypes in England, raising the possibility of hybridization with M. martes. These findings may influence current discussions on the status of English martens and the appropriateness of proposed re- introductions by revealing that some indigenous martens persist in England, despite the presence of some potential hybrids in the region.</t>
  </si>
  <si>
    <t>Univ Alberta, Dept Biol Sci, Edmonton, AB T6G 2E9, Canada; Tohoku Univ, Grad Sch Life Sci, Div Ecol &amp; Evolutionary Biol, Aoba Ku, Sendai, Miyagi 9808578, Japan</t>
  </si>
  <si>
    <t>University of Alberta; Tohoku University</t>
  </si>
  <si>
    <t>Kyle, CJ (corresponding author), Trent Univ, Minist Nat Resources, Rabies Res Unit, Peterborough, ON K9J 7B8, Canada.</t>
  </si>
  <si>
    <t>Strobeck, Curtis/A-3762-2014; Davison, Angus/C-3156-2009</t>
  </si>
  <si>
    <t>Strobeck, Curtis/0000-0002-6171-3130; Davison, Angus/0000-0003-2554-8585</t>
  </si>
  <si>
    <t>KLUWER ACADEMIC PUBL</t>
  </si>
  <si>
    <t>10.1023/A:1023334521996</t>
  </si>
  <si>
    <t>668MV</t>
  </si>
  <si>
    <t>WOS:000182298500006</t>
  </si>
  <si>
    <t>Lima, DD; Marmontel, M; Bernard, E</t>
  </si>
  <si>
    <t>Lima, Danielle dos Santos; Marmontel, Miriam; Bernard, Enrico</t>
  </si>
  <si>
    <t>MAMMALIA</t>
  </si>
  <si>
    <t>Amana; ariranha; flooded forest; Lutrinae; species recovery</t>
  </si>
  <si>
    <t>After decades of banning commercial hunting, the population of the endangered giant river otter in South America is no larger than 5000 animals, with slightly increasing populations, and apparent reoccupation of parts of its historical distribution. In Brazil, which may hold the largest populations, the refinement of distributional data and the conduction of censuses in Amazonia were identified as essential for the conservation of the species. To confirm if the species was, in fact, reoccupying its historical area, we present here data collected between October 2004 and September 2008 in Amana Reserve, Central Amazonia. A total of 18,181 km along 13 water bodies were surveyed in 465 days of fieldwork, resulting in 711 records. Animals presented a uniform occupation pattern, with expansion to new areas, no vacancy of previously used ones, and with frequent reuse of sites along the years. However, considering the number of records/km and sightings/km were almost constant between years, the local population may be experiencing just a slight increase, with animals probably expanding their home ranges. Although our study witnessed some population growth, giant river otters remained at low numbers during the survey, indicating that such population still have not reached its carrying capacity and require continuous attention.</t>
  </si>
  <si>
    <t>[Bernard, Enrico] Univ Fed Pernambuco, Lab Ciencia Aplicada Conservacao Biodiversidade, Dept Zool, Ctr Ciencias Biol, BR-50670420 Recife, PE, Brazil; [Lima, Danielle dos Santos] Univ Fed Amapa UNIFAP, Programa Posgrad Biodiversidade Trop PPGBio, BR-68902280 Macapa, Amapa, Brazil; [Lima, Danielle dos Santos; Marmontel, Miriam] IDSM, GPMAA, BR-69470000 Tefe, Amazonas, Brazil</t>
  </si>
  <si>
    <t>Universidade Federal de Pernambuco; Fundacao Universidade Federal do Amapa</t>
  </si>
  <si>
    <t>Bernard, E (corresponding author), Univ Fed Pernambuco, Lab Ciencia Aplicada Conservacao Biodiversidade, Dept Zool, Ctr Ciencias Biol, Rua Nelson Chaves S-N,Cidade Univ, BR-50670420 Recife, PE, Brazil.</t>
  </si>
  <si>
    <t>enricob2@gmail.com</t>
  </si>
  <si>
    <t>Bernard, Enrico/J-6397-2012; Marmontel, Miriam/AGF-7653-2022</t>
  </si>
  <si>
    <t>Bernard, Enrico/0000-0002-2304-1978;</t>
  </si>
  <si>
    <t>IDS Mamiraua; MCTI; FEPIM; Programa PETROBRAS Ambiental; FIDESA; IIEB; Programa BECA-IEB/Fundacao Moore [B/2007/02/BMP/03]; CNPq [135248/2007-8]; CAPES</t>
  </si>
  <si>
    <t>IDS Mamiraua; MCTI; FEPIM; Programa PETROBRAS Ambiental; FIDESA; IIEB; Programa BECA-IEB/Fundacao Moore; CNPq(Conselho Nacional de Desenvolvimento Cientifico e Tecnologico (CNPQ)); CAPES(Coordenacao de Aperfeicoamento de Pessoal de Nivel Superior (CAPES))</t>
  </si>
  <si>
    <t>We would like to thank IDS Mamiraua, MCT&amp;I and FEPIM; Programa PETROBRAS Ambiental; FIDESA; IIEB and Programa BECA-IEB/Fundacao Moore (B/2007/02/BMP/03); CNPq (Process no 135248/2007-8) and CAPES for financial support. We also thank the staff at the IDS Mamiraua and PPGBio - Unifap for their assistance. DS Lima would like to express her sincere gratitude to all her field assistants. We thank one anonymous reviewer for their valuable comments on our manuscript.</t>
  </si>
  <si>
    <t>WALTER DE GRUYTER GMBH</t>
  </si>
  <si>
    <t>BERLIN</t>
  </si>
  <si>
    <t>GENTHINER STRASSE 13, D-10785 BERLIN, GERMANY</t>
  </si>
  <si>
    <t>0025-1461</t>
  </si>
  <si>
    <t>1864-1547</t>
  </si>
  <si>
    <t>Mammalia</t>
  </si>
  <si>
    <t>10.1515/mammalia-2013-0023</t>
  </si>
  <si>
    <t>AF7VV</t>
  </si>
  <si>
    <t>WOS:000334923900004</t>
  </si>
  <si>
    <t>Valqui, J</t>
  </si>
  <si>
    <t>Valqui, Juan</t>
  </si>
  <si>
    <t>Lontra felina; Marine otter; Southeast Pacific; Threats; Conservation</t>
  </si>
  <si>
    <t>HUMBOLDT CURRENT SYSTEM; POPULATION-SIZE; LUTRA-FELINA; GENETIC DIVERSITY; MUSTELIDAE; CARNIVORA; SOUTH; VARIABILITY; PATTERNS; BEHAVIOR</t>
  </si>
  <si>
    <t>The marine otter Lontra felina is an endangered and little known species living in a fragmented habitat: the coast of Peru and Chile. The smallest marine mammal's presence is unclear in Argentina and southern Tierra del Fuego and the current limits of the distribution are still under discussion. Recent population genetic studies suggest certain levels of gene flow despite a disjunct population. In the 20th century intensive hunting was the major threat to L. felina. This top predator still faces an uncertain future due to the impact of human activities (urbanization, pollution, and intensive fisheries). There is a need of further studies deepening the knowledge on population genetics, population numbers and migration behavior. Environmental education work, law enforcement and monitoring of protected areas are suggested to secure the survival of the species. (C) 2011 Deutsche Gesellschaft fur Saugetierkunde. Published by Elsevier GmbH. All rights reserved.</t>
  </si>
  <si>
    <t>[Valqui, Juan] Univ Kiel, Inst Zool, D-24118 Kiel, Germany; [Valqui, Juan] Ctr Ornitol &amp; Biodiversidad CORBIDI, Lima 33, Peru</t>
  </si>
  <si>
    <t>University of Kiel</t>
  </si>
  <si>
    <t>Valqui, J (corresponding author), Univ Kiel, Inst Zool, Olshaussenstr 40, D-24118 Kiel, Germany.</t>
  </si>
  <si>
    <t>jvalqui@zoologie.uni-kiel.de</t>
  </si>
  <si>
    <t>Zoological Institute at the Christian-Albrechts-University in Kiel; Society for Marine Mammology (SMM); Rufford Small Grants (RSG) [52.11.09]; Proyecto Lontra felina</t>
  </si>
  <si>
    <t>Zoological Institute at the Christian-Albrechts-University in Kiel; Society for Marine Mammology (SMM); Rufford Small Grants (RSG); Proyecto Lontra felina</t>
  </si>
  <si>
    <t>Execution of field work of the Proyecto Lontra felina was authorized by permits No98-2008-INRENA-IFFS-DCB, No454-2009-AG-DGFFS-DGEFFS and No0149-2011-AG-DGFFS-DGEFFS given by the Peruvian Natural Resources Agency from the Ministry of Agriculture of the Republic of Peru and permit No19-2010-SERNANP-RNP, given by the Peruvian Natural Protected Areas Agency. Guano administration areas were accessed with authorization No037-2009-AG-AGRORURAL-DO given by the Peruvian guano governmental agency AGRORURAL. Sample export was authorized by permits No 11378, No 000582 and No 1373 given by the Peruvian CITES authority and by Council Regulation (EC) No. 338/97 given by the German CITES authority. The author thanks researchers, fishermen and local people who provided unpublished information on marine otter sightings; Prof. Gunther Hartl and Frank Zachos from the Zoological Institute at the Christian-Albrechts-University in Kiel for their great supporting and for providing the laboratory facilities; Natalia Ortiz, Jerico Solis, Daniella Biffi, Elisa Ruiz, Ronald D'Brot, Enrique Hon, Karen Verde, Celia Caceres, Alejandra Bussalleu, Carlos Calvo, Andrea Luna, Fernando Valdez, Julian Duran and Juan Yupanqui for their assistance in the field for the past four years; Yennifer Hernandez for assisting in the laboratory work; Kevin Schafer for his comments on behavioral observations and the unpublished pictures of his photographic project on L. felina; Ricardo Correa from the Organization OBC Chinchimen for the information on marine otter programs in Chile; Luis Rios for the data on dynamite fishing in Huarmey; Agnes Huttmann for assisting in the laboratory and for the thorough revision of this manuscript; William Nanez, Luis Alza and Thomas Valqui from the Centro de Ornitologia y Biodiversidad (CORBIDI) as well as Armando Valdes-Velasquez from the Laboratorio en Estudios de Biodiversidad (LEB) for institutional support in Peru; Ana Maria Haase for the sample storage facilities; Jeffrey Mangel and Joanna Alfaro-Shigueto from Pro Delphinus for the cooperation in the environmental education project; IDEAWILD for providing logistic material. The Society for Marine Mammology (SMM) provided a grant in 2008. The Rufford Small Grants (RSG) provided a grant in 2010 (fund number: 52.11.09). Yaqu Pacha supports the Proyecto Lontra felina since 2009 with funding and ideas for developing the environmental education work. The National Geographic Society and Kevin Schafer supported the field work in 2009.</t>
  </si>
  <si>
    <t>10.1016/j.mambio.2011.08.004</t>
  </si>
  <si>
    <t>923AC</t>
  </si>
  <si>
    <t>WOS:000302589400001</t>
  </si>
  <si>
    <t>Zhang, MH; Liu, QX; Piao, RZ; Jiang, GS</t>
  </si>
  <si>
    <t>Zhang, Minghai; Liu, Qunxiu; Piao, Renzhu; Jiang, Guangshun</t>
  </si>
  <si>
    <t>China; distribution; Great Khingan Mountains; Gulo gulo; population size; wolverine</t>
  </si>
  <si>
    <t>HOME-RANGE; HABITAT USE</t>
  </si>
  <si>
    <t>The geographical distribution and relative density of the wolverine Gulo gulo population in the Great Khingan Mountains, northeastern China, were surveyed during 1996-2000. The wolverine distribution is decreasing and the population size may be &lt; 200 individuals. In the Great Khingan Mountains forestry areas, the wolverine was mainly separated into two small subpopulations within a total area of 80,000 km(2). Moreover, since the 1990s no wolverines or signs of wolverine activity have been found in the Altai Mountains, Sinkiang Province, in northwestern China, which has been another main distribution area for the wolverine in China. We suggest that habitat loss, food limitation and poaching are the main reasons for the decline of the wolverine population in China.</t>
  </si>
  <si>
    <t>NE Forestry Univ, Coll Wildlife Resources, Harbin 150040, Peoples R China; E China Normal Univ, Sch Life Sci, Shanghai 200062, Peoples R China; Heilongjiang Acad Forestry Sci, Harbin 150040, Peoples R China</t>
  </si>
  <si>
    <t>Northeast Forestry University - China; East China Normal University</t>
  </si>
  <si>
    <t>Zhang, MH (corresponding author), NE Forestry Univ, Coll Wildlife Resources, 26 Hexing Rd, Harbin 150040, Peoples R China.</t>
  </si>
  <si>
    <t>zhangminghai2004@126.com; liuqun-xiu@163.com; piao@mail.hl.cn; jgshun@126.com</t>
  </si>
  <si>
    <t>Zhang, Minghai/JVY-8154-2024</t>
  </si>
  <si>
    <t>Jiang, Guangshun/0000-0001-6321-9489</t>
  </si>
  <si>
    <t>1903-220X</t>
  </si>
  <si>
    <t>10.2981/0909-6396(2007)13[83:TWGGPA]2.0.CO;2</t>
  </si>
  <si>
    <t>WOS:000250588600010</t>
  </si>
  <si>
    <t>Lee, S; Lee, S; Song, W; Lee, MJ</t>
  </si>
  <si>
    <t>Lee, Saro; Lee, Sunmin; Song, Wonkyong; Lee, Moung-Jin</t>
  </si>
  <si>
    <t>APPLIED SCIENCES-BASEL</t>
  </si>
  <si>
    <t>habitat mapping; marten; leopard cat; ANN; South Korea</t>
  </si>
  <si>
    <t>COMPLETE MITOCHONDRIAL GENOME; YELLOW-THROATED MARTEN; SPATIAL-DISTRIBUTION; LOGISTIC-REGRESSION; ACTIVITY PATTERNS; CARNIVORA; DENSITY; MODEL; GIS; BAT</t>
  </si>
  <si>
    <t>This study developed habitat potential maps for the marten (Martes flavigula) and leopard cat (Prionailurus bengalensis) in South Korea. Both species are registered on the Red List of the International Union for Conservation of Nature, which means that they need to be managed properly. Various factors influencing the habitat distributions of the marten and leopard were identified to create habitat potential maps, including elevation, slope, timber type and age, land cover, and distances from a forest stand, road, or drainage. A spatial database for each species was constructed by preprocessing Geographic Information System (GIS) data, and the spatial relationship between the distribution of leopard cats and environmental factors was analyzed using an artificial neural network (ANN) model. This process used half of the existing habitat location data for the marten and leopard cat for training. Habitat potential maps were then created considering the relationships. Using the remaining half of the habitat location data for each species, the model was validated. The results of the model were relatively successful, predicting approximately 85% for the marten and approximately 87% for the leopard cat. Therefore, the habitat potential maps can be used for monitoring the habitats of both species and managing these habitats effectively.</t>
  </si>
  <si>
    <t>[Lee, Saro] Korea Inst Geosci &amp; Mineral Resources KIGAM, Geol Res Div, 124 Gwahak Ro, Daejeon 34132, South Korea; [Lee, Saro] Korea Univ Sci &amp; Technol, 217 Gajeong Ro, Daejeon 34113, South Korea; [Lee, Sunmin] Univ Seoul, Dept Geoinformat, 163 Seoulsiripdaero, Seoul 02504, South Korea; [Lee, Sunmin; Lee, Moung-Jin] Korea Environm Inst, Environm Assessment Grp, Ctr Environm Assessment Monitoring, 370 Sicheong Daero, Sejong 30147, South Korea; [Song, Wonkyong] Dankook Univ, Dept Landscape Architecture, 119 Dandae Ro, Chungnam 31116, South Korea</t>
  </si>
  <si>
    <t>Korea Institute of Geoscience &amp; Mineral Resources (KIGAM); University of Science &amp; Technology (UST); University of Seoul; Korea Environment Institute (KEI); Dankook University</t>
  </si>
  <si>
    <t>Lee, MJ (corresponding author), Korea Environm Inst, Environm Assessment Grp, Ctr Environm Assessment Monitoring, 370 Sicheong Daero, Sejong 30147, South Korea.</t>
  </si>
  <si>
    <t>leesaro@kigam.re.kr; smlee@kei.re.kr; wksong@dankook.ac.kr; leemj@kei.re.kr</t>
  </si>
  <si>
    <t>; Lee, Saro/H-6003-2012</t>
  </si>
  <si>
    <t>Song, Wonkyong/0000-0002-9130-7774; Lee, Saro/0000-0003-0409-8263; Lee, Sunmin/0000-0002-5202-8721; Lee, Moung Jin/0000-0002-1226-3460</t>
  </si>
  <si>
    <t>Technology Advancement Research Program (TARP) - Ministry of Land, Infrastructure and Transport of Korean government [16CTAP-C114629-01]; Korea Institute of Geoscience and Mineral Resources (KIGAM) - Ministry of Science and ICT; Science and Technology Internationalization Project through National Research Foundation of Korea (NRF) - Ministry of Education, Science and Technology (MEST). [NRF-2016K1A3A1A09915721]</t>
  </si>
  <si>
    <t>Technology Advancement Research Program (TARP) - Ministry of Land, Infrastructure and Transport of Korean government; Korea Institute of Geoscience and Mineral Resources (KIGAM) - Ministry of Science and ICT; Science and Technology Internationalization Project through National Research Foundation of Korea (NRF) - Ministry of Education, Science and Technology (MEST).</t>
  </si>
  <si>
    <t>This research was conducted by Korea Environment Institute (KEI) with support of a grant (16CTAP-C114629-01) from Technology Advancement Research Program (TARP) funded by Ministry of Land, Infrastructure and Transport of Korean government. This research was supported by the Basic Research Project of the Korea Institute of Geoscience and Mineral Resources (KIGAM) funded by the Ministry of Science and ICT. This research (NRF-2016K1A3A1A09915721) was supported by Science and Technology Internationalization Project through National Research Foundation of Korea (NRF) grant funded by the Ministry of Education, Science and Technology (MEST).</t>
  </si>
  <si>
    <t>MDPI AG</t>
  </si>
  <si>
    <t>BASEL</t>
  </si>
  <si>
    <t>ST ALBAN-ANLAGE 66, CH-4052 BASEL, SWITZERLAND</t>
  </si>
  <si>
    <t>2076-3417</t>
  </si>
  <si>
    <t>APPL SCI-BASEL</t>
  </si>
  <si>
    <t>Appl. Sci.-Basel</t>
  </si>
  <si>
    <t>10.3390/app7090912</t>
  </si>
  <si>
    <t>Chemistry, Multidisciplinary; Engineering, Multidisciplinary; Materials Science, Multidisciplinary; Physics, Applied</t>
  </si>
  <si>
    <t>Chemistry; Engineering; Materials Science; Physics</t>
  </si>
  <si>
    <t>FL7TN</t>
  </si>
  <si>
    <t>WOS:000414453600048</t>
  </si>
  <si>
    <t>Balestrieri, A; Remonti, L; Prigioni, C</t>
  </si>
  <si>
    <t>Balestrieri, Alessandro; Remonti, Luigi; Prigioni, Claudio</t>
  </si>
  <si>
    <t>ITALIAN JOURNAL OF ZOOLOGY</t>
  </si>
  <si>
    <t>Eurasian badger; northern Italy; reintroduction; wildlife management</t>
  </si>
  <si>
    <t>SETT SITE SELECTION; MEDITERRANEAN POPULATION; SPATIAL-ORGANIZATION; DENSITY; FOOD; TRANSLOCATION; HABITAT; CONSERVATION; BEHAVIOR; ECOLOGY</t>
  </si>
  <si>
    <t>Between 2001 and 2004, with the aim of restoring the natural biodiversity of a protected area, the Eurasian badger (Meles meles) was reintroduced into the Montevecchia and Curone Valley Regional Park (northern Italy), where it had been extirpated by human persecution. The project was combined with the reduction of badger damage on railway tracks allowing at least a pair of badgers per year and to move animals whose translocation would have been anyhow imposed by precautionary measures. Four badger family groups (a total of 12 animals) were trapped and moved to an acclimatisation enclosure located in the middle of the release area. Post-release monitoring was carried out by both radio-tracking and indirect methods. The average group range size (1.58 km(2)) was similar to reports from favourable districts in Britain, supporting the contention that badgers can thrive in this area. Radio-tracked badgers selected woods, while urban areas and cultivated field were avoided. Although results indicate that the badger has actually established in the Park, with badger field signs currently spread on 40% of the protected area, more monitoring is needed to determine whether it is at sustainable levels or if more translocation should be considered.</t>
  </si>
  <si>
    <t>Univ Pavia, Dipartimento Biol Anim, I-27100 Pavia, Italy</t>
  </si>
  <si>
    <t>University of Pavia</t>
  </si>
  <si>
    <t>Prigioni, C (corresponding author), Univ Pavia, Dipartimento Biol Anim, Piazza Botta 9, I-27100 Pavia, Italy.</t>
  </si>
  <si>
    <t>prigioni@unipv.it</t>
  </si>
  <si>
    <t>Balestrieri, Alessandro/IYJ-1301-2023</t>
  </si>
  <si>
    <t>TAYLOR &amp; FRANCIS LTD</t>
  </si>
  <si>
    <t>ABINGDON</t>
  </si>
  <si>
    <t>4 PARK SQUARE, MILTON PARK, ABINGDON OX14 4RN, OXON, ENGLAND</t>
  </si>
  <si>
    <t>1125-0003</t>
  </si>
  <si>
    <t>ITAL J ZOOL</t>
  </si>
  <si>
    <t>Ital. J. Zoolog.</t>
  </si>
  <si>
    <t>10.1080/11250000600679603</t>
  </si>
  <si>
    <t>099BR</t>
  </si>
  <si>
    <t>WOS:000241568000005</t>
  </si>
  <si>
    <t>Zielinski, WJ; Truex, RL; Schlexer, FV; Campbell, LA; Carroll, C</t>
  </si>
  <si>
    <t>JOURNAL OF BIOGEOGRAPHY</t>
  </si>
  <si>
    <t>American marten; California; conservation; distributions; fisher; forest carnivores; geographic range; mammalian carnivores</t>
  </si>
  <si>
    <t>LANDSCAPE PATTERN; HABITAT SELECTION; MITOCHONDRIAL-DNA; AMERICAN MARTEN; EXTINCTION RISK; CONSERVATION; FISHER; IDENTIFICATION; POPULATIONS; WOLVERINE</t>
  </si>
  <si>
    <t>Aim Mammalian carnivores are considered particularly sensitive indicators of environmental change. Information on the distribution of carnivores from the early 1900s provides a unique opportunity to evaluate changes in their distributions over a 75-year period during which the influence of human uses of forest resources in California greatly increased. We present information on the distributions of forest carnivores in the context of two of the most significant changes in the Sierra Nevada during this period: the expansion of human settlement and the reduction in mature forests by timber harvest. Methods We compare the historical and contemporary distributions of 10 taxa of mesocarnivores in the conifer forests of the Sierra Nevada and southern Cascade Range by contrasting the distribution of museum and fur harvest records from the early 1900s with the distribution of detections from baited track-plate and camera surveys conducted from 1996 to 2002. A total of 344 sample units (6 track plates and 1 camera each) were distributed systematically across c. 3,000,000 ha area over a 7-year period. Results Two species, the wolverine (Gulo gulo) and the red fox (Vulpes vulpes), present in the historical record for our survey area, were not detected during the contemporary surveys. The distributions of 3 species (fisher [Martespennanti], American marten [M. americana], and Virginia opossum [Didelphisvirginiana]) have substantially changed since the early 1900s. The distributions of fishers and martens, mature-forest specialists, appeared to have decreased in the northern Sierra Nevada and southern Cascade region. A reputed gap in the current distribution of fishers was confirmed. We report for the first time evidence that the distribution of martens has become fragmented in the southern Cascades and northern Sierra Nevada. The opossum, an introduced marsupial, expanded its distribution in the Sierra Nevada significantly since it was introduced to the south-central coast region of California in the 1930s. There did not appear to be any changes in the distributions of the species that were considered habitat generalists: gray fox (Urocyon cinereoargenteus), striped skunk (Mephitis mephitis), western spotted skunk (Spilogale gracilis), or black bear (Ursus americanus). Detections of raccoons (Procyon lotor) and badgers (Taxidea taxus) were too rare to evaluate. Contemporary surveys indicated that weasels (M. frenata and M. erminea) were distributed throughout the study area, but historical data were not available for comparison. Main conclusions Two species, the wolverine and Sierra Nevada red fox, were not detected in contemporary surveys and may be extirpated or in extremely low densities in the regions sampled. The distributions of the mature forest specialists (marten and fisher) appear to have changed more than the distributions of the forest generalists. This is most likely due to a combination of loss of mature forest habitat, residential development and the latent effects of commercial trapping. Biological characteristics of individual species, in combination with the effect of human activities, appear to have combined to affect the current distributions of carnivores in the Sierra Nevada. Periodic resampling of the distributions of carnivores in California, via remote detection methods, is an efficient means for monitoring the status of their populations.</t>
  </si>
  <si>
    <t>US Forest Serv, Pacific SW Res Stn, USDA, Arcata, CA 95521 USA; US Forest Serv, Pacific SW Reg, USDA, Porterville, CA USA; US Forest Serv, Pacific SW Res Stn, USDA, Davis, CA USA; Klamath Ctr Conservat Res, Orleans, CA USA</t>
  </si>
  <si>
    <t>United States Department of Agriculture (USDA); United States Forest Service; United States Department of Agriculture (USDA); United States Forest Service; United States Department of Agriculture (USDA); United States Forest Service</t>
  </si>
  <si>
    <t>Zielinski, WJ (corresponding author), US Forest Serv, Pacific SW Res Stn, USDA, 1700 Bayview Dr, Arcata, CA 95521 USA.</t>
  </si>
  <si>
    <t>bzielinski@fs.fed.us</t>
  </si>
  <si>
    <t>0305-0270</t>
  </si>
  <si>
    <t>1365-2699</t>
  </si>
  <si>
    <t>J BIOGEOGR</t>
  </si>
  <si>
    <t>J. Biogeogr.</t>
  </si>
  <si>
    <t>10.1111/j.1365-2699.2005.01234.x</t>
  </si>
  <si>
    <t>Ecology; Geography, Physical</t>
  </si>
  <si>
    <t>Environmental Sciences &amp; Ecology; Physical Geography</t>
  </si>
  <si>
    <t>948OX</t>
  </si>
  <si>
    <t>WOS:000230726700010</t>
  </si>
  <si>
    <t>Aylward, CM; Murdoch, JD; Donovan, TM; Kilpatrick, CW; Bernier, C; Katz, J</t>
  </si>
  <si>
    <t>Aylward, C. M.; Murdoch, J. D.; Donovan, T. M.; Kilpatrick, C. W.; Bernier, C.; Katz, J.</t>
  </si>
  <si>
    <t>American marten; connectivity; distribution; expert opinion; Martes americana; mixed-effects models; peripheral populations; occupancy</t>
  </si>
  <si>
    <t>MOVEMENT BEHAVIOR; LANDSCAPE; MOUNTAINS; SELECTION; FOREST; MODEL; LYNX; CONSERVATION; POPULATIONS; CORRIDORS</t>
  </si>
  <si>
    <t>The American marten Martes americana is a species of conservation concern in the northeastern United States due to widespread declines from over-harvesting and habitat loss. Little information exists on current marten distribution and how landscape characteristics shape patterns of occupancy across the region, which could help develop effective recovery strategies. The rarity of marten and lack of historical distribution records are also problematic for region-wide conservation planning. Expert opinion can provide a source of information for estimating species-landscape relationships and is especially useful when empirical data are sparse. We created a survey to elicit expert opinion and build a model that describes marten occupancy in the northeastern United States as a function of landscape conditions. We elicited opinions from 18 marten experts that included wildlife managers, trappers and researchers. Each expert estimated occupancy probability at 30 sites in their geographic region of expertise. We, then, fit the response data with a set of 58 models that incorporated the effects of covariates related to forest characteristics, climate, anthropogenic impacts and competition at two spatial scales (1.5 and 5 km radii), and used model selection techniques to determine the best model in the set. Three top models had strong empirical support, which we model averaged based on AIC weights. The final model included effects of five covariates at the 5-km scale: percent canopy cover (positive), percent spruce-fir land cover (positive), winter temperature (negative), elevation (positive) and road density (negative). A receiver operating characteristic curve indicated that the model performed well based on recent occurrence records. We mapped distribution across the region and used circuit theory to estimate movement corridors between isolated core populations. The results demonstrate the effectiveness of expert-opinion data at modeling occupancy for rare species and provide tools for planning marten recovery in the northeastern United States.</t>
  </si>
  <si>
    <t>[Aylward, C. M.; Murdoch, J. D.] Univ Vermont, Wildlife &amp; Fisheries Biol Program, Rubenstein Sch Environm &amp; Nat Resources, Burlington, VT USA; [Donovan, T. M.] Univ Vermont, US Geol Survey, Vermont Cooperat Fish &amp; Wildlife Res Unit, Rubenstein Sch Environm &amp; Nat Resources, Burlington, VT USA; [Kilpatrick, C. W.] Univ Vermont, Dept Biol, Burlington, VT USA; [Bernier, C.] Vermont Dept Fish &amp; Wildlife, Springfield, VT USA; [Katz, J.] Univ Vermont, Vermont Cooperat Fish &amp; Wildlife Res Unit, Rubenstein Sch Environm &amp; Nat Resources, Burlington, VT USA</t>
  </si>
  <si>
    <t>University of Vermont; University of Vermont; United States Department of the Interior; United States Geological Survey; University of Vermont; University of Vermont</t>
  </si>
  <si>
    <t>Aylward, CM (corresponding author), Univ Vermont, Vermont Cooperat Fish &amp; Wildlife Res Unit, Rubenstein Sch Environm &amp; Nat Resources, George D Aiken Ctr, Burlington, VT 05405 USA.</t>
  </si>
  <si>
    <t>caylward@uvm.edu</t>
  </si>
  <si>
    <t>Aylward, Cody/V-9872-2019</t>
  </si>
  <si>
    <t>Aylward, Cody/0000-0003-4105-0939</t>
  </si>
  <si>
    <t>Northeastern States Research Cooperative; USDA National Institute of Food and Agriculture, McIntire-Stennis project [1002300]; Vermont Fish and Wildlife Department; US Geological Survey Vermont Cooperative Fish and Wildlife Research Unit; University of Vermont; US Geological Survey; Wildlife Management Institute; NIFA [1002300, 690046] Funding Source: Federal RePORTER</t>
  </si>
  <si>
    <t>Northeastern States Research Cooperative; USDA National Institute of Food and Agriculture, McIntire-Stennis project; Vermont Fish and Wildlife Department; US Geological Survey Vermont Cooperative Fish and Wildlife Research Unit(United States Geological Survey); University of Vermont; US Geological Survey(United States Geological Survey); Wildlife Management Institute; NIFA(United States Department of Agriculture (USDA)National Institute of Food &amp; Agriculture)</t>
  </si>
  <si>
    <t>We thank the Northeastern States Research Cooperative and USDA National Institute of Food and Agriculture, McIntire-Stennis project 1002300 for funding the project and the Vermont Fish and Wildlife Department, US Geological Survey Vermont Cooperative Fish and Wildlife Research Unit, and University of Vermont for their support. We also thank R. Mickey for statistical support and the experts who participated in the survey under anonymity. Use of trade names or products does not constitute endorsement by the US Government. The Vermont Cooperative Fish and Wildlife Research Unit is jointly supported by the US Geological Survey, University of Vermont, Vermont Fish and Wildlife Department, and Wildlife Management Institute.</t>
  </si>
  <si>
    <t>10.1111/acv.12417</t>
  </si>
  <si>
    <t>HE8MC</t>
  </si>
  <si>
    <t>WOS:000453700100008</t>
  </si>
  <si>
    <t>Kortello, A; Hausleitner, D; Mowat, G</t>
  </si>
  <si>
    <t>Kortello, Andrea; Hausleitner, Doris; Mowat, Garth</t>
  </si>
  <si>
    <t>occupancy; Gulo gulo; distribution; human disturbance; harvest; wolverine</t>
  </si>
  <si>
    <t>HABITAT-SELECTION; BRITISH-COLUMBIA; WOODLAND CARIBOU; FOOD-HABITS; PATTERNS; MORTALITY; MODELS; SNOW; TERRITORIALITY; CONSERVATION</t>
  </si>
  <si>
    <t>To better understand the mechanisms driving the distribution of a threatened carnivore, wolverine Gulo gulo, in the southern Columbia Mountains, we contrasted four hypotheses; climate, food, human disturbance and trapping harvest. We used non-invasive hair snagging methods to examine wolverine occupancy with respect to these factors, collectively and by sex, at a 5 km radius scale around sampling sites and at a larger 10 km radius to evaluate consistency over changes in scale. For all analyses our top models included food and human disturbance. Of the four food items examined; caribou Rangifer tarandus, mountain goat Oreamnos americanus, moose Alces alces and hoary marmot Marmota caligata, wolverine occurrence was most closely related to hoary marmot habitat. With regards to human disturbance, we documented a negative association with forestry road density and a positive association with protected areas. The importance of climate was low compared to the food and disturbance hypotheses. Somewhat surprisingly, recent harvest was positively associated with subsequent wolverine presence. Our top 10 km scale models were similar to the 5 km scale, but with a stronger positive link to caribou distribution. We show that marmot habitat is important to wolverine in winter and suggest that management actions for conservation prioritize factors related to female occurrence, as these were more clearly defined than male. We demonstrate that human disturbance is a major driver of wolverine distribution. Protected areas appear to be providing secure habitat, and reducing road density or mechanized use of roads in winter should be considered for species conservation. A positive spatial relationship with recent harvest, in the context of a heavily harvested population, suggests that harvest data alone may not be useful in detecting population declines.</t>
  </si>
  <si>
    <t>[Kortello, Andrea] Grylloblatta Ecol Consulting, 206 Innes St, Nelson, BC V1L 5E3, Canada; [Hausleitner, Doris] Seepanee Ecol Consulting, Nelson, BC, Canada; [Hausleitner, Doris] Selkirk Coll, Nelson, BC, Canada; [Mowat, Garth] Minist Forests Lands &amp; Nat Resource Operat, Nelson, BC, Canada; [Mowat, Garth] Univ British Columbia, Dept Earth Environm &amp; Geog Sci, Okanagan Campus, Kelowna, BC, Canada</t>
  </si>
  <si>
    <t>University of British Columbia</t>
  </si>
  <si>
    <t>Kortello, A (corresponding author), Grylloblatta Ecol Consulting, 206 Innes St, Nelson, BC V1L 5E3, Canada.</t>
  </si>
  <si>
    <t>kortello@yahoo.com</t>
  </si>
  <si>
    <t>Columbia Basin Trust; Fish and Wildlife Compensation Program; BC Ministry of Forests, Lands and Natural Resource Operations (MFLNRO); Wolverine Foundation</t>
  </si>
  <si>
    <t>Funding was provided by the Columbia Basin Trust and the Fish and Wildlife Compensation Program, as well as BC Ministry of Forests, Lands and Natural Resource Operations (MFLNRO) and the Wolverine Foundation. MFLNRO, BC Provincial Parks, Idaho Fish and Game and Idaho Panhandle National Forest also provided logistical support and assistance. Permits -The authors extend their thanks to MFLNRO, BC Parks and the Nature Conservancy of Canada for research approvals in their respective areas.</t>
  </si>
  <si>
    <t>wlb.00480</t>
  </si>
  <si>
    <t>10.2981/wlb.00480</t>
  </si>
  <si>
    <t>HZ9NK</t>
  </si>
  <si>
    <t>gold</t>
  </si>
  <si>
    <t>WOS:000469183500001</t>
  </si>
  <si>
    <t>Barrientos, R; Bolonio, L</t>
  </si>
  <si>
    <t>Barrientos, R.; Bolonio, L.</t>
  </si>
  <si>
    <t>BIODIVERSITY AND CONSERVATION</t>
  </si>
  <si>
    <t>Carnivore conservation; Mustela putorius; Oryctolagus cuniculus; Resources distribution; Road verge; Traffic; Unbroken line</t>
  </si>
  <si>
    <t>NEW-SOUTH-WALES; MUSTELA-PUTORIUS; HABITAT USE; ORYCTOLAGUS-CUNICULUS; VEHICLE COLLISIONS; LOW-DENSITY; CONSERVATION; WILDLIFE; MAMMALS; AVAILABILITY</t>
  </si>
  <si>
    <t>Road mortality is an increasing problem for terrestrial vertebrate conservation due to the increase of both road numbers and vehicle flow. We hypothesize that the probability of a predator being killed on the road is related to the presence of its prey adjacent to the road, which is likely to be related to the use that these predators make of road verges. We aim to identify the features of specific stretches of road where road-kills of a predator (European polecat) occur in Mediterranean landscapes, including the presence of its main prey (European rabbit) and landscape and road features. We compared 85 100 m long stretches of road where at least one road-kill was recorded with 104 stretches without any road-kill in a dry agricultural landscape in central Spain. We used regression analysis to investigate the relationship between road-kill occurrence and the features in the 67% of the cases. Road-kill stretches were characterised by greater numbers of rabbit burrows in the road verges and by higher traffic flow and speed (i.e. higher speed limit, lower proportion of heavy vehicles, wider road and lower proportion of unbroken central lines). Road-kill stretches also had more metres built over bridges and lower densities of people. We validated our best model with a dataset (the 33% of the cases) not included in its development, which correctly classified 82% of road-kill stretches and 89% of non-road kill stretches. Our results highlight the need for taking into account food resource distribution when studying causes of animal road-kills.</t>
  </si>
  <si>
    <t>[Barrientos, R.] CSIC, Estac Expt Zonas Aridas, Dept Ecol Func &amp; Evolut, Almeria 04001, Spain; [Bolonio, L.] Univ Alcala de Henares, Fac Biol, Grp Ornitol Alcedo, Madrid 28871, Spain</t>
  </si>
  <si>
    <t>Consejo Superior de Investigaciones Cientificas (CSIC); CSIC - Estacion Experimental de Zonas Aridas (EEZA); Universidad de Alcala</t>
  </si>
  <si>
    <t>Barrientos, R (corresponding author), CSIC, Estac Expt Zonas Aridas, Dept Ecol Func &amp; Evolut, Gen Segura 1, Almeria 04001, Spain.</t>
  </si>
  <si>
    <t>barrientos@eeza.csic.es; luis.bolonio@terra.es</t>
  </si>
  <si>
    <t>; Barrientos, Rafael/I-2102-2015</t>
  </si>
  <si>
    <t>Bolonio, Luis/0009-0001-5196-8607; Barrientos, Rafael/0000-0002-1677-3214</t>
  </si>
  <si>
    <t>Direccion General del Medio Natural of Toledo Province (Junta de Comunidades de Castilla-La Mancha) [TO-01-03, TO-01-04]</t>
  </si>
  <si>
    <t>Direccion General del Medio Natural of Toledo Province (Junta de Comunidades de Castilla-La Mancha)(Junta de Comunidades de Castilla-La Mancha)</t>
  </si>
  <si>
    <t>We are very grateful to I. Cardiel, R. Jimenez, P.M. Garcia, D. Martinez, O. Frias, J.A. Calvo, J.A. Lemus for their help in the Weld. We thank F. Valera, R. Vaclav, E. Virgos, J. Moya-Larano, G. Hernandez-Milian, J. Birks, D.P. Sleeman and an anonymous referee for their helpful suggestions. J. Moya-Larano, Mark T. Bulling and B. Nicholls checked the English. Traffic data were provided by M. Vidal (Junta de Comunidades de Castilla-La Mancha), A.J. Cervantes and J. Cobas (Diputacion de Toledo) and A. Oliver (TELVENT). The Direccion General del Medio Natural of Toledo Province (Junta de Comunidades de Castilla-La Mancha) partially supported our research by means of TO-01-03 and TO-01-04.</t>
  </si>
  <si>
    <t>0960-3115</t>
  </si>
  <si>
    <t>1572-9710</t>
  </si>
  <si>
    <t>BIODIVERS CONSERV</t>
  </si>
  <si>
    <t>Biodivers. Conserv.</t>
  </si>
  <si>
    <t>10.1007/s10531-008-9499-9</t>
  </si>
  <si>
    <t>401TN</t>
  </si>
  <si>
    <t>WOS:000262965400010</t>
  </si>
  <si>
    <t>Piza-Roca, C; Zelfde, MV; La Haye, MJJ; Jongejans, E; Raes, N</t>
  </si>
  <si>
    <t>Piza-Roca, Carme; Zelfde, Maarten van't; La Haye, Maurice J. J.; Jongejans, Eelke; Raes, Niels</t>
  </si>
  <si>
    <t>BIALOWIEZA-PRIMEVAL-FOREST; MELES-MELES POPULATION; SPATIAL-ORGANIZATION; SPECIES DISTRIBUTION; GEOGRAPHIC DISTRIBUTIONS; FEEDING SPECIALIZATION; DENSITY; SETTS; FOOD; POLAND</t>
  </si>
  <si>
    <t>European badger populations in the Netherlands suffered strong declines in the 1900s, becoming endangered in the 1980s. Despite mitigation actions, recovery of the population has been slow. Here, we use ecological niche modelling, relating 1515 badger sett (burrow) localities to data on topographic, groundwater table, soil type and land-cover variables, to investigate the factors defining badger habitat suitability. Niche modelling of mobile animals such as badgers is challenging, as relevant features that determine habitat suitability surrounding animal sightings or burrow locations are often unaccounted for. In this study, habitat properties of the entire home range of individuals were incorporated via neighbourhood analysis on land-cover variables. The neighbourhood analysis was applied at different spatial scales, to assess maximum model fit at the scale most representative of badger home-range area in the Netherlands, which was approximately 3.6 km(2). Our results showed that marine and river clay render highly unsuitable habitat for badgers. Grassland and maize crops presence, typically reported as driving factors, had little effect on badger distribution in the Netherlands. Instead, moderate vegetation cover, remoteness from urban infrastructures and low groundwater tables resulted in optimal conditions. We conclude that food availability is not a limiting factor for badgers in the Netherlands, but rather appropriate soil conditions for sett digging and non-urban landscapes with sufficient cover for hideout determine their distribution. Our predictions indicate suitable areas that are not currently colonized. The results presented have important implications for management and conservation strategies in the Netherlands. Furthermore, we provide a useful general approach for niche modelling of mobile animals.</t>
  </si>
  <si>
    <t>[Piza-Roca, Carme; La Haye, Maurice J. J.; Jongejans, Eelke] Radboud Univ Nijmegen, Dept Anim Ecol &amp; Physiol, Nijmegen, Netherlands; [Piza-Roca, Carme] Univ Sunshine Coast, Sippy Downs, Qld, Australia; [La Haye, Maurice J. J.] Dutch Mammal Soc, Nijmegen, Netherlands; [Zelfde, Maarten van't; Raes, Niels] Naturalis Biodivers Ctr, Leiden, Netherlands; [Zelfde, Maarten van't] Leiden Univ, Inst Environm Sci, Leiden, Netherlands</t>
  </si>
  <si>
    <t>Radboud University Nijmegen; University of the Sunshine Coast; Naturalis Biodiversity Center; Leiden University - Excl LUMC; Leiden University</t>
  </si>
  <si>
    <t>Piza-Roca, C (corresponding author), Radboud Univ Nijmegen, Dept Anim Ecol &amp; Physiol, Nijmegen, Netherlands.</t>
  </si>
  <si>
    <t>carmen.pizaroca@research.usc.edu.au</t>
  </si>
  <si>
    <t>Raes, Niels/A-9645-2011; Maarten, van 't Zelfde/K-6708-2013; Jongejans, Eelke/B-4832-2008</t>
  </si>
  <si>
    <t>Raes, Niels/0000-0002-4329-4892; Maarten, van 't Zelfde/0000-0002-8913-6427; Jongejans, Eelke/0000-0003-1148-7419; La Haye, Maurice/0000-0003-4374-9313</t>
  </si>
  <si>
    <t>Netherlands Organization for Scientific Research [850.11.001, 841.11.007, 819.01.014]</t>
  </si>
  <si>
    <t>Netherlands Organization for Scientific Research(Netherlands Organization for Scientific Research (NWO))</t>
  </si>
  <si>
    <t>We are grateful for financial support from the Netherlands Organization for Scientific Research to EJ (grants 850.11.001 and 841.11.007) and NR (grant 819.01.014).</t>
  </si>
  <si>
    <t>wlb.00453</t>
  </si>
  <si>
    <t>10.2981/wlb.00453</t>
  </si>
  <si>
    <t>GZ0EQ</t>
  </si>
  <si>
    <t>WOS:000449033900001</t>
  </si>
  <si>
    <t>de Almeida, LR; Pereira, MJR</t>
  </si>
  <si>
    <t>de Almeida, Lana Resende; Ramos Pereira, Maria Joao</t>
  </si>
  <si>
    <t>MAMMAL RESEARCH</t>
  </si>
  <si>
    <t>Carnivora; Neotropics; Mustelidae; Freshwater; River otter</t>
  </si>
  <si>
    <t>ATLANTIC FOREST STREAM; DO-SUL STATE; RIVER OTTER; SOUTHERN BRAZIL; SOUTHEASTERN BRAZIL; CYTOCHROME-B; PTERONURA-BRASILIENSIS; EVOLUTIONARY HISTORY; CARNIVORA MUSTELIDAE; DEMOGRAPHIC HISTORY</t>
  </si>
  <si>
    <t>The Neotropical otter, Lontra longicaudis, is considered near threatened by the IUCN, and with declining populations, it is still one of the lesser known species of otter in the world. Like other otter species, L. longicaudis is associated with water courses in a large variety of habitats and biomes across its area of distribution. Here, we present a review of the available literature on L. longicaudis aiming to update information on its distribution, ecology and systematics. We performed online searches using combinations of the words L. longicaudis, river otter, Neotropical otter, nutria and lobito del rio, limiting our search to 1972-2016. Recent information on evolutionary history and biogeographic patterns, distribution patterns, as well as on the ecology of the species across a large part of its distribution range, including trophic ecology and intraspecific communication, was retrieved. We found severe gaps in knowledge including aspects of life history, ground validation of new potential distribution areas and long-term population monitoring aiming at designing more efficient conservation measures and techniques. In this context, we conclude by presenting perspectives for future studies.</t>
  </si>
  <si>
    <t>[de Almeida, Lana Resende; Ramos Pereira, Maria Joao] Univ Fed Rio Grande do Sul, Systemat &amp; Ecol Lab, Dept Zool, Programa Posgrad Biol Anim,Bird &amp; Mammal Evolut, Ave Bento Goncalves 9500,Predio 43435, Porto Alegre, RS, Brazil; [de Almeida, Lana Resende; Ramos Pereira, Maria Joao] Univ Fed Rio Grande do Sul, Systemat &amp; Ecol Lab, Dept Zool, Programa Posgrad Ecol,Bird &amp; Mammal Evolut, Ave Bento Goncalves 9500,Predio 43435, Porto Alegre, RS, Brazil; [Ramos Pereira, Maria Joao] Univ Aveiro, Ctr Environm &amp; Marine Studies, Campus Univ Santiago, P-3810193 Aveiro, Portugal</t>
  </si>
  <si>
    <t>Universidade Federal do Rio Grande do Sul; Universidade Federal do Rio Grande do Sul; Universidade de Aveiro</t>
  </si>
  <si>
    <t>de Almeida, LR (corresponding author), Univ Fed Rio Grande do Sul, Systemat &amp; Ecol Lab, Dept Zool, Programa Posgrad Biol Anim,Bird &amp; Mammal Evolut, Ave Bento Goncalves 9500,Predio 43435, Porto Alegre, RS, Brazil.;de Almeida, LR (corresponding author), Univ Fed Rio Grande do Sul, Systemat &amp; Ecol Lab, Dept Zool, Programa Posgrad Ecol,Bird &amp; Mammal Evolut, Ave Bento Goncalves 9500,Predio 43435, Porto Alegre, RS, Brazil.</t>
  </si>
  <si>
    <t>lanaresende.bio@gmail.com</t>
  </si>
  <si>
    <t>Ramos Pereira, Maria João/AAH-9411-2021; de Almeida, Lana/AAD-1054-2019</t>
  </si>
  <si>
    <t>Ramos Pereira, Maria João/0000-0002-9365-5166;</t>
  </si>
  <si>
    <t>Post-Graduate Program in Animal Biology of the Universidade Federal do Rio Grande do Sul; National Council of Technological and Scientific Development (CNPq) scholarship [133583/2015-5]</t>
  </si>
  <si>
    <t>Post-Graduate Program in Animal Biology of the Universidade Federal do Rio Grande do Sul; National Council of Technological and Scientific Development (CNPq) scholarship</t>
  </si>
  <si>
    <t>We would like to thank the curators of the Zoology Collection of the UNISINOS for their help, care and attention. Special thanks to Rodrigo Machado for theoretical support and to Marcelo Rheingantz for making his distribution models available to us. This study was carried out with the support of the Post-Graduate Program in Animal Biology of the Universidade Federal do Rio Grande do Sul. Lana Resende de Almeida was funded by the National Council of Technological and Scientific Development (CNPq) scholarship (133583/2015-5).</t>
  </si>
  <si>
    <t>2199-2401</t>
  </si>
  <si>
    <t>2199-241X</t>
  </si>
  <si>
    <t>MAMMAL RES</t>
  </si>
  <si>
    <t>Mammal Res.</t>
  </si>
  <si>
    <t>10.1007/s13364-017-0333-1</t>
  </si>
  <si>
    <t>FG6JS</t>
  </si>
  <si>
    <t>WOS:000410484900001</t>
  </si>
  <si>
    <t>Carroll, C; Noss, RF; Paquet, PC</t>
  </si>
  <si>
    <t>carnivores; conservation plans; fisher; focal species; grizzly bear; habitat models; landscape ecology; lynx; resource selection functions; Rocky Mountains; spatial analysis; wolverine</t>
  </si>
  <si>
    <t>UNITED-STATES; HABITAT; LANDSCAPE; MODELS; WOLVERINE; SCALE; INDEX; FIELD</t>
  </si>
  <si>
    <t>Viability analysis of well-selected focal species can complement ecosystem-level conservation planning by revealing thresholds in habitat area and landscape connectivity. Mammalian carnivores are good candidates for focal species because their distributional patterns often strongly reflect regional-scale population processes. We incorporated focal species analysis of four carnivore species, fisher (Martes pennanti), lynx (Lynx canadensis), wolverine (Gulo gulo), and grizzly bear (Ursus arctos), into a regional conservation plan for the Rocky Mountains of the United States and Canada. We developed empirical habitat models for fisher, lynx, and wolverine based on a geographically extensive data set of trapping and sighting records. Predictor variables derived directly from satellite imagery were significantly correlated with carnivore distribution and allowed us to predict distribution in areas lacking detailed vegetation data. Although we lacked similar distributional data for grizzly bear, we predicted bear habitat by adapting and extrapolating previously published, regional-scale habitat models. Predicted habitat for grizzly bear has high overlap with that for wolverine, intermediate overlap with fisher, and low overlap with lynx. High-quality habitats for fisher and lynx, unlike those for wolverine and grizzly bear, are not strongly associated with low levels of human population and roads. Nevertheless, they are naturally fragmented by topography and vegetation gradients and are poorly represented in existing protected areas. Areas with high biological productivity and low human impact are valuable habitat for all four species but are limited in extent. Predicted habitat values for lynx and wolverine are significantly correlated with trapping data from an area outside the extent of the original data set. This supports the use of empirical distribution models as the initial stage in a regional-scale monitoring program. Our results suggest that a comprehensive conservation strategy for carnivores in the region must consider the needs of several species, rather than a single, presumed umbrella species. Coordinated planning across multiple ownerships is necessary to prevent further fragmentation of carnivore habitat, especially in the U.S.-Canada border region.</t>
  </si>
  <si>
    <t>Klamath Ctr Conservat Res, Orleans, CA 95556 USA; Conservat Sci Inc, Corvallis, OR 97330 USA; World Wildlife Fund, Meacham, SK S0K 2V0, Canada</t>
  </si>
  <si>
    <t>Carroll, C (corresponding author), Klamath Ctr Conservat Res, Orleans, CA 95556 USA.</t>
  </si>
  <si>
    <t>carlos@sisqtel.net</t>
  </si>
  <si>
    <t>10.2307/3061005</t>
  </si>
  <si>
    <t>458RW</t>
  </si>
  <si>
    <t>WOS:000170209200003</t>
  </si>
  <si>
    <t>Mowat, G; Clevenger, AP; Kortello, AD; Hausleitner, D; Barrueto, M; Smit, L; Lamb, C; Dorsey, B; Ott, PK</t>
  </si>
  <si>
    <t>Mowat, Garth; Clevenger, Anthony P.; Kortello, Andrea D.; Hausleitner, Doris; Barrueto, Mirjam; Smit, Laura; Lamb, Clayton; Dorsey, Benjamin; Ott, Peter K.</t>
  </si>
  <si>
    <t>DNA; genetic sampling; genetic tagging; Gulo gulo; harvest; spatial capture-recapture; wildlife management</t>
  </si>
  <si>
    <t>GULO-GULO; BRITISH-COLUMBIA; HETEROGENEITY; REPRODUCTION; CONSERVATION; STRATEGIES; ECOLOGY; HARVEST; SNOW</t>
  </si>
  <si>
    <t>Range declines, habitat connectivity, and trapping have created conservation concern for wolverines throughout their range in North America. Previous researchers used population models and observed estimates of survival and reproduction to infer that current trapping rates limit population growth, except perhaps in the far north where trapping rates are lower. Assessing the sustainability of trapping requires demographic and abundance data that are expensive to acquire and are therefore usually only achievable for small populations, which makes generalization risky. We surveyed wolverines over a large area of southern British Columbia and Alberta, Canada, used spatial capture-recapture models to estimate density, and calculated trapping kill rates using provincial fur harvest data. Wolverine density averaged 2 wolverines/1,000 km(2) and was positively related to spring snow cover and negatively related to road density. Observed annual trapping mortality was &gt;8.4%/year. This level of mortality is unlikely to be sustainable except in rare cases where movement rates are high among sub-populations and sizable un-trapped refuges exist. Our results suggest wolverine trapping is not sustainable because our study area was fragmented by human and natural barriers and few large refuges existed. We recommend future wolverine trapping mortality be reduced by &gt;= 50% throughout southern British Columbia and Alberta to promote population recovery. (c) 2019 The Authors. The Journal of Wildlife Management published by Wiley Periodicals, Inc. on behalf of The Wildlife Society.</t>
  </si>
  <si>
    <t>[Mowat, Garth; Smit, Laura] Minist Forests Lands Nat Resource Operat &amp; Rural, Suite 401,333 Victoria St, Nelson, BC V1L 4K3, Canada; [Clevenger, Anthony P.] Montana State Univ, Western Transportat Inst, POB 174250, Bozeman, MT 59717 USA; [Kortello, Andrea D.] Grylloblatta Ecol Consulting, 206 Innes St, Nelson, BC V1L 5E3, Canada; [Hausleitner, Doris] Seepanee Ecol Consulting, 2880 Granite Rd, Nelson, BC V1L 6Y5, Canada; [Barrueto, Mirjam] Univ Calgary, Dept Biol Sci, 2500 Univ Dr NW, Calgary, AB T2N 1N4, Canada; [Lamb, Clayton] Univ Alberta, Ctr Interdisciplinary Sci, 116 St &amp; 85 Ave, Edmonton, AB T6G 2E9, Canada; [Dorsey, Benjamin] Pk Canada Agcy, Box 350 Mt Revelstoke &amp; Glacier Natl Pk, Revelstoke, BC V0E 2S0, Canada; [Ott, Peter K.] Minist Forests Lands Nat Resource Operat &amp; Rural, 727 Fisgard St, Victoria, BC V8W 1R8, Canada</t>
  </si>
  <si>
    <t>Montana State University System; Montana State University Bozeman; University of Calgary; University of Alberta</t>
  </si>
  <si>
    <t>Mowat, G (corresponding author), Minist Forests Lands Nat Resource Operat &amp; Rural, Suite 401,333 Victoria St, Nelson, BC V1L 4K3, Canada.</t>
  </si>
  <si>
    <t>garth.mowat@gov.bc.ca</t>
  </si>
  <si>
    <t>; Lamb, Clayton/H-9158-2019</t>
  </si>
  <si>
    <t>Clevenger, Anthony P/0000-0003-0380-6272; Barrueto, Mirjam/0000-0001-6698-547X;</t>
  </si>
  <si>
    <t>Columbia Basin Trust; Fish and Wildlife Compensation Program; British Columbia MFLNRORD; Parks Canada; Vanier Canada Graduate Scholarship; Western Transportation Institute-Montana State University; Woodcock Foundation; Wilburforce Foundation; Liz Claiborne Art Ortenberg Foundation; Volgenau Foundation; Cross Foundation; United States Fish and Wildlife Service Great Northern Landscape Conservation Cooperative; Alberta Conservation Association; Mountain Equipment Co-op; McLean Foundation; Patagonia; Cameron Plewes; Alberta Sport Parks Recreation and Wildlife Foundation; National Geographic Society; Disney Wildlife Conservation Fund; Norcross Foundation; Bow Valley Naturalists; Yellowstone to Yukon Conservation Initiative; Lake O'Hara Lodge; Alpine Club of Canada; Wolverine Foundation</t>
  </si>
  <si>
    <t>Columbia Basin Trust; Fish and Wildlife Compensation Program; British Columbia MFLNRORD; Parks Canada; Vanier Canada Graduate Scholarship; Western Transportation Institute-Montana State University; Woodcock Foundation; Wilburforce Foundation(ACEV Foundation); Liz Claiborne Art Ortenberg Foundation; Volgenau Foundation; Cross Foundation; United States Fish and Wildlife Service Great Northern Landscape Conservation Cooperative; Alberta Conservation Association; Mountain Equipment Co-op; McLean Foundation; Patagonia; Cameron Plewes; Alberta Sport Parks Recreation and Wildlife Foundation; National Geographic Society(National Geographic Society); Disney Wildlife Conservation Fund; Norcross Foundation; Bow Valley Naturalists; Yellowstone to Yukon Conservation Initiative; Lake O'Hara Lodge; Alpine Club of Canada; Wolverine Foundation</t>
  </si>
  <si>
    <t>Our thanks to field technicians B. Phillips, T. Malish, B. Bertch, R. Bunyan, N. Heim, A. Banting, J. Zettel, T. Abraham, J. Robbins, C. Lehman, S. Forrest, D. Fear, S. Himmer, A. Page, A. Bourelle, D. Lynch, C. Hiebert, D. Backman, M. Beauchemin, S. Doyle, J. Flaa, K. Furke, T. Hewitt, L. Larson, C. Seiber, R. Schmidt, C. Bird, K. MacDonald, A. Jones, J. McCullough, and many volunteers. We thank the regional trapping community for wolverine carcasses, bait, site location advice, and assisting in field operations, and K. McGuinness for geographic information system work; MFLNRORD, British Columbia Provincial Parks, Idaho Fish and Game and Idaho Panhandle National Forest, Teck Coal, MD of Ranchlands, Alberta Environment and Parks-Fish and Wildlife, and Wildsight also provided logistical support and assistance. J. Jorgenson, G. Hale, and M. Didkowski helped with logistics in Alberta, and D. Gorrie, B. Hunt, G. Kubian, T. Kinley, A. Dibb, and B. Fyten helped in the national parks. We thank J. Parker and D. Hawrys for helicopter transportation and field assistance. B. Hanlon helped with British Columbia funding. Thanks also to staff at WGI and RMRS for genetic analysis. Our thanks to CanAus Coal Ltd., Jameson Resources Ltd., and Parks Canada for sharing their wolverine sampling data. We thank J. Krebs, E. Lofroth, R. A. Long, and 2 anonymous reviewers for reviewing the manuscript. Funding was provided by the Columbia Basin Trust, the Fish and Wildlife Compensation Program, the British Columbia MFLNRORD, Parks Canada, Vanier Canada Graduate Scholarship, the Western Transportation Institute-Montana State University, Woodcock Foundation, Wilburforce Foundation, Liz Claiborne Art Ortenberg Foundation, Volgenau Foundation, Cross Foundation, United States Fish and Wildlife Service Great Northern Landscape Conservation Cooperative, Alberta Conservation Association, Mountain Equipment Co-op, McLean Foundation, Patagonia, Cameron Plewes, Alberta Sport Parks Recreation and Wildlife Foundation, National Geographic Society, Disney Wildlife Conservation Fund, Norcross Foundation, Bow Valley Naturalists, Yellowstone to Yukon Conservation Initiative, Lake O'Hara Lodge, Alpine Club of Canada, and The Wolverine Foundation.</t>
  </si>
  <si>
    <t>10.1002/jwmg.21787</t>
  </si>
  <si>
    <t>WOS:000497628900001</t>
  </si>
  <si>
    <t>Bovo, AAD; Magioli, M; Percequillo, AR; Kruszynski, C; Alberici, V; Mello, MAR; Correa, LS; Gebin, JCZ; Ribeiro, YGG; Costa, FB; Ramos, VN; Benatti, HR; Lopes, B; Martins, MZA; Diniz-Reis, TR; de Camargo, PB; Labruna, MB; Ferraz, KMPMD</t>
  </si>
  <si>
    <t>de Abreu Bovo, Alex Augusto; Magioli, Marcelo; Percequillo, Alexandre Reis; Kruszynski, Cecilia; Alberici, Vinicius; Mello, Marco A. R.; Correa, Lidiani Silva; Zecchini Gebin, Joao Carlos; Gomes Ribeiro, Yuri Geraldo; Costa, Francisco Borges; Ramos, Vanessa Nascimento; Benatti, Hector Ribeiro; Lopes, Beatriz; Martins, Masa Z. A.; Diniz-Reis, Thais Rovere; de Camargo, Plnio Barbosa; Labruna, Marcelo Bahia; Micchi de Barros Ferraz, Katia Maria Paschoaletto</t>
  </si>
  <si>
    <t>BIOTA NEOTROPICA</t>
  </si>
  <si>
    <t>Mammalia; Inventory; Conservation; Forest Remnants; Agroecosystem</t>
  </si>
  <si>
    <t>LARGE-SIZED MAMMALS; SAO-PAULO; FUNCTIONAL DIVERSITY; INSECTIVOROUS BATS; POPULATION-SIZE; BIODIVERSITY; BRAZIL; CONNECTIVITY; ASSEMBLAGES; CALLITHRIX</t>
  </si>
  <si>
    <t>Human-modified landscapes (HMLs) are composed by small, isolated and defaunated forest fragments, which are surrounded by agricultural and urban areas. Information on species that thrives in these HMLs is essential to direct conservation strategies in local and regional scales. Since HMLs are dominant in the Atlantic Forest, we aimed to assess the mammalian diversity in a HML in southeastern Brazil and to propose conservation strategies. We collected data of terrestrial (small-, medium-and large-sized) and volant mammals in three small forest fragments (10, 14 and 26 ha) and adjacent areas, between 2003 and 2016, using complementary methods: active search, camera trapping, live-traps, mist nets and occasional records (i.e., roadkills). In addition, we used secondary data to complement our species list. We recorded 35 native mammal species (6 small-sized, 16 medium- and large-sized, and 13 bats) and seven exotic species in the HML. The recorded mammal assemblage (non-volant and volant), although mainly composed of common and generalist species, includes three medium-and large-sized species nationally threatened (Leopardus guttulus, Puma concolor and Puma yagouaroundi) and two data deficient species (Galictis cuja and Histiotus velatus), highlighting the importance of this HML for the maintenance and conservation of mammal populations. Despite highly impacted by anthropogenic disturbances, the study area harbors a significant richness of medium-and large-sized mammals, being an important biodiversity refuge in the region. However, this biodiversity is threatened by the low quality of the habitats, roadkills and abundant populations of domestic cats and dogs. Therefore, we stress the need of conservation strategies focusing on the medium-and large-sized mammals as an umbrella group, which could benefit all biodiversity in the landscape. We recommend actions that promotes biological restoration, aiming to increase structural composition and connectivity of the forest fragments, reducing roadkills and controlling the domestic cats and dogs' populations, in order to maintain and improve the diversity of mammals in long-term.</t>
  </si>
  <si>
    <t>[de Abreu Bovo, Alex Augusto; Magioli, Marcelo; Percequillo, Alexandre Reis; Alberici, Vinicius; Correa, Lidiani Silva; Zecchini Gebin, Joao Carlos; Gomes Ribeiro, Yuri Geraldo; Lopes, Beatriz; Martins, Masa Z. A.; Micchi de Barros Ferraz, Katia Maria Paschoaletto] Univ Sao Paulo, Escola Super Agr Luiz de Queiroz, Dept Ciencias Florestais, Lab Ecol Manejo &amp; Conservacao Fauna Silvestre, Av Padua Dias 11, BR-13418900 Piracicaba, SP, Brazil; [Kruszynski, Cecilia; Diniz-Reis, Thais Rovere] Univ Sao Paulo, Ctr Energia Nucl Agr, Piracicaba, SP, Brazil; [Kruszynski, Cecilia] Leibniz Inst Zoo &amp; Wildtierforsch eV, Berlin, Germany; [Mello, Marco A. R.] Univ Fed Minas Gerais Biol Geral, Belo Horizonte, MG, Brazil; [Costa, Francisco Borges; Ramos, Vanessa Nascimento; Benatti, Hector Ribeiro] Univ Sao Paulo, Fac Med Vet &amp; Zootecnia, Dept Med Vet Prevent &amp; Saude Anim, Sao Paulo, SP, Brazil; [de Camargo, Plnio Barbosa] Univ Sao Paulo, CENA, Lab Ecol Isotop, Piracicaba, SP, Brazil</t>
  </si>
  <si>
    <t>Universidade de Sao Paulo; Universidade de Sao Paulo; Universidade de Sao Paulo; Universidade de Sao Paulo</t>
  </si>
  <si>
    <t>Ferraz, KMPMD (corresponding author), Univ Sao Paulo, Escola Super Agr Luiz de Queiroz, Dept Ciencias Florestais, Lab Ecol Manejo &amp; Conservacao Fauna Silvestre, Av Padua Dias 11, BR-13418900 Piracicaba, SP, Brazil.</t>
  </si>
  <si>
    <t>katia.ferraz@usp.br</t>
  </si>
  <si>
    <t>Ribeiro Benatti, Hector/JQW-0512-2023; Labruna, Marcelo/B-6241-2013; Reis Percequillo, Alexane/C-3067-2012; Mello, Marco/B-1095-2008; Ramos, Vanessa/JBR-9529-2023; Barbosa de Camargo, Plinio/D-6635-2012; Alberici, Vinicius/E-2974-2015; Bovo, Alex/L-6392-2016; Costa, Francisco/AGQ-7977-2022; Kruszynski, Cecilia/C-9877-2016; Magioli, Marcelo/L-7809-2014; Ferraz, Katia Maria/D-7244-2012; Diniz-Reis, Thais/D-6357-2012</t>
  </si>
  <si>
    <t>Reis Percequillo, Alexane/0000-0002-7892-8912; Mello, Marco/0000-0002-9098-9427; Barbosa de Camargo, Plinio/0000-0002-0696-3778; Ziviani Alves, Maísa/0000-0001-9395-082X; Alberici, Vinicius/0000-0002-5197-1574; Bovo, Alex/0000-0002-9457-5301; Costa, Francisco/0000-0002-6923-7183; Kruszynski, Cecilia/0000-0001-5673-3236; Magioli, Marcelo/0000-0003-0865-102X; Ferraz, Katia Maria/0000-0002-7870-8696; Diniz-Reis, Thais/0000-0002-0005-4063</t>
  </si>
  <si>
    <t>IPEF; Conselho Nacional de Desenvolvimento Cientifico e Tecnologico (CNPq) [561910/2010-3, 308503/2014-7, 307519/2015-5]; Fundacao de Amparo a Pesquisa do Estado de Sao Paulo (FAPESP) [2013/24929-9, 2014/23809-2, 2009/16009-1, 2013/18046-7, 2014/10192-7, 2014/09300-0]; Brazilian Coordination for the Improvement of Higher Education Personnel (CAPES); Minas Gerais Research Foundation (FAPEMIG); Federal University of Minas Gerais (PRPq-UFMG); Alexander von Humboldt Foundation (AvH); Research Program on the Biodiversity of the Atlantic Forest (PPBio-MA)</t>
  </si>
  <si>
    <t>IPEF; Conselho Nacional de Desenvolvimento Cientifico e Tecnologico (CNPq)(Conselho Nacional de Desenvolvimento Cientifico e Tecnologico (CNPQ)); Fundacao de Amparo a Pesquisa do Estado de Sao Paulo (FAPESP)(Fundacao de Amparo a Pesquisa do Estado de Sao Paulo (FAPESP)); Brazilian Coordination for the Improvement of Higher Education Personnel (CAPES)(Coordenacao de Aperfeicoamento de Pessoal de Nivel Superior (CAPES)); Minas Gerais Research Foundation (FAPEMIG)(Fundacao de Amparo a Pesquisa do Estado de Minas Gerais (FAPEMIG)); Federal University of Minas Gerais (PRPq-UFMG); Alexander von Humboldt Foundation (AvH)(Alexander von Humboldt Foundation); Research Program on the Biodiversity of the Atlantic Forest (PPBio-MA)</t>
  </si>
  <si>
    <t>We thank the Departamento de Ciencias Florestais (Escola Superior de Agricultura Luiz de Queiroz, Universidade de Sao Paulo), the Programa de Pos-Graduacao em Recursos Florestais (PPGRF), the Programa Interunidades de Pos-Graduacao em Ecologia Aplicada (PPGI-EA), the Laboratorio de Ecologia, Manejo e Conservacao de Fauna Silvestre (LEMaC), the Superintendencia de Gestao Ambiental (SGA), the Plano Diretor do campus Luiz de Queiroz, the Prefeitura do campus Luiz de Queiroz and Instituto de Pesquisas e Estudos Florestais (IPEF). We thank Ariovaldo C. Neto and Roberto Haddad for providing the previous data on bat inventory and Elson F Lima, Erica V. Maggiorini, Fernanda V. Giannini, Luana Amorim and Victor H. Andrade for helping in data collection. We also thank IPEF for the grant conceded to AAAB and JCZG. We thank the Conselho Nacional de Desenvolvimento Cientifico e Tecnologico (CNPq) for the scholarship conceded to CK, financial support (#561910/2010-3), and the productivity fellowship granted to KMPMBF (#308503/2014-7), to ARP (#307519/2015-5) and to MARM. We thank the Fundacao de Amparo a Pesquisa do Estado de Sao Paulo (FAPESP) for the grants to AAAB (#2013/24929-9 and #2014/23809-2), ARP (#2009/16009-1), MBL (#2013/18046-7), MM (#2014/10192-7) and KMPMBF (#2014/09300-0). We also thank the Brazilian Coordination for the Improvement of Higher Education Personnel (CAPES) for the scholarships granted to MM, MZAM and VA, and funding MARM. MARM was also funded by the Minas Gerais Research Foundation (FAPEMIG), Research Dean of Federal University of Minas Gerais (PRPq-UFMG), Alexander von Humboldt Foundation (AvH), and the Research Program on the Biodiversity of the Atlantic Forest (PPBio-MA).</t>
  </si>
  <si>
    <t>REVISTA BIOTA NEOTROPICA</t>
  </si>
  <si>
    <t>CAMPINAS</t>
  </si>
  <si>
    <t>AV. DR. ROMEU TORTIMA, 388 - BARAO GERALDO, CEP 13084-520, CAMPINAS, SP, BRAZIL</t>
  </si>
  <si>
    <t>1676-0603</t>
  </si>
  <si>
    <t>1676-0611</t>
  </si>
  <si>
    <t>BIOTA NEOTROP</t>
  </si>
  <si>
    <t>Biota Neotrop.</t>
  </si>
  <si>
    <t>e20170395</t>
  </si>
  <si>
    <t>10.1590/1676-0611-BN-2017-0395</t>
  </si>
  <si>
    <t>GD6WX</t>
  </si>
  <si>
    <t>WOS:000430650700001</t>
  </si>
  <si>
    <t>Ruette, S; Vandel, JM; Albaret, M; Devillard, S</t>
  </si>
  <si>
    <t>Ruette, S.; Vandel, J. -M.; Albaret, M.; Devillard, S.</t>
  </si>
  <si>
    <t>Martes martes; Martes foina; mortality causes; multistate capture-recapture models; hunting; survival; trapping; vehicle collisions</t>
  </si>
  <si>
    <t>STATISTICAL-MODELS; RECAPTURE MODELS; POPULATION; DISPERSAL; MORTALITY</t>
  </si>
  <si>
    <t>Very little is known about the population dynamics of pine martens Martes martes and stone martens Martes foina in Europe, and even less about the impact of human activities, such as trapping, hunting and road traffic, on populations, despite their crucial importance for deriving reliable conservation and management strategies. We used multistate capture-recapture models to analyse capture-recapture histories that combined information on radio-tracking data and on recoveries of dead martens. This formulation, based on conditional probabilities, also allowed us to estimate the contribution of trapping and hunting to overall mortality, accounting for detection failures and trapping exposure. We applied this approach to estimate age- and sex-specific survivals of pine martens (N=40) and stone martens (N=38) in the same rural area in France, where both species could be legally trapped and hunted. Annual survivals of adults were similar, and estimated at 0.49 for both species [+/- 0.12 standard deviation (sd) for pine martens;+/- 0.10 sd for stone martens]. The annual probability of dying from trapping and hunting was estimated at 0.21 and 0.19 for adult pine and stone martens, respectively. At the individual level, a negative linear relationship was observed between stone marten's survival and trapping exposure, but this was not the case for pine martens, which experienced far lower exposure to trapping. These results confirm that trapping and hunting could have a large impact on marten populations. Vehicle collisions were the second major cause of mortality for both species in our study area. This paper presents the first estimates of survival for syntopic stone and pine martens in Europe and is an important step towards population dynamics modelling of these species.</t>
  </si>
  <si>
    <t>[Ruette, S.; Vandel, J. -M.; Albaret, M.] CNERA PAD, Off Natl Chasse &amp; Faune Sauvage, F-01330 Birieux, France; [Devillard, S.] Univ Lyon 1, CNRS, UMR5558, Lab Biometrie &amp; Biol Evolut, F-69622 Villeurbanne, France</t>
  </si>
  <si>
    <t>VetAgro Sup; Universite Claude Bernard Lyon 1; Centre National de la Recherche Scientifique (CNRS); CNRS - Institute of Ecology &amp; Environment (INEE)</t>
  </si>
  <si>
    <t>Ruette, S (corresponding author), CNERA PAD, Off Natl Chasse &amp; Faune Sauvage, F-01330 Birieux, France.</t>
  </si>
  <si>
    <t>sandrine.ruette@oncfs.gouv.fr</t>
  </si>
  <si>
    <t>; Ruette, Sandrine/GQQ-0903-2022</t>
  </si>
  <si>
    <t>DEVILLARD, Sébastien/0000-0001-6911-4362;</t>
  </si>
  <si>
    <t>Office National de la Chasse et de la Faune Sauvage</t>
  </si>
  <si>
    <t>We are grateful to the trappers and hunters who helped us capture martens in the field and to recover dead animals. We also sincerely thank the associations of hunters and the associations of trappers from the Ain and Saone-et-Loire regions. We are very thankful to Catherine Carter who kindly edited the paper for grammar. This study was fund by the Office National de la Chasse et de la Faune Sauvage.</t>
  </si>
  <si>
    <t>10.1111/jzo.12201</t>
  </si>
  <si>
    <t>CC6LI</t>
  </si>
  <si>
    <t>WOS:000350476000007</t>
  </si>
  <si>
    <t>Bowman, J; Ray, JC; Magoun, AJ; Johnson, DS; Dawson, FN</t>
  </si>
  <si>
    <t>Bowman, Jeff; Ray, Justina C.; Magoun, Audrey J.; Johnson, Devin S.; Dawson, F. Neil</t>
  </si>
  <si>
    <t>WOODLAND CARIBOU POPULATIONS; NORTH-AMERICA; HABITAT SELECTION; SPATIAL COMPONENT; BRITISH-COLUMBIA; UNITED-STATES; CANIS-LUPUS; GULO-GULO; WOLF; WOLVERINE</t>
  </si>
  <si>
    <t>We evaluated hypotheses concerning the distributions of large mammals in a 60 000 km(2) study area that encompassed the contact zone between Ontario's roadless north and the postlogging southern landscape. We estimated occurrence probability in 575 sample units for woodland caribou (Rangifer tarandus caribou (Gmelin, 1788)), wolverine (Gulo gulo (L., 1758)), gray wolf (Canis lupus L., 1758), moose (Alces alces (L., 1758)), and white-tailed deer (Odocoileus virginianus (Zimmerman, 1780)). We used ordinations and spatial regressions to assess the contributions of parameters to species occurrence. Roads and cutovers were most abundant in the south, leading to an increased prevalence of deciduous forest. Mature coniferous forest, however, occurred most commonly in the north. Occurrence probabilities for moose and deer were greatest in the south, in close association with deciduous trees. Wolf occurrence was also greatest in the south, positively related to both deciduous forest and road density. Caribou occurrence, however, was positively related to mature coniferous forest and negatively related to both wolf occurrence and roads. Wolverine occurrence was negatively related to deciduous forest. Our surveys demonstrated distinct mammal communities in the northern and southern halves of our study area, a separation that appeared to be mediated by deciduous forest and roads.</t>
  </si>
  <si>
    <t>[Bowman, Jeff] Trent Univ, Wildlife Res &amp; Dev Sect, Ontario Minist Nat Resources, Peterborough, ON K9J 7B8, Canada; [Ray, Justina C.] Wildlife Conservat Soc Canada, Toronto, ON M5S 2T9, Canada; [Magoun, Audrey J.] Wildlife Res &amp; Management, Fairbanks, AK 99709 USA; [Johnson, Devin S.] NOAA, Natl Marine Mammal Lab, Alaska Fisheries Sci Ctr, Seattle, WA 98115 USA; [Dawson, F. Neil] Ontario Minist Nat Resources, Thunder Bay, ON P7C 4T9, Canada</t>
  </si>
  <si>
    <t>Trent University; Ministry of Natural Resources &amp; Forestry; National Oceanic Atmospheric Admin (NOAA) - USA; Ministry of Natural Resources &amp; Forestry</t>
  </si>
  <si>
    <t>Bowman, J (corresponding author), Trent Univ, Wildlife Res &amp; Dev Sect, Ontario Minist Nat Resources, DNA Bldg,2140 E Bank Dr, Peterborough, ON K9J 7B8, Canada.</t>
  </si>
  <si>
    <t>jeff.bowman@ontario.ca</t>
  </si>
  <si>
    <t>Bowman, Jeff/B-4147-2009</t>
  </si>
  <si>
    <t>Bowman, Jeff/0000-0002-1892-4469</t>
  </si>
  <si>
    <t>Living Legacy Research Program; Forest Products Association of Canada; Ontario Ministry of Natural Resources; Wildlife Conservation Society Canada</t>
  </si>
  <si>
    <t>We are grateful to the Living Legacy Research Program, the Forest Products Association of Canada, the Ontario Ministry of Natural Resources, and the Wildlife Conservation Society Canada for funding the research. We are grateful to Patrick Valkenburg for his capable assistance as a pilot and tracker. We thank R.M. Gorman, K.R. Middel, G. Woolmer, and J. Zigouris for contributing ideas and for assistance with data and map preparation. We also thank C.J. Garroway, J.J. Nocera, B.S. Rempel, J.A. Schaefer, and two anonymous reviewers for comments on the manuscript.</t>
  </si>
  <si>
    <t>NATL RESEARCH COUNCIL CANADA-N R C RESEARCH PRESS</t>
  </si>
  <si>
    <t>BUILDING M 55, OTTAWA, ON K1A 0R6, CANADA</t>
  </si>
  <si>
    <t>10.1139/Z10-019</t>
  </si>
  <si>
    <t>610KP</t>
  </si>
  <si>
    <t>WOS:000278731900004</t>
  </si>
  <si>
    <t>Webb, SM; Boyce, MS</t>
  </si>
  <si>
    <t>Webb, Shevenell M.; Boyce, Mark S.</t>
  </si>
  <si>
    <t>Alberta; development; forestry; furbearers; harvesting; landscape change; marten; Martes americana; oil and gas; trapping</t>
  </si>
  <si>
    <t>FOREST FRAGMENTATION; HABITAT SELECTION; AMERICANA; PREDICTION; MANAGEMENT; DYNAMICS; DENSITY; MUSKRAT; CANADA; ROADS</t>
  </si>
  <si>
    <t>Trapping for furbearers remains an important outdoor activity in Alberta, Canada, despite low fur prices and extensive industrial development. We investigated the influence of landscape change on furbearer harvests using 30 years of marten (Martes americana) harvest records, interviews with trappers, and Geographic Information System maps of industrial activity and vegetation types. We used an information-theoretic approach to explore variation in trapper success. Cover type and landscape metrics apparently influenced trapper success, because traplines where martens were consistently caught had less vehicle and all-terrain vehicle access, fewer oil and gas wells, and greater proportion of mature conifer forests than traplines where martens were infrequently caught. We identified an important cutoff value or statistical threshold that identified 45% closed-conifer cover, suggesting that a minimum amount of forest cover is crucial for trappers to catch martens. We conclude that the nature and extent of industrial disturbance is contributing to the decision by trappers to trap as well as influencing their success. We recommend that wildlife managers collect trapping effort information (i.e., species-specific no. of trap-nights) on fur reports in association with landscape changes to monitor furbearer harvests more effectively. (JOURNAL OF WILDLIFE MANAGEMENT 73(6): 894-903; 2009)</t>
  </si>
  <si>
    <t>[Webb, Shevenell M.; Boyce, Mark S.] Univ Alberta, Edmonton, AB T6G 2E9, Canada</t>
  </si>
  <si>
    <t>Webb, SM (corresponding author), Alberta Conservat Assoc, Rocky Mt House, AB T4T 1A3, Canada.</t>
  </si>
  <si>
    <t>Shevenell.Webb@ab-conservation.com</t>
  </si>
  <si>
    <t>Boyce, Mark/A-2620-2014</t>
  </si>
  <si>
    <t>Boyce, Mark/0000-0001-5811-325X</t>
  </si>
  <si>
    <t>Alberta Ingenuity Fund; Natural Sciences and Engineering Research Council of Canada; Alberta Conservation Association</t>
  </si>
  <si>
    <t>Alberta Ingenuity Fund; Natural Sciences and Engineering Research Council of Canada(Natural Sciences and Engineering Research Council of Canada (NSERC)CGIAR); Alberta Conservation Association</t>
  </si>
  <si>
    <t>This study was financially supported by the Alberta Ingenuity Fund, Natural Sciences and Engineering Research Council of Canada, and the Alberta Conservation Association. Data and logistical support were provided by the University of Alberta, Alberta Sustainable Resource Development, Alberta Trappers Association, Foothills Model Forest, Central East Slopes Wolf and Elk Study, Weyerhaeuser, and West Fraser. C. Nielsen and G. Marquez provided Geographic Information System technical support and aided in back-casting landscape features. We thank E. Gese and 2 anonymous reviewers for feedback to improve this manuscript.</t>
  </si>
  <si>
    <t>10.2193/2008-341</t>
  </si>
  <si>
    <t>480HJ</t>
  </si>
  <si>
    <t>WOS:000268724200011</t>
  </si>
  <si>
    <t>Gorman, TA; McMillan, BR; Erb, JD; Deperno, CS; Martin, DJ</t>
  </si>
  <si>
    <t>Gorman, Thomas A.; McMillan, Brock R.; Erb, John D.; Deperno, Christopher S.; Martin, Daniel J.</t>
  </si>
  <si>
    <t>LONTRA-CANADENSIS</t>
  </si>
  <si>
    <t>Determining causes of mortality and estimating survival rates can provide insight into the status of species for which population trends are not well understood. From Apr. 2002-May 2004 we radio-marked and monitored 39 (13 adult males; 6 subadult males; 8 adult females; 12 subadult females) river otters (Lontra canadensis) in the upper Mississippi River watershed to document causes of mortality, and to evaluate the effects of season, age and sex on survival of river otters in southeastern Minnesota. Further, we assessed the relative importance of demographic parameters to population growth using a projection matrix, which incorporated reproductive data with our observed survival estimates. Human induced mortalities, including accidental captures by fur-harvesters targeting other species (n = 6) and vehicle collisions (D = 1), accounted for the majority of deaths while natural mortality was low (n = 1). Annual survival of females was 0.680 (SE = 0.099) and was 0.946 (SE = 0.052) for adult males. Elasticity of adult female survival was 3.1 times higher than subadult survival, 2.7 times higher than juvenile survival and 2.7 times higher than the sum of elasticity for subadult and adult female reproduction. River otters and other furbearers need to be monitored to assess population status, and management should be responsive to ensure persistence of populations experiencing intentional and/or accidental harvest.</t>
  </si>
  <si>
    <t>[Gorman, Thomas A.] Mankato State Univ, Dept Biol Sci, Mankato, MN 56001 USA; [McMillan, Brock R.; Martin, Daniel J.] Minnesota State Univ, Dept Biol Sci, Mankato, MN 56001 USA; [Erb, John D.] Minnesota Dept Nat Resources, Grand Rapids, MI USA; [Deperno, Christopher S.] Minnesota Dept Nat Resources, Madelia, MN 56062 USA</t>
  </si>
  <si>
    <t>Minnesota State Colleges &amp; Universities; Minnesota State University Mankato; Minnesota State Colleges &amp; Universities; Minnesota State University Mankato; Minnesota Department of Natural Resources</t>
  </si>
  <si>
    <t>Gorman, TA (corresponding author), Virginia Polytech Inst &amp; State Univ, Dept Fisheries &amp; Wildlife Sci, 100 Cheatham Hall, Blacksburg, VA 24061 USA.</t>
  </si>
  <si>
    <t>gormant@vt.edu</t>
  </si>
  <si>
    <t>DePerno, Chris/0000-0002-2147-8607</t>
  </si>
  <si>
    <t>10.1674/0003-0031(2008)159[98:SACMOA]2.0.CO;2</t>
  </si>
  <si>
    <t>257FF</t>
  </si>
  <si>
    <t>WOS:000252783900010</t>
  </si>
  <si>
    <t>Tomasik, E; Cook, JA</t>
  </si>
  <si>
    <t>control region; cytochrome b; Gulo gulo; mitochondrial DNA; phylogeography; wolverine</t>
  </si>
  <si>
    <t>PERIPHERAL-POPULATIONS; ROCKY-MOUNTAIN; CONSEQUENCES; PLEISTOCENE; EVOLUTION; CARNIVORA; VARIABILITY; DISPERSAL; DISTANCE; HISTORY</t>
  </si>
  <si>
    <t>Anthropogenic impacts such as habitat conversion and fragmentation, in combination with predator control and fur trapping, are responsible for substantial reductions in the ranges of many carnivores worldwide. The wolverine (Gulo gulo) is classified as vulnerable throughout the Holarctic Region by the International Union for Conservation of Nature and Natural Resources, is designated as endangered in eastern Canada, and has been petitioned twice for listing with the United States Fish and Wildlife Service. We examined genetic structure across populations in northwestern North America by using mtDNA sequences of the left domain of control region and the complete cytochrome-b gene (Cytb). Nucleotide diversity (pi) and sequence divergence among haplotypes were low for both markers, whereas haplotype diversity (h) was generally high. Genetic divergence (F-st) values were significant, and high for control region (0.21), and moderate to high for Cytb (0.16). Globally, Eurasian and Scandinavian wolverines were distinguishable from North American. Within North America, the Kenai Peninsula, southeastern Alaska, and Nunavut populations were distinctive. Comparisons with studies based on nuclear markers reveal greater geographic structure in these maternally inherited mitochondrial markers, a finding consistent with male-biased dispersal in wolverines. Conservation plans for these medium-sized carnivores should emphasize maintenance of genetic diversity and recognize that successful dispersal of females between populations may be limited.</t>
  </si>
  <si>
    <t>Lewis &amp; Clark Natl Forest, Stanford, MT 59479 USA; Univ New Mexico, Museum SW Biol, Albuquerque, NM 87131 USA</t>
  </si>
  <si>
    <t>University of New Mexico</t>
  </si>
  <si>
    <t>Tomasik, E (corresponding author), Lewis &amp; Clark Natl Forest, 109 Cent Ave,POB 484, Stanford, MT 59479 USA.</t>
  </si>
  <si>
    <t>etomasik@fs.fed-us</t>
  </si>
  <si>
    <t>Cook, Joseph/HNR-3803-2023</t>
  </si>
  <si>
    <t>Cook, Joseph/0000-0003-3985-0670</t>
  </si>
  <si>
    <t>10.1644/BER-121.1</t>
  </si>
  <si>
    <t>917XD</t>
  </si>
  <si>
    <t>WOS:000228501700019</t>
  </si>
  <si>
    <t>Bright, PW; Smithson, TJ</t>
  </si>
  <si>
    <t>biological invasions; Martes martes; reintroductions; relict populations; restoration ecology; species conservation; translocations</t>
  </si>
  <si>
    <t>RED FOX; CONSERVATION; TRANSLOCATION; PREDATION; WOODLAND; BRITAIN; PARK</t>
  </si>
  <si>
    <t>We suggest that reintroductions, like biological invasions, have two phases: establishment when a new population becomes self-sustaining, and spread when a population increases its distribution. Stochastic effects on mortality and sex ratios are most likely to determine whether a population becomes established, while factors influencing birth rates will probably most influence spread. Using this establishment-spread structure, we evaluate the autecological suitability of regions in England for pine marten Martes martes reintroductions. Risks of mortality from predator control, traffic accidents and predation by foxes were used to evaluate suitability for establishment. Mortality risk was higher in all potential release regions in England (selected as having 25% or more woodland cover) than in regions of current pine marten distribution in Scotland; risk of predation was higher in the latter. Indices of prey abundance were used to evaluate suitability for populations to spread. Prey indices in potential release regions were generally higher than in regions of current distribution. A relation between prey, woodland cover, and known pine marten densities suggested that potential release regions are capable of supporting relatively high densities of pine martens, though these might be reduced by higher mortality. We concluded that all potential release regions are suitable for pine marten populations to spread. However, reintroductions should first be to regions with lower risk of mortality, in case higher levels of the latter prevent establishment. The suitability of relict regions of distribution in northern England was low until post-war afforestation, suggesting that habitat suitability constrained recovery of relict populations. These regions remain less suitable for reintroductions.</t>
  </si>
  <si>
    <t>Univ London Royal Holloway &amp; Bedford New Coll, Sch Biol Sci, Egham TW20 0EX, Surrey, England</t>
  </si>
  <si>
    <t>University of London; Royal Holloway University London</t>
  </si>
  <si>
    <t>Bright, PW (corresponding author), Univ London Royal Holloway &amp; Bedford New Coll, Sch Biol Sci, Egham TW20 0EX, Surrey, England.</t>
  </si>
  <si>
    <t>p.bright@rhbnc.ac.uk</t>
  </si>
  <si>
    <t>10.1023/A:1016654725190</t>
  </si>
  <si>
    <t>457WM</t>
  </si>
  <si>
    <t>WOS:000170159900002</t>
  </si>
  <si>
    <t>MELES-MELES; IBERIAN LYNX; EGYPTIAN MONGOOSES; MORTALITY-RATES; BEAR POPULATION; PATH-ANALYSIS; SPAIN; CONSEQUENCES; COMMUNITIES; EXTINCTION</t>
  </si>
  <si>
    <t>High rates of human-mediated mortality on animals are frequently reported inside protected areas, especially near their borders, so the overall effect of reserves on animal conservation is not usually known. To determine the effect of a traditional reserve (Donana National Park southwestern Spain) on the Eurasian badger (Meles meles), a medium sized carnivore, we studied mortality causes and rates, with the aid of radiotelemetry, in two populations inside the reserve, one closer to the border than the other. Human-related mortality (poaching and road kills) was by far the most common cause of mortality (85% of deaths recorded). The average annual mortality rate due to poaching was high (0.48 +/- 0.08) for the population close to the border of the park whereas none of the radiomarked badgers in the core of the reserve died during the study period A logistic model that included distance from the border of the park, sampling effort, and the local area (i.e., edge and core populations) indicated that the difference between both sites was due to the effect of distance from the border on survival probability. On a regional scale, badger density at the core of the park was 3.16 times higher than outside. Overall, the effect of the reserve was positive, but edge effects reduced reserve effectiveness by 36%. Edge effects in close proximity of the border were strong, reducing badger density even below the expected density outside the reserve. Edge effects should be considered carefully when reserves are implemented because they can greatly reduce reserve effectiveness and influence the viability of the populations inside. Enlargement of reserves and control of human activities that promote edge effects, both inside and outside the reserve, are the two management actions that can most effectively mitigate edge effects.</t>
  </si>
  <si>
    <t>Revilla, E (corresponding author), UFZ Helmholtz Ctr Environm Res, Dept Ecol Modelling, POB 2, D-04301 Leipzig, Germany.</t>
  </si>
  <si>
    <t>Delibes, Miguel/K-2744-2014; Revilla, Eloy/B-5100-2008; Palomares, Francisco/F-5327-2016</t>
  </si>
  <si>
    <t>Delibes, Miguel/0000-0002-3569-567X; Revilla, Eloy/0000-0001-5534-5581; Palomares, Francisco/0000-0002-4655-7205</t>
  </si>
  <si>
    <t>10.1046/j.1523-1739.2001.99431.x</t>
  </si>
  <si>
    <t>405QK</t>
  </si>
  <si>
    <t>WOS:000167170400017</t>
  </si>
  <si>
    <t>Bull, EL; Aubry, KB; Wales, BC</t>
  </si>
  <si>
    <t>NORTHWEST SCIENCE</t>
  </si>
  <si>
    <t>LYNX-CANADENSIS; SNOWSHOE HARES; HABITAT; WOLVERINE; ECOLOGY</t>
  </si>
  <si>
    <t>The effects on forest carnivores of forest insects, tree diseases, wildfire, and management strategies designed to improve forest health (e.g., thinning, salvage operations, prescribed bums, and road removal) are discussed. Forest carnivores of conservation concern in eastern Oregon and Washington include the Canada lynx (Lynx canadensis), wolverine (Gulo gulo), and fisher (Manes pennanti). All three species depend to some degree on forest structures, stands, and landscapes created by insects, disease, and fire. Wildfire and insect outbreaks maintain a mosaic of structural stages across the landscape that are used by lynx. Thinning of dense lodgepole pine (Pines contorta) stands that result largely from wildfire and insect outbreaks is detrimental to snowshoe hares (Lepus americanus), which are the primary prey of lynx. Fishers use large stands of mature forest and snags, hollow five trees, logs, stumps, witches-brooms, and other structures for rest and den sites. Salvage harvesting, thinning and conversion from predominantly fir stands to ponderosa pine (Pines ponderosa) may adversely affect habitat conditions for fishers. Use of roads is perhaps most detrimental to wolverines because they are easily trapped and avoid humans.</t>
  </si>
  <si>
    <t>Pacific NW Res Stn, Forestry &amp; Range Sci Lab, La Grande, OR 97850 USA</t>
  </si>
  <si>
    <t>Bull, EL (corresponding author), Pacific NW Res Stn, Forestry &amp; Range Sci Lab, 1401 Gekeler Lane, La Grande, OR 97850 USA.</t>
  </si>
  <si>
    <t>WASHINGTON STATE UNIV</t>
  </si>
  <si>
    <t>PULLMAN</t>
  </si>
  <si>
    <t>PO BOX 645020, PULLMAN, WA 99164-5910 USA</t>
  </si>
  <si>
    <t>0029-344X</t>
  </si>
  <si>
    <t>NORTHWEST SCI</t>
  </si>
  <si>
    <t>Northwest Sci.</t>
  </si>
  <si>
    <t>505BY</t>
  </si>
  <si>
    <t>WOS:000172892400021</t>
  </si>
  <si>
    <t>GRIFFITHS, HI; THOMAS, DH</t>
  </si>
  <si>
    <t>POPULATION-DYNAMICS; ESSEX</t>
  </si>
  <si>
    <t>The Eurasian Badger occurs throughout the Palaearctic, and in all states of Europe west of the border with the former Soviet Union. Within this area it is absent only from the arctic zones, high-altitude areas, and some islands. The Badger is currently a protected species in the UK, the Irish Republic, Spain, Portugal, Italy, Belgium, the Netherlands, Albania, Greece, Estonia, Luxembourg and Hungary, but Luxembourg and Hungary are to reconsider protected status. Elsewhere, the species is either considered as small-game or as a pest, hunting being regulated by closed seasons. At present Finland and Burgenland (Austria) afford protection to breeding females, whilst Bulgaria, Macedonia and the Austrian Bundeslander of Steiermark and Salzburg permit Badger hunting throughout the year. Where the species is protected, provisions usually exist for the removal or culling of 'pest' individuals. The official European game-bag currently totals about 118,000 Badgers, but poaching is common, particularly in the UK and Ireland. Published population estimates, coupled with national population minima obtained by extrapolation from game-bag statistics, indicate a minimum European Badger population of 1,220,000; the true figure may exceed this considerably. Badger populations appear to be either stable or increasing throughout much of Europe, although no data are currently available for the populations of Greece, Italy, Spain, Croatia, Bosnia-Hercegovina and Portugal. Badgers are uncommon in the Netherlands, Estonia, Belgium, the Slovak Republic, and possibly Poland. Only the populations of Albania and possibly of some parts of the former Yugoslavia appear to be decreasing. The Dutch population remains at considerable risk, despite modest recent increases. The population status of the endemic sub-species of Crete and Rhodes remain uncertain and require urgent clarification. A series of management recommendations are proposed to improve the status of the Badger in Europe.</t>
  </si>
  <si>
    <t>UNIV WALES COLL CARDIFF,SCH PURE &amp; APPL BIOL,CARDIFF CF1 3TL,WALES; UNIV WALES COLL CARDIFF,SCH HIST &amp; ARCHAEOL,ENVIRONM LAB,CARDIFF CF1 3XU,WALES</t>
  </si>
  <si>
    <t>Cardiff University; Cardiff University</t>
  </si>
  <si>
    <t>10.1111/j.1365-2907.1993.tb00415.x</t>
  </si>
  <si>
    <t>WOS:A1993KZ75400002</t>
  </si>
  <si>
    <t>Barrueto, M; Sawaya, MA; Clevenger, AP</t>
  </si>
  <si>
    <t>Barrueto, M.; Sawaya, M. A.; Clevenger, A. P.</t>
  </si>
  <si>
    <t>wolverine; Gulo gulo; density; spatial capture-recapture; apparent survival; edge effect; protected area; non-invasive genetic sampling</t>
  </si>
  <si>
    <t>BRITISH-COLUMBIA; POPULATION-SIZE; GENOTYPING ERRORS; GRIZZLY BEARS; GENE FLOW; CAPTURE; CONSERVATION; OCCUPANCY; DISPERSAL; MORTALITY</t>
  </si>
  <si>
    <t>Large carnivores are sensitive to human-caused extirpation due to large home ranges, low population densities, and low reproductive rates. Protected areas help maintain populations by acting as sources, but human-caused mortality, habitat displacement, and edge effects occurring at protected area boundaries may reduce that function. The national parks Banff, Yoho, and Kootenay in the Canadian Rocky Mountains are refugia for large carnivores, including wolverines (Gulo gulo (Linnaeus, 1758)). Despite growing conservation concern, empirical baseline population data for wolverines remain scarce throughout their range, including most of Canada. We hypothesized (i) that in these national parks, wolverine density matched values expected for high-quality habitat, and (ii) that edge effects decreased density towards park boundaries. We conducted systematic non-invasive genetic sampling surveys covering &gt;7000 km(2) (2011 and 2013). Using spatial capture-recapture models, we estimated mean (+/- SE) female (1.5 +/- 0.3 and 1.4 +/- 0.3 wolverine/1000 km(2)), male (1.8 +/- 0.4 and 1.5 +/- 0.3 wolverine/1000 km(2)), and combined (3.3 +/- 0.5 and 3.0 +/- 0.4 wolverine/1000 km(2)) densities for 2011 and 2013, respectively. These estimates were lower than predictions based on density extrapolation from nearby high-quality habitat, and density decreased towards park boundaries. To benefit the population, we recommend creating buffer zones around parks that protect female habitat and prohibit harvest.</t>
  </si>
  <si>
    <t>[Barrueto, M.] Univ Calgary, Dept Biol Sci, 2500 Univ Dr NW, Calgary, AB T2N 1N4, Canada; [Sawaya, M. A.] Sinopah Wildlife Res Associates, 127 North Higgins,Suite 310, Missoula, MT 59802 USA; [Clevenger, A. P.] Montana State Univ, Western Transportat Inst, POB 174250, Bozeman, MT 59717 USA</t>
  </si>
  <si>
    <t>University of Calgary; Montana State University System; Montana State University Bozeman</t>
  </si>
  <si>
    <t>Barrueto, M (corresponding author), Univ Calgary, Dept Biol Sci, 2500 Univ Dr NW, Calgary, AB T2N 1N4, Canada.</t>
  </si>
  <si>
    <t>mirjam.barrueto@ucalgary.ca</t>
  </si>
  <si>
    <t>Clevenger, Anthony P/0000-0003-0380-6272; Barrueto, Mirjam/0000-0001-6698-547X</t>
  </si>
  <si>
    <t>Parks Canada; Western Transportation Institute (WTI) -Montana State University; Woodcock Foundation; Wilburforce Foundation; U.S. Department of Transportation's Research and Innovative Technology Administration; Natural Sciences and Engineering Research Council of Canada (NSERC); Parks Canada from the Highway Engineering Services; Parks Canada from the Banff and Lake Louise -Yoho -Kootenay</t>
  </si>
  <si>
    <t>Parks Canada; Western Transportation Institute (WTI) -Montana State University; Woodcock Foundation; Wilburforce Foundation; U.S. Department of Transportation's Research and Innovative Technology Administration; Natural Sciences and Engineering Research Council of Canada (NSERC)(Natural Sciences and Engineering Research Council of Canada (NSERC)); Parks Canada from the Highway Engineering Services; Parks Canada from the Banff and Lake Louise -Yoho -Kootenay</t>
  </si>
  <si>
    <t>This project was generously supported by Parks Canada, the Western Transportation Institute (WTI) -Montana State University, the Woodcock Foundation, and the Wilburforce Foundation. Support from Parks Canada came from the Highway Engineering Services and the Banff and Lake Louise -Yoho -Kootenay field units. Partial funding came from the U.S. Department of Transportation's Research and Innovative Technology Administration funding to WTI and a Natural Sciences and Engineering Research Council of Canada (NSERC) Visiting Fellowship grant to M.A.S. Other support was provided by National Geographic Society, Disney Wildlife Conservation Fund, Liz Claiborne Art Ortenberg Foundation, Mountain Equipment Cooperative, McLean Foundation, Patagonia, Cameron Plewes, Alberta Sport Parks Recreation and Wildlife Foundation, Volgenau Foundation, Bow Valley Naturalists, Yellowstone to Yukon Conservation Initiative, Private Donation (1), Lake O'Hara Lodge, and Alpine Club of Canada. G. Seutin was instrumental in securing Parks Canada funding for the NSERC Visiting Fellowship. We thank B. Dorsey, B. Bertch, R. Bunyan, N. Heim, A. Kortello, and J. Zettel for their important contributions and many hours in the field. D. Gorrie, B. Hunt, G. Kubian, T. Kinley, A. Dibb, B. Fyten helped facilitate diverse aspects of our project. K. Pilgrim and D. Paetkau supervised genetic analyses. J. Whittington helped with statistical modelling and G. Mowat provided feedback on the manuscript. Lastly, we want to recognize all of the hard work of many WolverineWatch volunteers assisting field technicians.</t>
  </si>
  <si>
    <t>10.1139/cjz-2019-0165</t>
  </si>
  <si>
    <t>LL4XO</t>
  </si>
  <si>
    <t>WOS:000531560600001</t>
  </si>
  <si>
    <t>Moriarty, KM; Aubry, KB; Morozumi, CN; Howell, BL; Happe, PJ; Jenkins, KJ; Pilgrim, KL; Schwartz, MK</t>
  </si>
  <si>
    <t>Moriarty, Katie M.; Aubry, Keith B.; Morozumi, Connor N.; Howell, Betsy L.; Happe, Patricia J.; Jenkins, Kurt J.; Pilgrim, Kristine L.; Schwartz, Michael K.</t>
  </si>
  <si>
    <t>distribution; Martes caurina; Olympic Peninsula; Pacific marten</t>
  </si>
  <si>
    <t>AMERICAN MARTENS; NATIONAL-PARK; HABITAT SELECTION; FOREST; CONSERVATION; POPULATIONS; DYNAMICS; RIVER</t>
  </si>
  <si>
    <t>Pacific martens (Martes caurina) remain common in montane regions of the Pacific states, yet their distribution and status on the Olympic Peninsula, Washington, is uncertain. Between 1968-2008, six reliable marten detections exist; a dead juvenile female (2008) indicates martens were reproducing on the Peninsula within the last decade. To assess the status of martens, we describe carnivore surveys conducted from 1991-2008 (n = 223 stations). Additionally, we present results from three survey efforts we conducted from 2013-2016 (n = 747 stations). Although a suite of carnivore species was detected, surveys from 1991-2008 failed to detect either martens or fishers. Surveys from 2013-2016 detected reintroduced fishers, and resulted in two marten detections near Mt. Olympus, 4 km apart. A marten was photographed opportunistically near Mt. Cruiser in 2015, 44 km from Mt. Olympus. Altogether, nine reliable detections of Pacific martens were obtained between 1968 and 2016, including three since 2008. Evidence suggests martens are absent from the lower elevation regions they once occupied and occur at exceedingly low densities at higher elevations. To understand the trend in marten populations on the Peninsula and develop appropriate conservation strategies, additional broad- and fine-scale surveys using detection devices that enable the genetic identification of individuals will be needed.</t>
  </si>
  <si>
    <t>[Moriarty, Katie M.; Aubry, Keith B.] US Forest Serv, USDA, Pacific Northwest Res Stn, 3625 93rd Ave SW, Olympia, WA 98512 USA; [Morozumi, Connor N.] Oregon State Univ, 280 Peavy Hall, Corvallis, OR 97331 USA; [Howell, Betsy L.] US Forest Serv, USDA, Olymp Natl Forest, 295142 Hwy 101 S, Quilcene, WA 98376 USA; [Happe, Patricia J.] USDI Natl Pk Serv, Olymp Natl Pk, 600 East Pk Ave, Port Angeles, WA 98362 USA; [Jenkins, Kurt J.] US Geol Survey, Forest &amp; Rangeland Ecosyst Sci Ctr, 600 East Pk Ave, Port Angeles, WA 98362 USA; [Pilgrim, Kristine L.; Schwartz, Michael K.] US Forest Serv, USDA, Natl Genom Ctr Wildlife &amp; Fish Conservat, 800 E Beckwith Dr, Missoula, MT 59801 USA; [Moriarty, Katie M.] NCASI, 227 3rd St, Corvallis, OR 97330 USA; [Morozumi, Connor N.] Emory Univ, 400 Dowman Dr, Atlanta, GA 30307 USA</t>
  </si>
  <si>
    <t>United States Department of Agriculture (USDA); United States Forest Service; Oregon State University; United States Department of Agriculture (USDA); United States Forest Service; United States Department of the Interior; United States Geological Survey; United States Department of Agriculture (USDA); United States Forest Service; Emory University</t>
  </si>
  <si>
    <t>Moriarty, KM (corresponding author), US Forest Serv, USDA, Pacific Northwest Res Stn, 3625 93rd Ave SW, Olympia, WA 98512 USA.;Moriarty, KM (corresponding author), NCASI, 227 3rd St, Corvallis, OR 97330 USA.</t>
  </si>
  <si>
    <t>kmoriarty@ncasi.org</t>
  </si>
  <si>
    <t>Morozumi, Connor/ADD-0887-2022; Schwartz, Michael/C-3184-2014</t>
  </si>
  <si>
    <t>Morozumi, Connor/0000-0003-0235-3857; Moriarty, Katie/0000-0002-3348-3403;</t>
  </si>
  <si>
    <t>USDA Forest Service; USDI Bureau of Land Management Interagency Special Status/Sensitive Species Program (ISSSSP); USDA Forest Service Pacific Northwest Research Station; Olympic National Forest; National Park Service Natural Resource Preservation Program; US Fish and Wildlife Service Recovery Program</t>
  </si>
  <si>
    <t>USDA Forest Service(United States Department of Agriculture (USDA)United States Forest Service); USDI Bureau of Land Management Interagency Special Status/Sensitive Species Program (ISSSSP); USDA Forest Service Pacific Northwest Research Station(United States Department of Agriculture (USDA)United States Forest Service); Olympic National Forest; National Park Service Natural Resource Preservation Program; US Fish and Wildlife Service Recovery Program</t>
  </si>
  <si>
    <t>Marten surveys were funded primarily by the USDA Forest Service and USDI Bureau of Land Management Interagency Special Status/Sensitive Species Program (ISSSSP), USDA Forest Service Pacific Northwest Research Station, and Olympic National Forest, and were conducted in collaboration with the College of Forestry at Oregon State University. Fisher monitoring surveys were funded largely by the National Park Service Natural Resource Preservation Program, US Fish and Wildlife Service Recovery Program, and Olympic National Forest. Considerable aid with in-kind salary support, field logistics, vehicles, housing, and equipment was provided by the Lower Elwha S'Klallam, Makah, Point-noPoint Treaty, Quilleute, and Skokomish Tribes, Quinault Indian Nation, Washington Department of Fish and Wildlife, Washington Department of Natural Resources, USDA Forest Service, Olympic National Forest, National Park Service/Olympic National Park and US Geological Survey, and the Jefferson Land Trust. We thank S. Peurach at the National Museum of Natural History for granting access to historical Pacific marten specimens in her care. Thanks also to D. Keenum and S. Campbell, Geospatial Systems Specialists, USDA Forest Service for cartographic assistance in preparing this manuscript. We are especially grateful to our marten and fisher survey crew leads who were responsible for planning team logistics and supervising field crews (T. Kay [Olympic National Park], J. Moriarty, and M. Williams [Oregon State University]), and to our many agency and tribal collaborators who contributed significant numbers of personnel and in-kind services that enabled us to complete our peninsula-wide sampling objectives. We would particularly like to thank the Adventure Scientists staff and volunteers; S. Murphy and R. McCoy (Makah Tribe); B. Ackerman (Skokomish Tribe); A. McMillan, J. Becker, S. Ament, W. Michaelis, J. Skriletz, B. Murphie, R. Nagel (Washington Department of Fish and Wildlife); T. Cullinan (Point no Point Treaty Tribes); S. Horton (Washington Department of Natural Resources); S. Piper and D. Kelso (Olympic National Forest); Z. Radmer (US Fish and Wildlife Service); G. Rasmussen (Quillieute Tribe); K. Sager-Fradkin and D. Manson (Lower Elwha Klallam Tribe); L. MacFarland (Quinault Nation); C. Godbolt (Port Gamble S'Klallam Tribe); and C. Clendaniel, K. Cook, C. Battersby, D. Bahls, J. Joyce, D. Rugh, D. Stockment, and S. Pensler (Jefferson Land Trust). Lastly, we could not have completed this effort without the hard work of over 50 crew members (too numerous to mention by name) who collected the field data, without whose dedication and hard work this contribution would not have been possible. Previous versions of this manuscript benefited from suggestions by M. Delheimer and our anonymous reviewers. Use of trade, product, or firm names is for descriptive purposes only and does not imply endorsement by the US Government.</t>
  </si>
  <si>
    <t>NORTHWEST SCIENTIFIC ASSOC</t>
  </si>
  <si>
    <t>SEATTLE</t>
  </si>
  <si>
    <t>JEFFREY DUDA, USGS, WESTERN FISHERIES RES CTR, 6505 NE 65 ST, SEATTLE, WA 98115 USA</t>
  </si>
  <si>
    <t>2161-9859</t>
  </si>
  <si>
    <t>10.3955/046.093.0204</t>
  </si>
  <si>
    <t>JA7EM</t>
  </si>
  <si>
    <t>WOS:000488004300005</t>
  </si>
  <si>
    <t>Delheimer, MS; Moriarty, KM; Ltniniell, MA; Woodruff, BV</t>
  </si>
  <si>
    <t>Delheimer, Matthew S.; Moriarty, Katie M.; Ltniniell, Mark A.; Woodruff, Bryce, V</t>
  </si>
  <si>
    <t>ECOSPHERE</t>
  </si>
  <si>
    <t>cavity; fisher; forest management; marten; recruitment; structure persistence; tree loss</t>
  </si>
  <si>
    <t>FISHER PEKANIA-PENNANTI; HABITAT SELECTION; SIERRA-NEVADA; CALIFORNIA; PATTERNS; VEGETATION; DECLINE; DECAY</t>
  </si>
  <si>
    <t>A global decline in large trees, largely driven by anthropogenic influences, has potentially dire consequences for cavity-dependent wildlife. For several species of conservation concern in western North America, including Pacific martens (Martes caurina), fishers (Pekania pennanti), and spotted owls (Strix occidentalis), large live and dead trees (snags) with cavities are forest structural elements that are requisite to fulfilling life history requirements. More than a century may be necessary for trees to develop cavities of a suitable size for use by martens, fishers, and owls, yet the relative amount of time that such trees persist as usable prior to senescence is largely unknown, despite the implications for how forests are managed as habitat for these wildlife species. To address this uncertainty, in 2016, we re-located 44 live trees and snags identified as marten rest structures between 2009 and 2012 in the Lassen National Forest, California. Upon re-location, we assessed structure persistence by determining whether structures had changed type (e.g., a live tree that died and transitioned to a snag) or usability (any structure that was degraded to a point where it was no longer usable by a marten). After 5-7 yr, 25% (n = 11) of marten rest structures changed type and 16% (n = 7) appeared to be unusable-a stark contrast compared to a similar study investigating persistence of fisher rest structures, which documented one-third of the change in structure type and no change in usability over roughly twice the return interval (8-12 yr). Our results emphasize the vast disparity between the lengthy period required for trees to become suitable for marten use and the potentially short period for which they may remain usable. We suggest that forest managers consider the importance of these fine-scale forest structural elements when developing broad-scale strategies to reduce fire risk and improve resilience in western North American forests.</t>
  </si>
  <si>
    <t>[Delheimer, Matthew S.; Moriarty, Katie M.; Ltniniell, Mark A.] US Forest Serv, Corvallis Forestry Sci Lab, USDA, Pacific Northwest Res Stn, Corvallis, OR 97331 USA; [Woodruff, Bryce, V] Oak Ridge Inst Sci &amp; Educ, 100 ORAU Way, Oak Ridge, TN 37830 USA; [Moriarty, Katie M.] Natl Council Air &amp; Stream Improvement, 720 SW 4th St, Corvallis, OR 97333 USA</t>
  </si>
  <si>
    <t>United States Department of Agriculture (USDA); United States Forest Service; Oak Ridge Associated Universities; United States Department of Energy (DOE); Oak Ridge Institute for Science &amp; Education; National Council for Air &amp; Stream Improvement, Inc.</t>
  </si>
  <si>
    <t>Delheimer, MS (corresponding author), US Forest Serv, Corvallis Forestry Sci Lab, USDA, Pacific Northwest Res Stn, Corvallis, OR 97331 USA.</t>
  </si>
  <si>
    <t>mdelheimer@fs.fed.us</t>
  </si>
  <si>
    <t>Delheimer, Matthew/IQT-1414-2023</t>
  </si>
  <si>
    <t>Delheimer, Matthew/0000-0001-7310-0190; Moriarty, Katie/0000-0002-3348-3403</t>
  </si>
  <si>
    <t>USDA Forest Service; Lassen National Forest; Oregon State University; Oak Ridge Institute for Science and Education; Pacific Northwest Research Station</t>
  </si>
  <si>
    <t>USDA Forest Service(United States Department of Agriculture (USDA)United States Forest Service); Lassen National Forest; Oregon State University; Oak Ridge Institute for Science and Education; Pacific Northwest Research Station(United States Department of Agriculture (USDA)United States Forest Service)</t>
  </si>
  <si>
    <t>Funding was provided by the USDA Forest Service, including the Lassen National Forest and Pacific Northwest Research Station, as well as Oregon State University and Oak Ridge Institute for Science and Education. Logistical support was provided by staff at the Lassen National Forest, Almanor Ranger District. Field data collection was assisted by numerous hard-working technicians, including L. Kreiensieck, K. Mansfield, M. Martin, A. Roddy, and P. Tweedy. This publication represents the views of the authors, and any use of trade, firm, or product names is for descriptive purposes only and does not imply endorsement by the U.S. government.</t>
  </si>
  <si>
    <t>2150-8925</t>
  </si>
  <si>
    <t>Ecosphere</t>
  </si>
  <si>
    <t>e02819</t>
  </si>
  <si>
    <t>10.1002/ecs2.2819</t>
  </si>
  <si>
    <t>IU8LD</t>
  </si>
  <si>
    <t>WOS:000483832300016</t>
  </si>
  <si>
    <t>Gervasi, V; Linnell, JDC; Broseth, H; Gimenez, O</t>
  </si>
  <si>
    <t>Gervasi, Vincenzo; Linnell, John D. C.; Broseth, Henrik; Gimenez, Olivier</t>
  </si>
  <si>
    <t>JOURNAL OF APPLIED ECOLOGY</t>
  </si>
  <si>
    <t>compensatory immigration; density-dependent dispersal; source-sink dynamic; spatial harvest; transboundary management; policy; transboundary species; vec-permutation matrix model</t>
  </si>
  <si>
    <t>LARGE CARNIVORES; DISPERSAL; CONSERVATION; PREDATION; DYNAMICS; GROWTH; GULO</t>
  </si>
  <si>
    <t>Large carnivores are expanding in Europe, and their return is associated with conflicts that often result in policies to regulate their population size through culling. Being wide-ranging species, their populations are often distributed across several jurisdictions, which may vary in the extent to which they use lethal control. This creates the conditions for the establishment of source-sink dynamics across borders, which may frustrate the ability of countries to reach their respective management objectives. To explore the consequences of this issue, we constructed a vec-permutation projection model, applied to the case of wolverines in south-central Scandinavia, shared between Norway (where they are culled) and Sweden (where they are protected). We evaluated the effect of compensatory immigration on wolverine population growth rates, and if the effect was influenced by the distance to the national border. We assessed to what extent compensatory immigration had an influence on the number of removals needed to keep the population at a given growth rate. In Norway, the model estimated a stable trend, whereas in Sweden it produced a 10% annual increase. The effect of compensatory immigration corresponded to a 0.02 reduction in population growth rate in Sweden and to a similar increase in Norway. This effect was strong closer to the Norwegian-Swedish border, but weak when moving away from it. An average of 33 wolverines was shot per year in the Norwegian part of the study area. If no compensatory immigration from Sweden had occurred, 28 wolverines shot per year would have been sufficient to achieve the same goal. About 15.5% of all the individuals harvested in Norway between 2005 and 2012 were compensated by immigrants, causing a decrease in population growth rate in Sweden. Synthesis and applications. When a population is transboundary, the consequences of management decisions are also transboundary, even though the political bodies in charge of those decisions, the stakeholders who influence them, and the taxpayers who finance them are not. It is important that managers and citizens be informed that a difference in management goals can reduce the efficiency, and increase the costs, of wildlife management.</t>
  </si>
  <si>
    <t>[Gervasi, Vincenzo] Univ Montpellier, Univ Paul Valery Montpellier 3, IRDMontpellier, CEFE,CNRS,EPHE, Montpellier, France; [Linnell, John D. C.; Broseth, Henrik] Norwegian Inst Nat Res, Trondheim, Norway; [Gimenez, Olivier] Ctr Ecol Fonct &amp; Evolut, UMR 5175, Campus CNRS, Montpellier 5, France</t>
  </si>
  <si>
    <t>Universite PSL; Ecole Pratique des Hautes Etudes (EPHE); Institut Agro; Montpellier SupAgro; CIRAD; Centre National de la Recherche Scientifique (CNRS); Institut de Recherche pour le Developpement (IRD); Universite Paul-Valery; Universite de Montpellier; Norwegian Institute Nature Research; Universite PSL; Ecole Pratique des Hautes Etudes (EPHE); Institut Agro; Montpellier SupAgro; CIRAD; Centre National de la Recherche Scientifique (CNRS); Institut de Recherche pour le Developpement (IRD); Universite Paul-Valery; Universite de Montpellier</t>
  </si>
  <si>
    <t>Gervasi, V (corresponding author), Univ Montpellier, Univ Paul Valery Montpellier 3, IRDMontpellier, CEFE,CNRS,EPHE, Montpellier, France.</t>
  </si>
  <si>
    <t>vincent.gervasi@gmail.com</t>
  </si>
  <si>
    <t>Linnell, John D C/V-4177-2019; Gimenez, Olivier/G-4281-2010</t>
  </si>
  <si>
    <t>Linnell, John D C/0000-0002-8370-5633; Gimenez, Olivier/0000-0001-7001-5142</t>
  </si>
  <si>
    <t>0021-8901</t>
  </si>
  <si>
    <t>1365-2664</t>
  </si>
  <si>
    <t>J APPL ECOL</t>
  </si>
  <si>
    <t>J. Appl. Ecol.</t>
  </si>
  <si>
    <t>10.1111/1365-2664.13379</t>
  </si>
  <si>
    <t>IN3UH</t>
  </si>
  <si>
    <t>WOS:000478601300005</t>
  </si>
  <si>
    <t>Harrington, LA; Macdonald, DW; D'Cruze, N</t>
  </si>
  <si>
    <t>Harrington, Lauren A.; Macdonald, David W.; D'Cruze, Neil</t>
  </si>
  <si>
    <t>NATURE CONSERVATION-BULGARIA</t>
  </si>
  <si>
    <t>animal welfare; Aonyx cinereus; conservation; Lutrogale perspillata; social media; wildlife trade</t>
  </si>
  <si>
    <t>ANIMAL-WELFARE; CLAWED OTTER; CONSERVATION; WILDLIFE; SYSTEM</t>
  </si>
  <si>
    <t>In response to growing reports of otters in the pet trade, and suggestions that the popularity of pet otters on social media may be driving demand, we collated YouTube videos of pet otters to test for trends in the number of videos published, their exposure (number of views) and popularity. We used English-language search terms to provide a global overview, as well as local language search terms for four South East Asian countries identified as being of potential importance in the pet otter trade (Indonesia, Malaysia, Thailand and Vietnam), and Japan. We found that not only had the number of videos depicting pet otters increased in the last two to three years (2016-2018), but that their popularity and/or engagement had also increased. Notwithstanding some country-level differences in the details of effects observed, the greatest increases in both the number of videos produced and their popularity occurred in Indonesia and Japan. At a global-level, commercial viral video sites appeared to be influential in terms of posting highly popular pet otter videos. At a national level, potentially influential videos tended to be produced by four or five individual otter owners. The appearance of phrases such as I want one in the comments section of the English-language videos, although not necessarily a statement of actual intent, suggests that these videos may be driving demand amongst their viewers and followers; similar analyses of video comments in each local language are warranted. Our results show an increase in social media activity that may not only be driving the apparent increase in popularity, but also amplifying awareness of the availability of these animals as pets, as well as creating and perpetuating the (erroneous) perception of otters as a suitable companion animal. At a global level, there are welfare concerns associated with otters in the pet trade, and, in South East Asia specifically, there are serious conservation concerns. We recommend increased regulation of these activities on social media, increased public awareness of the negative impacts of the pet trade on otters, and increased international protection. Specifically, we suggest the need to uplist both small-clawed and smooth-coated otters (Aonyx cinereus and Lutrogale perspicillata, respectively) to CITES Appendix 1.</t>
  </si>
  <si>
    <t>[Harrington, Lauren A.; Macdonald, David W.] Univ Oxford, Wildlife Conservat Res Unit WildCRU, Dept Zool, Recanati Kaplan Ctr, Tubney House,Abingdon Rd, Tubney OX13 5QL, Oxon, England; [D'Cruze, Neil] World Anim Protect UK, 5th Floor,222 Grays Inn Rd, London WC1X 8HB, England</t>
  </si>
  <si>
    <t>University of Oxford</t>
  </si>
  <si>
    <t>Harrington, LA (corresponding author), Univ Oxford, Wildlife Conservat Res Unit WildCRU, Dept Zool, Recanati Kaplan Ctr, Tubney House,Abingdon Rd, Tubney OX13 5QL, Oxon, England.</t>
  </si>
  <si>
    <t>lauren.harrington@zoo.ox.ac.uk</t>
  </si>
  <si>
    <t>World Animal Protection</t>
  </si>
  <si>
    <t>We thank World Animal Protection for funding this study, and Christoph Fink and one anonymous reviewer for useful comments on an earlier version of this manuscript.</t>
  </si>
  <si>
    <t>PENSOFT PUBLISHERS</t>
  </si>
  <si>
    <t>SOFIA</t>
  </si>
  <si>
    <t>12 PROF GEORGI ZLATARSKI ST, SOFIA, 1700, BULGARIA</t>
  </si>
  <si>
    <t>1314-6947</t>
  </si>
  <si>
    <t>1314-3301</t>
  </si>
  <si>
    <t>NAT CONSERV-BULGARIA</t>
  </si>
  <si>
    <t>Nat. Conserv.-Bulgaria</t>
  </si>
  <si>
    <t>JUL 16</t>
  </si>
  <si>
    <t>10.3897/natureconservation.36.33842</t>
  </si>
  <si>
    <t>IZ8CC</t>
  </si>
  <si>
    <t>WOS:000487329100001</t>
  </si>
  <si>
    <t>Slauson, KM; Zielinski, WJ; Kirk, TA; LaPlante, DW</t>
  </si>
  <si>
    <t>Slauson, Keith M.; Zielinski, William J.; Kirk, Thomas A.; LaPlante, David W.</t>
  </si>
  <si>
    <t>Humboldt marten; Martes; coastal forest; landscape habitat suitability; late-successional</t>
  </si>
  <si>
    <t>SPECIES DISTRIBUTION MODELS; AMERICAN MARTENS; FOREST DISTURBANCE; DETECTING TRENDS; GROWTH; SELECTION; PREDICTION; DISPERSAL; PATTERN; FISHER</t>
  </si>
  <si>
    <t>Models that predict the distributions and habitat suitability for species of conservation concern can be useful for guiding survey, monitoring, and conservation planning efforts. The Humboldt marten (Martes caurina humboldtensis) has significantly declined throughout its historical range in coastal California and Oregon and this taxon is known from a few remnant populations. We developed a landscape habitat suitability model to identify areas of suitable habitat not yet surveyed, to provide a template for designing monitoring programs and research studies, and to inform the development of a conservation strategy. We used the results of 1,159 occupancy surveys to develop a predictive habitat model using Generalized Additive Modeling to relate Humboldt marten detections to combinations of environmental and habitat attributes hypothesized to influence marten distribution. We measured 30 candidate variables at three spatial scales, using 0.5, 1.0, and 3.0 km, and although several models were competitive, each contained the same three core variables: old growth structural index measured at the 1-km scale, serpentine habitat measured at the 3-km scale, and annual precipitation measured at the 3-km scale. The final model had an overall correct classification rate of 91% for marten detections, 82% for non-detections and a true skill statistic of 0.73. Model predictions were stable when cross-validated, with the correct classification of marten detections (89%) varying little. The largest complexes of predicted suitable habitat occurred in the areas with the three extant marten populations (north coastal California, south coastal Oregon, and central coastal Oregon), however connectivity of suitable habitat to areas outside these three areas appears limited.</t>
  </si>
  <si>
    <t>[Slauson, Keith M.; Zielinski, William J.; Kirk, Thomas A.] US Forest Serv, USDA, Pacific Southwest Res Stn, 1700 Bayview Dr, Arcata, CA 95521 USA; [LaPlante, David W.] Nat Resource Geospatial, POB 1542, Yreka, CA 96097 USA</t>
  </si>
  <si>
    <t>United States Department of Agriculture (USDA); United States Forest Service</t>
  </si>
  <si>
    <t>Slauson, KM (corresponding author), US Forest Serv, USDA, Pacific Southwest Res Stn, 1700 Bayview Dr, Arcata, CA 95521 USA.</t>
  </si>
  <si>
    <t>keithmslauson@fs.fed.us</t>
  </si>
  <si>
    <t>US Fish and Wildlife Service, Arcata Field Office; Save The Redwoods League</t>
  </si>
  <si>
    <t>We would like to thank J. Werren and R. Schlexer of the Pacific Southwest Research station for GIS logistical assistance, respectively. R. Douglas of the Mendocino Redwood Company, S. Chinnici of the Humboldt Redwood Company, K. Hamm and D. Early of the Green Diamond Resource Company, D. Clayton of the Siskiyou National Forest, J. Stephens and J. Heaney of the Oregon Bureau of Land Management were instrumental in providing survey data and we appreciate their efforts. We would like to recognize Save The Redwoods League and the US Fish and Wildlife Service, Arcata Field Office for financial support and J. Dunk for review of the manuscript.</t>
  </si>
  <si>
    <t>10.3955/046.093.0104</t>
  </si>
  <si>
    <t>IB1AX</t>
  </si>
  <si>
    <t>WOS:000469996800003</t>
  </si>
  <si>
    <t>Kundu, S; Kumar, V; Tyagi, K; Rath, S; Pakrashi, A; Saren, PC; Kosygin, L; Chandra, K</t>
  </si>
  <si>
    <t>Kundu, Shantanu; Kumar, Vikas; Tyagi, Kaomud; Rath, Shibananda; Pakrashi, Avas; Saren, Phakir Chandra; Kosygin, Laishram; Chandra, Kailash</t>
  </si>
  <si>
    <t>MITOCHONDRIAL DNA PART B-RESOURCES</t>
  </si>
  <si>
    <t>Hog badger; Indo-Burma; mitochondrial DNA; wildlife forensics; phylogeny</t>
  </si>
  <si>
    <t>CYTOCHROME-B GENE; PHYLOGENETIC-RELATIONSHIPS; EURASIAN BADGER; MUSTELIDAE; CARNIVORA; MAMMALIA</t>
  </si>
  <si>
    <t>The greater hog badger, Arctonyx collaris is a venerable and widely distributed terrestrial carnivore mammal in Indo-Burma biodiversity hotspot. The population of A. collaris has largely declined in its range distribution due to the habitat loss and bushmeat crisis. The present study identified the amorphous burnt body parts of a mammal as A. collaris, through mitochondrial cytochrome b (Cytb) gene sequences. The mustelids carnivores (family Mustelidae) with 51 species showed 0-3.03% intraspecies genetic distance in the present dataset. Further, the generated sequences of A. collaris from Manipur state showed notable genetic distance (2 and 3.5%) in comparison with Thailand and Vietnam specimens, which assumed to be a distinct meta-population in northeast India. However, additional genetic information of this carnivore mammal from the wide geographical area might be helpful for estimating their population structure and conservation genetics. The similar approach with different molecular markers would be useful in wildlife forensics by identifying the species, track the trade route, and also find the native population of many abused animals.</t>
  </si>
  <si>
    <t>[Kundu, Shantanu; Kumar, Vikas; Tyagi, Kaomud; Pakrashi, Avas; Chandra, Kailash] Zool Survey India, Mol Systemat Div, Ctr DNA Taxon, Kolkata, India; [Rath, Shibananda; Chandra, Kailash] Zool Survey India, Freshwater Fish Sect, Kolkata, India; [Kosygin, Laishram; Chandra, Kailash] Zool Survey India, Wildlife Sect, Kolkata, India</t>
  </si>
  <si>
    <t>Zoological survey of India; Zoological survey of India; Zoological survey of India</t>
  </si>
  <si>
    <t>Kumar, V (corresponding author), Zool Survey India, Mol Systemat Div, Ctr DNA Taxon, Kolkata, India.</t>
  </si>
  <si>
    <t>vikaszsi77@gmail.com</t>
  </si>
  <si>
    <t>Kundu, Shantanu/AAX-1130-2020; CHANA, KAILASH/AAU-5395-2020; Pakrashi, Avas/ABA-9469-2021</t>
  </si>
  <si>
    <t>Kundu, Shantanu/0000-0002-5488-4433; CHANA, KAILASH/0000-0001-9076-5442; Pakrashi, Avas/0000-0001-5876-0203</t>
  </si>
  <si>
    <t>National Mission for Himalayan Studies large grant, Conservation of Threatened Vertebrate Fauna in Indian Himalayan Region through Long-Term Monitoring and Capacity Building; Ministry of Environment, Forest and Climate Change, ZSI in-house core funding</t>
  </si>
  <si>
    <t>We acknowledge the on-going research grant 'National Mission for Himalayan Studies large grant, Conservation of Threatened Vertebrate Fauna in Indian Himalayan Region through Long-Term Monitoring and Capacity Building' (KC and SK) and Ministry of Environment, Forest and Climate Change, ZSI in-house core funding (VK and KT). The funders had no role in study design, data collection and analysis or preparation of the manuscript.</t>
  </si>
  <si>
    <t>2-4 PARK SQUARE, MILTON PARK, ABINGDON OR14 4RN, OXON, ENGLAND</t>
  </si>
  <si>
    <t>2380-2359</t>
  </si>
  <si>
    <t>MITOCHONDRIAL DNA B</t>
  </si>
  <si>
    <t>Mitochondrial DNA Part B-Resour.</t>
  </si>
  <si>
    <t>JAN 2</t>
  </si>
  <si>
    <t>10.1080/23802359.2019.1591175</t>
  </si>
  <si>
    <t>HP9JA</t>
  </si>
  <si>
    <t>WOS:000462007900001</t>
  </si>
  <si>
    <t>Grabham, AA; Ventress, G; Hayward, MW</t>
  </si>
  <si>
    <t>Grabham, Alexander A.; Ventress, Gareth; Hayward, Matt W.</t>
  </si>
  <si>
    <t>Frequency of occurrence in diet; Denning; Females; Recruitment; Biomass of prey ingested; Pine marten</t>
  </si>
  <si>
    <t>PINE MARTEN; FOOD-HABITS; POPULATION; CONSERVATION; TRANSLOCATION; FLUCTUATIONS; COMPETITION; DIMORPHISM; DIVERSITY; SQUIRRELS</t>
  </si>
  <si>
    <t>Populations of Europeanpine marten (Martes martes) across Great Britain declined dramatically during the 18th and 19th centuries due to deforestation and human-wildlife conflicts. Pine marten recovery from their northern Scottish stronghold is limited following reintroduction in Galloway Forest District, south-west Scotland, in the 1980s. With suggestions that martens have influenced red squirrel population increases in neighbouring Ireland, marten reintroduction efforts are a priority in Great Britain. Reintroduction requires establishment of recruiting populations that depend on suitable food availability to meet the associated higher energy demands of recruitment. We, therefore, investigated the diet of reproductive denning female martens during denning (March-April), and the mixed sex population in summer for the first time in Galloway. Scats (n=114) were analysed from clumps collected from occupied artificial den boxes in 2015 and 2016, as well as genetically verified scats (n=44) from summer transects in 2014. We compared our results with other Scottish studies and found that carrion frequency of occurrence and biomass of prey ingested differed most significantly between the regional mixed sex spring diets and the diet of denning females in Galloway. Anurans, birds, and small mammals were the likely substitution of carrion; we hypothesise that these differences are related to sex-specific behaviours and scavenging risk. We, therefore, suggest that there are differences in the diet of denning female martens compared to mixed sex spring populations and that future translocations should consider abundances of anurans in Galloway, and even more importantly than before, small mammals and birds across Great Britain.</t>
  </si>
  <si>
    <t>[Grabham, Alexander A.; Hayward, Matt W.] Bangor Univ, Sch Biol Sci, Deiniol Rd, Bangor LL57 2UW, Gwynedd, Wales; [Ventress, Gareth] Galloway Forest Dist, Forest Enterprise Scotland, Dumfries DG8 6AJ, Scotland; [Ventress, Gareth] Galloway Forest Dist, Forest Enterprise Scotland, Galloway DG8 6AJ, Scotland; [Hayward, Matt W.] Bangor Univ, Sch Environm Nat Resources &amp; Geog, Deiniol Rd, Bangor LL57 2UW, Gwynedd, Wales; [Hayward, Matt W.] Nelson Mandela Univ, Ctr African Conservat Ecol, ZA-6119 Port Elizabeth, South Africa; [Hayward, Matt W.] Univ Newcastle, Sch Environm &amp; Life Sci, Univ Dr, Callaghan, NSW 2308, Australia</t>
  </si>
  <si>
    <t>Bangor University; Bangor University; Nelson Mandela University; University of Newcastle</t>
  </si>
  <si>
    <t>Grabham, AA (corresponding author), Bangor Univ, Sch Biol Sci, Deiniol Rd, Bangor LL57 2UW, Gwynedd, Wales.</t>
  </si>
  <si>
    <t>alexgrabham@outlook.com</t>
  </si>
  <si>
    <t>Grabham, Alexander/KEH-9878-2024; Hayward, Matt W/F-3569-2010</t>
  </si>
  <si>
    <t>Grabham, Alexander/0000-0002-2299-577X; Hayward, Matt W/0000-0002-5574-1653</t>
  </si>
  <si>
    <t>10.1007/s13364-018-0398-5</t>
  </si>
  <si>
    <t>HH4BV</t>
  </si>
  <si>
    <t>WOS:000455666000009</t>
  </si>
  <si>
    <t>Gallina, S; González-Romero, A</t>
  </si>
  <si>
    <t>Gallina, Sonia; Gonzalez-Romero, Alberto</t>
  </si>
  <si>
    <t>REVISTA MEXICANA DE BIODIVERSIDAD</t>
  </si>
  <si>
    <t>Armadillo; Camera-trapping; Defaunation; Margay; Paca; Veracruz</t>
  </si>
  <si>
    <t>BODY-SIZE; DIVERSITY; ALPHA</t>
  </si>
  <si>
    <t>Wildlife is a distinctive and charismatic element of the tropical biodiversity that is under severe threat without precedent due to hunting and habitat loss. This phenomenon known as defaunation impacts directly into tropical biodiversity as animal populations are eradicated, reduced their genetic variability, and at the end the extinction of species. Particular reserves like Santa Gertrudis (SG) in Vega de Alatorre and La Otra Opcion (LOO) at los Tuxtlas, Veracruz, are doing efforts to conserve wildlife biodiversity. During 2014 and 2015 we used camera traps to record mammal species with a total effort at SG of 531 camera/day in 2014 and 1, 093 in 2015, while at LOO during 2014 we had 1,090 c/d and in 2015, 1, 081 c/d. In SG the common species registered were Dasypus novemcinctus, Didelphis marsupialis and Cuniculus paca, and at the LOO: Dasypus novemcinctus, Sciurus aureogaster and Dasyprocta mexicana. We recorded species under risk of extinction like Galictis vittata (in SG); also Leopardus wiedii, Herpailurus yagouaroundi and Eira barbara (in LOO).</t>
  </si>
  <si>
    <t>[Gallina, Sonia; Gonzalez-Romero, Alberto] Inst Ecol AC, Red Biol &amp; Conservac Vertebrados, Carretera Antigua Coatepec 351, Xalapa 91070, Veracruz, Mexico</t>
  </si>
  <si>
    <t>Instituto de Ecologia - Mexico</t>
  </si>
  <si>
    <t>Gallina, S (corresponding author), Inst Ecol AC, Red Biol &amp; Conservac Vertebrados, Carretera Antigua Coatepec 351, Xalapa 91070, Veracruz, Mexico.</t>
  </si>
  <si>
    <t>sonia.gallina@inecol.mx</t>
  </si>
  <si>
    <t>Gallina, Sonia/Q-6204-2018; González-Romero, Alberto/Q-6701-2018</t>
  </si>
  <si>
    <t>Gallina, Sonia/0000-0002-8941-5186; González-Romero, Alberto/0000-0001-5800-1223</t>
  </si>
  <si>
    <t>INST BIOLOGIA, UNIV NACIONAL AUTONOMA MEXICO</t>
  </si>
  <si>
    <t>MEXICO</t>
  </si>
  <si>
    <t>APARTADO POSTAL 70-233, MEXICO, D F 00000, MEXICO</t>
  </si>
  <si>
    <t>1870-3453</t>
  </si>
  <si>
    <t>2007-8706</t>
  </si>
  <si>
    <t>REV MEX BIODIVERS</t>
  </si>
  <si>
    <t>Rev. Mex. Biodivers.</t>
  </si>
  <si>
    <t>10.22201/ib.20078706e.2018.4.2476</t>
  </si>
  <si>
    <t>HG7ID</t>
  </si>
  <si>
    <t>WOS:000455163200024</t>
  </si>
  <si>
    <t>Siriwat, P; Nijman, V</t>
  </si>
  <si>
    <t>Siriwat, Penthai; Nijman, Vincent</t>
  </si>
  <si>
    <t>JOURNAL OF ASIA-PACIFIC BIODIVERSITY</t>
  </si>
  <si>
    <t>Exotic pets; Facebook; Illegal wildlife trade; Otters; Social media</t>
  </si>
  <si>
    <t>WILDLIFE-TRADE; MARKET</t>
  </si>
  <si>
    <t>Social media has become an increasingly popular platform to trade legal and illegal wildlife. Here, we evaluate the online trade of otters, a group of globally threatened taxa in Thailand, a country of high global social media use. During the 14-month period, we monitored five Facebook groups to establish a primary understanding of the scope and scale of the trade. We recorded 160 sales posts (337 individual otters) of two species, the Asian small-clawed otter (Aonyx cinereus) (81%) and the smooth-coated otter (Lutrogale perspicillata) (19%). Newborn otter pups accounted for 53% of the offers, whereas young otters accounted for 35%. Prices averaged US$78, where the smooth-coated otter was offered at a significantly higher price than the Asian small-clawed otter. Juvenile otters were also significantly more expensive than newborns. Trade appears to be domestic; however, the potential for international trade cannot be overlooked. Although otters are protected domestically, we find that the trade is easily accessible and prevalent. The results reflect current inadequacies in enforcement and legislation in keeping pace with the rapidly shifting nature of the Internet in Thailand and throughout the global Internet community. A consistent collaborative effort from consumers, enforcement agencies, and operators is required to address this illicit trade. (C) 2018 National Science Museum of Korea (NSMK) and Korea National Arboretum (KNA), Publishing Services by Elsevier.</t>
  </si>
  <si>
    <t>[Siriwat, Penthai; Nijman, Vincent] Oxford Wildlife Trade Res Grp, Oxford, England</t>
  </si>
  <si>
    <t>Siriwat, P (corresponding author), Oxford Brookes Univ, Dept Social Sci, Oxford Wildlife Trade Res Grp, Oxford OX0 1BP, England.</t>
  </si>
  <si>
    <t>siriwat.penthai@gmail.com; vnijman@brookes.ac.uk</t>
  </si>
  <si>
    <t>Nijman, Vincent/AHD-8685-2022</t>
  </si>
  <si>
    <t>Nijman, Vincent/0000-0002-5600-4276</t>
  </si>
  <si>
    <t>NATL SCIENCE MUSEUM &amp; KOREAN NATL ARBORETUM</t>
  </si>
  <si>
    <t>DAEJEON</t>
  </si>
  <si>
    <t>481 DAEDEOK-DAERO, YUSEONG-GU, DAEJEON, 34143, SOUTH KOREA</t>
  </si>
  <si>
    <t>2287-9544</t>
  </si>
  <si>
    <t>J ASIA-PAC BIODIVERS</t>
  </si>
  <si>
    <t>J. Asia-Pac. Biodivers.</t>
  </si>
  <si>
    <t>10.1016/j.japb.2018.09.004</t>
  </si>
  <si>
    <t>Biodiversity Conservation; Biology</t>
  </si>
  <si>
    <t>Biodiversity &amp; Conservation; Life Sciences &amp; Biomedicine - Other Topics</t>
  </si>
  <si>
    <t>VI8AP</t>
  </si>
  <si>
    <t>WOS:000514194200001</t>
  </si>
  <si>
    <t>Zhang, L; Wang, QY; Yang, L; Li, F; Chan, BPL; Xiao, ZS; Li, S; Song, DZ; Piao, ZJ; Fan, PF</t>
  </si>
  <si>
    <t>Zhang, Lu; Wang, Qiaoyun; Yang, Li; Li, Fei; Chan, Bosco Pui Lok; Xiao, Zhishu; Li, Sheng; Song, Dazhao; Piao, Zhengji; Fan, Pengfei</t>
  </si>
  <si>
    <t>China; Freshwater ecosystem; Distribution; Population status; Wildlife conservation</t>
  </si>
  <si>
    <t>FRESH-WATER BIODIVERSITY; LUTRA-LUTRA POPULATIONS; EURASIAN OTTER; SPECIES DISTRIBUTION; WILDLIFE RESEARCH; REINTRODUCTION; EXTINCTION; STRATEGIES; PROGRESS; KAPPA</t>
  </si>
  <si>
    <t>Freshwater biodiversity is currently facing critical threats worldwide. As top predators, otters are indicator species of ecosystem health, and flagship species for conservation in freshwater ecosystems. Three otter species - Luna lutra, Aonyx cinereus, and Lutrogale perspicillata - exist in China. They were once widely distributed but have experienced dramatic decline in the late 20th century, being listed as Class II protected animals in China. We searched in gazetteers, publications, online news, museum specimens, and camera trapping databases, and conducted questionnaire surveys to obtain otter records to reconstruct the historical (1550-1950), recent (1950-2000), and current (post-2000) distribution maps of otters in China. Unlike many other mammal species, otters' range did not contract during 1550-1950. Otters' recent and current distributions were comparable or even surpassed their historical ranges. However, applying rigorous verification criteria, only 57 sites in China were confirmed with otter occurrence since 2000. The potential distribution of L. lutra was mainly on the Tibetan Plateau and in northeast China, whereas only small and sparse patches remained in southeast China, where otters were frequently recorded in historical gazetteers. Although being endangered, otters have been neglected in China, with few research projects and no project funded by National Natural Science Foundation of China. Consequently, even wildlife experts have poor knowledge of otters. Surveys and specific research are urgently needed for otters in China. Public education is also advocated to raise awareness of otter conservation. Without sound information generated from research and urgent conservation actions, otter species will remain severely threatened in China.</t>
  </si>
  <si>
    <t>[Zhang, Lu; Wang, Qiaoyun; Yang, Li; Fan, Pengfei] Sun Yat Sen Univ, State Key Lab Biocontrol, Sch Life Sci, Guangzhou, Guangdong, Peoples R China; [Li, Fei; Chan, Bosco Pui Lok] Kadoorie Farm &amp; Bot Garden, Kadoorie Conservat China, Tai Po, Lam Kam Rd, Hong Kong, Peoples R China; [Xiao, Zhishu] Chinese Acad Sci, State Key Lab Integrated Management Pest Insects, Inst Zool, Beijing, Peoples R China; [Li, Sheng] Peking Univ, Sch Life Sci, Beijing, Peoples R China; [Song, Dazhao] Chinese Felids Conservat Alliance, Beijing, Peoples R China; [Piao, Zhengji] Changbai Mt Acad Sci, Inst Zool, Antu, Jilin, Peoples R China</t>
  </si>
  <si>
    <t>Sun Yat Sen University; Chinese Academy of Sciences; Institute of Zoology, CAS; Peking University</t>
  </si>
  <si>
    <t>Fan, PF (corresponding author), Sun Yat Sen Univ, State Key Lab Biocontrol, Sch Life Sci, Guangzhou, Guangdong, Peoples R China.</t>
  </si>
  <si>
    <t>fanpf@mail.sysu.edu.cn</t>
  </si>
  <si>
    <t>Yang, Li/JDD-1359-2023; Song, Dazhao/ABC-2914-2021; wang, qiao/HPD-0540-2023; Xiao, Zhishu/AAF-9210-2019</t>
  </si>
  <si>
    <t>Yang, Li/0000-0003-1654-4806; Zhang, Lu/0000-0002-1795-9563;</t>
  </si>
  <si>
    <t>One Hundred Talents Program of Sun Yat-sen University; State Key Laboratory of Biocontrol (Sun Yatsen University)</t>
  </si>
  <si>
    <t>This work was funded by the One Hundred Talents Program of Sun Yat-sen University, and the State Key Laboratory of Biocontrol (Sun Yatsen University). We thank S. Chen and the Zoological Society of London for sharing information on otters collected during their field work, and colleagues from the Ministry of Education Key Laboratory for Biodiversity Science and Engineering, College of Life sciences, Beijing Normal University for sharing their camera trapping data. We are grateful to X. Huang and Q. Hong for their help in compiling published literature, and to students in the Lab of Behavioral Ecology and Conservation Biology, Sun Yat-sen University for their help in conducting questionnaire surveys at the two conferences. We thank Dr. M. Lawes for his valuable edits and suggestions to the manuscript. Our sincere appreciation goes to all persons who participated in our questionnaire surveys, for their generosity in sharing information and concerns about otters in China.</t>
  </si>
  <si>
    <t>10.1016/j.biocon.2018.10.028</t>
  </si>
  <si>
    <t>HD8OA</t>
  </si>
  <si>
    <t>WOS:000452815200029</t>
  </si>
  <si>
    <t>Greenhorn, JE; Bowman, J; Wilson, PJ</t>
  </si>
  <si>
    <t>Greenhorn, Janet E.; Bowman, Jeff; Wilson, Paul J.</t>
  </si>
  <si>
    <t>fisher; genetic structure; Ontario; Pekania pennanti; recolonization; temporal</t>
  </si>
  <si>
    <t>ALLELE FREQUENCY DATA; MINK MUSTELA-VISON; POPULATION-STRUCTURE; MARTES-PENNANTI; MICROSATELLITE MARKERS; NATURAL-POPULATION; NORTH-AMERICA; HOME-RANGE; DISPERSAL; DIVERSITY</t>
  </si>
  <si>
    <t>Population bottlenecks, fragmentation, and isolation can have lasting effects on population genetic structure by decreasing diversity and increasing differentiation among regions. Fishers (Pekania pennanti) were extirpated from many regions of Ontario, Canada, in the early twentieth century because of overharvest, habitat loss, and predator control, although the species has since recolonized much of its former range. Between 2001 and 2003, the recolonized population could be split into several genetically distinct clusters likely corresponding to historical trapping refuges. We reassessed the genetic diversity and population structure of fishers approximately 10 years after recolonization to determine whether homogenization had occurred among genetic clusters, and whether hypothesized northward migration had continued following recolonization of southeastern Ontario by fishers from the Adirondack Mountains of New York, USA. We found no significant changes in the uppermost level of genetic structure but did find evidence of increased lower-level structure and decreased migration throughout the province, contrary to our hypothesis. This may be indicative of a reduction in fisher density or could be due to the population reaching a migration-drift equilibrium following a period of rapid expansion. Our results highlight the potential importance and utility of continued genetic monitoring following local extirpation and recolonization. Conservation managers can use periodically sampled population genetic information to adapt and update management strategies. (c) 2018 The Wildlife Society. Gene flow among fishers in Ontario, Canada has decreased since 2001-2003, hierarchical genetic structure appears to have increased, and expansion from southeastern Ontario is no longer occurring, or is occurring at a smaller scale than it was 10 years ago. Continued genetic monitoring of fishers in southeastern and central Ontario is warranted.</t>
  </si>
  <si>
    <t>[Greenhorn, Janet E.] Trent Univ, Environm &amp; Life Sci Grad Program, 2140 East Bank Dr, Peterborough, ON K9L 0G2, Canada; [Greenhorn, Janet E.; Bowman, Jeff] Ontario Minist Nat Resources &amp; Forestry, Wildlife Res &amp; Monitoring Sect, 2140 East Bank Dr, Peterborough, ON K9L 0G2, Canada; [Wilson, Paul J.] Trent Univ, Dept Biol, 2140 East Bank Dr, Peterborough, ON K9L 0G2, Canada</t>
  </si>
  <si>
    <t>Trent University; Ministry of Natural Resources &amp; Forestry; Trent University</t>
  </si>
  <si>
    <t>Greenhorn, JE (corresponding author), Trent Univ, Environm &amp; Life Sci Grad Program, 2140 East Bank Dr, Peterborough, ON K9L 0G2, Canada.;Greenhorn, JE (corresponding author), Ontario Minist Nat Resources &amp; Forestry, Wildlife Res &amp; Monitoring Sect, 2140 East Bank Dr, Peterborough, ON K9L 0G2, Canada.</t>
  </si>
  <si>
    <t>janet.greenhorn@ontario.ca</t>
  </si>
  <si>
    <t>Greenhorn, Janet/HTT-3835-2023; Bowman, Jeff/B-4147-2009</t>
  </si>
  <si>
    <t>Natural Sciences and Engineering Research Council Discovery Grants; OMNRF; Algonquin Provincial Park; Town of Hunstville, Ontario</t>
  </si>
  <si>
    <t>We thank OMNRF staff and Ontario's fur harvesters for co-operation, and Algonquin Provincial Park and the Town of Hunstville, Ontario for support. We also thank L. Bruce, A. Orton, G. Meadows, L. Nituch, C. Sadowski, and all our volunteers for assistance in the field. Finally, we are grateful for the suggestions made by K. McKelvey and 2 anonymous reviewers on an earlier draft of this manuscript. Funding for this project was provided by Natural Sciences and Engineering Research Council Discovery Grants to J. B. and P. J. W., and by the OMNRF.</t>
  </si>
  <si>
    <t>10.1002/jwmg.21495</t>
  </si>
  <si>
    <t>GR3OC</t>
  </si>
  <si>
    <t>WOS:000442501700009</t>
  </si>
  <si>
    <t>Pimenta, NC; Gonçalves, ALS; Shepard, GH; Macedo, VW; Barnett, APA</t>
  </si>
  <si>
    <t>Pimenta, N. C.; Goncalves, A. L. S.; Shepard, G. H.; Macedo, V. W.; Barnett, A. P. A.</t>
  </si>
  <si>
    <t>Mammals; Predators; Remote sensing; Management plan; Amazon forest; Pteronura brasiliensis</t>
  </si>
  <si>
    <t>BRASILIENSIS CARNIVORA MUSTELIDAE; PTERONURA-BRASILIENSIS; CONNECTIVITY; CONSERVATION; MANAGEMENT; CONFLICT; ECOLOGY; BIOLOGY; SPACE; SCALE</t>
  </si>
  <si>
    <t>Commercial hunting for the 20th century international fur trade was responsible for the collapse of giant otter populations throughout Amazonia. Some thirty years after the wildlife trade was outlawed, giant otter populations have begun to show signs of recovery. The Baniwa indigenous people from the Upper Rio Negro region of Brazil have witnessed the recovery of otter populations in areas where they had been wiped out by hunting. To evaluate the giant otter recovery process, we identified local and landscape variables contributing to the re-establishment of the species throughout Baniwa territory. We conducted transect sampling in lakes and streams in search of direct and indirect signs of giant otter occurrence. During surveys, we recorded three local variables, and through radar and satellite image, obtained six landscape variables in buffers of 250 m, 500 m and 1000 m. Using generalized linear models we identified the 250 m buffer as the most suitable scale within which to study giant otter habitat use. Connectivity between shallow and elongated waterbodies were the most reliable landscape indicators of otter population presence on the middle Icana River. Our results highlight the importance of small and connected water bodies to species recovery, a fact that should be taken into consideration in the creation of protected areas and local resource management plans. With this study we hope to contribute to the advancement of giant otter conservation strategies, as well as to an increased role for indigenous people in managing their territory and resources towards more effective biodiversity conservation.</t>
  </si>
  <si>
    <t>[Pimenta, N. C.] Inst Socioambiental, Programa Rio Negro, Av Higienopolis 901, BR-01238001 Sao Paulo, SP, Brazil; [Pimenta, N. C.] Inst Nacl de Pesquisas da Amazonia, Grp Pesquisa Mamiferos Amazon, Av Andre Araujo 2936, BR-69080971 Manaus, Amazonas, Brazil; [Pimenta, N. C.] Museu Paraense Emilio Goeldi, Dept Antropol, Programa Capacitacao Inst, Av Perimetral 1901, Belem, Para, Brazil; [Goncalves, A. L. S.; Barnett, A. P. A.] Inst Nacl de Pesquisas da Amazonia, Grp Pesquisa Mamiferos Amazon, Av Andre Araujo 2936, Manaus, Amazonas, Brazil; [Shepard, G. H.] Museu Paraense Emilio Goeldi, Dept Antropol, Av Perimetral 1901, Belem, Para, Brazil; [Macedo, V. W.] Federagdo Org Indigenas Rio Negro, Projeto Monitoramento Ambiental &amp; Climat Bacia Ri, Sao Gabriel Da Cachoeira, Amazonas, Brazil; [Macedo, V. W.] Inst Socioambiental, Sao Gabriel Da Cachoeira, Amazonas, Brazil</t>
  </si>
  <si>
    <t>Institute Nacional de Pesquisas da Amazonia; Museu Paraense Emilio Goeldi; Institute Nacional de Pesquisas da Amazonia; Museu Paraense Emilio Goeldi</t>
  </si>
  <si>
    <t>Pimenta, NC (corresponding author), Inst Socioambiental, Programa Rio Negro, Av Higienopolis 901, BR-01238001 Sao Paulo, SP, Brazil.</t>
  </si>
  <si>
    <t>natalia.camps@gmail.com</t>
  </si>
  <si>
    <t>; Shepard, Glenn/C-3667-2014; Barnett, Adrian/IXN-7068-2023</t>
  </si>
  <si>
    <t>Barnett, Aian Ashton/0000-0002-8829-2719; Pimenta, Natalia/0000-0003-4312-126X</t>
  </si>
  <si>
    <t>Rufford Foundation [16845-1]; Idea Wild [4575]; Coordenacao de Aperfeicoamento de Pessoal de Nivel Superior (CAPES); PCI (Institutional Capacity Building Program) at the Goeldi Museum (MPEG/MCTIC)</t>
  </si>
  <si>
    <t>Rufford Foundation; Idea Wild; Coordenacao de Aperfeicoamento de Pessoal de Nivel Superior (CAPES)(Coordenacao de Aperfeicoamento de Pessoal de Nivel Superior (CAPES)); PCI (Institutional Capacity Building Program) at the Goeldi Museum (MPEG/MCTIC)</t>
  </si>
  <si>
    <t>We thank the Rufford Foundation (grant number: 16845-1) and Idea Wild (grant number: 4575) for financial support. Coordenacao de Aperfeicoamento de Pessoal de Nivel Superior (CAPES) and the PCI (Institutional Capacity Building Program) at the Goeldi Museum (MPEG/MCTIC) provided scholarships to the first author. Thanks to Fernando Rosas and Paulo Bobrowiec for intellectual input during several phases of this research; to Adeilson Lopes and Beto Ricardo of Instituto Socioambiental for technical and logistical support; to Domingos Barreto, Isaias Fontes and Andre Baniwa of Fundacao Nacional do Indio (FUNAI), Federacdo das Organizacoes Indigenas do Rio Negro (FOIRN), and Organizacao Indigena da Bacia do Icana (OIBI), for their help during all phases of this study. Special thanks to Armindo Feliciano Brazdo, our guides and companion in Baniwa communities. We are grateful to the people of Jandu Cachoeira, Tucuma, Bela Vista, Urumutum Lago, Sao Jose do Ayari, Arapasso, Tucunare Lago, Taruma and Santa Marta for their hospitality and vital input to this study. This study is contribution No. 35 from the Amazon Mammal Research Group, INPA, Manaus, Brazil.</t>
  </si>
  <si>
    <t>10.1016/j.biocon.2018.06.015</t>
  </si>
  <si>
    <t>GN9PY</t>
  </si>
  <si>
    <t>WOS:000439537600036</t>
  </si>
  <si>
    <t>Poley, LG; Magoun, AJ; Robards, MD; Klimstra, RL</t>
  </si>
  <si>
    <t>Poley, Lucy G.; Magoun, Audrey J.; Robards, Martin D.; Klimstra, Ryan L.</t>
  </si>
  <si>
    <t>aerial survey; Alaska; distribution; Gulo gulo; National Petroleum Reserve-Alaska; occupancy modeling; tundra; wolverine</t>
  </si>
  <si>
    <t>GULO-GULO; HABITAT; MODELS; SNOW; PARRYII; TRACKS; NORTH; SCALE</t>
  </si>
  <si>
    <t>Understanding wildlife distribution and habitat use is needed for effectively balancing resource development, wildlife conservation, and Alaska Native subsistence on the North Slope of Alaska, USA. This region includes the National Petroleum Reserve-Alaska (NPR-A), a 96,000-km(2) remote area of largely undeveloped lands that is important for wildlife, including caribou (Rangifer tarandus), wolves (Canis lupus), and wolverines (Gulo gulo). We focused our study on spring distribution and occupancy of wolverines in the NPR-A because a baseline distribution estimate is required to understand current distribution and track changes over time. We conducted aerial surveys of wolverine tracks in snow during March and April of 2014 and 2015, surveying over 84,400 km(2) using 100-km(2) hexagonal sampling units. We used hierarchical Bayesian occupancy modeling to determine wolverine distribution and estimate probability of occupancy within each hexagon, relative to measured covariates with potential to affect either detection or occupancy. Probability of wolverine occupancy increased as well-drained soils increased, suggesting that wolverines prefer drier areas or habitat features associated with well-drained soils. In addition, as standard deviation of elevation increased, wolverine occupancy also increased, indicating that wolverines may prefer areas with more rugged and variable terrain. Mean elevation was not retained as a covariate in the best-fitting model, supporting the importance of terrain ruggedness rather than elevation on wolverine distribution within the NPR-A. Spatially, areas of highest wolverine occupancy occurred within the southern and northeastern portions of the study area, with lowest occupancy in the northern portion of the study area west of Teshekpuk Lake. Based on the spatial pattern of wolverine probability of occupancy, we proposed 4 potential wolverine management zones with varying priorities for monitoring and managing wolverine populations. (c) 2018 The Wildlife Society. We used wolverine detection data from aerial surveys of wolverine tracks in snow across our study area on the North Slope of Alaska to model wolverine occupancy in the region with respect to measured habitat covariates. We found that wolverine occupancy showed a strong spatial pattern, with higher occupancy in areas with drier soils and more rugged elevation, and proposed 4 potential wolverine management zones based on occupancy values across the region.</t>
  </si>
  <si>
    <t>[Poley, Lucy G.] Univ Calgary, 2500 Univ Dr NW, Calgary, AB T2N 1N4, Canada; [Magoun, Audrey J.] 3680 Non Rd, Fairbanks, AK 99709 USA; [Robards, Martin D.] Wildlife Conservat Soc, 3550 Airport Way,Suite 5, Fairbanks, AK 99709 USA; [Klimstra, Ryan L.] North Slope Borough Dept Wildlife Management, POB 69, Utqiagvik, AK 99723 USA; [Klimstra, Ryan L.] Alaska Dept Fish &amp; Game, 1300 Coll Rd, Fairbanks, AK 99701 USA</t>
  </si>
  <si>
    <t>University of Calgary; Wildlife Conservation Society; Alaska Department of Fish &amp; Game</t>
  </si>
  <si>
    <t>Poley, LG (corresponding author), Univ Calgary, 2500 Univ Dr NW, Calgary, AB T2N 1N4, Canada.</t>
  </si>
  <si>
    <t>lgpoley@ucalgary.ca</t>
  </si>
  <si>
    <t>M. J. Murdock Charitable Trust; Wilburforce Foundation; North Slope Borough</t>
  </si>
  <si>
    <t>The North Slope Borough, BLM, and ADFG were invaluable for providing logistical support in our remote study area. M. A. Keech, C. R. Laird, P. Valkenburg, and A. J. Magoun conducted the aerial surveys, including the planning and survey design. M. Southee designed the hexagonal survey grid. We are grateful to the M. J. Murdock Charitable Trust, Wilburforce Foundation, and the North Slope Borough for funding components of this research project.</t>
  </si>
  <si>
    <t>10.1002/jwmg.21439</t>
  </si>
  <si>
    <t>GK0QJ</t>
  </si>
  <si>
    <t>WOS:000435816100013</t>
  </si>
  <si>
    <t>Allen, ML; Wojcik, B; Evans, BE; Iehl, EE; Barker, RE; Wheeler, ME; Peterson, BE; Dohm, RI; Mueller, MA; Olson, LO; Ederer, B; Stewart, M; Crimmins, S; Pemble, K; Van Stappen, J; Olson, E; Van Deelen, TR</t>
  </si>
  <si>
    <t>Allen, Maximilian L.; Wojcik, Beth; Evans, Bryn E.; Iehl, Emily E.; Barker, Rachel E.; Wheeler, Michael E.; Peterson, Brittany E.; Dohm, Regan I.; Mueller, Marcus A.; Olson, Lucas O.; Ederer, Brittany; Stewart, Margaret; Crimmins, Shawn; Pemble, Ken; Van Stappen, Julie; Olson, Erik; Van Deelen, Timothy R.</t>
  </si>
  <si>
    <t>CARNIVORES; MARKING</t>
  </si>
  <si>
    <t>American martens (Martes americana) warrant concern in Wisconsin, U.S.A., for multiple reasons, including being the state's only endangered mammal and a clan animal of the Ojibwe tribes. American martens were once present throughout much of the state but were extirpated in the early 20th century through habitat loss and unregulated trapping. In the 1950s two reintroductions of martens to Stockton island of the Apostle Islands archipelago were considered failures, with the last confirmed sighting in the archipelago in 1969. In the decades since the Stockton Island reintroduction efforts; anecdotal reports of martens have surfaced throughout the archipelago. In 2014-2016 we deployed 91 camera traps on 13 of the 21 Apostle Islands to survey the archipelago's extant carnivore species. We detected American martens at 28 of 87 functioning camera trap sites on 5 of 13 monitored islands and documented the existence of American martens in APIS in Wisconsin for the first time its over 50 y. We suggest continued research to evaluate the status of the APIS population and its potential origins to guide future conservation efforts.</t>
  </si>
  <si>
    <t>[Allen, Maximilian L.; Wojcik, Beth; Evans, Bryn E.; Iehl, Emily E.; Barker, Rachel E.; Wheeler, Michael E.; Peterson, Brittany E.; Dohm, Regan I.; Mueller, Marcus A.; Olson, Lucas O.; Ederer, Brittany; Stewart, Margaret; Van Deelen, Timothy R.] Univ Wisconsin, Dept Forest &amp; Wildlife Ecol, 1630 Linden Dr, Madison, WI 53706 USA; [Crimmins, Shawn] Univ Wisconsin, Coll Nat Resources, 800 Reserve St, Stevens Point, WI 54481 USA; [Pemble, Ken; Van Stappen, Julie] Apostle Isl Natl Lakeshore, Planning &amp; Resource Management, 415 Washington Ave, Bayfield, WI 54814 USA; [Olson, Erik] Northland Coll, Nat Resources, 1411 Ellis Ave S, Ashland, WI 54806 USA</t>
  </si>
  <si>
    <t>University of Wisconsin System; University of Wisconsin Madison; University of Wisconsin System; University of Wisconsin Stevens Point</t>
  </si>
  <si>
    <t>Allen, ML (corresponding author), Univ Wisconsin, Dept Forest &amp; Wildlife Ecol, 1630 Linden Dr, Madison, WI 53706 USA.</t>
  </si>
  <si>
    <t>maximilian.allen@wisc.edu</t>
  </si>
  <si>
    <t>VANDEELEN, TIMOTHY/KWU-1140-2024; Crimmins, Shawn/M-1809-2013; Allen, Maximilian/ABG-9307-2020</t>
  </si>
  <si>
    <t>Evans, Bryn Elen Hutchins/0000-0003-3501-2119; Allen, Maximilian/0000-0001-8976-889X</t>
  </si>
  <si>
    <t>United States Department of the Interior (USDI) [P14AC01180]; Apostle Islands National Lakeshore [P14AC01180]; Great Lakes Northern Forest CESU [P14AC01180]; Northland College (Department of Natural Resources, Sigurd Olson Professorship in the Natural Sciences, Morris O. Ristvedt Professorship in the Natural Sciences); University of Wisconsin (Schorger fund); University of Wisconsin (Department of Forest and Wildlife Ecology); University of Wisconsin (Beers-Bascom Professorship in Conservation, College of Agriculture and Life Sciences)</t>
  </si>
  <si>
    <t>United States Department of the Interior (USDI); Apostle Islands National Lakeshore; Great Lakes Northern Forest CESU; Northland College (Department of Natural Resources, Sigurd Olson Professorship in the Natural Sciences, Morris O. Ristvedt Professorship in the Natural Sciences); University of Wisconsin (Schorger fund); University of Wisconsin (Department of Forest and Wildlife Ecology); University of Wisconsin (Beers-Bascom Professorship in Conservation, College of Agriculture and Life Sciences)</t>
  </si>
  <si>
    <t>This project was supported by the United States Department of the Interior (USDI), Apostle Islands National Lakeshore and the Great Lakes Northern Forest CESU (Cooperative Agreement P14AC01180), Northland College (Department of Natural Resources, Sigurd Olson Professorship in the Natural Sciences, Morris O. Ristvedt Professorship in the Natural Sciences) and the University of Wisconsin (Schorger fund, Department of Forest and Wildlife Ecology; Beers-Bascom Professorship in Conservation, College of Agriculture and Life Sciences). We thank the personnel from each group that contributed to this project, especially the numerous technicians from the National Park Service, and students from Northland College that provided assistance over the course of the project.</t>
  </si>
  <si>
    <t>GB5WA</t>
  </si>
  <si>
    <t>WOS:000429137400010</t>
  </si>
  <si>
    <t>Pimenta, NC; Antunes, AP; Barnett, AA; Macedo, VW; Shepard, GH</t>
  </si>
  <si>
    <t>Pimenta, Natalia C.; Antunes, Andre P.; Barnett, Adrian A.; Macedo, Valencio W.; Shepard, Glenn H., Jr.</t>
  </si>
  <si>
    <t>MANU NATIONAL-PARK; PTERONURA-BRASILIENSIS; GIANT OTTERS; LONTRA-LONGICAUDIS; SUSTAINABILITY; CONSERVATION; MANAGEMENT; DISPERSAL; LANDSCAPE; COLLAPSE</t>
  </si>
  <si>
    <t>Commercial hunting for the international trade in animal hides in the 20th century decimated many populations of aquatic wildlife in Amazonia. However, impacts varied significantly between different species and regions, depending upon hunting intensity, accessibility of habitat, and the inherent resilience of various species and their habitats. We investigated the differential responses of two Amazonian Mustelid species, the neotropical otter and giant otter, to commercial hunting pressure along the upper Rio Negro in Brazil, and examined historical factors that influenced spatial and temporal variation in commercial exploitation. We analyzed previously unanalyzed data from historical records of hide shipments to track changes in hide sales and prices for the two species in the late 20th century. We also gathered oral histories from older Baniwa people who had witnessed or participated in commercial otter hunting. These complimentary data sources reveal how intrinsic biological and social characteristics of the two otter species interacted with market forces and regional history. Whereas giant otter populations were driven to local or regional extinction during the late 20th century by commercial hunting, neotropical otters persisted. In recent decades, giant otter populations have returned to some parts of the upper Rio Negro, a development which local people welcome as part of a generalized recovery of the ecosystems in their territory as a result of the banning of animal pelt exports and indigenous land demarcation. This paper expands the scope of the field historical ecology and reflects on the role of local knowledge in biodiversity conservation.</t>
  </si>
  <si>
    <t>[Pimenta, Natalia C.; Barnett, Adrian A.] Natl Inst Amazonian Res, Amazon Mammal Res Grp, Manaus, Amazonas, Brazil; [Pimenta, Natalia C.] Museu Paraense Emilio Goeldi, Inst Capac Bldg Program, Dept Anthropol, MCTIC, Belem, Para, Brazil; [Antunes, Andre P.] Natl Inst Amazonian Res, Dept Ecol, Manaus, Amazonas, Brazil; [Macedo, Valencio W.] Escola Indigena Baniwa &amp; Coripaco Pamaali, Comunidade Urumutum Lago, Sao Gabriel Da Cachoeira, Amazonas, Brazil; [Shepard, Glenn H., Jr.] Museu Paraense Emilio Goeldi, Dept Anthropol, Belem, Para, Brazil</t>
  </si>
  <si>
    <t>Institute Nacional de Pesquisas da Amazonia; Ministerio da Ciencia, Tecnologia e Inovacao (MCTIC); Museu Paraense Emilio Goeldi; Institute Nacional de Pesquisas da Amazonia; Museu Paraense Emilio Goeldi</t>
  </si>
  <si>
    <t>Pimenta, NC (corresponding author), Natl Inst Amazonian Res, Amazon Mammal Res Grp, Manaus, Amazonas, Brazil.;Pimenta, NC (corresponding author), Museu Paraense Emilio Goeldi, Inst Capac Bldg Program, Dept Anthropol, MCTIC, Belem, Para, Brazil.</t>
  </si>
  <si>
    <t>Shepard, Glenn/C-3667-2014; Barnett, Aian Ashton/IXN-7068-2023; Pinassi Antunes, André/Q-3236-2018</t>
  </si>
  <si>
    <t>Barnett, Aian Ashton/0000-0002-8829-2719; Pinassi Antunes, André/0000-0003-4404-3486; Pimenta, Natalia/0000-0003-4312-126X</t>
  </si>
  <si>
    <t>Coordenacao de Aperfeicoamento de Pessoal de Nivel Superior; Conselho Nacional de Desenvolvimento Cientifico e Tecnologico through the Institutional Capacity Building Program of the Emilio Goeldi Museum [301089/2017-5]; Rufford Foundation [16845-1]; Conselho Nacional de Desenvolvimento Cientifico e Tecnologico [140222/2011-1]; Coordenacao de Aperfeicoamento de Pessoal de Nivel Superior [14646/13-7]; Fundacao de Amparo a Pesquisa do Estado do Amazonas [062.00427/2013]</t>
  </si>
  <si>
    <t>Coordenacao de Aperfeicoamento de Pessoal de Nivel Superior(Coordenacao de Aperfeicoamento de Pessoal de Nivel Superior (CAPES)); Conselho Nacional de Desenvolvimento Cientifico e Tecnologico through the Institutional Capacity Building Program of the Emilio Goeldi Museum; Rufford Foundation; Conselho Nacional de Desenvolvimento Cientifico e Tecnologico(Conselho Nacional de Desenvolvimento Cientifico e Tecnologico (CNPQ)); Coordenacao de Aperfeicoamento de Pessoal de Nivel Superior(Coordenacao de Aperfeicoamento de Pessoal de Nivel Superior (CAPES)); Fundacao de Amparo a Pesquisa do Estado do Amazonas</t>
  </si>
  <si>
    <t>NCP received Master scholarship from Coordenacao de Aperfeicoamento de Pessoal de Nivel Superior (http://www.capes.gov.br); scholarship from Conselho Nacional de Desenvolvimento Cientifico e Tecnologico through the Institutional Capacity Building Program of the Emilio Goeldi Museum (http://www.museu-goeldibr/), grant number: 301089/2017-5; financial support to field logistics from The Rufford Foundation (http://www.rufford.org), grant number: 16845-1; and equipment donation for field activities from Idea Wild (http://www.ideawild.org). APA received Doctoral scholarship from Conselho Nacional de Desenvolvimento Cientifico e Tecnologico (http://cnpq.br), grant number: 140222/2011-1, an exchange scholarship from Coordenacao de Aperfeicoamento de Pessoal de Nivel Superior, grant number 14646/13-7 and financial support from Fundacao de Amparo a Pesquisa do Estado do Amazonas (http//www.fapeam.am.gov.br), grant number: 062.00427/2013. The funders had no role in study design, data collection and analysis, decision to publish, or preparation of the manuscript.</t>
  </si>
  <si>
    <t>MAR 30</t>
  </si>
  <si>
    <t>e0193984</t>
  </si>
  <si>
    <t>10.1371/journal.pone.0193984</t>
  </si>
  <si>
    <t>GB1XW</t>
  </si>
  <si>
    <t>WOS:000428845900003</t>
  </si>
  <si>
    <t>Bieber, NR; Wilson, SP; Allen, CR</t>
  </si>
  <si>
    <t>Bieber, Nathan R.; Wilson, Samuel P.; Allen, Craig R.</t>
  </si>
  <si>
    <t>Lontra canadensis; maximum entropy; Nebraska; occupancy; river otter; species distribution</t>
  </si>
  <si>
    <t>LONTRA-CANADENSIS; UNITED-STATES; OCCUPANCY; RATES; SITE</t>
  </si>
  <si>
    <t>The river otter (Lontra canadensis) was extirpated from Nebraska, USA, in the early 1900s and reintroduced starting in 1986. Information is needed regarding the distribution of river otters in Nebraska before decisions can be made regarding its conservation status. Understanding distribution of a species is critically important for effective management. We investigated river otter distribution in Nebraska with occupancy modeling and maximum entropy (Maxent) modeling using 190 otter sign observations on Nebraska's navigable rivers and 380 historical otter records from November 1977 to April 2014. Both methods identified the Platte River, Elkhorn River, central and eastern Niobrara River, and southern Loup River system as core areas within the distribution of otters in Nebraska. The Maxent model provided more liberal estimates of site occupancy and identified some smaller rivers as being within the distribution of otters in Nebraska, which were not identified using occupancy modeling. We recommend that multiple data sets and analysis methods be used to estimate species distribution because this allows for the broadest geographical coverage and decreases the likelihood of overlooking areas with fewer animal records. If further reintroduction efforts or translocation efforts are to take place in the future, we recommend focusing on areas with high modeled occupancy but few historical and survey records. (C) 2018 The Wildlife Society.</t>
  </si>
  <si>
    <t>[Bieber, Nathan R.] Univ Nebraska, Nebraska Cooperat Fish &amp; Wildlife Res Unit, 3310 Holdrege St, Lincoln, NE 68583 USA; [Wilson, Samuel P.] Nebraska Game &amp; Pk Commiss, 2200 N 33rd St, Lincoln, NE 68503 USA; [Allen, Craig R.] Univ Nebraska, US Geol Survey, Nebraska Cooperat Fish &amp; Wildlife Res Unit, 3310 Holdrege St, Lincoln, NE 68583 USA</t>
  </si>
  <si>
    <t>University of Nebraska System; University of Nebraska Lincoln; United States Department of the Interior; United States Geological Survey; University of Nebraska System; University of Nebraska Lincoln</t>
  </si>
  <si>
    <t>Bieber, NR (corresponding author), Univ Nebraska, Nebraska Cooperat Fish &amp; Wildlife Res Unit, 3310 Holdrege St, Lincoln, NE 68583 USA.</t>
  </si>
  <si>
    <t>bieb0021@huskers.unl.edu</t>
  </si>
  <si>
    <t>Allen, Craig/J-4464-2012</t>
  </si>
  <si>
    <t>Nebraska Game and Parks Commission</t>
  </si>
  <si>
    <t>We thank the Nebraska Game and Parks Commission for their financial support and expert guidance during the study. Thank you to V. Egger, C. Cashmere, and W. Gerena for their logistical support of our work. Thank you to our 4 technicians for their hard work in gathering data. Thank you to the many landowners and groups that have allowed access to their property and lodging. Thank you to Wildlife Society Bulletin Associate Editor, Roger Applegate, and reviewers for their contributions to this manuscript.</t>
  </si>
  <si>
    <t>1938-5463</t>
  </si>
  <si>
    <t>10.1002/wsb.843</t>
  </si>
  <si>
    <t>GA5BC</t>
  </si>
  <si>
    <t>WOS:000428346100017</t>
  </si>
  <si>
    <t>Monakhov, VG; Modorov, MV; Ranyuk, MN</t>
  </si>
  <si>
    <t>Monakhov, V. G.; Modorov, M. V.; Ranyuk, M. N.</t>
  </si>
  <si>
    <t>sable; introduction; population; genetic structure; microsatellite loci</t>
  </si>
  <si>
    <t>MICROSATELLITE LOCI; VARIABILITY</t>
  </si>
  <si>
    <t>In the middle of the 20th century, massive introductions of sables were performed to recover the area of this valuable fur species. In this work, genetic variation of a naturalized sable population from the Vakh River basin (Nizhnevartovskiy district, Khanty-Mansi Autonomous Okrug) was investigated. This population developed as a result of sable introduction from Cisbaikalia in 1952aEuro'1957. The naturalized sable population of the Vakh basin occupies an intermediate position between two autochthonous sable populations from the Ob River area and Cisbaikalia, as assessed by variation of five microsatellite loci. Apparently, the genetic structure of the modern sable population from the Vakh basin was formed by mixing the gene pools of the original Cisbaikalian population and the neighboring autochthonous populations from the Ob River area which recovered their numbers in a natural way. Data on genetic variation in the naturalized sable population agree with the results of previous morphological studies and can be employed for long-term monitoring of the outcome of sable introduction.</t>
  </si>
  <si>
    <t>[Monakhov, V. G.; Modorov, M. V.; Ranyuk, M. N.] Russian Acad Sci, Inst Plant &amp; Anim Ecol, Ural Branch, Ekaterinburg 620144, Russia</t>
  </si>
  <si>
    <t>Russian Academy of Sciences; Institute of Plant &amp; Animal Ecology of the Russian Academy of Sciences</t>
  </si>
  <si>
    <t>Ranyuk, MN (corresponding author), Russian Acad Sci, Inst Plant &amp; Anim Ecol, Ural Branch, Ekaterinburg 620144, Russia.</t>
  </si>
  <si>
    <t>ranyuk@ipae.uran.ru</t>
  </si>
  <si>
    <t>Monakhov, Vladimir/ABG-3824-2020; Modorov, Makar/O-6500-2016; Ranyuk, Maryana/Y-5440-2018</t>
  </si>
  <si>
    <t>Modorov, Makar/0000-0001-6182-233X; Ranyuk, Maryana/0000-0003-4915-1654</t>
  </si>
  <si>
    <t>Russian Foundation for Basic Research [17-04-00759]</t>
  </si>
  <si>
    <t>Russian Foundation for Basic Research(Russian Foundation for Basic Research (RFBR))</t>
  </si>
  <si>
    <t>This work was supported by the Russian Foundation for Basic Research (project no. 17-04-00759).</t>
  </si>
  <si>
    <t>MAIK NAUKA/INTERPERIODICA/SPRINGER</t>
  </si>
  <si>
    <t>233 SPRING ST, NEW YORK, NY 10013-1578 USA</t>
  </si>
  <si>
    <t>10.1134/S1022795418030079</t>
  </si>
  <si>
    <t>GA8YA</t>
  </si>
  <si>
    <t>WOS:000428626500011</t>
  </si>
  <si>
    <t>Bridger, MC; Johnson, CJ; Gillingham, MP</t>
  </si>
  <si>
    <t>Bridger, Michael C.; Johnson, Chris J.; Gillingham, Michael P.</t>
  </si>
  <si>
    <t>Cumulative impacts; Expert knowledge; Lynx; Marten; Habitat change; Trapping record</t>
  </si>
  <si>
    <t>AMERICAN MARTEN; HABITAT SELECTION; BOREAL FORESTS; CANADA LYNX; LANDSCAPE; POPULATIONS; MODEL</t>
  </si>
  <si>
    <t>Across western Canada, furbearers are being subjected to the cumulative impacts of industrial development. This region has witnessed unprecedented levels of anthropogenic change, primarily in the form of increased forest harvesting. We used trapping records to investigate the relationship between habitat and the abundance of Canada lynx (Lynx canadensis) and American marten (Martes americana). We applied expert-based habitat models to ten reference landscapes (i.e., traplines) in two distinct study areas to serve as measures of habitat change from 1990 to 2013. We elicited fur harvest records from trapper experts and then used negative binomial count models to relate capture success to habitat availability and quality. We controlled for factors that were hypothesized to influence capture success, including effort and weather conditions, allowing us to model the effects of habitat availability and quality on population abundance. Expert-based habitat models revealed that the area and quality of habitat declined significantly as a result of increased forest harvesting. The top-ranked count models identified combinations of habitat availability and quality, trapping effort, and trapline area as factors positively influencing the capture success of lynx and marten. Results suggested that the reduction in high-quality habitat negatively affected the abundance of marten in the study area. Methods and findings also illustrated the utility of harvest records for investigating population abundance of forbearer species. A precise measure of trapping effort, however, is necessary to relate environmental covariates, including habitat, to harvest at the scale of individual traplines.</t>
  </si>
  <si>
    <t>[Bridger, Michael C.] Univ Northern British Columbia, Nat Resources &amp; Environm Studies Grad Program, 3333 Univ Way, Prince George, BC V2N 4Z9, Canada; [Johnson, Chris J.; Gillingham, Michael P.] Univ Northern British Columbia, Nat Resources &amp; Environm Studies Inst, 3333 Univ Way, Prince George, BC V2N 4Z9, Canada</t>
  </si>
  <si>
    <t>University of Northern British Columbia; University of Northern British Columbia</t>
  </si>
  <si>
    <t>Johnson, CJ (corresponding author), Univ Northern British Columbia, Nat Resources &amp; Environm Studies Inst, 3333 Univ Way, Prince George, BC V2N 4Z9, Canada.</t>
  </si>
  <si>
    <t>johnsoch@unbc.ca</t>
  </si>
  <si>
    <t>Habitat Conservation Trust Foundation</t>
  </si>
  <si>
    <t>This study was supported by the Habitat Conservation Trust Foundation. We would like to thank E. Lofroth for his contributions throughout the research process and S. Nielsen for comments on an earlier version of the manuscript. We would also like to thank the following research participants for their contributions of expert knowledge throughout the study: Biologist Experts - C. Apps, S. Crowley, L. Davis, D. Hailer, D. Hodder, T. Kinley, R. Klafki, G. Mowat, K. Poole, D. Steventon, R. Weir, and Trapper Experts - D. Bell, B. Frederick, B. McKay, B. Monroe, M. Richards, W. Sharpe, G. Smith, G. Tencarre, E. Voelk, D. Wilkins. The participation of these experts was instrumental in the completion of this study and we are grateful for their effort and commitment.</t>
  </si>
  <si>
    <t>OCT 15</t>
  </si>
  <si>
    <t>10.1016/j.foreco.2017.07.045</t>
  </si>
  <si>
    <t>FH9LU</t>
  </si>
  <si>
    <t>WOS:000411534000019</t>
  </si>
  <si>
    <t>Zhu, WC; Wei, QG; Xue, SY; Zhang, HX; Lv, TS; Zhang, HH</t>
  </si>
  <si>
    <t>Zhu, Wanchao; Wei, Qinguo; Xue, Shuyu; Zhang, Huanxin; Lv, Tianshu; Zhang, Honghai</t>
  </si>
  <si>
    <t>Martes zibellina; Sable; FIASCO; Microsatellite; Genetic diversity</t>
  </si>
  <si>
    <t>MITOCHONDRIAL-DNA; SOFTWARE; MELAMPUS; SEQUENCES; GENOME; LOCI</t>
  </si>
  <si>
    <t>The number of wild sables has declined dramatically in recent years due to the high value and increasing demand of their fur. In order to evaluate the genetic diversity and population structure for the conservation and management of sables (Martes zibellina), we developed six microsatellite markers using a method of fast isolation by AFLP of sequences containing repeats (FIASCO) from them in this study. The primers designed by Primer Premier 5.0 based on conservative regions were tested on 22 individuals. Our results demonstrated that the number of alleles per locus ranged from two to five and the mean number of alleles was 3.67. The observed and expected heterozygosities ranged from 0.227 to 0.545 and 0.201 to 0.630, respectively. The polymorphic information content value ranged from 0.181 to 0.573. Null allele frequency varied from -0.0548 to 0.0563. The sets of loci proved to correctly discriminate populations using Principal Coordinate analysis. These polymorphic markers will be useful tools for investigating genetic diversity and population structure of this species.</t>
  </si>
  <si>
    <t>[Zhu, Wanchao; Wei, Qinguo; Xue, Shuyu; Lv, Tianshu; Zhang, Honghai] Qufu Normal Univ, Coll Life Sci, Qufu, Peoples R China; [Zhang, Huanxin] Ocean Univ China, Coll Marine Life Sci, Qingdao, Peoples R China</t>
  </si>
  <si>
    <t>Qufu Normal University; Ocean University of China</t>
  </si>
  <si>
    <t>Zhang, HH (corresponding author), Qufu Normal Univ, Coll Life Sci, Qufu, Peoples R China.</t>
  </si>
  <si>
    <t>zhanghonghai67@126.com</t>
  </si>
  <si>
    <t>Special Fund for Forest Scientific Research in the Public Welfare [201404420]; National Natural Science Fund of China [31672313, 31372220]; Science and technology research plan of Shandong Province [2013GSF11707]</t>
  </si>
  <si>
    <t>Special Fund for Forest Scientific Research in the Public Welfare; National Natural Science Fund of China(National Natural Science Foundation of China (NSFC)); Science and technology research plan of Shandong Province</t>
  </si>
  <si>
    <t>This work was supported by the Special Fund for Forest Scientific Research in the Public Welfare (201404420), the National Natural Science Fund of China (31672313, 31372220), Science and technology research plan of Shandong Province (2013GSF11707).</t>
  </si>
  <si>
    <t>10.17582/journal.pjz/2017.49.5.sc1</t>
  </si>
  <si>
    <t>FN8SI</t>
  </si>
  <si>
    <t>WOS:000416295400044</t>
  </si>
  <si>
    <t>Mathai, J; Sollmann, R; Meredith, ME; Belant, JL; Niedballa, J; Buckingham, L; Wong, ST; Asad, S; Wilting, A</t>
  </si>
  <si>
    <t>Mathai, John; Sollmann, Rahel; Meredith, Michael E.; Belant, Jerrold L.; Niedballa, Juergen; Buckingham, Lucy; Wong, Seth Timothy; Asad, Sami; Wilting, Andreas</t>
  </si>
  <si>
    <t>Borneo; Camera trapping; Carnivores; Forest disturbance; Habitat associations</t>
  </si>
  <si>
    <t>CAT PRIONAILURUS-BENGALENSIS; CIVET VIVERRA-TANGALUNGA; MARTEN MARTES-FLAVIGULA; PREDICTED DISTRIBUTION; AGRICULTURAL LANDSCAPE; HABITAT SELECTION; RANGING BEHAVIOR; PAGUMA-LARVATA; PALM CIVETS; R PACKAGE</t>
  </si>
  <si>
    <t>Coarse-scale patterns of distribution and abundance of species are the outcome of processes occurring at finer spatial scales, hence the conservation of species depends on understanding their fine-scale ecology. For Bornean carnivores, little is known about fine-scale predictors of species occurrence and it is assumed that the two main threats to wildlife on Borneo, habitat disturbance and hunting, also impact their occurrence. To increase our understanding of the Borneo carnivore community, we deployed 60 cameras in a logging concession in northern Sarawak, Malaysian Borneo, where different landscape covariates, both natural and anthropogenic, were present. We built single-species occupancy models to investigate fine-scale carnivore occupancy. Overall, forest disturbance had a negative effect on Hose's civet (Diplogale hosei), banded civet (Hemigalus derbyanus) and yellow-throated marten (Manes flavigula). Further, banded civet had greater occupancy probabilities in more remote areas. Logging roads had the most diverse effect on carnivore occupancy, with Hose's civet and masked palm civet (Paguma larvata) negatively affected by roads, whereas Malay civet (Viverra tangalunga), short-tailed mongoose (Herpestes brachyurus) and leopard cat (Prionailurus bengalensis) showed higher occupancy closer to roads. Canopy height, canopy closure, number of trees with holes (cavities) and distance to nearest village also affected occupancy, though the directions of these effects varied among species. Our results highlight the need to collect often overlooked habitat variables: moss cover and 'kerangas' (tropical heath forest) were the most important variables predicting occurrence of Hose's civet. The preservation of such forest conditions may be crucial for the long-term conservation of this little-known species. Our results confirm that logged forests, when left to regenerate, can host diverse carnivore communities on Borneo, provided less disturbed habitat is available nearby, though human access needs to be controlled. We recommend easy-to-implement forest management strategies including maintaining forest next to logging roads; preserving fruiting trees and trees with cavities, both standing and fallen; and blocks of remote, less disturbed, mid- to high-elevation forest with understorey vegetation. (C) 2017 Deutsche Gesellschaft fur Saugetierkunde. Published by Elsevier GmbH. All rights reserved.</t>
  </si>
  <si>
    <t>[Mathai, John; Niedballa, Juergen; Wilting, Andreas] Leibniz Inst Zoo &amp; Wildlife Res, D-10315 Berlin, Germany; [Mathai, John; Buckingham, Lucy] Univ Malaysia Sarawak, Inst Biodivers &amp; Environm Conservat, Kota Samarahan, Malaysia; [Sollmann, Rahel] Univ Calif Davis, Dept Wildlife Fish &amp; Conservat Biol, Davis, CA 95616 USA; [Meredith, Michael E.] Biodivers Conservat Soc Sarawak, Kuching, Malaysia; [Belant, Jerrold L.; Wong, Seth Timothy] Mississippi State Univ, Forest &amp; Wildlife Res Ctr, Carnivore Ecol Lab, Starkville, MS USA; [Asad, Sami] Leibniz Inst Res Evolut &amp; Biodivers, Museum Nat Kunde Berlin, Berlin, Germany</t>
  </si>
  <si>
    <t>Leibniz Institut fur Zoo und Wildtierforschung; University of Malaysia Sarawak; University of California System; University of California Davis; Mississippi State University; Leibniz Institut fur Evolutions und Biodiversitatsforschung</t>
  </si>
  <si>
    <t>Mathai, J (corresponding author), Leibniz Inst Zoo &amp; Wildlife Res, D-10315 Berlin, Germany.</t>
  </si>
  <si>
    <t>Belant, Jerrold/HDM-7749-2022; Wilting, Aneas/B-1644-2010</t>
  </si>
  <si>
    <t>Wilting, Aneas/0000-0001-5073-9186</t>
  </si>
  <si>
    <t>Care-for-Nature Trust Fund; Ocean Park Conservation Foundation Hong Kong; Yaw Teck Seng Foundation; MASWings; Idea Wild; San Francisco Zoo; German Federal Ministry of Education and Research [BMBF FKZ: 01LN1301A]</t>
  </si>
  <si>
    <t>Care-for-Nature Trust Fund; Ocean Park Conservation Foundation Hong Kong; Yaw Teck Seng Foundation; MASWings; Idea Wild; San Francisco Zoo; German Federal Ministry of Education and Research(Federal Ministry of Education &amp; Research (BMBF))</t>
  </si>
  <si>
    <t>We thank the Sarawak Forest Department for issuing a research permit (NCCD.907.4.4(Jld.9)-21) and Mr. Tsen Teck Fen of Samling for his assistance in providing shapefiles and logistical support. Our appreciation goes to all HOSCAP Borneo volunteers and field workers who helped collect data. Field work was kindly supported by the Care-for-Nature Trust Fund (administered by HSBC Trustee (Singapore) Limited), Ocean Park Conservation Foundation Hong Kong, Yaw Teck Seng Foundation, MASWings, Idea Wild and San Francisco Zoo. JM, JN and AW were funded (or partially funded JM) by the German Federal Ministry of Education and Research (BMBF FKZ: 01LN1301A).</t>
  </si>
  <si>
    <t>10.1016/j.mambio.2017.04.002</t>
  </si>
  <si>
    <t>WOS:000413132400009</t>
  </si>
  <si>
    <t>Dawson, NG; Colella, JP; Small, MP; Stone, KD; Talbot, SL; Cook, JA</t>
  </si>
  <si>
    <t>Dawson, Natalie G.; Colella, Jocelyn P.; Small, Maureen P.; Stone, Karen D.; Talbot, Sandra L.; Cook, Joseph A.</t>
  </si>
  <si>
    <t>carnivore; endemic; introductions; islands; marten</t>
  </si>
  <si>
    <t>SQUIRRELS GLAUCOMYS-SABRINUS; QUEEN-CHARLOTTE-ISLANDS; ERMINE MUSTELA-ERMINEA; LOW GENETIC DIVERSITY; WOLVES CANIS-LUPUS; POPULATION-GROWTH; ALEXANDER ARCHIPELAGO; NUCLEOTIDE SUBSTITUTION; SOUTHEAST ALASKA; DNA HAPLOTYPES</t>
  </si>
  <si>
    <t>Effective conservation of insular populations requires careful consideration of biogeography, including colonization histories and patterns of endemism. Across the Pacific Northwest of North America, Pacific martens (Martes caurina) and American pine martens (Martes americana) are parapatric sister species with distinctive postglacial histories. Using mitochondrial DNA and 12 nuclear microsatellite loci, we examine processes of island colonization and anthropogenic introductions across 25 populations of martens. Along the North Pacific Coast (NPC), M. caurina is now found on only 2 islands, whereas M. americana occurs on mainland Alaska and British Columbia and multiple associated islands. Island populations of M. caurina have a longer history of isolation reflected in divergent haplotypes, private microsatellite alleles, and relatively low within-population diversity. In contrast, insular M. americana have lower among-population divergence and higher metrics of within-population diversity. On some NPC islands, introductions of M. americana may be related to decline of M. caurina. Long-term persistence of these species likely has been influenced by anthropogenic manipulations, including wildlife translocations and industrial-scale deforestation, yet, the distinctive histories of these martens have not been incorporated into natural resource policies.</t>
  </si>
  <si>
    <t>[Dawson, Natalie G.] Univ Montana, Wilderness Inst, 32 Campus Dr, Missoula, MT 59812 USA; [Colella, Jocelyn P.; Cook, Joseph A.] Univ New Mexico, Dept Biol, MSC03-2020, Albuquerque, NM 87131 USA; [Colella, Jocelyn P.; Cook, Joseph A.] Univ New Mexico, Museum Southwestern Biol, MSC03-2020, Albuquerque, NM 87131 USA; [Small, Maureen P.] Washington Dept Fish &amp; Wildlife, 1111 Washington St SE, Olympia, WA 98501 USA; [Stone, Karen D.] Southern Oregon Univ, Dept Biol, Ashland, OR 97520 USA; [Talbot, Sandra L.] US Geol Survey, Alaska Sci Ctr, 4200 Univ Dr, Anchorage, AK 99508 USA</t>
  </si>
  <si>
    <t>University of Montana System; University of Montana; University of New Mexico; University of New Mexico; Washington Department of Fish &amp; Wildlife (WDFW); United States Department of the Interior; United States Geological Survey</t>
  </si>
  <si>
    <t>Colella, JP (corresponding author), Univ New Mexico, Dept Biol, MSC03-2020, Albuquerque, NM 87131 USA.;Colella, JP (corresponding author), Univ New Mexico, Museum Southwestern Biol, MSC03-2020, Albuquerque, NM 87131 USA.</t>
  </si>
  <si>
    <t>jcolella.jc@gmail.com</t>
  </si>
  <si>
    <t>American Society of Mammalogists (NGD); National Science Foundation [NSF 0196905, 0415668, 1258010]; United States Fish and Wildlife Service; USDA Forest Service (Tongass National Forest); Idaho State University; Alaska Department of Fish and Game; United States Geological Survey; USDA Forest Service (Pacific Northwest Research Center)</t>
  </si>
  <si>
    <t>American Society of Mammalogists (NGD); National Science Foundation(National Science Foundation (NSF)); United States Fish and Wildlife Service(US Fish &amp; Wildlife Service); USDA Forest Service (Tongass National Forest); Idaho State University; Alaska Department of Fish and Game; United States Geological Survey(United States Geological Survey); USDA Forest Service (Pacific Northwest Research Center)</t>
  </si>
  <si>
    <t>This project was funded by a Grant-in-Aid of Research from the American Society of Mammalogists (NGD) and by the National Science Foundation (NSF 0196905, 0415668, 1258010), United States Fish and Wildlife Service, USDA Forest Service (Tongass National Forest and Pacific Northwest Research Center), Idaho State University, Alaska Department of Fish and Game, and United States Geological Survey. S. O. MacDonald and other members of Tongass field crews assisted with fieldwork; K. Gamblin and S. Sonsthagen provided substantial support in the laboratory. Special thanks to R. Flynn, T. Schumacher, K. Hastings, and R. Lowell for providing specimens or assistance with logistics for fieldwork in southeastern Alaska. B. Zielinski, K. Slauson, the Museum of Vertebrate Zoology at the University of California, Berkeley, and the University of Alaska Museum of the North provided samples. We thank M. Fleming and E. Lessa for independent reviews of the manuscript. Any use of trade, firm, or product names is for descriptive purposes only and does not imply endorsement by the United States Government. This paper is dedicated to the memory of Glen Ith.</t>
  </si>
  <si>
    <t>MAY 29</t>
  </si>
  <si>
    <t>10.1093/jmammal/gyx047</t>
  </si>
  <si>
    <t>EY2RX</t>
  </si>
  <si>
    <t>WOS:000403818600014</t>
  </si>
  <si>
    <t>Carter, NH; Lopez-Bao, JV; Bruskotter, JT; Gore, M; Chapron, G; Johnson, A; Epstein, Y; Shrestha, M; Frank, J; Ohrens, O; Treves, A</t>
  </si>
  <si>
    <t>Carter, Neil H.; Lopez-Bao, Jose Vicente; Bruskotter, Jeremy T.; Gore, Meredith; Chapron, Guillaume; Johnson, Arlyne; Epstein, Yaffa; Shrestha, Mahendra; Frank, Jens; Ohrens, Omar; Treves, Adrian</t>
  </si>
  <si>
    <t>AMBIO</t>
  </si>
  <si>
    <t>Carnivores; Feedbacks; Gulo gulo; Panthera tigris; Poaching; Social-ecological systems</t>
  </si>
  <si>
    <t>POPULATION-GROWTH; COUPLED HUMAN; CONSERVATION; WILDLIFE; WOLVES; CONFLICT; STRATEGY; SUSTAINABILITY; VULNERABILITY; ENFORCEMENT</t>
  </si>
  <si>
    <t>The growing complexity and global nature of wildlife poaching threaten the survival of many species worldwide and are outpacing conservation efforts. Here, we reviewed proximal and distal factors, both social and ecological, driving illegal killing or poaching of large carnivores at sites where it can potentially occur. Through this review, we developed a conceptual social-ecological system framework that ties together many of the factors influencing large carnivore poaching. Unlike most conservation action models, an important attribute of our framework is the integration of multiple factors related to both human motivations and animal vulnerability into feedbacks. We apply our framework to two case studies, tigers in Laos and wolverines in northern Sweden, to demonstrate its utility in disentangling some of the complex features of carnivore poaching that may have hindered effective responses to the current poaching crisis. Our framework offers a common platform to help guide future research on wildlife poaching feedbacks, which has hitherto been lacking, in order to effectively inform policy making and enforcement.</t>
  </si>
  <si>
    <t>[Carter, Neil H.] Boise State Univ, Human Environm Syst Res Ctr, 1910 Univ Dr, Boise, ID 83725 USA; [Lopez-Bao, Jose Vicente] Univ Oviedo, Res Unit Biodivers UO CSIC PA, Gonzalo Gutierrez Quiros S-N, Mieres 33600, Spain; [Bruskotter, Jeremy T.] Ohio State Univ, Sch Environm &amp; Nat Resources, 2021 Coffey Rd, Columbus, OH 43210 USA; [Gore, Meredith] US Dept State, Off Geographer &amp; Global Issues, Washington, DC 20025 USA; [Chapron, Guillaume; Frank, Jens] Swedish Univ Agr Sci, Dept Ecol, Grimso Wildlife Res Stn, S-73091 Riddarhyttan, Sweden; [Johnson, Arlyne] Fdn Success, 4109 Maryland Ave, Bethesda, MD 20816 USA; [Epstein, Yaffa] Uppsala Univ, Dept Law, S-75120 Uppsala, Sweden; [Shrestha, Mahendra] Smithsonian Conservat Biol Inst, Natl Zool MRC 5503,3001 Connecticut Ave NW, Washington, DC 20008 USA; [Ohrens, Omar; Treves, Adrian] Univ Wisconsin, Nelson Inst Environm Studies, 30A Sci, Madison, WI USA</t>
  </si>
  <si>
    <t>Boise State University; Consejo Superior de Investigaciones Cientificas (CSIC); University of Oviedo; University System of Ohio; Ohio State University; Swedish University of Agricultural Sciences; Uppsala University; Smithsonian Institution; Smithsonian National Zoological Park &amp; Conservation Biology Institute; University of Wisconsin System; University of Wisconsin Madison</t>
  </si>
  <si>
    <t>Carter, NH (corresponding author), Boise State Univ, Human Environm Syst Res Ctr, 1910 Univ Dr, Boise, ID 83725 USA.</t>
  </si>
  <si>
    <t>neilcarter@boisestate.edu</t>
  </si>
  <si>
    <t>Treves, Aian/P-3707-2018; Bruskotter, Jeremy/B-3240-2012; Gore, Meredith/AAY-4350-2020; Johnson, Arlyne/AAJ-5005-2021</t>
  </si>
  <si>
    <t>Treves, Aian/0000-0002-3052-4708; Carter, Neil/0000-0002-4399-6384; Gore, Meredith/0000-0002-2613-4715; Ohrens, Omar/0000-0001-9047-0804; López-Bao, José Vicente/0000-0001-9213-998X; Chapron, Guillaume/0000-0002-6727-1070;</t>
  </si>
  <si>
    <t>National Socio-Environmental Synthesis Center (SESYNC) [DBI-1052875]; Boise State University (NSF from the NSF Idaho EPSCoR Program) [IIA-1301792]; Boise State University (National Science Foundation); Div Of Biological Infrastructure; Direct For Biological Sciences [1639145, 1052875] Funding Source: National Science Foundation</t>
  </si>
  <si>
    <t>National Socio-Environmental Synthesis Center (SESYNC)(National Science Foundation (NSF)NSF - Directorate for Biological Sciences (BIO)); Boise State University (NSF from the NSF Idaho EPSCoR Program); Boise State University (National Science Foundation); Div Of Biological Infrastructure; Direct For Biological Sciences(National Science Foundation (NSF)NSF - Directorate for Biological Sciences (BIO))</t>
  </si>
  <si>
    <t>The work benefited from the support from the National Socio-Environmental Synthesis Center (SESYNC, NSF award DBI-1052875) and Boise State University (NSF award IIA-1301792 from the NSF Idaho EPSCoR Program and the National Science Foundation). We thank three anonymous reviewers for their helpful comments.</t>
  </si>
  <si>
    <t>0044-7447</t>
  </si>
  <si>
    <t>1654-7209</t>
  </si>
  <si>
    <t>Ambio</t>
  </si>
  <si>
    <t>10.1007/s13280-016-0852-z</t>
  </si>
  <si>
    <t>Engineering, Environmental; Environmental Sciences</t>
  </si>
  <si>
    <t>Engineering; Environmental Sciences &amp; Ecology</t>
  </si>
  <si>
    <t>EQ1GV</t>
  </si>
  <si>
    <t>WOS:000397818800001</t>
  </si>
  <si>
    <t>Hua, Y; Xu, YC; Zhang, W; Li, B</t>
  </si>
  <si>
    <t>Hua, Yan; Xu, Yanchun; Zhang, Wei; Li, Bo</t>
  </si>
  <si>
    <t>MITOCHONDRIAL DNA PART A</t>
  </si>
  <si>
    <t>Martes zibellina linkouensis; mtDNA genome; phylogenetic relationship; sable</t>
  </si>
  <si>
    <t>CARNIVORA; MAMMALIA</t>
  </si>
  <si>
    <t>Over-hunting of the sable (Martes zibellina) in China since the 1950s has resulted in a dramatic decline of sable population size; and owing to effective conservation measures in recent years, sable populations in some areas are going through a rapid recovery. We first determined and annotated the whole mtDNA genome of the Lesser Khingan Mountains sable M. zibellina linkouensis to better understand the evolutionary relationship of this subspecies. The complete mitogenome is 16 460 by in length, including 13 protein-coding genes, 22 tRNA genes, 2 rRNA genes, and 1 control region. We built the phylogenetic tree of three sable subspecies in Northeast China and other 10 species of Mustelinae.</t>
  </si>
  <si>
    <t>[Hua, Yan; Xu, Yanchun; Zhang, Wei; Li, Bo] Northeast Forestry Univ, Coll Wildlife Resources, 26 Hexing Rd, Harbin 150040, Peoples R China</t>
  </si>
  <si>
    <t>Northeast Forestry University - China</t>
  </si>
  <si>
    <t>Zhang, W; Li, B (corresponding author), Northeast Forestry Univ, Coll Wildlife Resources, 26 Hexing Rd, Harbin 150040, Peoples R China.</t>
  </si>
  <si>
    <t>zwfur@aliyun.com; libo_770206@126.com</t>
  </si>
  <si>
    <t>LI, BO/0000-0001-6824-4907</t>
  </si>
  <si>
    <t>Special Fund of Forestry Industrial Research for Public Welfare of China [201304809]</t>
  </si>
  <si>
    <t>Special Fund of Forestry Industrial Research for Public Welfare of China</t>
  </si>
  <si>
    <t>This study was supported by Special Fund of Forestry Industrial Research for Public Welfare of China (Grant no, 201304809). The authors declare no conflict of interests. The authors alone are responsible for the content and writing of the paper.</t>
  </si>
  <si>
    <t>2470-1394</t>
  </si>
  <si>
    <t>2470-1408</t>
  </si>
  <si>
    <t>MITOCHONDRIAL DNA A</t>
  </si>
  <si>
    <t>Mitochondrial DNA Part A</t>
  </si>
  <si>
    <t>10.3109/19401736.2015.1118070</t>
  </si>
  <si>
    <t>EM8YT</t>
  </si>
  <si>
    <t>WOS:000395598600099</t>
  </si>
  <si>
    <t>Kukka, PM; Jung, TS; Robitaille, JF; Schmiegelow, FKA</t>
  </si>
  <si>
    <t>Kukka, Piia M.; Jung, Thomas S.; Robitaille, Jean-Francois; Schmiegelow, Fiona K. A.</t>
  </si>
  <si>
    <t>WILDLIFE RESEARCH</t>
  </si>
  <si>
    <t>wildlife management; furbearer; harvest; mustelid</t>
  </si>
  <si>
    <t>BRITISH-COLUMBIA; SUSTAINABLE HARVEST; HABITAT; REPRODUCTION; CARNIVORES; DYNAMICS; SURVIVAL; ECOLOGY</t>
  </si>
  <si>
    <t>Context. Wolverines (Gulo gulo) are harvested for fur in northern Canada; however, the impacts of harvest are poorly known. Additionally, wolverine population data are largely absent for much of their northern range. Demographic data collected from harvested wolverines provide information on the vulnerability and variability of different sex and age cohorts to harvest, which, in turn, may have implications for harvest sustainability. Aims. We examined the temporal variability of different sex and age cohorts in wolverine harvest among years, and within the harvest season, in Yukon, Canada. We also examined the pregnancy status of female wolverines in relation to the harvest date, so as to evaluate the impact of the harvest-season length on breeding wolverines. Methods. We determined the sex and age composition of harvested wolverines via dissections of 655 carcasses collected from 2005 to 2014. We determined the reproductive status and fetal measurements for female wolverines via dissections of reproductive tracts. Key results. The harvest consisted mostly of males, particularly of young individuals. The sex ratio of harvested animals did not fluctuate significantly, but we observed variation in the age structure among years. The age structure varied within the harvest season (November to March), with a greater proportion of adults being harvested in late winter. Active gestation was evident in females harvested after mid-January, and near-term or postpartum females were harvested during late February and March. Conclusions. Late winter harvest is likely to have a more significant impact on populations than is early winter harvest, because of increased harvest of adults and breeding females. Wolverine harvest season extends to the onset of the denning season in late February and March, indicating a concern for ethical harvest. Implications. Limiting the legal harvest season to early winter may contribute to improved harvest sustainability and protection of breeding wolverines in northern latitudes.</t>
  </si>
  <si>
    <t>[Kukka, Piia M.; Jung, Thomas S.; Schmiegelow, Fiona K. A.] Univ Alberta, Dept Renewable Resources, Edmonton, AB T6G 2H1, Canada; [Kukka, Piia M.; Jung, Thomas S.] Govt Yukon, Dept Environm, Whitehorse, YT Y1A 2C6, Canada; [Robitaille, Jean-Francois] Laurentian Univ, Dept Biol, Sudbury, ON P3E 2C6, Canada</t>
  </si>
  <si>
    <t>University of Alberta; Laurentian University</t>
  </si>
  <si>
    <t>Kukka, PM (corresponding author), Univ Alberta, Dept Renewable Resources, Edmonton, AB T6G 2H1, Canada.;Kukka, PM (corresponding author), Govt Yukon, Dept Environm, Whitehorse, YT Y1A 2C6, Canada.</t>
  </si>
  <si>
    <t>pmkukka@gmail.com</t>
  </si>
  <si>
    <t>Jung, Thomas S/A-8525-2015</t>
  </si>
  <si>
    <t>Jung, Thomas S/0000-0003-2681-6852</t>
  </si>
  <si>
    <t>Yukon Department of Environment</t>
  </si>
  <si>
    <t>We thank the many trappers who contributed carcasses to our study. Without their interest, this study would not have been possible. We also thank the numerous people involved in the program, particularly Jane Harms, Meghan Larivee, Michelle Oakley, Rene Rivard and Helen Slama for their help during necropsies. Funding was provided by the Yukon Department of Environment.</t>
  </si>
  <si>
    <t>CSIRO PUBLISHING</t>
  </si>
  <si>
    <t>CLAYTON</t>
  </si>
  <si>
    <t>UNIPARK, BLDG 1, LEVEL 1, 195 WELLINGTON RD, LOCKED BAG 10, CLAYTON, VIC 3168, AUSTRALIA</t>
  </si>
  <si>
    <t>1035-3712</t>
  </si>
  <si>
    <t>1448-5494</t>
  </si>
  <si>
    <t>WILDLIFE RES</t>
  </si>
  <si>
    <t>Wildl. Res.</t>
  </si>
  <si>
    <t>6-7</t>
  </si>
  <si>
    <t>10.1071/WR17063</t>
  </si>
  <si>
    <t>FQ4SS</t>
  </si>
  <si>
    <t>WOS:000418348700006</t>
  </si>
  <si>
    <t>Son, SH; Hwang, HS; Lee, JK; Eom, TK; Park, CR; Lee, EJ; Kang, JH; Rhim, SJ</t>
  </si>
  <si>
    <t>Son, Seung-Hun; Hwang, Hyun-Su; Lee, Jae-Kang; Eom, Tae-Kyung; Park, Chan-Ryul; Lee, Eun-Jae; Kang, Jung-Hoon; Rhim, Shin-Jae</t>
  </si>
  <si>
    <t>ANIMAL CELLS AND SYSTEMS</t>
  </si>
  <si>
    <t>Conservation; forest management; habitat variables; tracks</t>
  </si>
  <si>
    <t>BOAR SUS-SCROFA; LODGEPOLE PINE FOREST; HABITAT SELECTION; SPECIES-DIVERSITY; WINTER ABUNDANCE; RESPONSES; POPULATION; GLYPHOSATE; COMMUNITY; DYNAMICS</t>
  </si>
  <si>
    <t>We examined the influence of tree thinning on the abundance of mammals in a Japanese larch Larix kaempferi plantation in Mt Gariwang, Pyeongchang, South Korea. In 2014 and 2015, from April to October, we recorded the presence of tracks as a proxy for abundance, for the following seven mammalian species: Korean hare Lepus coreanus, raccoon dog Nyctereutes procyonoides, Siberian weasel Mustela sibirica, Eurasian badger Meles meles, water deer Hydropotes inermis, roe deer Capreolus pygargus, and wild boar Sus scrofa. We also assessed how the intensity of tree thinning affected vegetation cover; there were significant differences in number of standing trees, basal area, coverage of vegetation layers, and number and volume of downed trees among the control, moderately thinned, and intensively thinned stands. We found significant differences in the abundance of tracks among the stands for three mammal species. In four mammal species, the abundance of track was significantly correlated with volume of downed trees, coverage of ground vegetation, number of downed trees, and number of standing trees, according to stepwise analysis. The presence and abundance of mammals is linked to habitat variables and forest managers should consider how habitat modifications will affect wildlife.</t>
  </si>
  <si>
    <t>[Son, Seung-Hun; Hwang, Hyun-Su; Lee, Jae-Kang; Eom, Tae-Kyung; Rhim, Shin-Jae] Chung Ang Univ, Sch Bioresource &amp; Biosci, Seodong Daero 17546, Ansung, South Korea; [Park, Chan-Ryul] Korea Forest Res Inst, Div Forest Ecol, Seoul, South Korea; [Lee, Eun-Jae] Daejeon Dev Inst, Urban Planning Res Grp, Daejeon, South Korea; [Kang, Jung-Hoon] Cultural Heritage Adm Korea, Natl Res Inst Cultural Heritage, Daejeon, South Korea</t>
  </si>
  <si>
    <t>Chung Ang University; Korea Forest Research Institute (KFRI)</t>
  </si>
  <si>
    <t>Rhim, SJ (corresponding author), Chung Ang Univ, Sch Bioresource &amp; Biosci, Seodong Daero 17546, Ansung, South Korea.</t>
  </si>
  <si>
    <t>sjrhim@cau.ac.kr</t>
  </si>
  <si>
    <t>; Hwang, Hyun-Su/ADI-8112-2022; Park, Chan/AAU-8751-2020; Lee, Jungmin/KHT-2438-2024</t>
  </si>
  <si>
    <t>Rhim, Shin-Jae/0000-0003-3098-1148; Hwang, Hyun-Su/0000-0001-7730-4027;</t>
  </si>
  <si>
    <t>National Institute of Forest Science, Republic of Korea</t>
  </si>
  <si>
    <t>This study was supported by the National Institute of Forest Science, Republic of Korea.</t>
  </si>
  <si>
    <t>1976-8354</t>
  </si>
  <si>
    <t>2151-2485</t>
  </si>
  <si>
    <t>ANIM CELLS SYST</t>
  </si>
  <si>
    <t>Anim. Cells Syst.</t>
  </si>
  <si>
    <t>10.1080/19768354.2016.1276961</t>
  </si>
  <si>
    <t>Cell Biology; Zoology</t>
  </si>
  <si>
    <t>EO2WW</t>
  </si>
  <si>
    <t>WOS:000396557700010</t>
  </si>
  <si>
    <t>Córdova, O; Rau, JR</t>
  </si>
  <si>
    <t>Cordova, Olivia; Rau, Jaime R.</t>
  </si>
  <si>
    <t>REVISTA DE BIOLOGIA MARINA Y OCEANOGRAFIA</t>
  </si>
  <si>
    <t>Chungungo; scat analysis; artisanal fishery interaction; Chile</t>
  </si>
  <si>
    <t>1782 CARNIVORE MUSTELIDAE; OTTER LUTRA-FELINA; MARINE OTTER; FEEDING ECOLOGY; SOUTHERN CHILE; WAVE EXPOSURE; MOLINA; BEHAVIOR; CONSERVATION</t>
  </si>
  <si>
    <t>The sea otter (Lontra felina) lives along the rocky coastline exposed southeast Pacific between Peru (6 degrees S), Cape Horn, Chile (56 degrees S) and States island, Argentina. This native carnivore is classified as Vulnerable in the Red Book of Terrestrial Vertebrates of Chile. Between September and November 2004 we assessed their diet through fecal analysis and records of food remnants. We used a quantitative overlap index to test for coincidental similarity between the 2 analyses, and also we applied a survey to fisherfolks at Caleta El Manzano de Pucatrihue, southern Chile, to learn about the perception they have of L. felina impact on local fishing. Based on an analysis of 35 faeces the diet was represented by 60.8% of crustaceans, 32.4% of fishes and 6.7% of shellfishes presences. Of 150 food remnants the prey corresponds to 55.3% of crustaceans, 44.0% of molluscs and 0.7% of birds. The two analyses carried out had a slow similarity (= 0.35 +/- 0.22). L. felina preys on resources exploited by artisanal fishing, but fishing gears are not damaged by this marine mammal. A 66.7% of the fishermen said that otters not affect their fishing, while 30.0% said the opposite; holding as cause the consumption by L. felina on the same resources exploited by them (e.g., Concholepas concholepas). Although this mammal does not cause significant damage to local fisheries still exists at present, however, illegal hunting of this otter in the study area. The reasons for this action ranging from the sale of their skin until his killing by a simple recreation.</t>
  </si>
  <si>
    <t>[Cordova, Olivia] Pontificia Univ Catolica Valparaiso, Fac Ingn, Escuela Ingn Bioquim, Lab Biotecnol Ambiental, Av Brasil 2085, Valparaiso, Chile; [Cordova, Olivia] Univ Los Lagos, Dept Ciencias Biol &amp; Biodiversidad, Ecol Lab, Casilla 933, Osorno, Chile</t>
  </si>
  <si>
    <t>Pontificia Universidad Catolica de Valparaiso; Universidad de Los Lagos</t>
  </si>
  <si>
    <t>Córdova, O (corresponding author), Univ Los Lagos, Dept Ciencias Biol &amp; Biodiversidad, Ecol Lab, Casilla 933, Osorno, Chile.</t>
  </si>
  <si>
    <t>ocordova.villarroel@gmail.com; jrau@ulagos.cl</t>
  </si>
  <si>
    <t>Rau, Jaime/A-4922-2012</t>
  </si>
  <si>
    <t>Córdova, Olivia/0000-0002-5354-3733</t>
  </si>
  <si>
    <t>UNIV VALPARAISO</t>
  </si>
  <si>
    <t>VINA DEL MAR</t>
  </si>
  <si>
    <t>FACULTAD CIENCIAS MAR RECURSOS NATURALES, CASILLA 5080 - RENACA, VINA DEL MAR, 00000, CHILE</t>
  </si>
  <si>
    <t>0717-3326</t>
  </si>
  <si>
    <t>0718-1957</t>
  </si>
  <si>
    <t>REV BIOL MAR OCEANOG</t>
  </si>
  <si>
    <t>Rev. Biol. Mar. Oceanogr.</t>
  </si>
  <si>
    <t>10.4067/S0718-19572016000300013</t>
  </si>
  <si>
    <t>Marine &amp; Freshwater Biology; Oceanography</t>
  </si>
  <si>
    <t>EH6EG</t>
  </si>
  <si>
    <t>WOS:000391864900013</t>
  </si>
  <si>
    <t>Ahmad, S; Hameed, S; Ali, H; Khan, TU; Mehmood, T; Nawaz, MA</t>
  </si>
  <si>
    <t>Ahmad, Shakeel; Hameed, Shoaib; Ali, Hussain; Khan, Tauheed Ullah; Mehmood, Tahir; Nawaz, Muhammad Ali</t>
  </si>
  <si>
    <t>Carnivores; Camera trapping; Musk deer national park; Human-carnivore conflict; Livestock depredation</t>
  </si>
  <si>
    <t>SNOW LEOPARD; LIVESTOCK DEPREDATION; LOCAL PERCEPTIONS; CONSERVATION AREA; PREDATION; WILDLIFE; PATTERNS; FOREST; LYNX; PREY</t>
  </si>
  <si>
    <t>Pakistan's northern expanses have rich diversity of mammalian carnivores, but majority of them are either threatened or endangered due to habitat degradation and conflict with humans. This study was conducted between May and June 2014 with the aim of determining the diversity of mammalian carnivores and their conflict with humans in Musk Deer National Park (MDNP), Azad Jammu and Kashmir (AJK). Forty motion-triggered cameras (Reconyx((TM))) were installed in different watersheds of MDNP to determine carnivore species diversity. A human-carnivore conflict study was conducted through semi-structured questionnaires where 149 respondents were randomly selected from 18 villages in the park. A total of nine carnivore species were documented, namely snow leopard (Panthera uncia), common leopard (Panthera pardus), leopard cat (Prionailurus bengalensis), brown bear (Ursus arctos), Asiatic black bear (Ursus thibetinus), grey wolf (Canis lupus), red fox (Vulpes vulpes), stone marten (Martes foina), and yellow-throated marten (Martes flavigula). During the past year, a total of 817 livestock were lost to disease and carnivore predation. Carnivores were held responsible for 276 livestock losses which translated into an annual economic loss of USD 28,145 (USD 189 per household). Both Asiatic black bear and brown bear also damaged maize and potato crops causing economic losses of USD 16,330 (USD 110 per household). Depredation of livestock was greatly affected by four factors: prey type, season of depredation, location of depredation, and livestock guarding practices. Based on the responses, the people of Folwai village showed the most negative perception towards carnivores. Majority of the respondents declared grey wolf, brown bear, and Asiatic black bear to be the most dangerous carnivores in the park. Our results showed that MDNP has rich diversity of carnivores but their survival in the park is in danger due to conflict with humans over excessive livestock depredations and crop raiding. Active livestock guarding practices can reduce carnivore attacks. Educating local people, vaccinating their livestock, and compensating affected families can greatly reduce negative perceptions.</t>
  </si>
  <si>
    <t>[Ahmad, Shakeel; Hameed, Shoaib; Ali, Hussain; Khan, Tauheed Ullah; Nawaz, Muhammad Ali] Quaid I Azam Univ, Dept Anim Sci, Islamabad, Pakistan; [Mehmood, Tahir] Norwegian Univ Life Sci, Dept Chem Biotechnol &amp; Food Sci, Biostat, Oslo, Norway</t>
  </si>
  <si>
    <t>Quaid I Azam University; Norwegian University of Life Sciences</t>
  </si>
  <si>
    <t>Nawaz, MA (corresponding author), Quaid I Azam Univ, Dept Anim Sci, Islamabad, Pakistan.</t>
  </si>
  <si>
    <t>nawazma@gmail.com</t>
  </si>
  <si>
    <t>Nawaz, Muhammad Ali/GQY-8578-2022; Mehmood, Tahir/AAE-7083-2019</t>
  </si>
  <si>
    <t>Nawaz, Muhammad Ali/0000-0001-5632-9014; Mehmood, Tahir/0000-0001-9775-8093; Ali, Hussain/0000-0002-8401-7322</t>
  </si>
  <si>
    <t>International Bear Association (IBA)</t>
  </si>
  <si>
    <t>We are thankful to the Pakistan Army for granting us permission to conduct our study in an area along the international border and for providing security. The main funding for this study was provided by the International Bear Association (IBA). We are also grateful to the AJK Fisheries and Wildlife Department for its cooperation during the study survey. The Himalayan Wildlife Foundation (HWF) provided logistic support during field work. We thank the Snow Leopard Trust (SLT), Panthera, and the Norwegian University of Life Sciences for providing trail cameras. We acknowledge the valuable cooperation of the local staff of the AJK Fisheries and Wildlife Department and the people of MDNP.</t>
  </si>
  <si>
    <t>10.1007/s10344-016-1029-6</t>
  </si>
  <si>
    <t>DW7VN</t>
  </si>
  <si>
    <t>WOS:000383861000006</t>
  </si>
  <si>
    <t>Lewis, JC; Jenkins, KJ; Happe, PJ; Manson, DJ; McCalmon, M</t>
  </si>
  <si>
    <t>Lewis, Jeffrey C.; Jenkins, Kurt J.; Happe, Patricia J.; Manson, David J.; McCalmon, Marc</t>
  </si>
  <si>
    <t>Fisher; Pekania pennanti; Habitat selection; Habitat suitability; Translocation; Forest management; Washington</t>
  </si>
  <si>
    <t>MARTES-PENNANTI; HOME RANGES; CONSPECIFIC ATTRACTION; FOREST COMPOSITION; OREGON; CONSERVATION; EXPERIENCE; BOBCATS</t>
  </si>
  <si>
    <t>The fisher was extirpated from much of the Pacific Northwestern United States during the mid- to late-1900s and is now proposed for federal listing as a threatened species in all or part of its west coast range. Following the translocation of 90 fishers from central British Columbia, Canada, to the Olympic Peninsula of Washington State from 2008 to 2010, we investigated the landscape-scale habitat selection of reintroduced fishers across a broad range of forest ages and disturbance histories, providing the first information on habitat relationships of newly reintroduced fishers in coastal coniferous forests in the Pacific Northwest. We developed 17 a priori models to evaluate several habitat-selection hypotheses based on premises of habitat models used to forecast habitat suitability for the reintroduced population. Further, we hypothesized that female fishers, because of their smaller body size than males, greater vulnerability to predation, and specific reproductive requirements, would be more selective than males for mid- to late-seral forest communities, where complex forest structural elements provide secure foraging, resting, and denning sites. We assessed 11 forest structure and landscape characteristics within the home range core-areas used by 19 females and 12 males and within randomly placed pseudo core areas that represented available habitats. We used case-controlled logistic regression to compare the characteristics of used and pseudo core areas and to assess selection by male and female fishers. Females were more selective of core area placement than males. Fifteen of 19 females (79%) and 5 of 12 males (42%) selected core areas within federal lands that encompassed primarily forests with an overstory of mid-sized or large trees. Male fishers exhibited only weak selection for core areas dominated by forests with an over story of small trees, primarily on land managed for timber production or at high elevations. The amount of natural open area best distinguished the use of core areas between males and females, with females using substantially less natural open area than males. Although sex-specific selection has been suspected for fishers, we identified factors that distinguish the selection of core areas by females from those of males, information which will be valuable to managers planning reintroductions or providing suitable habitat to promote fisher recovery in the Pacific Northwest. (C) 2016 Elsevier B.V. All rights reserved.</t>
  </si>
  <si>
    <t>[Lewis, Jeffrey C.] Univ Washington, Sch Environm &amp; Forest Sci, Seattle, WA 98195 USA; [Lewis, Jeffrey C.; McCalmon, Marc] Washington Dept Fish &amp; Wildlife, 600 Capitol Way N, Olympia, WA 98501 USA; [Jenkins, Kurt J.] US Geol Survey, Forest &amp; Rangeland Ecosyst Sci Ctr, 600 E Pk Ave, Port Angeles, WA 98362 USA; [Happe, Patricia J.; Manson, David J.] Olymp Natl Pk,600 E Pk Ave, Port Angeles, WA 98362 USA</t>
  </si>
  <si>
    <t>University of Washington; University of Washington Seattle; Washington Department of Fish &amp; Wildlife (WDFW); United States Department of the Interior; United States Geological Survey</t>
  </si>
  <si>
    <t>Lewis, JC (corresponding author), Washington Dept Fish &amp; Wildlife, 600 Capitol Way N, Olympia, WA 98501 USA.</t>
  </si>
  <si>
    <t>Jeffrey.Lewis@dfw.wa.gov</t>
  </si>
  <si>
    <t>U.S. Geological Survey; National Park Service; U.S. Fish and Wildlife Service; Doris Duke Foundation; Wildlife Conservation Society; Washington Department of Fish and Wildlife; Washington's National Park Fund; Conservation Northwest; U.S. Forest Service</t>
  </si>
  <si>
    <t>U.S. Geological Survey(United States Geological Survey); National Park Service; U.S. Fish and Wildlife Service(US Fish &amp; Wildlife Service); Doris Duke Foundation(Doris Duke Charitable Foundation (DDCF)); Wildlife Conservation Society; Washington Department of Fish and Wildlife; Washington's National Park Fund; Conservation Northwest; U.S. Forest Service(United States Department of Agriculture (USDA)United States Forest Service)</t>
  </si>
  <si>
    <t>This research was supported by funding and in-kind contributions provided by the U.S. Geological Survey, National Park Service, U.S. Fish and Wildlife Service, Doris Duke Foundation and the Wildlife Conservation Society, Washington Department of Fish and Wildlife, Washington's National Park Fund, Conservation Northwest, and the U.S. Forest Service. Logistical support and access were provided by the Makah Indian Tribe, Quinault Indian Nation, Lower Elwha Klallam Tribe, Washington Department of Natural Resources, Rayonier Timber Company, and U.S. Forest Service. We thank pilots R. Mowbray, J. Well, C. Cousins, and M. Kimbrel for safely piloting hundreds of telemetry flights. We thank R. McCoy and the wildlife staff of the Makah Tribal Forestry Department for their assistance in tracking male M011, which resided in and around the Makah Reservation. J. Sauder and R. Weir shared their insights on habitat selection and analyses. K Beirne provided helpful assistance with home range estimation and I. Keren provided helpful assistance in addressing statistical questions. We thank H. Allen (WDFW, retired) for her valuable insights and guidance throughout the planning, implementation and monitoring phases of the translocation effort. Lastly, we are greateful to K Aubry, R. McCaffery, C. Raley, S. West, and 3 anonymous reviewers for providing helpful comments on previous drafts of the manuscript. Use of trade names is for descriptive purposes and does not constitute endorsement by the U.S. government.</t>
  </si>
  <si>
    <t>JUN 1</t>
  </si>
  <si>
    <t>10.1016/j.foreco.2016.02.032</t>
  </si>
  <si>
    <t>DK8ID</t>
  </si>
  <si>
    <t>WOS:000375169500018</t>
  </si>
  <si>
    <t>Hon, J; Hearn, AJ; Ross, J; Samejima, H; Augeri, DM; Mathai, J; Mohamed, A; Boonratana, R; Fredriksson, G; Cheyne, SM; Heydon, M; Rustam; Alfred, R; Semiadi, G; Bernard, H; Macdonald, DW; Belant, JL; Kramer-Schadt, S; Wilting, A</t>
  </si>
  <si>
    <t>Hon, Jason; Hearn, Andrew J.; Ross, Joanna; Samejima, Hiromitsu; Augeri, Dave M.; Mathai, John; Mohamed, Azlan; Boonratana, Ramesh; Fredriksson, Gabriella; Cheyne, Susan M.; Heydon, Matt; Rustam; Alfred, Raymond; Semiadi, Gono; Bernard, Henry H.; Macdonald, David W.; Belant, Jerrold L.; Kramer-Schadt, Stephanie; Wilting, Andreas</t>
  </si>
  <si>
    <t>RAIN-FOREST; SABAH; CONSERVATION; DIVERSITY; RECORDS; AREA</t>
  </si>
  <si>
    <t>The yellow-throated marten Martes flavigula is a wide-ranging species across much of Asia. It is active mainly during the day, is semi-arboreal and has an omnivorous diet. On Borneo, it has a wide elevation range, from coastal lowland to lower montane habitat of 1700 m a.s.l. Records from camera-trapping and other wildlife surveys imply a widespread distribution, but the species is encountered less frequently than in many other parts of its global range. We collected a total of 195 occurrence records from all political units of Borneo except South Kalimantan. To reduce possibly confounding effects of sampling bias on habitat suitability we used 56 records in a Balanced Model and 94 records in a Spatial Filtering Model. Respondents' opinions on habitat preference showed large variation, except for lowland and upland dipterocarp forests, which were consistently perceived as highly suitable; disturbed areas such as burnt forests and bare areas were perceived to be less favourable. The habitat suitability model predicted that the yellow-throated marten is widespread within Borneo, likely to occur in mosaics of lowland and upland forests, including old plantations and active logging areas; but unlikely to use young plantations and crops, perhaps including oil palm plantations. The effects of logging on yellow-throated marten are not well understood, yet the species's population size on Borneo will depend on how tree plantations and logging concessions are managed and harvested. More surveys above about 1200 m a.s.l., where information is still limited, would enable more confident habitat assessments. Further research could determine if the Bornean subspecies, M.f. saba, could be a cryptic species.</t>
  </si>
  <si>
    <t>[Hon, Jason] Kyoto Univ, Grad Sch Global Environm Studies, Kyoto 6068501, Japan; [Hon, Jason] WWF Malaysia Sarawak Off, 7th Floor,Bangunan Binamas,Lot 138, Kuching 93100, Sarawak, Malaysia</t>
  </si>
  <si>
    <t>Kyoto University</t>
  </si>
  <si>
    <t>Hon, J (corresponding author), Kyoto Univ, Grad Sch Global Environm Studies, Kyoto 6068501, Japan.;Hon, J (corresponding author), WWF Malaysia Sarawak Off, 7th Floor,Bangunan Binamas,Lot 138, Kuching 93100, Sarawak, Malaysia.</t>
  </si>
  <si>
    <t>hjason@wwf.org.my</t>
  </si>
  <si>
    <t>; Cheyne, Susan/P-2404-2019; Belant, Jerrold/HDM-7749-2022; Rustam, Rustam/HTM-9488-2023; Boonratana, Ramesh/AAE-8881-2020; Wilting, Aneas/B-1644-2010; Kramer-Schadt, Stephanie/A-8778-2013; Heydon, Matthew/HPC-1136-2023; SEMIADI, Gono/G-4330-2018</t>
  </si>
  <si>
    <t>Mohamed, Azlan/0000-0003-3788-4383; Wilting, Aneas/0000-0001-5073-9186; Kramer-Schadt, Stephanie/0000-0002-9269-4446; Heydon, Matthew/0000-0002-1815-9402; SEMIADI, Gono/0000-0002-9351-9746</t>
  </si>
  <si>
    <t>WOS:000393214300004</t>
  </si>
  <si>
    <t>Gervasi, V; Broseth, H; Nilsen, EB; Ellegren, H; Flagstad, O; Linnell, JDC</t>
  </si>
  <si>
    <t>Gervasi, Vincenzo; Broseth, Henrik; Nilsen, Erlend B.; Ellegren, Hans; Flagstad, Oystein; Linnell, John D. C.</t>
  </si>
  <si>
    <t>Gulo gulo; Harvest; Multi-state models; Non-invasive genetic sampling; Survival; Trans-boundary management; Wolverine</t>
  </si>
  <si>
    <t>SOURCE-SINK DYNAMICS; CARNIVORE MANAGEMENT; COUGAR DEMOGRAPHY; POPULATIONS; LYNX</t>
  </si>
  <si>
    <t>In wide ranging species, portions of the same population often fall within different administrative jurisdictions; where different regulations apply. The same species can be fully protected or heavily harvested on different sides of a border. This can generate a source-sink dynamic from the areas with lower to those with higher mortality, a process known as compensatory immigration. We tested this hypothesis on the wolverine (Gulo o gulo) population of southern Scandinavia, which is shared between two countries: Sweden and Norway. Wolverines are fully protected in Sweden, but subject to intensive population regulation in Norway. Using non-invasive genetic sampling and capture-recapture modeling, we analyzed the dynamics of wolverine survival and emigration patterns between 2002 and 2013. Wolverines in Norway experienced a lower survival than in Sweden. Migration across the national border was directed towards movements from Sweden to Norway. There was a functional relationship between harvest rate in Norway and emigration rates across the national border, both at the individual and population level, thus confirming the compensatory immigration hypothesis. Contrasting management regimes within the same population can generate undesired demographic and spatial dynamics, jeopardize conservation goals on the two sides of a border, and reduce the efficiency of management actions. This calls for the adoption of a coordinate population approach in large carnivore conservation and management. Failing to do so can cause a waste of the already limited resources allocated for large carnivore conservation, and it might hinder effective conflict mitigation. (C) 2015 Elsevier Ltd. All rights reserved.</t>
  </si>
  <si>
    <t>[Gervasi, Vincenzo; Broseth, Henrik; Nilsen, Erlend B.; Flagstad, Oystein; Linnell, John D. C.] Norwegian Inst Nat Res, NO-7485 Trondheim, Norway; [Ellegren, Hans] Uppsala Univ, EBC, Dept Evolutionary Biol, S-75236 Uppsala, Sweden</t>
  </si>
  <si>
    <t>Norwegian Institute Nature Research; Uppsala University</t>
  </si>
  <si>
    <t>Gervasi, V (corresponding author), Norwegian Inst Nat Res, POB 5685 Sluppen, NO-7485 Trondheim, Norway.</t>
  </si>
  <si>
    <t>vincenzo.gervasi@nina.no</t>
  </si>
  <si>
    <t>; Nilsen, Erlend B/G-3134-2017; Linnell, John D C/V-4177-2019</t>
  </si>
  <si>
    <t>Brøseth, Henrik/0000-0003-3795-891X; Nilsen, Erlend B/0000-0002-5119-8331; Linnell, John D C/0000-0002-8370-5633</t>
  </si>
  <si>
    <t>Directorate for Nature Management in Norway; Environmental Protection Agency in Sweden; Research Council of Norway; Norwegian Environment Agency [152782/S30]</t>
  </si>
  <si>
    <t>Directorate for Nature Management in Norway; Environmental Protection Agency in Sweden; Research Council of Norway(Research Council of Norway); Norwegian Environment Agency</t>
  </si>
  <si>
    <t>This study is based on data from the Norwegian Large Predator Monitoring Programs in Norway and Sweden, financed by the Directorate for Nature Management in Norway and the Environmental Protection Agency in Sweden. The study would not have been possible without the enormous sampling effort by dedicated wardens from SNO and NVV. Data analysis was funded by the Research Council of Norway and the Norwegian Environment Agency (152782/S30).</t>
  </si>
  <si>
    <t>10.1016/j.biocon.2015.07.024</t>
  </si>
  <si>
    <t>CV4SP</t>
  </si>
  <si>
    <t>WOS:000364257100071</t>
  </si>
  <si>
    <t>Akpona, AH; Djagoun, CAMS; Harrington, LA; Kabré, AT; Mensah, GA; Sinsin, B</t>
  </si>
  <si>
    <t>Akpona, A. H.; Djagoun, C. A. M. S.; Harrington, L. A.; Kabre, A. T.; Mensah, G. A.; Sinsin, B.</t>
  </si>
  <si>
    <t>Conflict; Otter; Fisheries; Equipment setup duration</t>
  </si>
  <si>
    <t>CARNIVORES; PREDATION; DIVERSITY</t>
  </si>
  <si>
    <t>The spotted-necked otter (Lutra maculicollis) is believed to be declining across its range and, in Benin, has recently been listed as endangered. In Benin, the spotted-necked otter is largely restricted to the south of the country, where it is threatened by a number of factors, including conflict with fishermen. Understanding the nature and extent of this conflict, and the impact that it has on local fishermen, as well as identifying feasible mitigation strategies, represents a critical challenge for conservation managers. This study documents otter damage experienced by 30 fishermen in the Hlan River, in the Southern Benin wetlands. We performed hierarchical classification analysis using Ward distances to categorize fish species according to the level of otter damage suffered, and used generalized linear models to identify predictors that best explained otter damage. Our results suggest that of the 16 fish species commonly caught by fishermen in the Hlan River, otters favored the most valuable species (but these were also the most abundant in the catch). However, although otter damage was extensive, monthly total income loss attributable to spotted-necked otter damage (including fish loss and damage to equipment) was estimated at only 9% per fishermen (considerably lower than the 30% reported by a preliminary survey of 163 fishermen in the same area). Our model showed that otter damage increased significantly with the number of adult fish captured by fisherman while the cost of otter damage increased with the length of time that the fishing equipment was left unattended. We suggest that otter damage could be reduced if fishing equipment were checked at least twice a day by fishermen, and recommend a maximum interval between checks of 700 min (12 h). Long-term sustainable management of these conflicts will require an integrated approach taking into account socio-economic, political and environmental dimensions. (C) 2015 Elsevier GmbH. All rights reserved.</t>
  </si>
  <si>
    <t>[Akpona, A. H.; Djagoun, C. A. M. S.; Sinsin, B.] Univ Abomey Calavi, Fac Sci Agron, Lab Ecol Appl, Cotonou, Benin; [Akpona, A. H.] Direct Gen Forets &amp; Ressources Nat, Cotonou, Benin; [Harrington, L. A.] Univ Oxford, Dept Zool, Wildlife Conservat Res Unit, Recanati Kaplan Ctr, Abingdon OX13 5QL, Oxon, England; [Kabre, A. T.] Univ Polytech Bobo Dioulasso, Bobo Dioulasso 01, Faso, Burkina Faso; [Mensah, G. A.] Inst Natl Rech Agr Benin, Ctr Rech Agr Agonkanmey, Cotonou, Benin</t>
  </si>
  <si>
    <t>University of Abomey Calavi; University of Oxford</t>
  </si>
  <si>
    <t>Akpona, AH (corresponding author), Direct Gen Forets &amp; Ressources Nat, BP 393, Cotonou, Benin.</t>
  </si>
  <si>
    <t>akpona@gmail.com</t>
  </si>
  <si>
    <t>SINSIN, BRICE/KPB-8341-2024</t>
  </si>
  <si>
    <t>Rufford Small Grant (RSG) Foundation [9212-2]</t>
  </si>
  <si>
    <t>Rufford Small Grant (RSG) Foundation</t>
  </si>
  <si>
    <t>This work was supported by the Rufford Small Grant (RSG) Foundation through the grant no. 9212-2 provided to Hugues A. Akpona in 2011. I dedicate this work to the late Dr. Jim Conroy who supported my application for the RSGas the chair of the IUCN/SSC Otter Specialist Group. Our thanks to Mordecai O. Ogada, Gerard Gouwakinnou, Belarmain Fandohan, Ahouansou Montcho Simon, Bruno Djossa, Jean Didier Akpona, Meryas Kouton, Amahowe Isidore, Karene Karamath Saliou Toure, Azian Donatien and Audrey Fernande Tognisse Kouveglo for their helpful assistance and to the local communities who participated in this research. We also thank two anonymous reviewers for helpful comments on an earlier version of this manuscript.</t>
  </si>
  <si>
    <t>10.1016/j.jnc.2015.06.007</t>
  </si>
  <si>
    <t>CP9GQ</t>
  </si>
  <si>
    <t>WOS:000360202300008</t>
  </si>
  <si>
    <t>Chen, WW; Newman, C; Liu, ZJ; Kaneko, Y; Omote, K; Masuda, R; Buesching, CD; Macdonald, DW; Xie, ZQ; Zhou, YB</t>
  </si>
  <si>
    <t>Chen, Wenwen; Newman, Chris; Liu, Zhijin; Kaneko, Yayoi; Omote, Keita; Masuda, Ryuichi; Buesching, Christina D.; Macdonald, David W.; Xie, Zongqiang; Zhou, Youbing</t>
  </si>
  <si>
    <t>CONSERVATION GENETICS RESOURCES</t>
  </si>
  <si>
    <t>Deme; Genetic diversity; Genetic structure; Hunting; Microsatellite; Wildlife trade</t>
  </si>
  <si>
    <t>MELES-MELES; EURASIAN BADGER; MICROSATELLITE; DIVERSITY; CARNIVORA; MAMMALIA</t>
  </si>
  <si>
    <t>Although the impacts of the legal and illegal wildlife trade are broadly recognised for flagship species (e.g., elephant, rhino and tiger), less is known about how exploitation affects more common, and less charismatic species. This is of especial concern in Asia in general, and particularly in China, where demands for wild game species, and derived products are increasing, but a lack of data on illegal bushmeat hunting limits the development of effective species and ecosystem conservation measures. Genetic monitoring provides an informative tool to assess the pressures on regional populations, particularly for species that are difficult to monitor, for example, using arboreal or subterranean refugia. Here, using microsatellite markers, we investigated the effect of hunting on the genetic diversity of a regional population of the hog badger. Samples were collected from hog badgers confiscated from illegal traffickers and local hunters by forest authorities in the market towns of Wufeng and Yuguan, which lie 40 km apart in Hubei Province, China. To isolate novel hog badger microsatellite loci, we constructed a biotin-enriched microsatellite DNA library. Furthermore, we also tested the suitability of microsatellite loci designed for the European badger in the hog badger. Using these microsatellite markers, we found that these seized hog badgers exhibited a high level of genetic diversity-mean alleles per locus (A) were 8.33 and mean expected heterozygosities (H (E)) were 0.77. Despite 40 km separation between sample sites, spatial segregation was not apparent from genetics. This suggests that our confiscated hog badgers belong to the same meta-population. Although limited by a lack of geographical data on the source of these hog badgers, preventing the analysis of isolation by distance effects, hunting likely eroded hog badger population social structure, promoting gene flow among demes. We conclude that the exploitation of this wild source population seems unsustainable.</t>
  </si>
  <si>
    <t>[Chen, Wenwen; Xie, Zongqiang; Zhou, Youbing] Chinese Acad Sci, Inst Bot, State Key Lab Vegetat &amp; Environm Change, Beijing 100093, Peoples R China; [Chen, Wenwen] Nanjing Univ, Dept Biol, Nanjing 210093, Jiangsu, Peoples R China; [Newman, Chris; Buesching, Christina D.; Macdonald, David W.; Zhou, Youbing] Univ Oxford, Recanati Kaplan Ctr, Dept Zool, Wildlife Conservat Res Unit, Abingdon OX13 5QL, Oxon, England; [Liu, Zhijin] Chinese Acad Sci, Inst Zool, Beijing 100093, Peoples R China; [Kaneko, Yayoi] Tokyo Univ Agr &amp; Technol, Inst Agr, Div Ecosci, Carnivore Ecol &amp; Conservat Res Grp, Tokyo 1838509, Japan; [Omote, Keita; Masuda, Ryuichi] Hokkaido Univ, Grad Sch Sci, Sapporo, Hokkaido 0600810, Japan</t>
  </si>
  <si>
    <t>Chinese Academy of Sciences; Institute of Botany, CAS; Nanjing University; University of Oxford; Chinese Academy of Sciences; Institute of Zoology, CAS; Tokyo University of Agriculture &amp; Technology; Hokkaido University</t>
  </si>
  <si>
    <t>Zhou, YB (corresponding author), Chinese Acad Sci, Inst Bot, State Key Lab Vegetat &amp; Environm Change, Beijing 100093, Peoples R China.</t>
  </si>
  <si>
    <t>zhouyb@ibcas.ac.cn</t>
  </si>
  <si>
    <t>; Zhou, Youbing/S-6079-2019; Newman, Chris/OLQ-3809-2025; Kaneko, Yayoi/G-1162-2013</t>
  </si>
  <si>
    <t>Chen, Wenwen/0000-0002-6550-4694;</t>
  </si>
  <si>
    <t>Japan Society for the Promotion of Science [22405003, 26257404]; Special Fund for Public Service - National Environmental Protection Ministry of China [201309039]; Recanati-Kaplan Foundation; Peoples' Trust for Endangered Species</t>
  </si>
  <si>
    <t>Japan Society for the Promotion of Science(Ministry of Education, Culture, Sports, Science and Technology, Japan (MEXT)Japan Society for the Promotion of Science); Special Fund for Public Service - National Environmental Protection Ministry of China; Recanati-Kaplan Foundation(ACEV Foundation); Peoples' Trust for Endangered Species</t>
  </si>
  <si>
    <t>We thank M. Li, B. S. Wang, J. Chen, S. Yuan, G. J. Liu, F. L. Shi, G. H. Jiang and X. Q. Zhu for their assistance during this research. We are grateful to the State Forestry Administration, China, and the Wildlife Conservation Station, Wufeng County Forestry Bureau in Hubei Province, for granting us permission to conduct this study. This work was supported in part by Grants-in-Aid Scientific Research (Nos. 22405003 and 26257404) from the Japan Society for the Promotion of Science and the Special Fund for Public Service sponsored by National Environmental Protection Ministry of China (201309039). DWM gratefully acknowledges the support of the Recanati-Kaplan Foundation and the Peoples' Trust for Endangered Species.</t>
  </si>
  <si>
    <t>1877-7252</t>
  </si>
  <si>
    <t>1877-7260</t>
  </si>
  <si>
    <t>CONSERV GENET RESOUR</t>
  </si>
  <si>
    <t>Conserv. Genet. Resour.</t>
  </si>
  <si>
    <t>10.1007/s12686-015-0467-x</t>
  </si>
  <si>
    <t>CO9UM</t>
  </si>
  <si>
    <t>WOS:000359521500022</t>
  </si>
  <si>
    <t>Barrull, J; Mate, I; Salicrú, M; Palet, J; Casanovas, JG; Gosàlbez, J; Ruiz-Olmo, J</t>
  </si>
  <si>
    <t>Barrull, J.; Mate, I.; Salicru, M.; Palet, J.; Casanovas, J. G.; Gosalbez, J.; Ruiz-Olmo, J.</t>
  </si>
  <si>
    <t>Martes foina; Meles meles; predator control; recovery dynamics; Vulpes vulpes</t>
  </si>
  <si>
    <t>FOX VULPES-VULPES; 3 CONTRASTING REGIONS; MARTEN MARTES-FOINA; BADGERS MELES-MELES; RED FOX; SYMPATRIC CARNIVORES; GAME MANAGEMENT; CONSERVATION; ABUNDANCE; PATTERNS</t>
  </si>
  <si>
    <t>Predator control has historically shaped management towards minimising predator pressure on sensitive species in most hunting and protected areas. Despite widespread use, few studies of medium-sized carnivores have evaluated such control. To fill this void, we studied the effect of control on shaping a carnivore community consisting of European badgers Meles meles Linnaeus, 1758, stone martens Martes foina Erxleben, 1777 and red foxes Vulpes vulpes Linnaeus, 1758, in the Serra de Montsant area (NE Spain), and we report the recovery dynamics for different habitats (forest, scrubland and cultivated land) over time (3 years) when that control was halted. The results show that non-selective predator control is inadequate to reconcile the conservation of ecosystems with hunting. Specifically, it favours the frequency of occurrence of red foxes, which are the main consumer of small game species, and also reduces the frequency of occurrence of European badgers and stone martens, which are protected species. The recovery or regression sequence was observed over time in an area where there had previously been control, and was compared with the point of reference provided by an uncontrolled area. The results show the recovery of European badgers (135% over 3 years) and stone martens (285% over 3 years), and the regression of red foxes (-10% over 3 years) when control is halted. Monitoring the different habitats, European badgers recover first on cultivated land, then scrubland and more slowly in forest. Stone martens recover first in forest, and then scrubland and cultivated land. In contrast, red foxes maintain their numbers in scrubland, and decline slightly in forest and on cultivated land. The observed preferences have been associated with the capacity to meet basic needs of food, protection and balance with competitors.</t>
  </si>
  <si>
    <t>[Barrull, J.; Mate, I.; Gosalbez, J.] Univ Barcelona, Fac Biol, Dept Anim Biol, E-08028 Barcelona, Spain; [Salicru, M.; Palet, J.] Univ Barcelona, Fac Biol, Dept Stat, E-08028 Barcelona, Spain; [Casanovas, J. G.] Univ Complutense Madrid, Fac Biol, Dept Ecol, Madrid, Spain; [Ruiz-Olmo, J.] Gen Directorate Nat Environm &amp; Biodivers, Generalitat Catalonia, Dept Agr Lifestock Fisheries Nourishment &amp; Nat En, Barcelona, Spain</t>
  </si>
  <si>
    <t>University of Barcelona; University of Barcelona; Complutense University of Madrid</t>
  </si>
  <si>
    <t>Barrull, J (corresponding author), Univ Barcelona, Fac Biol, Dept Anim Biol, Avda Diagonal 643, E-08028 Barcelona, Spain.</t>
  </si>
  <si>
    <t>jbarrull@ub.edu</t>
  </si>
  <si>
    <t>Salicrú, Miquel/M-6727-2017</t>
  </si>
  <si>
    <t>Salicrú, Miquel/0000-0001-9644-5626</t>
  </si>
  <si>
    <t>Departament d'Economia i Coneixement de la Generalitat de Catalunya [2009 SGR 403]</t>
  </si>
  <si>
    <t>Departament d'Economia i Coneixement de la Generalitat de Catalunya(Generalitat de Catalunya)</t>
  </si>
  <si>
    <t>This research was supported in part by research project 2009 SGR 403, Departament d'Economia i Coneixement de la Generalitat de Catalunya.</t>
  </si>
  <si>
    <t>1748-5851</t>
  </si>
  <si>
    <t>10.1080/11250003.2014.893378</t>
  </si>
  <si>
    <t>AL2XQ</t>
  </si>
  <si>
    <t>WOS:000338989400013</t>
  </si>
  <si>
    <t>Fisher; Pekania pennanti; Habitat selection; Roadless; Industrial forest; Forest pattern</t>
  </si>
  <si>
    <t>MARTES-PENNANTI; LOGISTIC-REGRESSION; RELATIVE IMPORTANCE; FRAGMENTATION; CONSERVATION; RANGE; DISTURBANCE; ABUNDANCE; PATTERNS; SIZE</t>
  </si>
  <si>
    <t>Informed forest management and effective conservation planning require an understanding of how forest patterns influence wildlife species. The fisher (Pekania pennanti) is a wide-ranging, mesocarnivore species that occurs at low population densities and uses large tracts of forested lands in the western USA. Loss and fragmentation of forested habitats are considered primary threats to fisher populations, however, these factors influence two different components of landscape pattern: composition and configuration. We used data from 18 fishers fitted with Argos satellite transmitter collars to evaluate habitat selection at the landscape scale (i.e., 50-100 km(2)) in north-central Idaho. We developed a set of a priori models about how fishers might respond to forest pattern and tested the hypothesis that both forest composition and configuration influence habitat selection by fishers at broad spatial scales. Model selection results indicated that a model incorporating metrics of both forest configuration and forest composition performed significantly better those that with either alone. Fishers selected landscapes for home ranges with larger, more contiguous patches of mature forest and reduced amounts of open areas. Landscapes that had &gt;= 50% mature forest arranged in connected, complex shapes with few isolated patches, and open areas comprising &lt;= 5% of the landscape characterized a forest pattern selected by fishers in our study. To evaluate how well different forest management histories in our study region might provide habitat for fishers, we compared metrics of forest composition and configuration within fisher home ranges with metrics from forests managed under three distinct management histories. Landscapes managed primarily for timber production and lands managed as roadless/wilderness had significantly more open areas, less mature forest, and reduced proximity of mature forest patches than occupied fisher home ranges. These results can be used to facilitate effective conservation of fishers through informed forest management planning. (C) 2013 Elsevier B.V. All rights reserved.</t>
  </si>
  <si>
    <t>[Sauder, Joel D.; Rachlow, Janet L.] Univ Idaho, Dept Fish &amp; Wildlife Sci, Moscow, ID 83844 USA</t>
  </si>
  <si>
    <t>Sauder, JD (corresponding author), Univ Idaho, Dept Fish &amp; Wildlife Sci, Moscow, ID 83844 USA.</t>
  </si>
  <si>
    <t>Funding for this project was provided by the Idaho Department of Fish and Game, Potlatch Corporation, the University of Idaho, the Idaho Conservation League, the Yellowstone to Yukon Initiative, the National Council for Air and Stream Improvement, and the Clearwater National Forest. O. Garton, L. Vierling, and W. Melquist were instrumental in the design of the project and revising this manuscript. B. Moser, M. Houser, and J. Oppenheimer provided substantial support for the project and M. Wiest provided statistical assistance. C. Claire, T. Hinck, R. Fortier, N. Stone, B. Bickford, N. Albrect, and C. Heuser were priceless in the effort to collar fishers for this study. M. Schwartz and J. Lewis provided many helpful discussions on fishers, fisher habitat, and fisher conservation in the Northern Rockies.</t>
  </si>
  <si>
    <t>FEB 15</t>
  </si>
  <si>
    <t>10.1016/j.foreco.2013.11.029</t>
  </si>
  <si>
    <t>AB5TH</t>
  </si>
  <si>
    <t>WOS:000331851100009</t>
  </si>
  <si>
    <t>Brandt, JR; Brandt, AL; Ammer, FK; Roca, AL; Serfass, TL</t>
  </si>
  <si>
    <t>Brandt, Jessica R.; Brandt, Adam L.; Ammer, Frank K.; Roca, Alfred L.; Serfass, Thomas L.</t>
  </si>
  <si>
    <t>conservation genetics; Louisiana; Manitoba; microsatellites; Minnesota; North Dakota; South Dakota</t>
  </si>
  <si>
    <t>POLYMORPHIC MICROSATELLITE LOCI; MULTILOCUS GENOTYPE DATA; DISPERSAL; INFERENCE; SURVIVAL; NUMBER; FLOW; DNA</t>
  </si>
  <si>
    <t>Populations of North American river otters (Lontra canadensis) declined throughout large portions of the continent during the early 1900s due to habitat degradation and unregulated trapping. River otters had been extirpated in North Dakota (ND), but the Red River Valley has since been recolonized, with potential source populations including the neighboring states of Minnesota or South Dakota, or the Canadian province of Manitoba (MB). We genotyped 9 microsatellite loci in 121 samples to determine the source population of river otters in the Red River Valley of ND, as well as to assess population structure and diversity of river otters in central North America. Overall, genetic diversity was high, with an average observed heterozygosity of 0.58. Genetic differentiation was low (F-ST &lt; 0.05) between river otters in ND and those of Minnesota, suggesting that eastern ND was recolonized by river otters from Minnesota. River otters from MB were genetically distinct from all other sampled populations. Low genetic differentiation (F-ST 0.044) between South Dakota and Louisiana (LA) suggested that reintroductions using LA stock were successful. The genetic distinctiveness of river otters from different geographic regions should be considered when deciding on source populations for future translocations.</t>
  </si>
  <si>
    <t>[Brandt, Jessica R.; Brandt, Adam L.; Roca, Alfred L.] Univ Illinois, Dept Anim Sci, Urbana, IL USA; [Brandt, Jessica R.; Brandt, Adam L.; Ammer, Frank K.; Serfass, Thomas L.] Frostburg State Univ, Dept Biol &amp; Nat Resources, Frostburg, MD 21532 USA</t>
  </si>
  <si>
    <t>University of Illinois System; University of Illinois Urbana-Champaign; University System of Maryland; Frostburg State University</t>
  </si>
  <si>
    <t>Serfass, TL (corresponding author), Frostburg State Univ, Dept Biol &amp; Nat Resources, Frostburg, MD 21532 USA.</t>
  </si>
  <si>
    <t>tserfass@frostburg.edu</t>
  </si>
  <si>
    <t>; Brandt, Adam L/L-2419-2014</t>
  </si>
  <si>
    <t>Roca, Alfred/0000-0001-9217-5593; Brandt, Adam L/0000-0002-4604-3327</t>
  </si>
  <si>
    <t>Wildlife and Sport Fish Restoration funds under the State Wildlife Grants program (Catalog of Federal Domestic Assistance [CFDA]) [15.634]</t>
  </si>
  <si>
    <t>Wildlife and Sport Fish Restoration funds under the State Wildlife Grants program (Catalog of Federal Domestic Assistance [CFDA])</t>
  </si>
  <si>
    <t>Wildlife and Sport Fish Restoration funds under the State Wildlife Grants program (Catalog of Federal Domestic Assistance [CFDA] 15.634) administered by the North Dakota Game and Fish Department (NDGF).</t>
  </si>
  <si>
    <t>JAN-FEB</t>
  </si>
  <si>
    <t>10.1093/jhered/est069</t>
  </si>
  <si>
    <t>271YP</t>
  </si>
  <si>
    <t>WOS:000328427800004</t>
  </si>
  <si>
    <t>Coudrat, CNZ; Nanthavong, C; Sayavong, S; Johnson, A; Johnston, JB; Robichaud, WG</t>
  </si>
  <si>
    <t>Coudrat, C. N. Z.; Nanthavong, C.; Sayavong, S.; Johnson, A.; Johnston, J. B.; Robichaud, W. G.</t>
  </si>
  <si>
    <t>viverrids; prionodontids; mustelids; herpestids; Lao PDR; snare-hunting</t>
  </si>
  <si>
    <t>LINSANG PRIONODON-PARDICOLOR; RELATIVE ABUNDANCE INDEXES; FERRET-BADGER; PARADOXURUS-HERMAPHRODITUS; WILDLIFE SANCTUARY; TROPICAL FOREST; RECORDS; DIVERSITY; MELOGALE; PARK</t>
  </si>
  <si>
    <t>Laos supports at least 21 species of small carnivores (Viverridae, Prionodontidae, Mustelidae, and Herpestidae) and is considered to be globally important for the conservation of many of these, yet for most species, baseline data on diversity, distribution, conservation, and taxonomic status remain limited. Nakai-Nam Theun National Protected Area (NPA), central-eastern Laos, is ranked among the highest priority of the country's NPAs for national and global biodiversity importance and is one of the largest remaining contiguous forest blocks in Indochina. A wildlife monitoring programme based on camera trap surveys debuted in the area in 2006. From 2006-2011, 10 blocks were sampled covering 900 km(2) and totalling 20,452 camera trap days. Excluding Felidae, 10 species of small carnivores were photographed during this survey, including the first confirmed record in the wild of Owston's civet Chrotogale owstoni for the area and the second for Laos. This long-term camera-trap programme is one of only two long-term wildlife monitoring programmes in Laos and as such provides some of the most comprehensive data available on small carnivores for the country. The frequency of records for each species, local distribution, and general behaviour observed are presented. Other species known to occur in the area but unrecorded by this camera trap survey are discussed. In total, at least 15 species of small carnivores occur in Nakai Nam Theun NPA. Although small carnivore species may be more resilient to hunting activities than larger mammals, the intensity of hunting with ground snares in the area is likely to result in dramatic population declines if it is not better controlled. Nakai-Nam Theun NPA should be considered as a priority area for the conservation of small carnivores, notably for Vulnerable Owston's civet and its otter species.</t>
  </si>
  <si>
    <t>[Coudrat, C. N. Z.] Project Anoulak, Ban Oudomsouk, Nakai District, Laos; [Nanthavong, C.; Sayavong, S.] Nam Theun 2 Watershed Management &amp; Protect Author, Biodivers Res Sect, Ban Oudomsouk, Nakai District, Laos; [Johnson, A.] Wildlife Conservat Soc, Global Conservat Program, Bronx, NY 10460 USA; [Johnson, A.] Foundat Success, Bethesda, MD 20816 USA; [Johnston, J. B.] Wildlife Conservat Soc, Lao Program, Viangchan, Laos</t>
  </si>
  <si>
    <t>Wildlife Conservation Society</t>
  </si>
  <si>
    <t>Coudrat, CNZ (corresponding author), Project Anoulak, Ban Oudomsouk, Nakai District, Laos.</t>
  </si>
  <si>
    <t>camillecoudrat@gmail.com</t>
  </si>
  <si>
    <t>AQ5QX</t>
  </si>
  <si>
    <t>WOS:000342864800007</t>
  </si>
  <si>
    <t>Recharte, M; Bride, IG; Bowler, M</t>
  </si>
  <si>
    <t>Recharte, Maribel; Bride, Ian G.; Bowler, Mark</t>
  </si>
  <si>
    <t>human-wildlife conflict; human-wildlife coexistence; perceptions; Pteronura brasiliensis</t>
  </si>
  <si>
    <t>NATIONAL-PARK; LOCAL PEOPLE; PTERONURA-BRASILIENSIS; CONSERVATION ATTITUDES; PROTECTED AREAS; TIGER RESERVE; ECOTOURISM; PERCEPTIONS; CONFLICT; AMAZON</t>
  </si>
  <si>
    <t>Context. Ecotourism, driven by viewing large charismatic fauna, is often assumed to contribute to the conservation of animals and their habitats. Giant otter populations continue to increase and repopulate areas near communities, leading to problems with fishermen because of perceived competition and damage to nets. Aims. We investigate attitudes towards giant otters in rural northern Peru, to see whether negative perceptions towards the species are mitigated by involvement in tourism. Methods. We interviewed 103 people from communities on the following three Amazonian rivers where giant otter populations have recovered: one where logging and hunting are main activities, and where there is no tourism and only a low level of fishing; one with a medium level of tourism and a high level of fishing; and, one with a higher level of both tourism and fishing. We asked interviewees about their main commercial activities and experiences and opinions of giant otters. Key results. Whereas two-thirds of interviewees declared predominantly positive opinions about giant otters, just under half mentioned competition with giant otters for fish, and a fifth reported giant otters damaging fishing equipment. However, there was no difference between opinions about otters of people who identified fishing as their main source of income and those who did not. Although people working directly for tourism companies were no more likely to say that they received benefits from giant otters than were other people, and there was no significant difference in their opinions about otters when people receiving indirect benefits from tourism were also included in the sample, this group was significantly more likely to have positive opinions about otters. Conclusions. Both positive and negative opinions occurred in our study areas, and we detected only limited changes in the perceptions of people living with giant otters with respect to their involvement with tourism. Implications. To mitigate negative perceptions of giant otters and the threat of persecution, benefits from tourism must reach those who are likely to perceive or experience costs from coexistence. We highlight the need for research into the value of otters to tourism, and to disseminate the results in rural areas where otter tourism may benefit local people.</t>
  </si>
  <si>
    <t>[Recharte, Maribel; Bride, Ian G.] Univ Kent, Sch Anthropol &amp; Conservat, Durrell Inst Conservat &amp; Ecol, Canterbury CT2 7NR, Kent, England; [Recharte, Maribel] Univ Stirling, Dept Psychol, Stirling FK9 4LA, Scotland; [Bowler, Mark] San Diego Zoo Global, Inst Conservat Res, Escondido, CA 92027 USA</t>
  </si>
  <si>
    <t>University of Kent; University of Stirling</t>
  </si>
  <si>
    <t>Recharte, M (corresponding author), Univ Kent, Sch Anthropol &amp; Conservat, Durrell Inst Conservat &amp; Ecol, Marlowe Bldg, Canterbury CT2 7NR, Kent, England.</t>
  </si>
  <si>
    <t>maribel_recharte@yahoo.com</t>
  </si>
  <si>
    <t>Bowler, Mark/I-1967-2019</t>
  </si>
  <si>
    <t>Bowler, Mark/0000-0001-5236-3477</t>
  </si>
  <si>
    <t>Rufford Small Grant; Durrell Institute of Conservation and Ecology (DICE) from the University of Kent</t>
  </si>
  <si>
    <t>Funding for this study was provided by a Rufford Small Grant and by the Durrell Institute of Conservation and Ecology (DICE) from the University of Kent. Thanks go especially to Dr Susana Paisley, Professor Richard Griffiths and Dr Richard Bodmer. ProNaturaleza facilitated logistical support on the Yanayacu River. Thanks also go to the field guides Teddy, Andy, Juan and Marbela. We thank the editor, associate editor, Michael Gilmore and two anonymous reviewers for their assistance in improving the manuscript.</t>
  </si>
  <si>
    <t>10.1071/WR14032</t>
  </si>
  <si>
    <t>CC3XI</t>
  </si>
  <si>
    <t>WOS:000350284200004</t>
  </si>
  <si>
    <t>Brzeski, KE; Gunther, MS; Black, JM</t>
  </si>
  <si>
    <t>Brzeski, Kristin E.; Gunther, Micaela Szykman; Black, Jeffrey M.</t>
  </si>
  <si>
    <t>abundance estimate; citizen science; Humboldt Bay; Lontra canadensis; mark-recapture; noninvasive sampling; river otter</t>
  </si>
  <si>
    <t>POLYMORPHIC MICROSATELLITE LOCI; PRINCE-WILLIAM-SOUND; LONTRA-CANADENSIS; LUTRA-LUTRA; SEX IDENTIFICATION; HABITAT SELECTION; DNA AMPLIFICATION; HOME RANGES; POPULATION; RECAPTURE</t>
  </si>
  <si>
    <t>The decline in river otter (Lontra canadensis) populations during the late nineteenth and early twentieth centuries throughout North America has led to protective status and strict harvest regulations. Despite sustained interest in protecting river otters, relatively few contemporary studies have evaluated the current status of populations, especially in California. An effective way to estimate river otter population sizes and facilitate monitoring is with noninvasive genetic methods. Our objective was to establish baseline demographic information for an understudied river otter population in northern California by estimating river otter abundance using noninvasive genetic sampling, supplemented with data obtained from an observation-based citizen science project focusing on river otters. We extracted DNA from scat and genotyped samples at 6 microsatellite loci. We used Program MARK to build mark-recapture models to estimate river otter abundance and pooled visual observations from a citizen science project maintained in Humboldt County, California to supplement population estimates with information regarding pups and group size. Between 41 and 44 river otters were in the study area based on noninvasive genetic samples, and group sizes ranged 1-7 or 2-12 based on observational and genetic data, respectively. The Humboldt Bay region had a high density of river otters (0.93otters/km) as compared to other coastal systems; resource attributes of Humboldt Bay could contribute to this difference. Results reported herein demonstrate methods appropriate for establishing baseline river otter demographics. (c) 2013 The Wildlife Society.</t>
  </si>
  <si>
    <t>[Brzeski, Kristin E.; Gunther, Micaela Szykman; Black, Jeffrey M.] Humboldt State Univ, Dept Wildlife, Arcata, CA 95521 USA</t>
  </si>
  <si>
    <t>California State University System; California State Polytechnic University, Humboldt</t>
  </si>
  <si>
    <t>Brzeski, KE (corresponding author), Humboldt State Univ, Dept Wildlife, Arcata, CA 95521 USA.</t>
  </si>
  <si>
    <t>kbrzes1@lsu.edu</t>
  </si>
  <si>
    <t>Brzeski, Kristin Elise/0000-0002-5104-3719</t>
  </si>
  <si>
    <t>Humboldt State University Sponsored Programs Foundation; Humboldt State University Office of Research and Graduate Studies; Eureka Rotary Club; Richard J. Guadagno Memorial Scholarship; Marin Rod and Gun Club; Stanley Harris Scholarship</t>
  </si>
  <si>
    <t>Special thanks to A. Baker for laboratory assistance, J. Zalewski for assistance with river otter scat and jelly collection, and 2 anonymous reviewers for valuable comments and suggestions. Funding for this project was provided by Humboldt State University Sponsored Programs Foundation, Humboldt State University Office of Research and Graduate Studies, the Eureka Rotary Club, the Richard J. Guadagno Memorial Scholarship, the Marin Rod and Gun Club, as well as the Stanley Harris Scholarship.</t>
  </si>
  <si>
    <t>10.1002/jwmg.610</t>
  </si>
  <si>
    <t>239GR</t>
  </si>
  <si>
    <t>WOS:000326011100005</t>
  </si>
  <si>
    <t>Cano, LS; Tellería, JL</t>
  </si>
  <si>
    <t>Cano, Luis Santiago; Telleria, Jose Luis</t>
  </si>
  <si>
    <t>Local ecological knowledge; mammal; Ngoc Son Ngo Luong Nature Reserve; threatened vertebrate; Vietnam</t>
  </si>
  <si>
    <t>CONSERVATION; MANAGEMENT; PROVINCE</t>
  </si>
  <si>
    <t>This study draws on the local ecological knowledge of 58 hunters from seven communes in the Ngoc Son Ngo Luong Nature Reserve (Hoa Binh province, North Vietnam) to examine the local status of 40 threatened vertebrates. The reserve forms part of a biodiversity-rich mountainous corridor. Respondents were shown photographs of the species and asked to rate their abundance on a scale of 0-3 (0, extinct; 3, very abundant) in two periods: pre-1975 (before Doi Moi) and in 2009. The results show that 39 species have lived in the area and five are now extinct (Delacour's langur Trachypithecus delacouri, northern white-cheeked crested gibbon Nomascus leucogenys, dhole Cuon alpinus, oriental small-clawed otter Aonyx cinereus, Indochinese tiger Panthera tigris corbetti) and the presence of another six is doubtful (Phayre's leaf-monkey Trachypithecus phayrei ssp. crepuscula, sun bear Helarctos malayanus, binturong Arctictis binturong, fishing cat Prionailurus viverrinus, leopard Panthera pardus, wreathed hornbill Anorrhinus undulatus). The results show a general decline in numbers and abundance, with mammals declining fastest, especially carnivores and primates. The differences in abundance between species have narrowed since 1975, converging towards trends of general impoverishment at similar low abundances. The survey results were similar among communes and also concord with the findings of research in nearby areas. This study demonstrates the usefulness of local ecological knowledge for planning, decision-making and management of protected areas in the absence of historical records or financial resources for conducting intensive fieldwork in remote and little-known areas.</t>
  </si>
  <si>
    <t>[Cano, Luis Santiago] Phuong Lam Ward, Forest Protect Dept Hoa Binh, Hoa Binh City, Hoa Binh Provin, Vietnam; [Telleria, Jose Luis] Univ Complutense, Fac Ciencias Biol, Dept Zool &amp; Antropol Fis, E-28040 Madrid, Spain</t>
  </si>
  <si>
    <t>Complutense University of Madrid</t>
  </si>
  <si>
    <t>Cano, LS (corresponding author), Univ Complutense, Fac Ciencias Biol, Dept Zool &amp; Antropol Fis, E-28040 Madrid, Spain.</t>
  </si>
  <si>
    <t>catuche.gallego@gmail.com</t>
  </si>
  <si>
    <t>Cano Alonso, Luis Santiago/AAL-1623-2020; Tellería, José Luis/AAQ-3702-2020</t>
  </si>
  <si>
    <t>Cano Alonso, Luis Santiago/0000-0002-3436-2363; Tellería, José Luis/0000-0001-6170-8860</t>
  </si>
  <si>
    <t>Ngoc Son Ngo Luong Project [06-C01-009]</t>
  </si>
  <si>
    <t>Ngoc Son Ngo Luong Project</t>
  </si>
  <si>
    <t>We thank Mr Bui Van Tuong, Director of the Forest Protection Department (FPD) of Hoa Binh province and Mr Bui Binh Yen, Director of Ngoc Son Ngo Luong Nature Reserve, for their support, and Mr Quang Pham Thien (FPD-Hoa Binh) for his contribution to the field work. The Foundation for the Social Promotion of Culture, Vietnam team, was fully involved in the field work. Tilo Nadler provided useful comments on the data. Dr J.A. Diaz helped with the initial analysis. We thank two anonymous referees for their valuable comments and constructive suggestions, and Dave Langlois and Sarah Young for translation. This study, as well as the Ngoc Son Ngo Luong Project reports, come under Convention 06-C01-009 of the Spanish Agency of International Cooperation and Development (Agencia Espanola de Cooperacion Internacional y Desarrollo: Planificacion y desarrollo del ecoturismo en el entomb de la reserva natural de Ngoc Hoa Binh, proporcionando pequenas infraestructuras, formacion y materiales).</t>
  </si>
  <si>
    <t>32 AVENUE OF THE AMERICAS, NEW YORK, NY 10013-2473 USA</t>
  </si>
  <si>
    <t>10.1017/S0030605311001669</t>
  </si>
  <si>
    <t>148LW</t>
  </si>
  <si>
    <t>WOS:000319247100008</t>
  </si>
  <si>
    <t>Byrne, AW; O'Keeffe, J; Sleeman, DP; Davenport, J; Martin, SW</t>
  </si>
  <si>
    <t>Byrne, Andrew W.; O'Keeffe, James; Sleeman, D. Paddy; Davenport, John; Martin, S. Wayne</t>
  </si>
  <si>
    <t>European badger; Meles meles; Population control intervention; Bovine tuberculosis; Culling; Indices of abundance</t>
  </si>
  <si>
    <t>TUBERCULOSIS ERADICATION; BOVINE TUBERCULOSIS; VULPES-VULPES; RED FOXES; REMOVAL; DENSITY; CAPTURE; PROGRAM; ECOLOGY; NUMBERS</t>
  </si>
  <si>
    <t>The European Badger (Meles meles) has been implicated in the epidemiology of bovine tuberculosis in cattle populations in the Republic of Ireland. Badger populations have been subject to a culling regime in areas with chronic histories of bTB cattle herd breakdowns. Removal data from 2004 to 2010 were used to model the impact of culling on populations in areas under capture. Additionally, changes in field signs of badger activity were used as an index of abundance to support, or otherwise, the outcomes of the removal models. Significant reductions in standardised badger captures over time were found across three large study areas (total area, 1,355 km(2)). Assuming that all inactive setts were vacant, an overall linear trend model suggested that badger captures had decreased by 78 % for setts with 6 years of repeated capturing operations. Given the uncertainty associated with the relationship between sett activity and badger presence, we repeated the linear modelling using two 'what if' scenarios. Assuming that individual badgers were missed on 10 % or 20 % of occasions at inactive setts, the estimated decline over 6 years is lowered to 71 % or 64 %, respectively. The decline profile consisted of a steep initial decrease in captures within the first 2 years, followed by a more gradual decrease thereafter. The number of active openings at setts (burrows) declined significantly in all three areas; but the magnitude of this decline varied significantly amongst study areas (41-82 %). There was a significant increase in the probability of setts becoming dormant with time. The removal programme was more intense (mean, 0.45 badgers culled km(-2) year(-1)) than previous experimental badger removals in Ireland but some captures may be attributed to immigrant badgers as no attempt was made to limit inward dispersal from areas not under management. Results from this study suggest that significant reductions in badger density occurred in the areas where management had taken place. Since other non-culled badger populations in Northern Ireland and Britain exhibited stable population trends, we attribute the reduction in relative abundance to the culling regime. Further studies of the dynamics of this reduction are required to quantify how it is counteracted by immigration from populations outside of culled areas.</t>
  </si>
  <si>
    <t>[Byrne, Andrew W.; Sleeman, D. Paddy; Davenport, John] Natl Univ Ireland Univ Coll Cork, Sch Biol Earth &amp; Environm Sci, Distillery Fields, Cork, Ireland; [Byrne, Andrew W.] Teagasc Res Ctr, Galway, Ireland; [O'Keeffe, James] Dept Agr Fisheries &amp; Food, Dublin 2, Ireland; [O'Keeffe, James] Univ Coll Dublin, Ctr Vet Epidemiol &amp; Risk Anal, Dublin 4, Ireland; [Martin, S. Wayne] Univ Guelph, Dept Populat Med, Guelph, ON N1G 2W1, Canada</t>
  </si>
  <si>
    <t>University College Cork; Teagasc; University College Dublin; University of Guelph</t>
  </si>
  <si>
    <t>Byrne, AW (corresponding author), TEAGASC, Athenry Res Ctr, Galway, Ireland.</t>
  </si>
  <si>
    <t>abyrne@biodiversityireland.ie</t>
  </si>
  <si>
    <t>; Byrne, Andrew/N-3894-2015</t>
  </si>
  <si>
    <t>Byrne, Anew/0000-0003-0296-4586;</t>
  </si>
  <si>
    <t>Teagasc-The Irish Agriculture and Food Development Authority; Department of Agriculture, Fisheries and Food</t>
  </si>
  <si>
    <t>AWB was supported by a Walsh Fellowship from Teagasc-The Irish Agriculture and Food Development Authority (www.teagasc.ie). All data were generated during licensed bovine TB control activities funded through the Department of Agriculture, Fisheries and Food (www.agriculture.gov.ie) as part of the medium term national strategy toward eradication of bovine TB. The authors wish to thank Stuart Green (Teagasc), Dr. Liam Lysaght and the staff of the National Biodiversity Data Centre for their support during the writing of this paper. Gratitude is extended to all the field staff in Longford, Monaghan and South Tipperary and administrative staff within the Wildlife Unit of the Department of Agriculture, which contributed to data collection during this project. We also wish to thank all land owners for cooperating during the fieldwork of this study. The manuscript was greatly improved by comments from two anonymous reviewers.</t>
  </si>
  <si>
    <t>10.1007/s10344-012-0643-1</t>
  </si>
  <si>
    <t>108XL</t>
  </si>
  <si>
    <t>WOS:000316329500003</t>
  </si>
  <si>
    <t>Cross, P; St John, FAV; Khan, S; Petroczi, A</t>
  </si>
  <si>
    <t>Cross, Paul; St John, Freya A. V.; Khan, Saira; Petroczi, Andrea</t>
  </si>
  <si>
    <t>IMPLICIT ASSOCIATION TEST; RANDOMIZED-RESPONSE; FALSE CONSENSUS; RED GROUSE; TUBERCULOSIS; PREVALENCE; BEHAVIOR; BADGERS; CATTLE; BIAS</t>
  </si>
  <si>
    <t>Effective management of biological resources is contingent upon stakeholder compliance with rules. With respect to disease management, partial compliance can undermine attempts to control diseases within human and wildlife populations. Estimating non-compliance is notoriously problematic as rule-breakers may be disinclined to admit to transgressions. However, reliable estimates of rule-breaking are critical to policy design. The European badger (Meles meles) is considered an important vector in the transmission and maintenance of bovine tuberculosis (bTB) in cattle herds. Land managers in high bTB prevalence areas of the UK can cull badgers under license. However, badgers are also known to be killed illegally. The extent of illegal badger killing is currently unknown. Herein we report on the application of three innovative techniques (Randomized Response Technique (RRT); projective questioning (PQ); brief implicit association test (BIAT)) for investigating illegal badger killing by livestock farmers across Wales. RRT estimated that 10.4% of farmers killed badgers in the 12 months preceding the study. Projective questioning responses and implicit associations relate to farmers' badger killing behavior reported via RRT. Studies evaluating the efficacy of mammal vector culling and vaccination programs should incorporate estimates of non-compliance. Mitigating the conflict concerning badgers as a vector of bTB requires cross-disciplinary scientific research, departure from deep-rooted positions, and the political will to implement evidence-based management.</t>
  </si>
  <si>
    <t>[Cross, Paul] Bangor Univ, Sch Environm Nat Resources &amp; Geog, Bangor, Gwynedd, Wales; [St John, Freya A. V.] Univ Kent, Durrell Inst Conservat &amp; Ecol, Canterbury, Kent, England; [Khan, Saira; Petroczi, Andrea] Univ Kingston, Fac Sci Engn &amp; Comp, Kingston Upon Thames KT1 2EE, Surrey, England; [Petroczi, Andrea] Univ Sheffield, Dept Psychol, Sheffield S10 2TN, S Yorkshire, England</t>
  </si>
  <si>
    <t>Bangor University; University of Kent; Kingston University; University of Sheffield</t>
  </si>
  <si>
    <t>Cross, P (corresponding author), Bangor Univ, Sch Environm Nat Resources &amp; Geog, Bangor, Gwynedd, Wales.</t>
  </si>
  <si>
    <t>paul.cross@bangor.ac.uk</t>
  </si>
  <si>
    <t>Petroczi, Andrea/ABG-9863-2021</t>
  </si>
  <si>
    <t>Petroczi, Anea/0000-0002-8365-6173; St John, Freya/0000-0002-5707-310X</t>
  </si>
  <si>
    <t>British Academy, Small Research Grant programme [SG100709]; British Academy [SG100709] Funding Source: British Academy</t>
  </si>
  <si>
    <t>British Academy, Small Research Grant programme(British Academy); British Academy(British Academy)</t>
  </si>
  <si>
    <t>This study benefited from funding from The British Academy, Small Research Grant programme (SG100709). The funders had no role in study design, data collection and analysis, decision to publish, or preparation of the manuscript.</t>
  </si>
  <si>
    <t>JAN 16</t>
  </si>
  <si>
    <t>e53681</t>
  </si>
  <si>
    <t>10.1371/journal.pone.0053681</t>
  </si>
  <si>
    <t>072OV</t>
  </si>
  <si>
    <t>WOS:000313682700035</t>
  </si>
  <si>
    <t>Reeves, RR; McClellan, K; Werner, TB</t>
  </si>
  <si>
    <t>Reeves, Randall R.; McClellan, Kate; Werner, Timothy B.</t>
  </si>
  <si>
    <t>ENDANGERED SPECIES RESEARCH</t>
  </si>
  <si>
    <t>PORPOISE PHOCOENA-PHOCOENA; BOTTLE-NOSED DOLPHINS; PLATANISTA-GANGETICA-GANGETICA; TRICHECHUS-MANATUS-MANATUS; DUGONG DUGONG-DUGON; DE-JANEIRO STATE; BY-CATCH; SMALL CETACEANS; TURSIOPS-TRUNCATUS; FISHING GEAR</t>
  </si>
  <si>
    <t>Since the 1970s the role of fishery bycatch as a factor reducing, or limiting the recovery of, marine mammal populations has been increasingly recognized. The proceedings of a 1990 International Whaling Commission symposium and workshop summarized fishery and bycatch data by region, fishery, and species, and estimated the significance of the 'impacts' of bycatch in passive gear on all cetacean species and subspecies or geographically defined populations. A global review of pinniped bycatch in 1991 concluded that incidental mortality in passive gear had contributed to declines of several species and populations. Here we update the information on cetacean gillnet bycatch, assess bycatch data on marine mammals other than cetaceans (i.e. pinnipeds, sirenians, and 2 otter species), determine where important data gaps exist, and identify species and populations known or likely to be at high risk from bycatch in gillnets. We found that at least 75% of odontocete species, 64% of mysticetes, 66% of pinnipeds, and all sirenians and marine mustelids have been recorded as gillnet bycatch over the past 20-plus years. Cetacean bycatch information in some areas has improved, facilitating our ability to identify species and populations at high risk, although major gaps remain. Understanding of the scale of pinniped and sirenian bycatch has also improved, but this bycatch remains poorly documented, especially at the population level. This study reveals how little is known about marine mammal bycatch in gillnets in much of the world. Even as other significant threats to marine mammals have become better documented and understood, bycatch remains a critical issue demanding urgent attention if there is to be any hope of preventing further losses of marine mammal diversity and abundance, and of protecting, or restoring, ecological health.</t>
  </si>
  <si>
    <t>McClellan, K (corresponding author), New England Aquarium, John H Prescott Marine Lab, Consortium Wildlife Bycatch Reduct, Boston, MA 02118 USA.</t>
  </si>
  <si>
    <t>kmcclellan@neaq.org</t>
  </si>
  <si>
    <t>INTER-RESEARCH</t>
  </si>
  <si>
    <t>OLDENDORF LUHE</t>
  </si>
  <si>
    <t>NORDBUNTE 23, D-21385 OLDENDORF LUHE, GERMANY</t>
  </si>
  <si>
    <t>1863-5407</t>
  </si>
  <si>
    <t>1613-4796</t>
  </si>
  <si>
    <t>ENDANGER SPECIES RES</t>
  </si>
  <si>
    <t>Endanger. Species Res.</t>
  </si>
  <si>
    <t>U140</t>
  </si>
  <si>
    <t>10.3354/esr00481</t>
  </si>
  <si>
    <t>111CI</t>
  </si>
  <si>
    <t>WOS:000316495000007</t>
  </si>
  <si>
    <t>Tucker, JM; Schwartz, MK; Truex, RL; Pilgrim, KL; Allendorf, FW</t>
  </si>
  <si>
    <t>Tucker, Jody M.; Schwartz, Michael K.; Truex, Richard L.; Pilgrim, Kristine L.; Allendorf, Fred W.</t>
  </si>
  <si>
    <t>EFFECTIVE POPULATION-SIZE; MARTES-PENNANTI; GENETIC DIVERSITY; MICROSATELLITE ANALYSIS; ANCIENT DNA; RANGE; CONSERVATION; LOCI; CONTRACTION; BOTTLENECKS</t>
  </si>
  <si>
    <t>Establishing if species contractions were the result of natural phenomena or human induced landscape changes is essential for managing natural populations. Fishers (Martes pennanti) in California occur in two geographically and genetically isolated populations in the northwestern mountains and southern Sierra Nevada. Their isolation is hypothesized to have resulted from a decline in abundance and distribution associated with European settlement in the 1800s. However, there is little evidence to establish that fisher occupied the area between the two extant populations at that time. We analyzed 10 microsatelliteloci from 275 contemporary and 21 historical fisher samples (1880-1920) to evaluate the demographic history of fisher in California. We did not find any evidence of a recent (post-European) bottleneck in the northwestern population. In the southern Sierra Nevada, genetic subdivision within the population strongly influenced bottleneck tests. After accounting for genetic subdivision, we found a bottleneck signal only in the northern and central portions of the southern Sierra Nevada, indicating that the southernmost tip of these mountains may have acted as a refugium for fisher during the anthropogenic changes of the late 19th and early 20th centuries. Using a coalescent-based Bayesian analysis, we detected a 90% decline in effective population size and dated the time of decline to over a thousand years ago. We hypothesize that fisher distribution in California contracted to the two current population areas pre-European settlement, and that portions of the southern Sierra Nevada subsequently experienced another more recent bottleneck post-European settlement.</t>
  </si>
  <si>
    <t>[Tucker, Jody M.] US Forest Serv, USDA, Sequoia Natl Forest, Porterville, CA 93257 USA; [Tucker, Jody M.; Schwartz, Michael K.; Pilgrim, Kristine L.] ARS, USDA, Rocky Mt Res Stn, Missoula, MT USA; [Tucker, Jody M.] Univ Montana, Wildlife Biol Program, Missoula, MT 59812 USA; [Truex, Richard L.] US Forest Serv, USDA, Rocky Mt Reg, Golden, CO USA; [Allendorf, Fred W.] Univ Montana, Div Biol Sci, Missoula, MT 59812 USA</t>
  </si>
  <si>
    <t>United States Department of Agriculture (USDA); United States Forest Service; United States Department of Agriculture (USDA); University of Montana System; University of Montana; United States Department of Agriculture (USDA); United States Forest Service; University of Montana System; University of Montana</t>
  </si>
  <si>
    <t>Tucker, JM (corresponding author), US Forest Serv, USDA, Sequoia Natl Forest, Porterville, CA 93257 USA.</t>
  </si>
  <si>
    <t>jtucker@fs.fed.us</t>
  </si>
  <si>
    <t>U.S. Forest Service Pacific Southwest Region; Rocky Mountain Research Station; University of Montana</t>
  </si>
  <si>
    <t>U.S. Forest Service Pacific Southwest Region(United States Department of Agriculture (USDA)United States Forest Service); Rocky Mountain Research Station(United States Department of Agriculture (USDA)United States Forest Service); University of Montana</t>
  </si>
  <si>
    <t>This work was funded by the U.S. Forest Service Pacific Southwest Region, Rocky Mountain Research Station and the University of Montana. Additional funding was provided by the National Fish and Wildlife Foundation. The funders had no role in study design, data collection and analysis, decision to publish, or preparation of the manuscript.</t>
  </si>
  <si>
    <t>DEC 26</t>
  </si>
  <si>
    <t>e52803</t>
  </si>
  <si>
    <t>10.1371/journal.pone.0052803</t>
  </si>
  <si>
    <t>071TV</t>
  </si>
  <si>
    <t>WOS:000313618800150</t>
  </si>
  <si>
    <t>Carrera, M; Nabte, MJ; Udrizar-Sauthier, DE</t>
  </si>
  <si>
    <t>Carrera, Marcelo; Janina Nabte, Marcela; Edgardo Udrizar-Sauthier, Daniel</t>
  </si>
  <si>
    <t>carnivores; conservation; geographic distribution; Late Holocene; Patagonia</t>
  </si>
  <si>
    <t>RECORDS</t>
  </si>
  <si>
    <t>The Lesser Grison, Galictis cuja, is a species widely distributed in extra-Andean Patagonia, although its records are scarce. This work was carried out in Chubut province, Central Patagonia, Argentina. Here we report new occurrence localities of G. cuja for this region; we discuss aspects of their geographical distribution and conservation in the Area Natural Protegida Peninsula Valdes (ANP-PV; World Heritage Site) and briefly explores the representation of G. cuja in carnivore assemblages of ANP-PV, since the late Holocene to the present. We added 18 new records of G. cuja in Central Patagonia. We detected a conflict between the rural residents and the Lesser Grison, which motivates the hunting of the latter. There was an apparent increase in abundance of G. cuja in the last thousands of years, concomitant with regional extinction or dramatic reduction of Lyncodon patagonicus (Carnivora, Mustelidae).</t>
  </si>
  <si>
    <t>[Carrera, Marcelo] Univ Nacl Patagonia San Juan Bosco, Fac Ciencias Nat, Puerto Madryn, Chubut, Argentina; [Janina Nabte, Marcela] Consejo Nacl Invest Cient &amp; Tecn, Ctr Nacl Patagon, Unidad Invest Ecol Terr, RA-9120 Puerto Madryn, Chubut, Argentina; [Edgardo Udrizar-Sauthier, Daniel] Consejo Nacl Invest Cient &amp; Tecn, Ctr Nacl Patagon, Unidad Invest Diversidad Sistemat &amp; Evoluc, RA-9120 Puerto Madryn, Chubut, Argentina</t>
  </si>
  <si>
    <t>Universidad Nacional de la Patagonia San Juan Bosco; Consejo Nacional de Investigaciones Cientificas y Tecnicas (CONICET); Centro Nacional Patagonico (CENPAT); Consejo Nacional de Investigaciones Cientificas y Tecnicas (CONICET); Centro Nacional Patagonico (CENPAT)</t>
  </si>
  <si>
    <t>Udrizar-Sauthier, DE (corresponding author), Consejo Nacl Invest Cient &amp; Tecn, Ctr Nacl Patagon, Unidad Invest Diversidad Sistemat &amp; Evoluc, Casilla Correo 128, RA-9120 Puerto Madryn, Chubut, Argentina.</t>
  </si>
  <si>
    <t>dsauthier@cenpat.edu.ar</t>
  </si>
  <si>
    <t>10.7550/rmb.26950</t>
  </si>
  <si>
    <t>076BT</t>
  </si>
  <si>
    <t>WOS:000313932200035</t>
  </si>
  <si>
    <t>Cursach, JA; Rau, JR; Ther, F; Vilugrón, J; Tobar, CN</t>
  </si>
  <si>
    <t>Cursach, Jaime A.; Rau, Jaime R.; Ther, Francisco; Vilugron, Jonnathan; Tobar, Claudio N.</t>
  </si>
  <si>
    <t>Adaptation; opportunism; fishermen; urbanization</t>
  </si>
  <si>
    <t>MOLINA; BEHAVIOR</t>
  </si>
  <si>
    <t>We describe the synanthropic behavior of Lontra felina along its geographic distribution. The marine otter used fishing ports infrastructure for shelter and food. It forages on the remains of fish discarded by fishermen. Identified threats to the conservation of this species in synanthropy include incidental mortality in fisheries and persecution by domestic animals. The opportunities are creating niche food and shelter, which favor the permanence and population growth. Finally, we identify the important variables to consider in future studies on synanthropy of this marine mammal in the socio-ecological systems.</t>
  </si>
  <si>
    <t>[Cursach, Jaime A.; Ther, Francisco] Univ Los Lagos, Dept Ciencias Sociales, Programa ATLAS, Lab Invest Socioambiental, Osorno, Chile; [Cursach, Jaime A.; Rau, Jaime R.; Vilugron, Jonnathan; Tobar, Claudio N.] Univ Los Lagos, Dept Ciencias Basicas, Ecol Lab, Osorno, Chile; [Rau, Jaime R.] Univ Los Lagos, Programa IBAM, Osorno, Chile; [Tobar, Claudio N.] Univ Santo Tomas, Dept Ciencias Basicas, Osorno, Chile</t>
  </si>
  <si>
    <t>Universidad de Los Lagos; Universidad de Los Lagos; Universidad de Los Lagos; Universidad Santo Tomas</t>
  </si>
  <si>
    <t>Cursach, JA (corresponding author), Univ Los Lagos, Dept Ciencias Sociales, Programa ATLAS, Lab Invest Socioambiental, Casilla 933, Osorno, Chile.</t>
  </si>
  <si>
    <t>jcurval@gmail.com</t>
  </si>
  <si>
    <t>Rau, Jaime/A-4922-2012; Ther-Rios, Francisco/KIB-3318-2024</t>
  </si>
  <si>
    <t>Cursach, Jaime/0000-0002-3251-4474; Ther-Rios, Francisco/0000-0002-6043-4340</t>
  </si>
  <si>
    <t>10.4067/S0718-19572012000300022</t>
  </si>
  <si>
    <t>098ZE</t>
  </si>
  <si>
    <t>WOS:000315586800022</t>
  </si>
  <si>
    <t>Elmeros, M; Holm, TE; Haugaard, L; Madsen, AB</t>
  </si>
  <si>
    <t>Elmeros, Morten; Holm, Thomas Eske; Haugaard, Lars; Madsen, Aksel Bo</t>
  </si>
  <si>
    <t>Embedded shotgun pellets; Hunting; Poaching; Wounding; X-ray analysis</t>
  </si>
  <si>
    <t>OTTERS LUTRA-LUTRA; VULPES-VULPES; REPRODUCTION</t>
  </si>
  <si>
    <t>Illegal killings of protected species may significantly affect their population status or lower recovery rates after protection. Poaching is difficult to monitor directly, hence indirect methods are required to document poaching incidences and levels. The use of shotguns inevitably results in wounding some animals that are not killed. Inefficient hunting methods may result in high annual infliction rates in game species. To reduce wounding of game species, an action plan was implemented in Denmark. Using X-ray analysis, we monitor trends in prevalence of embedded shotgun pellets in the legally hunted red fox (Vulpes vulpes) after the implementation of the action plan, and assess poaching levels of two protected species, the otter (Lutra lutra) and the badger (Meles meles) in Denmark. Overall, 13.8% of the red foxes and 6.9% of the otters carried embedded shotgun pellets, while none were recorded in badgers. The prevalence of embedded shotgun pellets in red foxes declined from 24.9% to 8.5% from the late 1990s to the late 2000s, while no change was recorded in otters. Prevalence of embedded shotgun pellets was similar in otters and red foxes collected in the late 2000s. The decline in wounded red foxes suggests that the hunting methods have changed after the action plan was implemented in Denmark. The high proportion of otters carrying embedded shotgun pellets shows that there is a significant poaching of this protected species in Denmark, possibly by hunters and fish farmers that cannot distinguish between otter and non-native American mink (Neovison vison).</t>
  </si>
  <si>
    <t>[Elmeros, Morten; Holm, Thomas Eske; Haugaard, Lars; Madsen, Aksel Bo] Aarhus Univ, Dept Biosci, DK-8410 Ronde, Denmark</t>
  </si>
  <si>
    <t>Aarhus University</t>
  </si>
  <si>
    <t>Elmeros, M (corresponding author), Aarhus Univ, Dept Biosci, Grenaavej 14, DK-8410 Ronde, Denmark.</t>
  </si>
  <si>
    <t>elm@dmu.dk</t>
  </si>
  <si>
    <t>Holm, Thomas Eske/AAP-7090-2020; Elmeros, Morten/K-3094-2013</t>
  </si>
  <si>
    <t>Holm, Thomas Eske/0000-0002-9654-2722; Madsen, Aksel Bo/0000-0001-7274-586X;</t>
  </si>
  <si>
    <t>10.1007/s10344-012-0621-7</t>
  </si>
  <si>
    <t>977WS</t>
  </si>
  <si>
    <t>WOS:000306696100010</t>
  </si>
  <si>
    <t>Barbieri, F; Machado, R; Zappes, CA; de Oliveira, LR</t>
  </si>
  <si>
    <t>Barbieri, Fabricia; Machado, Rodrigo; Zappes, Camilah Antunes; de Oliveira, Larissa Rosa</t>
  </si>
  <si>
    <t>OCEAN &amp; COASTAL MANAGEMENT</t>
  </si>
  <si>
    <t>LOCAL ECOLOGICAL KNOWLEDGE; OTARIA-FLAVESCENS; SCALE FISHERY; DEPREDATION; FARMS; STATE; SHAW</t>
  </si>
  <si>
    <t>The Neotropical otter (Lontra longicaudis) is an aquatic carnivore that interacts with fisheries activities and competes with fisherman for resources. Information about the biology and conservation issues of a species can be obtained from traditional ecological knowledge collected from the communities that share the same resources. In this sense, the objective of this study was to describe conflicts between the otters and two fishing communities (Imbe and Tramandai) in the Tramandai Lagoon (29 degrees 57'S; 50 degrees 11'W), in southern Brazil. We conducted 36 interviews that represented 72% of the local fishermen that use gillnets in the lagoon. All fishermen reported that otters interfered with fishing activities, by feeding on fish in the gillnets, and 75% of those interviewed reported gear damage. Fifty percent of the fishermen reported that observed the otters used the lagoon daily. Many fishermen (41.6%) also reported that the amount of damage attributed to the otters was considered small, but the depredation was reported as occurring daily (55.5%). Fishermen from Imbe have a more negative perception of the interaction with otters, probably because they usually fish near to the area most frequently used by otters. This amplifies the magnitude of the conflict and damage. In order to minimize the depredation of fish by otters directly on the gillnets, we suggested some measures to fishery management, as well as additional studies about the potential prey overlap between the Neotropical otter and the fishery. (C) 2012 Elsevier Ltd. All rights reserved.</t>
  </si>
  <si>
    <t>[Barbieri, Fabricia; Machado, Rodrigo; de Oliveira, Larissa Rosa] Univ Vale Rio dos Sinos, Lab Ecol Mamiferos, UNISINOS, BR-93022000 Sao Leopoldo, RS, Brazil; [Machado, Rodrigo; de Oliveira, Larissa Rosa] GEMARS, Grp Estudos Mamiferos Aquat Rio Grande Sul, Porto Alegre, RS, Brazil; [Zappes, Camilah Antunes] Univ Estadual N Fluminen, Campos dos Goytacazes, Brazil; [Zappes, Camilah Antunes] Inst Pesquisas Cananeia, Cananeia, SP, Brazil</t>
  </si>
  <si>
    <t>Universidade do Vale do Rio dos Sinos (Unisinos)</t>
  </si>
  <si>
    <t>de Oliveira, LR (corresponding author), Univ Vale Rio dos Sinos, Lab Ecol Mamiferos, UNISINOS, Av Unisinos 950,Ctr 2,Bloco D,Sala 20221, BR-93022000 Sao Leopoldo, RS, Brazil.</t>
  </si>
  <si>
    <t>lari.minuano@gmail.com</t>
  </si>
  <si>
    <t>Zappes, Camilah/N-9736-2013; MACHADO, RODRIGO/KRP-6715-2024; Oliveira, Larissa/I-5640-2012</t>
  </si>
  <si>
    <t>Oliveira, Larissa/0000-0002-5735-3697</t>
  </si>
  <si>
    <t>Coordenacao de Aperfeicoamento Pessoal de Nivel Superior (CAPES): PROSUP</t>
  </si>
  <si>
    <t>The authors would like to thank the Centro de Estudos Costeiros, Limnologicos e Marinhos from the Universidade Federal do Rio Grande do Sul for the use of local facilities to conduct the field research. We are also grateful to Francine Shulz and Janaina Carrion Wickert for collaborating in the interviews in the Tramandai Lagoon and to the Tramandai Fishermen's Union. We also thank to Robert L Brownell Jr. who provided valuable comments and suggestions to improve this manuscript and to Diogo Araujo who kindly make the Figs. 2 and 4. Rodrigo Machado was supported by Coordenacao de Aperfeicoamento Pessoal de Nivel Superior (CAPES): PROSUP master grant. Finally we would like to thank all the fishermen from the Tramandai Lagoon that made this study possible.</t>
  </si>
  <si>
    <t>0964-5691</t>
  </si>
  <si>
    <t>1873-524X</t>
  </si>
  <si>
    <t>OCEAN COAST MANAGE</t>
  </si>
  <si>
    <t>Ocean Coastal Manage.</t>
  </si>
  <si>
    <t>10.1016/j.ocecoaman.2012.03.007</t>
  </si>
  <si>
    <t>Oceanography; Water Resources</t>
  </si>
  <si>
    <t>958SX</t>
  </si>
  <si>
    <t>WOS:000305262100002</t>
  </si>
  <si>
    <t>Casanovas, JG; Barrull, J; Mate, I; Zorrilla, JM; Ruiz-Olmo, J; Gosàlbez, J; Salicrú, M</t>
  </si>
  <si>
    <t>Casanovas, Jorge G.; Barrull, Joan; Mate, Isabel; Zorrilla, Juan M.; Ruiz-Olmo, Jordi; Gosalbez, Joaquim; Salicru, Miquel</t>
  </si>
  <si>
    <t>Competitor release effect; Martes foina; Meles meles; Predator control; Vulpes vulpes</t>
  </si>
  <si>
    <t>MESOPREDATOR RELEASE; POPULATION-DENSITY; GAME MANAGEMENT; RED FOX; CONSERVATION; LANDSCAPE; ABUNDANCE; PATTERNS; EXAMPLE</t>
  </si>
  <si>
    <t>The traditional way to deal with hunting interests is often focused on predator control. This approach requires a detailed understanding of predator responses to game management. Control methods can be non-selective and, consequently, can potentially have a negative impact on non-target predator species, affecting carnivore guild. In order to assess the potential risks associated with non-selective predator control in the presence of intraguild competition, the classical Lotka-Volterra competition model was used, but with two additional factors: a linear factor for capture mortality (mortality caused by predator control) and a factor for vacated niche occupancy associated with immigration. Simulation in a scenario with three species revealed that one of them, the red fox , which presented the highest intrinsic growth rate, can show population increases even under moderate control, whereas the population of European badger , with a lower intrinsic growth rate, was reduced and, in some cases, may even become extinct. Lastly, the stone marten presented a differential response, depending on the removal intensity and strategy employed. This behaviour is compatible with the results observed in a Mediterranean environment subjected to two types of game management: non-selective predator control (culling) and no control. In areas with non-selective control and moderate predator removal, the red fox population remained stable, while the stone marten and the European badger populations reduced markedly or disappeared.</t>
  </si>
  <si>
    <t>[Barrull, Joan; Mate, Isabel; Gosalbez, Joaquim] Univ Barcelona, Fac Biol, Dept Anim Biol, E-08028 Barcelona, Spain; [Casanovas, Jorge G.] Univ Politecn Madrid, Super Tech Sch Forestry Engineers, Madrid 28040, Spain; [Zorrilla, Juan M.] Univ Complutense Madrid, Fac Biol, Dept Ecol, E-28040 Madrid, Spain; [Salicru, Miquel] Univ Barcelona, Fac Biol, Dept Stat, E-08028 Barcelona, Spain; [Ruiz-Olmo, Jordi] Generalitat Catalonia, Gen Directorate Nat Environm &amp; Biodivers, Dept Agr Lifestock Fisheries Nourishment &amp; Nat En, Barcelona 08017, Spain</t>
  </si>
  <si>
    <t>University of Barcelona; Universidad Politecnica de Madrid; Complutense University of Madrid; University of Barcelona</t>
  </si>
  <si>
    <t>Salicrú, Miquel/0000-0001-9644-5626; MARTIN ZORRILLA, JUAN VICENTE/0000-0002-3097-9542</t>
  </si>
  <si>
    <t>SPRINGER JAPAN KK</t>
  </si>
  <si>
    <t>TOKYO</t>
  </si>
  <si>
    <t>CHIYODA FIRST BLDG EAST, 3-8-1 NISHI-KANDA, CHIYODA-KU, TOKYO, 101-0065, JAPAN</t>
  </si>
  <si>
    <t>10.1007/s11284-012-0931-y</t>
  </si>
  <si>
    <t>944LW</t>
  </si>
  <si>
    <t>WOS:000304204800013</t>
  </si>
  <si>
    <t>Rosas-Ribeiro, PF; Rosas, FCW; Zuanon, J</t>
  </si>
  <si>
    <t>Rosas-Ribeiro, Patricia F.; Rosas, Fernando C. W.; Zuanon, Jansen</t>
  </si>
  <si>
    <t>BIOTROPICA</t>
  </si>
  <si>
    <t>aquatic mammal; conservation; diet; fishery; fish stocks; human-wildlife conflict; Lutrinae</t>
  </si>
  <si>
    <t>CARNIVORA; ECOLOGY</t>
  </si>
  <si>
    <t>The recovery of giant otter populations after the hunting prohibition and restriction of the pelt trade resulted in more frequent conflicts with fishermen. In this study, fishermangiant otter conflicts were analyzed in the Uacari Sustainable Development Reserve, where giant otters are accused of interfering with fisheries by eating the fish (predation), frightening the fish away (local interference), and damaging fishing equipment (direct interference). Interference by predation was analyzed by evaluating overlap in fish species consumption between humans (measured by subsistence and commercial catches) and giant otters. The giant otter diet was assessed from fecal samples, and the human diet through questionnaires. Local and direct interferences were analyzed through fish samples using gillnets and comparing capture efficiency with and without giant otters presence. The overlap between human and giant otter diets was low (0.37), varied seasonally, and was smaller in the low water (0.24) than in the high water period (0.60), when both species tend to be more generalists. Overlap between fish species consumed by giant otters and those exploited by commercial fisheries was small (0.34). Giant otter presence during the experimental fishing was low (9.5%), restricted to the high water period, and did not significantly reduce the captures (U = 13, P = 0.61). The low overlap in diet may be a result of differences in preferences and fishing strategies. The conflict between giant otters and fishermen is greater in the high water period, when the income of the fisheries decreases; however, the conflict seems to be mainly motivated by the resident's prejudice against giant otters.</t>
  </si>
  <si>
    <t>[Rosas-Ribeiro, Patricia F.; Rosas, Fernando C. W.; Zuanon, Jansen] INPA, BR-69011970 Manaus, Amazonas, Brazil</t>
  </si>
  <si>
    <t>Institute Nacional de Pesquisas da Amazonia</t>
  </si>
  <si>
    <t>Rosas-Ribeiro, PF (corresponding author), INPA, Caixa Postal 478, BR-69011970 Manaus, Amazonas, Brazil.</t>
  </si>
  <si>
    <t>patriciafarias@hotmail.com</t>
  </si>
  <si>
    <t>; Zuanon, Jansen/E-5791-2013</t>
  </si>
  <si>
    <t>Weber Rosas, Fernando Cesar/0000-0001-6715-5689; Zuanon, Jansen/0000-0001-8354-2750</t>
  </si>
  <si>
    <t>Instituto Internacional de Educacao do Brasil (IIEB), through the BECA; Conselho Nacional de Desenvolvimento Cientifico e Tecnologico (CNPq); Programa Petrobras Ambiental</t>
  </si>
  <si>
    <t>Instituto Internacional de Educacao do Brasil (IIEB), through the BECA; Conselho Nacional de Desenvolvimento Cientifico e Tecnologico (CNPq)(Conselho Nacional de Desenvolvimento Cientifico e Tecnologico (CNPQ)); Programa Petrobras Ambiental</t>
  </si>
  <si>
    <t>We thank Instituto Internacional de Educacao do Brasil (IIEB), through the BECA program, Conselho Nacional de Desenvolvimento Cientifico e Tecnologico (CNPq) and Programa Petrobras Ambiental for the financial support of this study; Programa de Monitoramento da Biodiversidade e do Uso de Recursos Naturais em Unidades de Conservacao Estaduais (ProBUC) and Centro Estadual de Unidades de Conservacao (CEUC) for logistic support and for providing the data of fishing monitoring; The Middle Jurua Project and the Darwin Initiative for the Survival of Species, that also provided some data from fishing monitoring. We also thank Juliana Quadros, who identified the fur samples in the giant otter feces. FCWR and JZ received productivity grants from CNPq.</t>
  </si>
  <si>
    <t>0006-3606</t>
  </si>
  <si>
    <t>1744-7429</t>
  </si>
  <si>
    <t>Biotropica</t>
  </si>
  <si>
    <t>10.1111/j.1744-7429.2011.00828.x</t>
  </si>
  <si>
    <t>935CM</t>
  </si>
  <si>
    <t>WOS:000303496500020</t>
  </si>
  <si>
    <t>O'Mahony, D; O'Reilly, C; Turner, P</t>
  </si>
  <si>
    <t>O'Mahony, Declan; O'Reilly, Catherine; Turner, Peter</t>
  </si>
  <si>
    <t>Martes martes; Animal distribution; Non-invasive survey; Abundance; Conservation</t>
  </si>
  <si>
    <t>TETRAO-UROGALLUS; POPULATION-SIZE; NEST PREDATION; CONSERVATION; HABITAT; CARNIVORES; OCCUPANCY; MODELS; TRENDS; FOREST</t>
  </si>
  <si>
    <t>On the Island of Ireland, pine martens (Martes martes) exist at the western edge of their global geographic range in the least forested region of Europe. The species has undergone substantial declines in abundance and distribution during the 20th century. Here, we report on the first cross-jurisdictional (Republic of Ireland and Northern Ireland) survey that aimed to investigate current pine marten distribution, assess any recent historical change and provide preliminary estimates of population abundance. A standardised non-invasive survey technique that used scat-based transect surveys and DNA analysis to confirm scat identity was deployed in 258 10 km national grid squares during 2005-2007. In the Republic of Ireland, an occupancy rate of 59.6% was found. Comparisons with historical data indicated that a range expansion of pine marten had occurred over the last 30 years. Indicative core population range extended to over 50% of the land area with population abundance estimates of 2740 individuals. In Northern Ireland, an occupancy rate of 56.7% was determined with the population largely concentrated in western areas. There was little or no evidence of any recent expansion from core population areas (18% of land area) despite recent increases in forest cover and full legal protection. Population abundance estimates of 320 emphasise the critical requirement for action to conserve this species. The pine marten is one of the rarest wildlife species in Ireland and, based on our studies, an evidenced based conservation strategy that promotes a sustainable future for the species needs to be developed. (C) 2012 Deutsche Gesellschaft fur Saugetierkunde. Published by Elsevier GmbH. All rights reserved.</t>
  </si>
  <si>
    <t>[O'Mahony, Declan] Ecol Management Grp, Belfast BT7 2JA, Antrim, North Ireland; [O'Reilly, Catherine; Turner, Peter] Waterford Inst Technol, Waterford, Ireland</t>
  </si>
  <si>
    <t>South East Technological University (SETU)</t>
  </si>
  <si>
    <t>O'Mahony, D (corresponding author), Ecol Management Grp, Ormeau Business Pk,8 Cromac Ave, Belfast BT7 2JA, Antrim, North Ireland.</t>
  </si>
  <si>
    <t>declan.omahony@ecomgt.com</t>
  </si>
  <si>
    <t>Forest Service of the Department of Agriculture and Food, Ireland; Heritage Council; Peoples Trust for Endangered Species (UK); National Parks and Wildlife Service of the Department of Environment, Heritage and Local Government</t>
  </si>
  <si>
    <t>Funding for this project was provided by the Forest Service of the Department of Agriculture and Food, Ireland under the National Development Plan 2000-2006, Heritage Council under the Wildlife Grants Scheme 2005, the Peoples Trust for Endangered Species (UK) and the National Parks and Wildlife Service of the Department of Environment, Heritage and Local Government.</t>
  </si>
  <si>
    <t>10.1016/j.mambio.2012.04.001</t>
  </si>
  <si>
    <t>009KE</t>
  </si>
  <si>
    <t>WOS:000309023900007</t>
  </si>
  <si>
    <t>Moriarty, KM; Zielinski, WJ; Forsman, ED</t>
  </si>
  <si>
    <t>Moriarty, Katie M.; Zielinski, William J.; Forsman, Eric D.</t>
  </si>
  <si>
    <t>American marten; California; fragmentation; habitat loss; Martes americana; Sagehen Experimental Forest</t>
  </si>
  <si>
    <t>LANDSCAPE PATTERN; HABITAT SELECTION; CLIMATE-CHANGE; IMPACTS; MAMMALS</t>
  </si>
  <si>
    <t>We compared the distribution and frequency of American marten (Martes americana) detections during historic surveys and a recent survey on the Sagehen Experimental Forest (SEF) in the Sierra Nevada Mountains, California. This area has been the location of 9 previous marten surveys during 1980-1993, each involving a systematic detection/non-detection survey on the same grid. These data are a time series of information on the occupancy of martens that can be related to habitat change in the study area. Our objectives were to 1) resurvey martens in SEF using methodology similar to previous studies to assess current marten occupancy; 2) evaluate changes in marten occupancy during the period 1980-2008; and 3) examine associations between marten occurence and changes in habitat and landscape metrics. Current marten occupancy was estimated using surveys conducted in summer 2007, winter 2007-2008, and summer 2008. From 1978 to 2007 there was a decrease in predicted habitat patch size, core area, and total amount of marten habitat in the study area, as well as an increase in distance between patches. Marten detections in 2007-2008 were approximately 60% lower than in surveys in the 1980s. We detected no martens in the summers of 2007 and 2008, and 10 detections in winter 2007-2008 were limited to higher elevations in the southwestern portion of SEF. No martens were detected in the lower elevations where most of the recent forest management activity occurred. We suggest that the marten population at SEF has been negatively affected by the loss and fragmentation of habitat. We recommend that future management of forests in the Sagehen basin focus on restoring and connecting residual marten habitat to improve habitat quality for martens. (C) 2011 The Wildlife Society.</t>
  </si>
  <si>
    <t>[Moriarty, Katie M.] Oregon State Univ, Dept Fisheries &amp; Wildlife, Corvallis, OR 97331 USA; [Zielinski, William J.] US Forest Serv, USDA, Pacific SW Res Stn, Arcata, CA 95221 USA; [Forsman, Eric D.] US Forest Serv, USDA, Pacific NW Res Stn, Corvallis, OR 97331 USA</t>
  </si>
  <si>
    <t>Oregon State University; United States Department of Agriculture (USDA); United States Forest Service; United States Department of Agriculture (USDA); United States Forest Service</t>
  </si>
  <si>
    <t>Moriarty, KM (corresponding author), Oregon State Univ, Dept Fisheries &amp; Wildlife, Corvallis, OR 97331 USA.</t>
  </si>
  <si>
    <t>ktmoriarty22@gmail.com</t>
  </si>
  <si>
    <t>Moriarty, Katie/0000-0002-3348-3403</t>
  </si>
  <si>
    <t>U.S. Department of Agriculture (USDA) Forest Service Pacific Southwest Research Station; USDA Forest Service Southwest Region; Western Section of The Wildlife Society (TWS); Sacramento-Shasta TWS Chapter; California North Coast TWS Chapter; USDA Forest Service Pacific Northwest Research Station (Forestry Sciences Laboratory)</t>
  </si>
  <si>
    <t>U.S. Department of Agriculture (USDA) Forest Service Pacific Southwest Research Station(United States Department of Agriculture (USDA)); USDA Forest Service Southwest Region(United States Department of Agriculture (USDA)United States Forest Service); Western Section of The Wildlife Society (TWS); Sacramento-Shasta TWS Chapter; California North Coast TWS Chapter; USDA Forest Service Pacific Northwest Research Station (Forestry Sciences Laboratory)(United States Department of Agriculture (USDA)United States Forest Service)</t>
  </si>
  <si>
    <t>Funding was provided by U.S. Department of Agriculture (USDA) Forest Service Pacific Southwest Research Station, USDA Forest Service Southwest Region, the Western Section of The Wildlife Society (TWS), the Sacramento-Shasta TWS Chapter, and the California North Coast TWS Chapter. Additional funding, logistical support, and publication costs were provided by the USDA Forest Service Pacific Northwest Research Station (Forestry Sciences Laboratory). The biologists and staff of the Tahoe National Forest, Truckee and Sierraville Ranger Districts provided invaluable aid with field survey logistics and access to historical records. W. D. Spencer and S. K. Martin provided previous marten survey information and advice. The Station Managers at SEF (J. Brown and F. Felix) provided logistic support. J. J. Battles and staff at University of California, Berkeley contributed plot and vegetation data. The U. S. Fish and Wildlife Service provided survey equipment. J. D. Bailey and R. G. Anthony provided advice throughout the project. We thank K. M. Boatner, C. A. Wilson, S. Hallowell, T. Mark, C. Price, S. Falvey, F. V. Schlexer, and J. Warren for logistical assistance, and I. D. MacKay, J. C. Arsenault, E. E. Hamblen, M. E. Colberg, K. Glinka, K. Kilpatrick, N. R. Edmison, K. Sellmer, and R. Kussow for their hard work in the field. M. A. Linnell and E. E. Hamblen provided helpful comments on the work. Lastly, we would like to thank all of the field technicians and volunteers who helped conduct surveys in 1980-1993. They made our study possible.</t>
  </si>
  <si>
    <t>10.1002/jwmg.228</t>
  </si>
  <si>
    <t>840FQ</t>
  </si>
  <si>
    <t>WOS:000296424900012</t>
  </si>
  <si>
    <t>Skalski, JR; Millspaugh, JJ; Clawson, MV; Belant, JL; Etter, DR; Frawley, BJ; Friedrich, PD</t>
  </si>
  <si>
    <t>Skalski, John R.; Millspaugh, Joshua J.; Clawson, Michael V.; Belant, Jerrold L.; Etter, Dwayne R.; Frawley, Brian J.; Friedrich, Paul D.</t>
  </si>
  <si>
    <t>age-at-harvest; Martes americana; population reconstruction</t>
  </si>
  <si>
    <t>MODELS</t>
  </si>
  <si>
    <t>Estimating the dynamics of furbearer populations is challenging because their elusive behavior and low densities make observations difficult. Statistical population reconstruction is a flexible approach to demographic assessment for harvested populations, but the technique has not been applied to furbearers. We extended this approach to furbearers and analyzed 8 yr of age-at-harvest data for American marten (Martes americana) in the Upper Peninsula of Michigan. Marten abundance estimates showed a general downward trend from an estimate of (N) over cap = 1,733.3 ((SE) over cap = 861.3) animals in 2000 to (N) over cap = 1,163.9 ((SE) over cap= 520.1) in 2007. The harvest probability of martens increased nearly 5-fold from 0.0542 (SE = 0.0250) in 2000 to 0.2637 ((SE) over cap = 0.1154) in 2007, which corresponded to a 5-fold increase in trap-nights. Continued monitoring of martens in the Upper Peninsula, Michigan, and a reassessment of current harvest regulations are necessary given the estimated decreases. Moreover, we do not encourage the use of harvest indices as the sole technique to assess the status and trends of marten and fisher populations. Auxiliary studies in the Upper Peninsula, Michigan, will allow for continued use and improvement in the application of these models. (C) 2011 The Wildlife Society.</t>
  </si>
  <si>
    <t>[Skalski, John R.] Univ Washington, Sch Aquat &amp; Fishery Sci, Seattle, WA 98101 USA; [Millspaugh, Joshua J.] Univ Missouri, Dept Fisheries &amp; Wildlife Sci, Columbia, MO 65211 USA; [Clawson, Michael V.] Univ Washington, Sch Forest Resources, Seattle, WA 98101 USA; [Belant, Jerrold L.] Mississippi State Univ, Carnivore Ecol Lab, Forest &amp; Wildlife Res Ctr, Mississippi State, MS 39762 USA; [Etter, Dwayne R.] Michigan Dept Nat Resources &amp; Environm, Wildlife Div, E Lansing, MI 48823 USA; [Frawley, Brian J.] Michigan Dept Nat Resources &amp; Environm, Wildlife Div, Lansing, MI 48909 USA; [Friedrich, Paul D.] Michigan Dept Nat Resources &amp; Environm, Wildlife Div, Lansing, MI 48910 USA</t>
  </si>
  <si>
    <t>University of Washington; University of Washington Seattle; University of Missouri System; University of Missouri Columbia; University of Washington; University of Washington Seattle; Mississippi State University</t>
  </si>
  <si>
    <t>Skalski, JR (corresponding author), Univ Washington, Sch Aquat &amp; Fishery Sci, 1325 4th Ave,Suite 1820, Seattle, WA 98101 USA.</t>
  </si>
  <si>
    <t>jrs@cbr.washington.edu</t>
  </si>
  <si>
    <t>; Etter, Dwayne/J-8578-2012; Belant, Jerrold/HDM-7749-2022</t>
  </si>
  <si>
    <t>Skalski, John/0000-0002-7070-2505; Clawson, Michael/0000-0002-8413-7009</t>
  </si>
  <si>
    <t>University of Washington; University of Missouri; Mississippi State University; Michigan Department of Natural Resources and Environment</t>
  </si>
  <si>
    <t>University of Washington(University of Washington); University of Missouri; Mississippi State University; Michigan Department of Natural Resources and Environment</t>
  </si>
  <si>
    <t>We thank the University of Washington, University of Missouri, Mississippi State University, and the Michigan Department of Natural Resources and Environment for their support of our research.</t>
  </si>
  <si>
    <t>10.1002/jwmg.227</t>
  </si>
  <si>
    <t>WOS:000296424900011</t>
  </si>
  <si>
    <t>Mowry, RA; Gompper, ME; Beringer, J; Eggert, LS</t>
  </si>
  <si>
    <t>Mowry, Rebecca A.; Gompper, Matthew E.; Beringer, Jeff; Eggert, Lori S.</t>
  </si>
  <si>
    <t>fecal DNA; Lontra canadensis; microsatellites; Missouri; Nearctic river otter; noninvasive genetic sampling</t>
  </si>
  <si>
    <t>POLYMORPHIC MICROSATELLITE LOCI; LONTRA-CANADENSIS; LUTRA-LUTRA; SEX IDENTIFICATION; GENOTYPING ERRORS; MELES-MELES; DNA; AMPLIFICATION; SUCCESS; BEAR</t>
  </si>
  <si>
    <t>Across much of North America, river otter (Lontra canadensis) populations were extirpated or greatly reduced by the early 20th century. More recently, reintroductions have resulted in restored populations and the recommencement of managed trapping. Perhaps the best example of these river otter reintroductions occurred in Missouri, regarded as one of the most successful carnivore recovery programs in history. However, abundance estimates for river otter populations are difficult to obtain and often contentious when used to underpin management activities. We assessed the value of latrine site monitoring as a mechanism for quantifying river otter abundance. Analyses of fecal DNA to identify individual animals may result in an improved population estimate and have been used for a variety of mammal species. We optimized laboratory protocols, redesigned existing microsatellite primers, and calculated genotyping error rates to enhance genotyping success for a large quantity of river otter scat samples. We also developed a method for molecular sexing. We then extracted DNA from 1,421 scat samples and anal sac secretions (anal jelly) collected during latrine site counts along 22-34-km stretches representing 8-77% of 8 rivers in southern Missouri in 2009. Error rates were low for the redesigned microsatellites. We obtained genotypes at 7-10 microsatellite loci for 24% of samples, observing highest success for anal jelly samples (71%) and lowest for fresh samples (collected within 1 day of defecation). We identified 63 otters (41 M, 22 F) in the 8 rivers, ranging from 2 to 14 otters per river. Analyses using program CAPWIRE resulted in population estimates similar to the minimum genotyping estimate. Density estimates averaged 0.24 otters/km. We used linear regression to develop and contrast models predicting population size based on latrine site and scat count indices, which are easily collected in the field. Population size was best predicted by a combination of scats per latrine and latrines per kilometer. Our results provide methodological approaches to guide wildlife managers seeking to initiate similar river otter fecal genotyping studies, as well as to estimate and monitor river otter population sizes. (C) 2011 The Wildlife Society.</t>
  </si>
  <si>
    <t>[Mowry, Rebecca A.; Gompper, Matthew E.] Univ Missouri, Dept Fisheries &amp; Wildlife Sci, Columbia, MO 65211 USA; [Beringer, Jeff] Resource Sci Ctr, Missouri Dept Conservat, Columbia, MO 65201 USA; [Eggert, Lori S.] Univ Missouri, Div Biol Sci, Columbia, MO 65211 USA</t>
  </si>
  <si>
    <t>University of Missouri System; University of Missouri Columbia; University of Missouri System; University of Missouri Columbia; University of Missouri System; University of Missouri Columbia</t>
  </si>
  <si>
    <t>Mowry, RA (corresponding author), Univ Missouri, Dept Fisheries &amp; Wildlife Sci, 303 Anheuser Busch Nat Resources Bldg, Columbia, MO 65211 USA.</t>
  </si>
  <si>
    <t>ra_mowry@yahoo.com</t>
  </si>
  <si>
    <t>Eggert, Lori/AAC-3956-2019</t>
  </si>
  <si>
    <t>Missouri Department of Conservation (MDC)</t>
  </si>
  <si>
    <t>The Missouri Department of Conservation (MDC) provided funding for this project. We thank T. Schneider and M. J. Ruiz-Lopez for valuable assistance in the lab and C. Dzurick, G. Albers, W. Thompson, and J. Beshears for field assistance.</t>
  </si>
  <si>
    <t>10.1002/jwmg.193</t>
  </si>
  <si>
    <t>813EM</t>
  </si>
  <si>
    <t>WOS:000294349600012</t>
  </si>
  <si>
    <t>Khan, WA; Qasim, M; Ahmad, E; Chaudhry, AA; Bhaagat, HB; Akhtar, M</t>
  </si>
  <si>
    <t>Khan, Waseem Ahmad; Qasim, Mohammad; Ahmad, Ejaz; Chaudhry, Abdul Aleem; Bhaagat, Hussain Bux; Akhtar, Mohammad</t>
  </si>
  <si>
    <t>Sindh otter; Mustelidae; Lutrinae; WWF Pakistan; Sindh Wildlife Department</t>
  </si>
  <si>
    <t>LUTRA-PERSPICILLATA; INDIA; LUTRINAE; ECOLOGY; KERALA</t>
  </si>
  <si>
    <t>A review of the available literature on Smooth coated otter (Lutrogale perspicillata sindica) has been made covering its nomenclature, status, distribution, biology, habitat, behavior, ecology, ecological role. food and feeding habits, breeding, territory size and various threats. Out of 13 species of otters Pakistan hosts only two: smooth coated otter (Lutrogale perspicillata sindica) and Eurasian or common otter (Lutra lutra). Smooth coated otter is called Oodh Balao in Urdu language and the sub-species found in Pakistan is known as Sindh otter. The status of the species has recently been declared as vulnerable in Pakistan by IUCN. It prefers plain areas and is widely distributed in Sindh, some parts of the Punjab and a few places in Khyber-Pakhtunkhwa along Indus River. The nocturnal mammal is adapted to a semi aquatic mode of life. Average body weight is seven kg, head and body length 61 cm and tail length around 40 cm. Smooth coated otter is a top carnivore of wetlands and feeds mainly (up to 96%) upon fish. It is considered to be a suitable indicator of pollution level in a wetland. The animals form strong monogamous pairs; males are larger but still females dominate the pair. Breeding may occur throughout the year, gestation period varies from 61-63 days and young ones at their birth are covered with fur and their eyes do not open until up to 10 days. The weaning takes almost 130 days and the young ones start taking fish at the age of three months. Liter size of 2-4 cubs is normal and rarely five but recently six cubs have been observed in Sindh. The home range varies from 7-12 km(2) depending upon the availability of food and other basic attributes of the habitat. Habitat fragmentation, otter-human conflicts, hunting for skins and lack of awareness among general public are main threats to the species.</t>
  </si>
  <si>
    <t>[Khan, Waseem Ahmad; Qasim, Mohammad; Ahmad, Ejaz; Chaudhry, Abdul Aleem] WWF Pakistan, Islamabad, Pakistan; [Bhaagat, Hussain Bux] Sindh Wildlife Dept, Karachi, Pakistan; [Akhtar, Mohammad] Univ Punjab, Lahore, Pakistan</t>
  </si>
  <si>
    <t>World Wildlife Fund; University of Punjab</t>
  </si>
  <si>
    <t>Khan, WA (corresponding author), WWF Pakistan, 60 Bazar Rd,Sector G 6-4, Islamabad, Pakistan.</t>
  </si>
  <si>
    <t>khanwa@hotmail.com</t>
  </si>
  <si>
    <t>; Ahmad, Ejaz/P-2730-2015</t>
  </si>
  <si>
    <t>Qasim, Mohammad/0000-0002-9784-8993;</t>
  </si>
  <si>
    <t>Indus for All Programme</t>
  </si>
  <si>
    <t>This review was part of the Otter Conservation Project being funded by the Indus for All Programme under the Partnership Fund. Authors are obliged to Indus for all Programme of WWF Pakistan and sincerely acknowledge its financial support for this timely otter conservation initiative in the country. We also acknowledge the support provided by Mr. Hassan Ali and Mir Akhtar Hussain Talpur during the field activities.</t>
  </si>
  <si>
    <t>644IS</t>
  </si>
  <si>
    <t>WOS:000281369100025</t>
  </si>
  <si>
    <t>Hearn, BJ; Harrison, DJ; Fuller, AK; Lundrigan, CG; Curran, WJ</t>
  </si>
  <si>
    <t>Hearn, Brian J.; Harrison, Daniel J.; Fuller, Angela K.; Lundrigan, Cyril G.; Curran, William J.</t>
  </si>
  <si>
    <t>habitat; marten; Martes americana; Newfoundland; preference; scale; selection</t>
  </si>
  <si>
    <t>HOME-RANGE SIZE; AMERICAN MARTENS; COMPOSITIONAL ANALYSIS; FOOD-HABITS; SELECTION; FOREST; WINTER; PREY; POPULATION; DYNAMICS</t>
  </si>
  <si>
    <t>We evaluated multiscale habitat selection by threatened Newfoundland (Canada) martens (Martes americana atrata) across landscapes composed of a range of habitat types to test the hypothesis that martens preferred mature (61-80-yr-old) and overmature (&gt;80 yr) conifer stands. At both the landscape and stand scales, adult (&gt;= 1 yr) resident martens (n = 58, 92 yr-specific home ranges) selected for, or used in proportion to availability, a broad range of habitat types, including recent cuts &lt;= 5 yr old, regenerating forest &lt;6.5 m, precommercially thinned stands, and mature and overmature forest. Marten home ranges were not dominated by mature and overmature forest; median availability of mature and overmature forest within individual home ranges was only 30% (range = 11-76%). Age distributions were not different among martens with high, intermediate, and low quantity of mature and overmature forest in their home range; our data do not indicate that martens inhabiting ranges with little mature and overmature forest were compromising fitness. Habitat selection by martens in Newfoundland was more generalized than has traditionally been inferred, and we suggest that inherent landscape fragmentation, in combination with absence of many predators and competitors (i.e., ecological release), caused the Newfoundland marten to evolve to use a more generalized habitat niche than many mainland populations of American martens. We recommend that landscapes suitable for marten not exceed &gt;29% younger aged forest. Maintaining resident martens in landscapes where forest harvesting is occurring requires prescriptions that recognize the highly fragmented nature of the natural landscape, the prevalence of mature and overmature forest, younger forests, avoided land-cover types, and human access.</t>
  </si>
  <si>
    <t>[Hearn, Brian J.; Curran, William J.] Nat Resources Canada, Canadian Forest Serv, Corner Brook, NF A2H 6J3, Canada; [Harrison, Daniel J.; Fuller, Angela K.] Univ Maine, Dept Wildlife Ecol, Orono, ME 04469 USA; [Lundrigan, Cyril G.] Western Newfoundland Model Forest, Corner Brook, NF A2H 6J3, Canada</t>
  </si>
  <si>
    <t>Natural Resources Canada; Canadian Forest Service; University of Maine System; University of Maine Orono</t>
  </si>
  <si>
    <t>Hearn, BJ (corresponding author), Nat Resources Canada, Canadian Forest Serv, POB 960, Corner Brook, NF A2H 6J3, Canada.</t>
  </si>
  <si>
    <t>bhearn@nrcan.gc.ca</t>
  </si>
  <si>
    <t>Natural Resources Canada-Canadian Forest Service; Newfoundland and Labrador Department of Environment and Conservation-Wildlife Division, and Department of Natural Resources-Forest Service; Western Newfoundland Model Forest, Corner Brook Pulp and Paper, Abitibi Consolidated; Department of Wildlife Ecology-University of Maine</t>
  </si>
  <si>
    <t>Natural Resources Canada-Canadian Forest Service(Natural Resources CanadaCanadian Forest Service); Newfoundland and Labrador Department of Environment and Conservation-Wildlife Division, and Department of Natural Resources-Forest Service; Western Newfoundland Model Forest, Corner Brook Pulp and Paper, Abitibi Consolidated; Department of Wildlife Ecology-University of Maine</t>
  </si>
  <si>
    <t>This research was funded by Natural Resources Canada-Canadian Forest Service, the Newfoundland and Labrador Department of Environment and Conservation-Wildlife Division, and Department of Natural Resources-Forest Service, the Western Newfoundland Model Forest, Corner Brook Pulp and Paper, Abitibi Consolidated, and the Department of Wildlife Ecology-University of Maine. We thank countless staff members of these organizations for assistance with this project, in particular, J. Brazil, L. Mayo, and W. Greene. We thank J. Neville, K. Knox, J. Little, S. Abbott, N. Turner, H. White, R. White, L. Pollett, W. Russell, P. Grenier, M. Bennett, D. Butler, and C. Styles for assistance with fieldwork. We appreciate the help of G. Strickland with Geographic Information System analyses, and W. Halteman for advice on statistical analyses.</t>
  </si>
  <si>
    <t>10.2193/2009-138</t>
  </si>
  <si>
    <t>591MT</t>
  </si>
  <si>
    <t>WOS:000277305800012</t>
  </si>
  <si>
    <t>Uscamaita, MR; Bodmer, R</t>
  </si>
  <si>
    <t>Recharte Uscamaita, Maribel; Bodmer, Richard</t>
  </si>
  <si>
    <t>Amazon; CITES; giant otter; Peru; population growth; Pteronura brasiliensis; Yavari-Mirin</t>
  </si>
  <si>
    <t>INTERNATIONAL-TRADE; CONSERVATION</t>
  </si>
  <si>
    <t>The giant otter Pteronura brasiliensis was hunted almost to extinction in the Peruvian Amazon during a period of professional trade in wild animal skins during 1920-1973. In 1973 the Department of Agriculture of Peru (INRENA) prohibited commercial hunting in the Peruvian Amazon, and the giant otter was included in Appendix I of CITES. From 1973 to 2004 giant otter populations experienced a slow recovery in numerous rivers of the Peruvian Amazon. Here, we report the population growth of the giant otter on the Yavari-Mirin and Yavari Rivers in northeast Peru. The first evaluations of giant otter populations in these rivers, in which no individuals were sighted, were in 1992-1993. During surveys in 1996 and 1997 two individuals were sighted. In 2001, 19 individuals were sighted and in 2003 and 2004, 41 individuals were observed. This increase demonstrates a slow recovery and shows that the population has not yet reached its carrying capacity. The prohibition of international trade in otter skins by CITES, supported by INRENA, helped the population recover and was important in the conservation of this species.</t>
  </si>
  <si>
    <t>[Recharte Uscamaita, Maribel] Univ Nacl Amazonia Peruana, Fac Ciencias Biol, Iquitos, Peru; [Bodmer, Richard] Univ Kent, Durrell Inst Conservat &amp; Ecol, Canterbury, Kent, England</t>
  </si>
  <si>
    <t>Universidad Nacional de la Amazonia Peruana; University of Kent</t>
  </si>
  <si>
    <t>Uscamaita, MR (corresponding author), Univ Nacl Amazonia Peruana, Fac Ciencias Biol, Pevas 5, Iquitos, Peru.</t>
  </si>
  <si>
    <t>Bodmer, Richard/0000-0001-8777-2967</t>
  </si>
  <si>
    <t>10.1017/S0030605309990196</t>
  </si>
  <si>
    <t>558TO</t>
  </si>
  <si>
    <t>WOS:000274770200014</t>
  </si>
  <si>
    <t>Flynn, RW; Schumacher, TV</t>
  </si>
  <si>
    <t>Flynn, Rodney W.; Schumacher, Thomas V.</t>
  </si>
  <si>
    <t>abundance; age structure; Chichagof Island; demographics; fur trapping; mark-recapture; Martes americana; Southeast Alaska; survival</t>
  </si>
  <si>
    <t>CAPTURE; MAMMALS; FOREST</t>
  </si>
  <si>
    <t>Population parameters of American martens ( Martes americana) are often monitored to guide management actions. In order to better understand changing marten population demographics, we estimated marten abundance and several population parameters on a portion of northeast Chichagof Island (NCI), Southeast Alaska, USA, using capture-mark-recapture methods in combination with radiotelemetry and compared these data with demographic estimates derived from the trapper catch from the larger NCI area. We found that capture probability remained relatively high across trapping sessions by using a standard live-trapping protocol, and we found no evidence of capture probability being consistently affected by population or environmental factors. Estimated marten numbers varied greatly over the period, ranging from a low of 14.1 martens (0.17/km(2)) during winter 1997-1998 to a high of 45.6 martens (0.55/km(2)) during winter 1995-1996. The annual trend was for decreasing numbers from winter 1990-1991 to winter 1992-1993, then increasing numbers through winter 1995-1996. By winter 1996- 1997, numbers had dropped substantially and remained low through 1997-1998. All population parameters varied temporally, including annual survival (0.34-1.00), sex ratio (1.0-3.5), mean age (0.5-2.9), body condition (20.08-1.35), and fecundity (0.44-2.70). Yearly trapper catches on NCI varied greatly from 19 to 354 martens (0.02 martens/km(2) to 0.31 martens/km(2)) because of changing trapper effort and marten abundance. We found mean ages of carcasses a good predictor of population mean age, but sex ratios were highly variable. Marten numbers and fecundity were strongly correlated with rodent abundance, especially long-tailed voles (Microtus longicaudus). By monitoring demographic parameters of the population or trapper-caught carcasses, managers can gain insight into temporal population dynamics. Also, total captures of individuals may provide a useful estimate of marten numbers without the expense of radiocollaring and tracking individuals because population estimates were highly correlated with number of individuals captured during a standard survey. Because of their high vulnerability to trapping, close monitoring of marten populations is important for the conservation and sustained-yield management of the species. A tracking strategy developed with input data on preseason abundance and age structure may be the best management approach, especially for small populations with limited immigration. (JOURNAL OF WILDLIFE MANAGEMENT 73(8): 1269-1281; 2009)</t>
  </si>
  <si>
    <t>[Flynn, Rodney W.] Alaska Dept Fish &amp; Game, Div Wildlife, Juneau, AK 99811 USA; [Schumacher, Thomas V.] Alaska Dept Fish &amp; Game, Div Wildlife, Juneau, AK 99824 USA</t>
  </si>
  <si>
    <t>Alaska Department of Fish &amp; Game; Alaska Department of Fish &amp; Game</t>
  </si>
  <si>
    <t>Flynn, RW (corresponding author), Alaska Dept Fish &amp; Game, Div Wildlife, POB 110024, Juneau, AK 99811 USA.</t>
  </si>
  <si>
    <t>rod.flynn@alaska.gov</t>
  </si>
  <si>
    <t>Alaska Department of Fish and Game [W-23-4, W-24-1, W-24-2, W-24-3, W-24-4, W-24-5, W-24-6, W-27-2, W-27-3]; USDA Forest Service [43-0109-3-0354]</t>
  </si>
  <si>
    <t>Alaska Department of Fish and Game; USDA Forest Service(United States Department of Agriculture (USDA)United States Forest Service)</t>
  </si>
  <si>
    <t>Many individuals and agencies contributed to the project. G. M. Blundell, J. R. Hickey, K. D. Stone, M. Ben- David, and numerous volunteers assisted with fieldwork. Assistance of USDA Forest Service cooperators, T. E. Schenck, K. Rutledge, and G. C. Iverson greatly facilitated the study. G. M. Matson evaluated the teeth for cementum age. G. W. Pendleton assisted with the statistical analyses. D. A. Anderson and K. Titus provided project review and direction. Numerous pilots at LAB Flying Service participated in the radiotracking. The manuscript was greatly improved by the critical review of 2 anonymous reviews and the editors. Support for the project was provided by the Alaska Department of Fish and Game through Federal Aid in Wildlife Restoration Projects W-23-4, W-24-1, W-24-2, W-24-3, W-24-4, W-24-5, W-24-6, W-27-2, W-27-3, Job 7.16 and the USDA Forest Service through Sikes Act agreement 43-0109-3-0354.</t>
  </si>
  <si>
    <t>10.2193/2008-169</t>
  </si>
  <si>
    <t>515AC</t>
  </si>
  <si>
    <t>WOS:000271437400003</t>
  </si>
  <si>
    <t>Johnson, A; Vongkhamheng, C; Saithongdam, T</t>
  </si>
  <si>
    <t>Johnson, Arlyne; Vongkhamheng, Chanthavy; Saithongdam, Thavisouk</t>
  </si>
  <si>
    <t>Camera trapping; felids; Laos; mustelids; Nam Et-Phou Louey National Protected Area; viverrids; wildlife monitoring</t>
  </si>
  <si>
    <t>TIGER PANTHERA-TIGRIS; PREY POPULATIONS; THAILAND; ECOLOGY</t>
  </si>
  <si>
    <t>Laos harbours globally significant populations of small carnivores, including mustelids and viverrids of conservation concern and felids that are relatively rare or unknown from other parts of Asia. However, few have received conservation attention as managers still lack basic information on the status and distribution of even the most common species. We conducted the country's first systematic camera-trap monitoring of carnivores in the Nam Et-Phou Louey National Protected Area on the Laos-Vietnam border, with intensive sampling across 500 km(2) from 543 to 2,288 m altitude for 8,499 camera-trap days during 2003-2006. Surveys detected 14 species of small carnivores, including the first record of Owston's civet Chrotogale owstoni for Laos. Preliminary occupancy estimates for the seven most common species ranged from 11% for marbled cat Pardofelis marmorata to 42% for Asian golden cat Pardofelis temminckii. Activity patterns of viverrids were primarily nocturnal whereas mustelids, except for hog badger Arctonyx collaris, were diurnal. Leopard cat Prionailurus bengalensis was largely nocturnal, marbled cat primarily diurnal and Asian golden cat as likely detected during the day as at night. Our results led to the establishment of a contiguous 3,000-km(2) protected area core zone and regulations that protect threatened species and control harvest of managed species.</t>
  </si>
  <si>
    <t>[Johnson, Arlyne; Vongkhamheng, Chanthavy; Saithongdam, Thavisouk] Wildlife Conservat Soc, Lao PDR Program, Viangchan, Laos</t>
  </si>
  <si>
    <t>Johnson, A (corresponding author), Wildlife Conservat Soc, Lao PDR Program, Box 6712, Viangchan, Laos.</t>
  </si>
  <si>
    <t>ajohnson@wcs.org</t>
  </si>
  <si>
    <t>Johnson, Arlyne/AAJ-5005-2021</t>
  </si>
  <si>
    <t>10.1017/S0030605309990238</t>
  </si>
  <si>
    <t>518YO</t>
  </si>
  <si>
    <t>WOS:000271732400026</t>
  </si>
  <si>
    <t>Persson, J; Ericsson, G; Segerström, P</t>
  </si>
  <si>
    <t>Persson, Jens; Ericsson, Goran; Segerstrom, Peter</t>
  </si>
  <si>
    <t>Carnivore; Conservation; Infanticide; Mustelid; Poaching; Survival</t>
  </si>
  <si>
    <t>LYNX LYNX-LYNX; GULO-GULO; LARGE CARNIVORES; SURVIVAL RATES; CONSERVATION; TELEMETRY</t>
  </si>
  <si>
    <t>The wolverine is a relatively long lived mustelid species with low average annual reproduction which in theory makes them sensitive to changes in survival rates. In a multi-year study we monitored 211 radio-marked wolverines to estimate age-specific survival rates and mortality causes in an endangered population. Our data suggests that poaching forms a substantial part of wolverine population dynamics in northern Scandinavia causing up to 60% of adult mortality. Average annual adult survival rate was 0.91. Male and female survival rates did not differ. Twenty-five adult wolverines were confirmed to have died during the study. Fifty-two percent of confirmed adult mortality was human caused. The most important cause of adult mortality was poaching (9). Annual adult survival was lower (0.86) when 15 adult resident wolverines that were assumed to have died due to poaching were included in the analyses. Natural mortality among subadults and adults was less frequent in our study population compared to North American wolverine populations. Adult survival was significantly lower during the snow season (December-May) than during the snow-free season (June-November), while natural mortality was more evenly distributed between seasons. We explain this by the frequency of poaching which is higher during snow season. Our results underline the need to frame the underlying human dimension factors behind poaching to facilitate conservation and management of endangered populations. (C) 2008 Elsevier Ltd. All rights reserved.</t>
  </si>
  <si>
    <t>[Persson, Jens; Segerstrom, Peter] Swedish Univ Agr Sci, Dept Ecol, Grimso Wildlife Res Stn, SE-73091 Riddarhyttan, Sweden; [Ericsson, Goran] Swedish Univ Agr Sci, Dept Wildlife Fish &amp; Environm Studies, SE-90183 Umea, Sweden</t>
  </si>
  <si>
    <t>Swedish University of Agricultural Sciences; Swedish University of Agricultural Sciences</t>
  </si>
  <si>
    <t>Persson, J (corresponding author), Swedish Univ Agr Sci, Dept Ecol, Grimso Wildlife Res Stn, SE-73091 Riddarhyttan, Sweden.</t>
  </si>
  <si>
    <t>jens.persson@ekol.slu.se; goran.ericsson@vfm.slu.se; peter@solbritt.se</t>
  </si>
  <si>
    <t>Persson, Jens/0000-0003-1405-7561</t>
  </si>
  <si>
    <t>Swedish Environmental Protection Agency; Norwegian Directorate for Nature Management, WWF Sweden; Kempe Foundation; Swedish EPA's research program Adaptive Management of Fish and Wildlife</t>
  </si>
  <si>
    <t>The study was supported by the Swedish Environmental Protection Agency, the Norwegian Directorate for Nature Management, WWF Sweden and the Kempe Foundation. GE acknowledges the Swedish EPA's research program Adaptive Management of Fish and Wildlife for financial support. We thank Tom Wiklund for field assistance as well as Jon Arnemo, Birgit Ranheim, and Asa Fahlman for veterinary assistance.</t>
  </si>
  <si>
    <t>10.1016/j.biocon.2008.10.028</t>
  </si>
  <si>
    <t>406OA</t>
  </si>
  <si>
    <t>WOS:000263303600008</t>
  </si>
  <si>
    <t>Dalerum, F; Shults, B; Kunkel, K</t>
  </si>
  <si>
    <t>Dalerum, Fredrik; Shults, Brad; Kunkel, Kyran</t>
  </si>
  <si>
    <t>filrbearer; Gulo gulo; harvest management; large carnivore; linear modeling; mustelid</t>
  </si>
  <si>
    <t>GULO-GULO; MODELS; CONSERVATION; SENSITIVITY; DISPERSAL; MORTALITY; SURVIVAL; PATTERNS; SIZE</t>
  </si>
  <si>
    <t>Population viability analysis (PVA) is a common tool to evaluate population vulnerability. However, most techniques require reliable estimates of underlying population parameters, which are often difficult to obtain and PVA are, therefore, best used in a qualitative context. Logistic regression is a powerful alternative to traditional PVA methods but has received surprisingly limited attention. Logistic regression fits regression equations to binary output from PVA models at a specific point in time to predict probability of a binary response over a range of parameter values. We used logistic regression on output from stochastic population models to evaluate the relative importance of demographic parameters for wolverine (Gulo gulo) populations and to estimate sustainable harvest in a wolverine population in Alaska. Our analysis indicated that adult survival is the most important demographic parameter to reliably estimate in wolverine populations because it had a greater effect on population persistence than did both fecundity and subadult survival. In accordance with this, harvest rate had a greater effect on population persistence than did any of the other harvest- and migration-related variables we tested. Furthermore, a high proportion of harvested females strengthened the effect of harvest. Hypothetical wolverine populations suffered high probabilities of both extinction and population decline over a range of realistic population sizes and harvest regimes. We suggest that harvested wolverine populations must be regarded as sink populations and that source populations in combination with sufficient dispersal corridors must be secured for any wolverine harvest to be sustainable.</t>
  </si>
  <si>
    <t>[Dalerum, Fredrik] Univ Pretoria, Mammal Res Inst, Dept Zool &amp; Entomol, ZA-0002 Pretoria, South Africa; [Shults, Brad] Natl Pk Serv, Western Arctic Natl Parklands, Kotzebue, AK 99752 USA; [Kunkel, Kyran] Natl Pk Serv, Alaska Reg Off, Anchorage, AK 99501 USA; [Kunkel, Kyran] Conservat Sci Collaborat, Gateway, MT 59730 USA</t>
  </si>
  <si>
    <t>University of Pretoria; United States Department of the Interior; US National Park Service; United States Department of the Interior; US National Park Service</t>
  </si>
  <si>
    <t>Dalerum, F (corresponding author), Univ Pretoria, Mammal Res Inst, Dept Zool &amp; Entomol, ZA-0002 Pretoria, South Africa.</t>
  </si>
  <si>
    <t>fredrik.dalerum@zoology.up.ac.za</t>
  </si>
  <si>
    <t>Kunkel, Kenneth/C-7280-2015; Dalerum, Freik/M-6068-2017</t>
  </si>
  <si>
    <t>Dalerum, Freik/0000-0001-9737-8242</t>
  </si>
  <si>
    <t>10.2193/2007-336</t>
  </si>
  <si>
    <t>323NV</t>
  </si>
  <si>
    <t>WOS:000257454100010</t>
  </si>
  <si>
    <t>Lancaster, PA; Bowman, J; Pond, BA</t>
  </si>
  <si>
    <t>Lancaster, Pamela A.; Bowman, Jeff; Pond, Bruce A.</t>
  </si>
  <si>
    <t>ENVIRONMENTAL MANAGEMENT</t>
  </si>
  <si>
    <t>agriculture; defragmentation; fisher; fur harvest; habitat; landscape change; Martes pennanti; threshold</t>
  </si>
  <si>
    <t>HABITAT SUITABILITY; FRAGMENTATION; LANDSCAPE; ONTARIO; INTENSIFICATION; CONSERVATION; DENSITY; STATES; RANGE; BIRDS</t>
  </si>
  <si>
    <t>The fisher (Martes pennanti) has recently recovered from historic extirpations across much of its geographic range. There are at least five explanations for the recovery of the fisher, including changes in the amount of habitat, the suitability of habitat, trapping pressure, societal attitudes toward predators, and climate. We evaluated a recovering fisher population in Ontario to test two conditions we viewed as necessary to support the hypothesis that fisher populations have increased due to an increase in the amount of forested land. First, we tested whether the amount of forested land has increased. Second, we tested whether contemporary fisher abundance (and therefore habitat quality) was related to the amount of forest. Topographic maps showed that the proportion of forested land in the study area had increased by 1.9% per decade since 1934 and 3.3% per decade since 1959, likely as a result of land conversion from agricultural uses. Overall the proportion of the study area that was forested increased from 29% to 40% during 1934 to 1995. Census data from the region indicated that there had been a decline in the amount of land area being farmed during the last 50 years. Recent livetrapping data showed that fisher abundance was positively related to the proportion of landscapes that were forested. Based on our results, we could not reject the hypothesis that an increase in the amount of forested land has contributed to the recovery of fisher populations.</t>
  </si>
  <si>
    <t>[Lancaster, Pamela A.; Bowman, Jeff; Pond, Bruce A.] Trent Univ, Ontario Minist Nat Resources, Wildlife Res &amp; Dev Sect, Peterborough, ON K9J 7B8, Canada</t>
  </si>
  <si>
    <t>Trent University; Ministry of Natural Resources &amp; Forestry</t>
  </si>
  <si>
    <t>Bowman, J (corresponding author), Trent Univ, Ontario Minist Nat Resources, Wildlife Res &amp; Dev Sect, DNA Bldg,2140 E Bank Dr, Peterborough, ON K9J 7B8, Canada.</t>
  </si>
  <si>
    <t>0364-152X</t>
  </si>
  <si>
    <t>1432-1009</t>
  </si>
  <si>
    <t>ENVIRON MANAGE</t>
  </si>
  <si>
    <t>Environ. Manage.</t>
  </si>
  <si>
    <t>10.1007/s00267-008-9102-x</t>
  </si>
  <si>
    <t>Environmental Sciences</t>
  </si>
  <si>
    <t>303ZR</t>
  </si>
  <si>
    <t>WOS:000256080300007</t>
  </si>
  <si>
    <t>Baker, PJ; Boitani, L; Harris, S; Saunders, G; White, PCL</t>
  </si>
  <si>
    <t>Baker, Philip J.; Boitani, Luigi; Harris, Stephen; Saunders, Glen; White, Piran C. L.</t>
  </si>
  <si>
    <t>Mammal-Society Autumn Symposium held at the Zoological-Society-of-London</t>
  </si>
  <si>
    <t>NOV 25-26, 2005</t>
  </si>
  <si>
    <t>London, ENGLAND</t>
  </si>
  <si>
    <t>Mammal Soc,Zool Soc London</t>
  </si>
  <si>
    <t>Canis; Carnivora; depredation; human-wildlife conflict; Vulpes</t>
  </si>
  <si>
    <t>FOX VULPES-VULPES; TUBERCULOSIS MYCOBACTERIUM-BOVIS; BADGERS MELES-MELES; REDUCE LIVESTOCK DEPREDATION; ANNAPURNA CONSERVATION AREA; RING-NECKED PHEASANTS; 3 CONTRASTING REGIONS; GULO-GULO PREDATION; WOLVES CANIS-LUPUS; LUTRA-LUTRA DAMAGE</t>
  </si>
  <si>
    <t>1. The production of food for human consumption has led to an historical and global conflict with terrestrial carnivores, which in turn has resulted in the extinction or extirpation of many species, although some have benefited. At present, carnivores affect food production by: (i) killing human producers; killing and/or eating (ii) fish/shellfish; (iii) game/wildfowl; (iv) livestock; (v) damaging crops; (vi) transmitting diseases; and (vii) through trophic interactions with other species in agricultural landscapes. Conversely, carnivores can themselves be a source of dietary protein (bushmeat). 2. Globally, the major areas of conflict are predation on livestock and the transmission of rabies. At a broad scale, livestock predation is a customary problem where predators are present and has been quantified for a broad range of carnivore species, although the veracity of these estimates is equivocal. Typically, but not always, losses are small relative to the numbers held, but can be a significant proportion of total livestock mortality. Losses experienced by producers are often highly variable, indicating that factors such as husbandry practices and predator behaviour may significantly affect the relative vulnerability of properties in the wider landscape. Within livestock herds, juvenile animals are particularly vulnerable. 3. Proactive and reactive culling are widely practised as a means to limit predation on livestock and game. Historic changes in species' distributions and abundance illustrate that culling programmes can be very effective at reducing predator density, although such substantive impacts are generally considered undesirable for native predators. However, despite their prevalence, the effectiveness, efficiency and the benefit:cost ratio of culling programmes have been poorly studied. 4. A wide range of non-lethal methods to limit predation has been studied. However, many of these have their practical limitations and are unlikely to be widely applicable. 5. Lethal approaches are likely to dominate the management of terrestrial carnivores for the foreseeable future, but animal welfare considerations are increasingly likely to influence management strategies. The adoption of non-lethal approaches will depend upon proof of their effectiveness and the willingness of stakeholders to implement them, and, in some cases, appropriate licensing and legislation. 6. Overall, it is apparent that we still understand relatively little about the importance of factors affecting predation on livestock and how to manage this conflict effectively. We consider the following avenues of research to be essential: (i) quantified assessments of the loss of viable livestock; (ii) landscape-level studies of contiguous properties to quantify losses associated with variables such as different husbandry practices; (iii) replicated experimental manipulations to identify the relative benefit of particular management practices, incorporating (iv) techniques to identify individual predators killing stock; and (v) economic analyses of different management approaches to quantify optimal production strategies.</t>
  </si>
  <si>
    <t>[Baker, Philip J.; Harris, Stephen] Univ Bristol, Sch Biol Sci, Bristol BS8 1UG, Avon, England; [Boitani, Luigi] Dept Anim &amp; Human Biol, I-00185 Rome, Italy; [Saunders, Glen] NSW Dept Primary Ind, Vertebrate Pest Res Unit, Orange, NSW 2800, Australia; [White, Piran C. L.] Univ York, Dept Environm, York YO10 5DD, N Yorkshire, England</t>
  </si>
  <si>
    <t>University of Bristol; Department of Primary Industries &amp; Regional Development NSW; University of York - UK</t>
  </si>
  <si>
    <t>Baker, PJ (corresponding author), Univ Reading, Sch Biol Sci, Plant Sci Labs, Reading RG6 6AS, Berks, England.</t>
  </si>
  <si>
    <t>p.j.baker@reading.ac.uk</t>
  </si>
  <si>
    <t>saunders, glen/B-8356-2011; White, Piran Crawfurd Limond/AAH-6851-2021</t>
  </si>
  <si>
    <t>White, Piran Crawfurd Limond/0000-0002-7496-5775</t>
  </si>
  <si>
    <t>APR-JUL</t>
  </si>
  <si>
    <t>10.1111/j.1365-2907.2008.00122.x</t>
  </si>
  <si>
    <t>289NM</t>
  </si>
  <si>
    <t>WOS:000255061200002</t>
  </si>
  <si>
    <t>Godbout, G; Ouellet, JP</t>
  </si>
  <si>
    <t>Godbout, Guillaume; Ouellet, Jean-Pierre</t>
  </si>
  <si>
    <t>ECOSCIENCE</t>
  </si>
  <si>
    <t>American marten; clear-cuts; habitat selection; partial logging; precommercial thinning; Quebec</t>
  </si>
  <si>
    <t>HOME-RANGE SIZE; LODGEPOLE PINE FOREST; SMALL MAMMALS; WESTERN NEWFOUNDLAND; STAND STRUCTURE; STRUCTURAL DIFFERENCES; INDUSTRIAL FOREST; WILDLIFE HABITATS; EASTERN CANADA; DYNAMICS</t>
  </si>
  <si>
    <t>American marten (Martes americana), a species sensitive to intensive logging, is often associated with old-growth coniferous forest. Recent results, however, question the specificity of this association. We studied habitat selection of marten at the southern fringe of the boreal forest, in mixed forest types. The presence of a white-tailed deer (Odocoileus virginianus) wintering area protected part of the study area from large-scale intensive logging [clear-cuts with protection of regeneration and soils (CPRS) and precommercial thinning (PCT)] but not from partial logging of mature coniferous stands. We radio-tracked 15 marten over 2 y and analyzed habitat selection at 2 scales: landscape and home range. Marten selected mature (&gt; 60 )y coniferous forests at both scales, while they neither selected nor avoided mature mixed forests. PCT forests (0-15 y old) were strongly avoided at the landscape scale (P &lt; 0.001), as were Young forests (21-60 y old; P = 0.005). At the home range scale, marten avoided CPRS (0-20 y old; P &lt; 0.001). Partial logging had no effect on selection at either scale. Female home ranges were smaller in the partially logged sector of the study area (2.6 +/- 0.6 versus 7.4 +/- 0.2 km(2)), while male home range averaged 5.5 +/- 1.0 km(2), resulting in a significant interaction between location of home ranges in the white-tailed deer wintering area and sex of individuals (F-1.11 = 5.618, P = 0.037). Also, home ranges tended to be larger as the road density and proportion of light outbreak cover type increased. Our results showed that partial logging, CPRS, AND PCT have different impacts on marten habitat selection and use of space. we conclude that partial logging rather than clear-cuts and precommercial thinning should be favored for conservation of American marten.</t>
  </si>
  <si>
    <t>[Godbout, Guillaume; Ouellet, Jean-Pierre] Univ Quebec, Dept Biol, Ctr Etud Nord, Rimouski, PQ G5L 3A1, Canada</t>
  </si>
  <si>
    <t>University of Quebec</t>
  </si>
  <si>
    <t>Ouellet, JP (corresponding author), Univ Quebec, Dept Biol, Ctr Etud Nord, 300 Allee Ursulines, Rimouski, PQ G5L 3A1, Canada.</t>
  </si>
  <si>
    <t>jean-pierre_ouellet@uqar.qc.ca</t>
  </si>
  <si>
    <t>UNIVERSITE LAVAL</t>
  </si>
  <si>
    <t>ST FOY</t>
  </si>
  <si>
    <t>PAVILLON CHARLES-EUGENE MARCHAND, LOCAL 0166, ST FOY, QUEBEC G1K 7P4, CANADA</t>
  </si>
  <si>
    <t>1195-6860</t>
  </si>
  <si>
    <t>Ecoscience</t>
  </si>
  <si>
    <t>10.2980/15-3-3091</t>
  </si>
  <si>
    <t>357JG</t>
  </si>
  <si>
    <t>WOS:000259841500007</t>
  </si>
  <si>
    <t>Sidorovich, VE; Solovej, IA; Sidorovich, AA; Rotenko, II</t>
  </si>
  <si>
    <t>Sidorovich, Vadim E.; Solovej, Irina A.; Sidorovich, Anna A.; Rotenko, Irina I.</t>
  </si>
  <si>
    <t>POLISH JOURNAL OF ECOLOGY</t>
  </si>
  <si>
    <t>rodents; carnivores; raptors; logging; clearcut</t>
  </si>
  <si>
    <t>PINE MARTEN; HOME RANGES; DIET; RESPONSES; MAMMALS; EDGES</t>
  </si>
  <si>
    <t>The influence of felling on the distribution of rodents and their predators in a transitional coniferous-deciduous forest in northern Belarus was investigated in relation to stand age, forest type, and soil richness. The study was conducted in two areas differing by top-grounds (day and sand soils) and, in turn, having different habitat carrying capacities. Three forest parts were investigated: 1) 10%, 2) 20-30%, and 3) 40-60% covered by recent clearcuts. Three age classes of the clearcuts, namely 1) less than 2 years old, 2) 2-5 years old and 3) 6-12 years old, were considered. In total, we obtained data on small rodent numbers in 84 clearcuts, and the data on predators - in 67 clearcuts and the woodland parts differed by logging rate. Eventually, we became convinced that felling generally led to an increase in the abundance and species richness of rodents and their predators and that was attributable in the clearcuts aged up to 12 years. First, logging led to higher densities of Apodemus mice, the red fox Vulpes vulpes L., weasel Mustela nivalis L., tawny owl Strix aluco L., common buzzard Buteo buteo L. and adder Vipera berus L. Also, with the increased felling rate Microtus voles and the long-eared owl Asio otus L. penetrated in transitional woodlands. Too intensive forest harvesting (more than 40% of recent clearcuts) led to the decline in the populations of several predatory species such as the pine marten Martes martes L., Tengmalm's owl Aegolius funereus L., Ural owl Strix uralensis Pall., and pygmy owl Glaucidium passerinum L. The decline in rodent predators found in the conditions of too intensive logging rate was different in the woodlands on sand and clay top-grounds. In the conditions of clay soil too intensive felling led to the pronounced decline of a marked part of the rodent predatory guild inhabiting woodlands, and the species densities decreased to the level that was lower than the initial one. Conversely, in initially Poor habitats in the woodland on sandy deposits, logging of any rate led to the increase in numbers of rodents and their predators compared to undisturbed forest. But moderate logging was found to be the most favourable for the community there.</t>
  </si>
  <si>
    <t>[Sidorovich, Vadim E.; Solovej, Irina A.; Sidorovich, Anna A.; Rotenko, Irina I.] Natl Acad Sci Belarus, Vertebrate Predat Res Grp, Inst Zool, Minsk 220072, BELARUS</t>
  </si>
  <si>
    <t>National Academy of Sciences of Belarus (NASB); Scientific &amp; Practical Center for Bioresources of the National Academy of Sciences of Belarus</t>
  </si>
  <si>
    <t>Sidorovich, VE (corresponding author), Natl Acad Sci Belarus, Vertebrate Predat Res Grp, Inst Zool, Akad Skaya Str 27, Minsk 220072, BELARUS.</t>
  </si>
  <si>
    <t>vadimsid@mustbel.open.by</t>
  </si>
  <si>
    <t>Sidorovich, Anna/0000-0001-7523-5048</t>
  </si>
  <si>
    <t>POLISH ACAD SCIENCES INST ECOLOGY</t>
  </si>
  <si>
    <t>LOMIANKI</t>
  </si>
  <si>
    <t>DZIEKANOW LESNY NEAR WARSAW, 05-092 LOMIANKI, POLAND</t>
  </si>
  <si>
    <t>1505-2249</t>
  </si>
  <si>
    <t>POL J ECOL</t>
  </si>
  <si>
    <t>Pol. J. Ecol.</t>
  </si>
  <si>
    <t>316OM</t>
  </si>
  <si>
    <t>WOS:000256959500011</t>
  </si>
  <si>
    <t>Aubry, KB; Mckelvey, KS; Copeland, JP</t>
  </si>
  <si>
    <t>Aubry, Keith B.; Mckelvey, Kevin S.; Copeland, Jeffrey P.</t>
  </si>
  <si>
    <t>alpine meadows; climate; contiguous United States; distribution; Gulo gulo; habitat; Holdridge life zones; Kuchler potential vegetation; snow cover; wolverine</t>
  </si>
  <si>
    <t>NORTH-AMERICAN WOLVERINES; CALIFORNIA; IDENTIFICATION; CARNIVORES; SURVIVAL</t>
  </si>
  <si>
    <t>Conservation of the wolverine (Gulo gulo) at the southern extent of its North American range requires reliable understandings of past and present distribution patterns and broad-scale habitat relations. We compiled 820 verifiable and documented records of wolverine occurrence (specimens, DNA detections, photos, and accounts of wolverines being killed or captured) in the contiguous United States from museums, the literature, and institutional archives. We spatially referenced 729 records with areal precision &lt;= 1 township (93.2 km(2)) and temporal precision &lt;= 10 years. Historical records (1827-1960) were located primarily in the western mountains and Great Lakes region. However, our data suggest that the historical distribution of wolverines in the Cascade Range and Sierra Nevada was disjunct, contradicting previous interpretations. Our results indicate that wolverine range in the contiguous United States had contracted substantially by the mid-1900s. Current records (1995-2005) are limited to north-central Washington, northern and central Idaho, western Montana, and northwestern Wyoming, We investigated potential relations between wolverines and alpine vegetation, cold temperatures, and spring snow cover by comparing the distribution of historical wolverine records with Kuchler's potential natural vegetation types, Holdridge's climatic life zones, and EASE snow-cover maps during the latter portion of the wolverine denning period (15 Apr-14 May). In the western mountains, historical wolverine records generally occurred in or near alpine vegetation and climatic conditions, especially at the limits of their distribution in the Cascade Range, Sierra Nevada, and southern Rocky Mountains. However, the only habitat layer that fully accounted for historical distribution patterns was spring snow cover. Causal factors for the extirpation of wolverines from the southern portions of their range in the contiguous United States are unknown, but are likely related to high levels of human-caused mortality and low to nonexistent immigration rates.</t>
  </si>
  <si>
    <t>US Forest Serv, Pacific NW Res Stn, Olympia, WA 98512 USA; US Forest Serv, Rocky Mt Res Stn, Missoula, MT 59807 USA</t>
  </si>
  <si>
    <t>United States Department of Agriculture (USDA); United States Forest Service; United States Department of Agriculture (USDA); United States Forest Service</t>
  </si>
  <si>
    <t>Aubry, KB (corresponding author), US Forest Serv, Pacific NW Res Stn, Olympia, WA 98512 USA.</t>
  </si>
  <si>
    <t>kaubry@fs.fed.us</t>
  </si>
  <si>
    <t>10.2193/2006-548</t>
  </si>
  <si>
    <t>WOS:000249351100008</t>
  </si>
  <si>
    <t>Lofroth, EC; Ott, PK</t>
  </si>
  <si>
    <t>Lofroth, Eric C.; Ott, Peter K.</t>
  </si>
  <si>
    <t>British Columbia; Gulo gulo; hunting; harvest management; trapping; wolverines</t>
  </si>
  <si>
    <t>GULO-GULO; CONSERVATION; SCANDINAVIA; SURVIVAL; YUKON</t>
  </si>
  <si>
    <t>Wolverines (Gulo gulo) are distributed across much of northern and western Canada and Alaska, USA, and they extend south into the mountainous western United States. Wolverines occur in most regions of British Columbia, Canada, with the highest population densities occurring in the interior mountainous areas. Wolverine populations in British Columbia have been primarily managed to provide a sustainable harvest for trappers and hunters. We used spatially based population estimates, population vital rate data, and spatially based harvest data to evaluate the sustainability of wolverine harvest (trapping and hunting) from 1985 to 2004. The median annual provincial wolverine harvest from 1985 to 2004 was 172 wolverines per year (x = 174.8), which was less than the median simulated estimate of provincial recruitment (195.9 wolverines/yr; x = 209.7). Harvests in individual population units ranged from 0 to 280 over the 20-year period. Spatially, wolverine harvest was likely to have been unsustainable in 15 of the 71 population units with wolverines, and it was likely to have been sustainable in the remaining population units. Harvest in 5 of the other 56 population units was marginally sustainable and thus of potential management concern. To improve harvest management of wolverines in British Columbia, wildlife managers should focus on improved data collection and monitoring at a provincial scale, and they should work with trappers and hunters at regional scales to address issues specific to individual population units. Further research is required to improve the reliability of wolverine vital rate and population data.</t>
  </si>
  <si>
    <t>British Columbia Minist Environm, Victoria, BC V8W 9M1, Canada; British Columbia Minist Forests &amp; Range, Victoria, BC V8W 9C2, Canada</t>
  </si>
  <si>
    <t>Lofroth, EC (corresponding author), British Columbia Minist Environm, POB 9338,Stn Prov Govt, Victoria, BC V8W 9M1, Canada.</t>
  </si>
  <si>
    <t>eric.lofroth@gov.bc.ca</t>
  </si>
  <si>
    <t>10.2193/2007-095</t>
  </si>
  <si>
    <t>WOS:000249351100012</t>
  </si>
  <si>
    <t>Freitas, D; Gomes, J; Luis, TS; Madruga, L; Marques, C; Baptista, G; Rosalino, LM; Antunes, P; Santos, R; Santos-Reis, M</t>
  </si>
  <si>
    <t>Freitas, Dalia; Gomes, J.; Luis, T. Sales; Madruga, L.; Marques, C.; Baptista, G.; Rosalino, L. M.; Antunes, P.; Santos, R.; Santos-Reis, M.</t>
  </si>
  <si>
    <t>HYDROBIOLOGIA</t>
  </si>
  <si>
    <t>36th ECSA Conference 2004</t>
  </si>
  <si>
    <t>Lisbon, PORTUGAL</t>
  </si>
  <si>
    <t>fish farming; otter; conflict; socio-economic; ecological; reconciliation</t>
  </si>
  <si>
    <t>SOUTH-WEST PORTUGAL; LUTRA-LUTRA; PREDATION; HABITATS; DIET</t>
  </si>
  <si>
    <t>The degree of conflict between otter conservation and fish farming was assessed at Sado estuary (SW Portugal), using ecological (otter visiting rates to fish farms and consumption of commercial fish) and socio-economic (past and current instruments and policies addressing the conflict and a social impact assessment, including a discourse analysis of relevant stakeholders) parameters. The study concerned 14 fish farms producing Sparus aurata, Dicentrarchus labrax, Solea senegalensis and Solea solea. Results indicate high visiting rates in most fish farms (average: 76%), although in only 29%, species stocked were the most consumed prey. Other marine species and freshwater prey were the basis of otter diet in the remaining fish farms. The conflict is quite consensual among most fish farmers, and the results indicate that the perceived conflict by fish farmers has an ecological basis, although there are large gaps between effective and perceived predation. No specific instruments exist in Portugal to address the conflict, but some not specifically targeted can have an effect (e.g. species protection legislation and aquaculture licensing), although with limitations to effectively contribute to its mitigation (e.g. lack of enforcement and supervision). Formulating and assessing solutions is the following step, using a participatory approach to the development and evaluation of mitigation/compensation strategies, capable of providing an effective reconciliation of the conflict.</t>
  </si>
  <si>
    <t>Univ Lisbon, Fac Sci, Ctr Biol Ambiental, Dept Anim Biol, P-1749 Lisbon, Portugal; Univ Nova Lisboa, Fac Sci &amp; Technol, Ctr Econ Ecol &amp; Gestao Ambiente, Dept Sci Engn &amp; Ambiente, P-2829 Caparica, Portugal</t>
  </si>
  <si>
    <t>Universidade de Lisboa; Universidade Nova de Lisboa</t>
  </si>
  <si>
    <t>Santos-Reis, M (corresponding author), Univ Lisbon, Fac Sci, Ctr Biol Ambiental, Dept Anim Biol, Campo Grande, P-1749 Lisbon, Portugal.</t>
  </si>
  <si>
    <t>mmreis@fc.ul.pt</t>
  </si>
  <si>
    <t>Antunes, Paula/F-9145-2011; Rosalino, Luís Miguel/B-9406-2009; Santos-Reis, Margarida/H-4064-2011; Santos, Rui/Q-6837-2016</t>
  </si>
  <si>
    <t>Antunes, Paula/0000-0002-9461-2328; Rosalino, Luís Miguel/0000-0003-4186-7332; Santos-Reis, Margarida/0000-0002-0337-963X; Santos, Rui/0000-0003-2829-6475</t>
  </si>
  <si>
    <t>0018-8158</t>
  </si>
  <si>
    <t>1573-5117</t>
  </si>
  <si>
    <t>Hydrobiologia</t>
  </si>
  <si>
    <t>10.1007/s10750-007-0693-7</t>
  </si>
  <si>
    <t>Marine &amp; Freshwater Biology</t>
  </si>
  <si>
    <t>181CD</t>
  </si>
  <si>
    <t>WOS:000247413500006</t>
  </si>
  <si>
    <t>Koen, EL; Bowman, J; Findlay, CS</t>
  </si>
  <si>
    <t>Koen, Erin L.; Bowman, Jeff; Findlay, C. Scott</t>
  </si>
  <si>
    <t>cause-specific mortality; fisher; Martes pennanti; Ontario; radiotelemetry; survival; trapping</t>
  </si>
  <si>
    <t>HAZARDS REGRESSION-MODEL; CAUSE-SPECIFIC MORTALITY; ACTIVITY PATTERNS; MARTES-PENNANTI; MAINE; REPRODUCTION; POPULATION; TELEMETRY; ALBERTA; RATES</t>
  </si>
  <si>
    <t>Fishers (Martes pennanti) have recolonized eastern Ontario, Canada, but little is known about the survival of this harvested population. We estimated fisher survival and cause-specific mortality in Leeds and Grenville County, Ontario, from 2003-2005. The overall 2-year survival rate (95% CI) was 0.35 (0.21-0.56, n = 59). We attributed observed mortality rates mainly to natural causes (28.6%) and nuisance trapping (21.4%). Given reported recruitment rates, our estimated fisher mortality has likely led to population declines in the study area, especially during 2003. Thus, we do not recommend an increase in fisher harvest quotas in the study area at this time.</t>
  </si>
  <si>
    <t>Univ Ottawa, Ottawa Carleton Inst Biol, Ottawa, ON K1N 6N5, Canada; Trent Univ, Wildlife Res &amp; Dev Sect, Ontario Minist Nat Resources, Peterborough, ON K9J 7B8, Canada; Univ Ottawa, Ottawa Carleton Inst Biol, Ottawa, ON K1N 6N5, Canada</t>
  </si>
  <si>
    <t>University of Ottawa; Trent University; Ministry of Natural Resources &amp; Forestry; University of Ottawa</t>
  </si>
  <si>
    <t>Koen, EL (corresponding author), Univ Ottawa, Ottawa Carleton Inst Biol, 30 Marie Curie St, Ottawa, ON K1N 6N5, Canada.</t>
  </si>
  <si>
    <t>findlay@uottawa.ca</t>
  </si>
  <si>
    <t>10.2193/2006-064</t>
  </si>
  <si>
    <t>177QV</t>
  </si>
  <si>
    <t>WOS:000247168500026</t>
  </si>
  <si>
    <t>Domingo-Roura, X; Marmi, J; Ferrando, A; López-Giráldez, F; Macdonald, DW; Jansman, HAH</t>
  </si>
  <si>
    <t>Meles; Arctonyx; hair; shaving brushes; DNA</t>
  </si>
  <si>
    <t>MITOCHONDRIAL-DNA; CYTOCHROME-B; IDENTIFICATION; PCR</t>
  </si>
  <si>
    <t>The Eurasian badger (Meles meles) is included in Appendix III of the Bern Convention and protected by national laws in many European countries. Badger hair is used to manufacture luxury shaving brushes, although it is frequently argued that the hog badger (Arctonyx collaris), which in Europe is an introduced and unprotected species, is the origin of the hair used. We applied an extraction protocol to recover DNA from the unrooted hair of shaving brushes obtained from commercial companies in The Netherlands and Spain. The tested brushes originated from The Netherlands, Spain, France, Italy and the United Kingdom where the Eurasian badger is a protected species. We sequenced 191 bp of the mitochondrial DNA control region and 170 bp of the cytochrome b gene and compared the sequences obtained with Eurasian badger and hog badger reference sequences of the same mitochondrial DNA regions obtained in our laboratory and from GenBank. Sequences obtained from four shaving brushes were clearly hog badger sequences, whereas four sequences clustered with Eurasian badger sequences of both European and Asian origins. One of the shaving brushes made of Eurasian badger was produced in France, where it is legal to capture or trade the species under certain conditions. The remaining three brushes originated from The Netherlands, where it is illegal to possess, sell, transport or use for commercial purposes dead Eurasian badgers or products derived from them. (c) 2005 Elsevier Ltd. All rights reserved.</t>
  </si>
  <si>
    <t>Inst Recerca &amp; Tecnol Agroalimentaries, Ctr Cabrils, Barcelona 08348, Spain; Univ Autonoma Barcelona, Fac Vet, Dept Ciencia Anim &amp; Aliments, Cerdanyola Del Valles 08193, Spain; Univ Pompeu Fabra, Dept Ciencies Expt &amp; Salut, Barcelona 08003, Spain; Univ Autonoma Barcelona, Dept Biol Cellular Fisiol &amp; Immunol, Cerdanyola Del Valles 08193, Spain; Univ Oxford, Wildlife Conservat Res Unit, Abingdon OX13 5QL, Oxon, England; WUR, ALTERRA, Ctr Ecosyst Studies, NL-6700 AA Wageningen, Netherlands</t>
  </si>
  <si>
    <t>IRTA; Autonomous University of Barcelona; Pompeu Fabra University; Autonomous University of Barcelona; University of Oxford; Wageningen University &amp; Research</t>
  </si>
  <si>
    <t>Domingo-Roura, X (corresponding author), Inst Recerca &amp; Tecnol Agroalimentaries, Ctr Cabrils, Ctra Cabrils S-N, Barcelona 08348, Spain.</t>
  </si>
  <si>
    <t>xavier.domingo@irta.es</t>
  </si>
  <si>
    <t>López-Giráldez, Francesc/A-5251-2011</t>
  </si>
  <si>
    <t>10.1016/j.biocon.2005.08.013</t>
  </si>
  <si>
    <t>023AD</t>
  </si>
  <si>
    <t>WOS:000236096500014</t>
  </si>
  <si>
    <t>Persson, J; Landa, A; Andersen, R; Segerström, P</t>
  </si>
  <si>
    <t>birth rate; carnivore; Gulo gulo; litter size; mustelid; recruitment; reproduction; Scandinavia; wolverine</t>
  </si>
  <si>
    <t>POPULATION; SURVIVAL; SIZE</t>
  </si>
  <si>
    <t>We Studied reproduction of 56 female wolverines (Gulo gulo) in 2 areas of northern Scandinavia. Minimum average age at 1st reproduction was 3.4 years. Mean proportion of females (&gt;= 3 years old) reproducing was 0.53 (95% confidence interval [CI] = 0.43-0.63, n = 94), and the annual mean was 0.58 (95% Cl = 0.35-0.80, n = 83). Mean annual birth rate was 0.74 (95% Cl = 0.33-1.14, n = 83) young per female (&gt;= 3 years old). Mean size of 74 litters was 1.88 (95% Cl = 1.68-2.07, range = 1-4). Examination Of Our data Suggests that female wolverines have low productivity and low capacity to compensate for increased mortality. Therefore, wildlife managers Should consider wolverine demographics, especially mortality of adult female wolverines, when developing and implementing conservation policies and harvest regulations.</t>
  </si>
  <si>
    <t>Swedish Univ Agr Sci, Dept Anim Ecol, SE-90183 Umea, Sweden; Norwegian Inst Nat Res, N-7485 Trondheim, Norway</t>
  </si>
  <si>
    <t>Swedish University of Agricultural Sciences; Norwegian Institute Nature Research</t>
  </si>
  <si>
    <t>Persson, J (corresponding author), Swedish Univ Agr Sci, Dept Anim Ecol, SE-90183 Umea, Sweden.</t>
  </si>
  <si>
    <t>jens.persson@nvb.slu.se</t>
  </si>
  <si>
    <t>; Landa, Arild/JHU-2978-2023</t>
  </si>
  <si>
    <t>Persson, Jens/0000-0003-1405-7561; Landa, Arild/0000-0002-2533-5179</t>
  </si>
  <si>
    <t>10.1644/04-.1</t>
  </si>
  <si>
    <t>019OB</t>
  </si>
  <si>
    <t>WOS:000235845500011</t>
  </si>
  <si>
    <t>Virgós, E; Travaini, A</t>
  </si>
  <si>
    <t>biodiversity; carnivores; European rabbit; predator control; red fox; small-game management</t>
  </si>
  <si>
    <t>BADGERS MELES-MELES; SIZED IBERIAN CARNIVORES; WILD-LIVING CATS; MEDITERRANEAN ENVIRONMENT; ORYCTOLAGUS-CUNICULUS; FOREST FRAGMENTATION; HEMORRHAGIC-DISEASE; POPULATION-DENSITY; GENETTA-GENETTA; PREDATORS</t>
  </si>
  <si>
    <t>Small-game hunting plays an important economic role in central Spain and some game species are key food resources for threatened predators. Small carnivores may reduce numbers of important game species. To alleviate predation pressure on game populations, management is often focused on predator control. Control methods can be non-selective, and so could potentially have a negative impact on non-target carnivore species, affecting carnivore guild composition and diversity. Using data on carnivore diversity in 70 quadrants (5 x 5 km) in a large area of central Spain with two main land uses (small-game hunting and a mixture of big-game hunting and forestry), we assessed how game management was related to carnivore diversity. Carnivore species richness was significantly lower in those areas managed for small-game hunting than in areas where other land uses predominated. The apparently least affected species by predator control was the red fox (Vulpes vulpes), the main target species of predator control. Results suggested that low carnivore species richness was linked to small-game hunting activities, which was probably associated with non-selective predator control practices. Therefore, in order to reconcile carnivore conservation and economic goals it is imperative to develop and to evaluate selective predator control techniques.</t>
  </si>
  <si>
    <t>Univ Rey Juan Carlos, Escuela Super Ciencias Expt &amp; Tecnol, Dept Matemat Fis Aplicada &amp; Ciencias Nat, Area Biodivers &amp; Conservat, Madrid 28933, Spain; UNPA, CONICET, Ctr Invest Puerto Deseado, RA-9050 Puerto Deseado, Santa Cruz, Argentina</t>
  </si>
  <si>
    <t>Universidad Rey Juan Carlos; Consejo Nacional de Investigaciones Cientificas y Tecnicas (CONICET)</t>
  </si>
  <si>
    <t>Virgós, E (corresponding author), Univ Rey Juan Carlos, Escuela Super Ciencias Expt &amp; Tecnol, Dept Matemat Fis Aplicada &amp; Ciencias Nat, Area Biodivers &amp; Conservat, C Tulipan S-N, Madrid 28933, Spain.</t>
  </si>
  <si>
    <t>evirgos@escet.urjc.es</t>
  </si>
  <si>
    <t>Travaini, Alejano/0000-0002-2694-6617</t>
  </si>
  <si>
    <t>10.1007/s10531-004-0823-8</t>
  </si>
  <si>
    <t>994TJ</t>
  </si>
  <si>
    <t>WOS:000234053800011</t>
  </si>
  <si>
    <t>Sæther, BE; Engen, S; Persson, J; Broseth, H; Landa, A; Willebrand, T</t>
  </si>
  <si>
    <t>density dependence; Gulo gulo; Population Viability Analysis; risk of extinction; Scandinavia; stochastic effects; wolverine</t>
  </si>
  <si>
    <t>DENSITY-DEPENDENCE; HARVESTING STRATEGIES; POPULATION VIABILITY; ENVIRONMENTAL STOCHASTICITY; FLUCTUATING POPULATIONS; NATURAL-POPULATIONS; URSUS-ARCTOS; BROWN BEAR; EXTINCTION; MODELS</t>
  </si>
  <si>
    <t>The use of Population Viability Analysis has recently been criticized mainly because uncertainties in population predictions are often ignored. We analyzed the viability of Scandinavian wolverine Gulo gulo populations that allow for the inclusion of uncertainties in parameter estimates and stochastic effects on population dynamics. We used the insight gained from analyses of stochastic population models to quantitatively analyze different management options for the wolverine. These management options were based on data from an individual-based demographic study in the Sarek National Park, Sweden, and data from monitoring schemes in Norway and Sweden. Stochastic components in population dynamics of the wolverine were large. Strong density regulation occurred around the carrying capacity. According to the World Conservation Union (2001), the carrying capacity of populations must exceed 46 sexually mature (&gt;= 3-yr old) females to be considered not vulnerable. Continuation of the current levels of offtake in Norway will lead to extinction of the wolverine over large parts of the country. Hence, current rates of mortality of female wolverine make the northern population endangered, whereas the southern population is classified as vulnerable. Management plans allowing harvest of individuals should be based on a proportional threshold harvest strategy. Only 40-60% of the surplus individuals exceeding a certain threshold for harvesting should be removed. Our analyses emphasized the importance of including estimates of precision in parameter estimates, including stochastic factors in recommendations based on Population Viability Analysis, and examining the robustness of the conclusions against variation in crucial parameters by sensitivity analyses.</t>
  </si>
  <si>
    <t>Norwegian Univ Sci &amp; Technol, Dept Biol, N-7491 Trondheim, Norway; Swedish Univ Agr Sci, Dept Anim Ecol, SE-90183 Umea, Sweden; Norwegian Inst Nat Res, N-7485 Trondheim, Norway</t>
  </si>
  <si>
    <t>Norwegian University of Science &amp; Technology (NTNU); Swedish University of Agricultural Sciences; Norwegian Institute Nature Research</t>
  </si>
  <si>
    <t>Sæther, BE (corresponding author), Norwegian Univ Sci &amp; Technol, Dept Biol, Realfagbygget, N-7491 Trondheim, Norway.</t>
  </si>
  <si>
    <t>Bernt-Erik.Sather@bio.ntnu.no</t>
  </si>
  <si>
    <t>Brøseth, Henrik/0000-0003-3795-891X; Persson, Jens/0000-0003-1405-7561;</t>
  </si>
  <si>
    <t>10.2193/0022-541X(2005)069[1001:MSFTWI]2.0.CO;2</t>
  </si>
  <si>
    <t>985NX</t>
  </si>
  <si>
    <t>WOS:000233385900015</t>
  </si>
  <si>
    <t>Burn, DM; Doroff, AM</t>
  </si>
  <si>
    <t>FISHERY BULLETIN</t>
  </si>
  <si>
    <t>During the 1990s, sea otter (Enhydra lutris) counts in the Aleutian archipelago decreased by 70% throughout the archipelago between 1992 and 2000. Recent aerial surveys in the Aleutians did not identify the eastward extent of the decline; therefore we conducted an aerial survey along the Alaska Peninsula for comparison with baseline information. Since 1986, abundance estimates in offshore habitat have declined by 27-49% and 93-94% in northern and southern Alaska Peninsula study areas, respectively. During this same time period, sea otter density has declined by 63% along the island coastlines within the south Alaska Peninsula study area. Between 1989 and 2001, sea otter density along the southern coastline of the Alaska Peninsula declined by 35% to the west of Castle Cape but density increased by 4% to the east, which may indicate an eastward extent of the decline. In all study areas, sea otters were primarily concentrated in bays and lagoon, whereas historically, large rafts of otters had been distributed offshore. The population declines observed along the Alaska Peninsula occurred at roughly the same time as declines in the Aleutian islands to the east and the Kodiak archipelago to the west. Since the mid-1980s, the sea otter population throughout southwest Alaska has declined overall by an estimated 56-68%, and the decline may be one of the most significant sea otter conservation issues in our time.</t>
  </si>
  <si>
    <t>US Fish &amp; Wildlife Serv, Marine Mammals Management Off, Anchorage, AK 99503 USA</t>
  </si>
  <si>
    <t>United States Department of the Interior; US Fish &amp; Wildlife Service</t>
  </si>
  <si>
    <t>Burn, DM (corresponding author), US Fish &amp; Wildlife Serv, Marine Mammals Management Off, 1011 E Tudor Rd, Anchorage, AK 99503 USA.</t>
  </si>
  <si>
    <t>douglas_burn@fws.gov</t>
  </si>
  <si>
    <t>NATL MARINE FISHERIES SERVICE SCIENTIFIC PUBL OFFICE</t>
  </si>
  <si>
    <t>7600 SAND POINT WAY NE BIN C15700, SEATTLE, WA 98115 USA</t>
  </si>
  <si>
    <t>0090-0656</t>
  </si>
  <si>
    <t>FISH B-NOAA</t>
  </si>
  <si>
    <t>Fish. Bull.</t>
  </si>
  <si>
    <t>Fisheries</t>
  </si>
  <si>
    <t>927BG</t>
  </si>
  <si>
    <t>WOS:000229166800004</t>
  </si>
  <si>
    <t>Krebs, J; Lofroth, E; Copeland, J; Banci, V; Cooley, D; Golden, H; Magoun, A; Mulders, R; Shults, B</t>
  </si>
  <si>
    <t>Gulo gulo; harvest management; mortality sources; North America; refugia; survival rates; wolverine</t>
  </si>
  <si>
    <t>GRIZZLY BEARS; POPULATION; HARVEST; GULO</t>
  </si>
  <si>
    <t>Understanding population vital rates is fundamental to the evaluation of conservation options for wolverines (Gulo gulo). We estimated survival rates and causes of wolverine mortality in trapped and untrapped populations within montane, boreal, and tundra environments using data from 12 North American radiotelemetry studies conducted between 1972 and 2001. Rates were based on data for 62 mortalities of 239 radiomarked wolverines. Mortalities included 22 wolverines that were trapped or hunted, 3 road or rail killed, 11 that were predated, 18 that starved, and 8 deaths of unknown cause. Annual survivorship rates were estimated for sex and age class using Kaplan-Meier staggered-entry techniques. Survival was substantially lower in trapped (&lt;0.75 for all age-sex classes) than in untrapped (&gt;0.84 for all age-sex classes) populations. Human-caused mortality was mostly additive to natural mortality for wolverines in a management context. Logistic growth rate estimates indicated that trapped populations would decline (lambda congruent to 0.88) in the absence of immigration from untrapped populations (lambda congruent to 1.06). We recommend a system of spatial harvest controls in northern, continuous populations of wolverines and reduction of harvest along with more spatially explicit conservation measures in southern metapopulations.</t>
  </si>
  <si>
    <t>Columbia Basin Fish &amp; Wildlife Compensat Program, Nelson, BC V1L 4K3, Canada; Minist Water Land &amp; Air Protect, Biodivers Branch, Stn Provincial Govt, Victoria, BC V8W 9M1, Canada; USDA, Forest Serv, Rocky Mt Res Stn, Missoula, MT 59807 USA; V Banci Consulting Serv, Maple Ridge, BC V2X 3V6, Canada; Renewable Resources Fish &amp; Wildlife Branch, Dawson City, YT Y0B 1G0, Canada; Alaska Dept Fish &amp; Game, Anchorage, AK 99518 USA; Wildlife Res &amp; Management, Fairbanks, AK 99709 USA; Govt NWT, Wildlife &amp; Econ Dev, Wildlife &amp; Fisheries Div, Yellowknife, NT X1A 3S8, Canada; Natl Pk Serv, Western Arctic Natl Parklands, Kotzebue, AK 99752 USA</t>
  </si>
  <si>
    <t>United States Department of Agriculture (USDA); United States Forest Service; Alaska Department of Fish &amp; Game; United States Department of the Interior; US National Park Service</t>
  </si>
  <si>
    <t>Krebs, J (corresponding author), Columbia Basin Fish &amp; Wildlife Compensat Program, 103-33 Victoria St, Nelson, BC V1L 4K3, Canada.</t>
  </si>
  <si>
    <t>john.krebs@bchydro.bc.ca</t>
  </si>
  <si>
    <t>10.2193/0022-541X(2004)068[0493:SOSRAC]2.0.CO;2</t>
  </si>
  <si>
    <t>841AM</t>
  </si>
  <si>
    <t>WOS:000222901700007</t>
  </si>
  <si>
    <t>Chappell, DE; Van den Bussche, RA; Krizan, J; Patterson, B</t>
  </si>
  <si>
    <t>conservation genetics; mtDNA structuring; wolverines</t>
  </si>
  <si>
    <t>CLADISTIC-ANALYSIS; GEOGRAPHICAL-DISTRIBUTION; PHENOTYPIC ASSOCIATIONS; HAPLOTYPES; FLOW; DNA; PROGRAM; TESTS</t>
  </si>
  <si>
    <t>Habitat loss, fragmentation, overharvest, and other anthropogenic factors have resulted in population and distribution declines for North American wolverines (Gulo gulo). Currently. wolverines east of the Hudson Bay are endangered and possibly extinct, whereas the status of wolverines throughout the remainin2 Holarctic is vulnerable. Three previous studies using nuclear loci have detected little to no significant structuring among wolverines sampled across northern Canada. Based on these results it has been suggested that wolverines in northern Canada represent a single, panmictic population. However. as has been shown in numerous studies, in cases of female site fidelity, it is possible to have demographically autonomous populations even with male-biased gene flow. To better assess the genetic structure of wolvefines in northern Canada, we examined nine microsatellite loci and DNA sequence variation from a 200 bp fragment of the mitochondrial (mtDNA) control region for 270 wolverines from nine collecting areas representing three regions of northern Canada. In agreement with previous studies. microsatellite analyses revealed a lack of significant population substructure (F-ST = 0.0004). However. analysis of molecular variance, comparisons of pairwise F-ST values and nested-clade analysis of the mtDNA data revealed considerable genetic structuring among samples of wolverines from these three regions of northern Canada. These mitochondrial data provide evidence that wolverines in Canada are genetically structured due to female philopatry. The contrasting patterns of genetic differentiation based on nuclear and mitochondrial data highlight the importance of examining both nuclear and mitochondrial loci when attempting to elucidate patterns of genetic structure.</t>
  </si>
  <si>
    <t>Oklahoma State Univ, Dept Zool, Collect Vertebrates, Stillwater, OK 74078 USA; Oklahoma State Univ, Cooperat Fish &amp; Wildlife Res Unit, Stillwater, OK 74078 USA; Govt Nunavut, Dept Sustainable Dev, Iqaluit, NU X0A 0H0, Canada</t>
  </si>
  <si>
    <t>Oklahoma State University System; Oklahoma State University - Stillwater; Oklahoma State University System; Oklahoma State University - Stillwater</t>
  </si>
  <si>
    <t>Van den Bussche, RA (corresponding author), Oklahoma State Univ, Dept Zool, Collect Vertebrates, Stillwater, OK 74078 USA.</t>
  </si>
  <si>
    <t>ravdb@okstate.edu</t>
  </si>
  <si>
    <t>; Križan, Josip/AAV-7899-2021</t>
  </si>
  <si>
    <t>Van Den Bussche, Ronald/0000-0002-6481-3209;</t>
  </si>
  <si>
    <t>10.1007/s10592-004-1976-4</t>
  </si>
  <si>
    <t>886NS</t>
  </si>
  <si>
    <t>WOS:000226236200002</t>
  </si>
  <si>
    <t>Wright, JD; Ernst, J</t>
  </si>
  <si>
    <t>Wolverine; Gulo gulo luscus; snow depth; boreal forest; stand; landscape; climax; buffering effect; timber harvesting; Alberta; British Columbia</t>
  </si>
  <si>
    <t>HABITAT USE; ALASKA</t>
  </si>
  <si>
    <t>Wolverines (Gulo gulo luscus) in a study area in the boreal upland forests of northwestern Alberta and northeastern British Columbia (approximately 57degreesN) were noted to be limited to upland landscapes, despite abundant food in adjacent lowland landscapes. Snow-tracking suggested that the species was selecting for the densest climax conifer stands for travel in search of food. It was hypothesized that snow depth was a limiting factor for Wolverines in the boreal forest during midwinter, and that they selected for this stand-type because of the buffering effect of this type of canopy on ground snow-depths. A series of snow-depth measurements were collected. Snow depths collected along Wolverine trails were very significantly lower than random snow depths collected under upland canopy (F = 32.84, df = 1, P &lt;&lt; 0.010). There was a significant buffering effect on snow depth indicated for upland canopy (F = 11. 1, df = 1, P &lt; 0.010), while adjacent lowland canopy had no significant buffering effect on snow depth (F = 3.45, df = 1, P &gt; 0.05). Wolverines were hypothesized to be limited to upland landscapes in the study area because of the buffering effect on snow-depth of the stand types found there, and not for reasons of food availability. Climax conifer stands were interpreted as being of high importance to Wolverine survival during winter. Conservation implications include the detrimental effect on Wolverine populations likely to result from current timber harvesting practices in the boreal forest.</t>
  </si>
  <si>
    <t>Ernst Environm Serv, Rosebud, AB T0J 2T0, Canada</t>
  </si>
  <si>
    <t>Wright, JD (corresponding author), Box 648, E Coulee, AB T0J 1B0, Canada.</t>
  </si>
  <si>
    <t>10.22621/cfn.v118i1.882</t>
  </si>
  <si>
    <t>887SM</t>
  </si>
  <si>
    <t>WOS:000226325800004</t>
  </si>
  <si>
    <t>Doroff, AM; Estes, JA; Tinker, MT; Burn, DM; Evans, TJ</t>
  </si>
  <si>
    <t>aerial surveys; Aleutian Islands; Enhydra lutris; population declines; population trends; sea otters; skiff-based surveys</t>
  </si>
  <si>
    <t>PREDATION</t>
  </si>
  <si>
    <t>Sea otter (Enhydra lutris) populations were exploited to near extinction and began to recover after the cessation of commercial hunting in 1911. Remnant colonies of sea otters in the Aleutian archipelago were among the first to recover; they continued to increase through the 1980s but declined abruptly during the 1990s. We conducted an aerial survey of the Aleutian archipelago in 2000 and compared results with similar surveys conducted in 1965 and 1992. The number of sea otters counted decreased by 75% between 1965 and 2000; 88% for islands at equilibrial density in 1965. The population decline likely began in the mid-1980s and declined at a rate of 17.5%/year in the 1990s. The minimal population estimate was 8,742 sea otters in 2000. The population declined to a uniformly low density in the archipelago, suggesting a common and geographically widespread cause. These data are in general agreement with the hypothesis of increased predation on sea otters. These data chronicle one of the most widespread and precipitous population declines for a mammalian carnivore in recorded history.</t>
  </si>
  <si>
    <t>US Fish &amp; Wildlife Serv, Marine Mammals Management, Anchorage, AK 99503 USA; US Geol Survey, Inst Marine Sci, Santa Cruz, CA 95004 USA; US Geol Survey, Dept Biol, Long Marine Lab, Santa Cruz, CA 95004 USA</t>
  </si>
  <si>
    <t>United States Department of the Interior; US Fish &amp; Wildlife Service; United States Department of the Interior; United States Geological Survey; United States Department of the Interior; United States Geological Survey</t>
  </si>
  <si>
    <t>Doroff, AM (corresponding author), US Fish &amp; Wildlife Serv, Marine Mammals Management, 1011 E Tudor Rd, Anchorage, AK 99503 USA.</t>
  </si>
  <si>
    <t>angeta_doroff@fws.gov</t>
  </si>
  <si>
    <t>Tinker, Martin/D-3249-2018</t>
  </si>
  <si>
    <t>Tinker, Martin/0000-0002-3314-839X</t>
  </si>
  <si>
    <t>10.1644/1545-1542(2003)084&lt;0055:SOPDIT&gt;2.0.CO;2</t>
  </si>
  <si>
    <t>653BE</t>
  </si>
  <si>
    <t>WOS:000181414700005</t>
  </si>
  <si>
    <t>genetic structure; Gulo gulo; mustelid; population fragmentation; wolverine</t>
  </si>
  <si>
    <t>GULO-GULO; MICROSATELLITE ANALYSIS; GENETIC-VARIATION; DISTANCE; STATISTICS; DISPERSAL; YUKON</t>
  </si>
  <si>
    <t>Wolverines are highly vagile carnivores, with long-distance dispersal documented for males and females. Consequently, the species was thought to represent 1 large, panmictic unit in North America. In this study, we examined the connectivity of populations on the edge of their historical distribution to the larger, continuous, northern distribution of wolverines. Twenty-two regions were sampled, and 671 individuals were genotyped at 12 microsatellite loci. Our results confirmed that high levels of gene flow do occur among all the northern wolverine populations sampled. We also observed progressively increasing genetic structure at the periphery of their southern and eastern distributions, suggesting that these populations. may have been partially fragmented from what was once a panmictic unit. Peripheral populations may be more susceptible to extirpation and, therefore, may be the most appropriate targets for concerted conservation efforts to prevent the elimination of wolverines from yet more of their historical range.</t>
  </si>
  <si>
    <t>Kyle, CJ (corresponding author), Trent Univ, Minist Nat Resources, Rabies Res Unit, 1600 W Bank Dr,POB 4840, Peterborough, ON K9J 8N8, Canada.</t>
  </si>
  <si>
    <t>Christopher.Kyle@mnr.gov.on.ca</t>
  </si>
  <si>
    <t>10.1644/1545-1542(2002)083&lt;1141:COPACP&gt;2.0.CO;2</t>
  </si>
  <si>
    <t>621HP</t>
  </si>
  <si>
    <t>WOS:000179583200022</t>
  </si>
  <si>
    <t>Larson, S; Jameson, R; Bodkin, J; Staedler, M; Bentzen, P</t>
  </si>
  <si>
    <t>Enhydra lutris; genetic diversity; marine mammal; microsatellites; mitochondrial DNA; population bottleneck; reintroduction; sea otter; translocation</t>
  </si>
  <si>
    <t>MINK MUSTELA-VISON; GENETIC-VARIATION; JUVENILE MORTALITY; CONTROL-REGION; VARIABILITY; CONSERVATION; PRIMERS; PHYLOGEOGRAPHY; POLYMORPHISM; STATISTICS</t>
  </si>
  <si>
    <t>All existing sea otter (Enhydra lutris) populations have suffered at least 1, and in some cases 2, population bottlenecks. The 1st occurred during the 18th and 19th centuries as a result of commercial hunting that eliminated sea otters from much their native range and reduced surviving populations to small remnants. The 2nd bottleneck occurred when small numbers of otters were reintroduced, via translocation, to areas where the species had been eliminated. We examined genetic variation at 7 microsatellite loci and the mitochondrial DNA (mtDNA) control region in 3 remnant populations, Amchitka Island (Aleutian Islands, Alaska), central coastal California, and Prince William Sound (Alaska), and in 2 reintroduced populations, southeast Alaska and Washington, that were founded with transplants from Amchitka, and in the case of southeast Alaska, individuals from Prince William Sound as well. We found no evidence of reduced genetic diversity in translocated populations. Average expected microsatellite heterozygosities (H,) were similar in all populations (range, 0.40-0.47), and mtDNA haplotype diversities were higher in reintroduced populations (0.51 for both Washington and southeast Alaska) than in remnant populations ((X) over bar = 0.35; range, 0.18-0.45). The levels of genetic diversity we observed within sea otter populations were relatively low when compared with other mammals and are thought to be the result of fur trade exploitation.</t>
  </si>
  <si>
    <t>Seattle Aquarium, Seattle, WA 98101 USA; US Geol Survey, Western Ecol Res Ctr, Sacramento, CA 95826 USA; US Geol Survey, Alaska Biol Sci Ctr, Anchorage, AK 99503 USA; Monterey Bay Aquarium, Monterey, CA 93940 USA; Dalhousie Univ, Dept Biol, Halifax, NS B3H 4J1, Canada</t>
  </si>
  <si>
    <t>United States Department of the Interior; United States Geological Survey; United States Department of the Interior; United States Geological Survey; Monterey Bay Aquarium Research Institute; Dalhousie University</t>
  </si>
  <si>
    <t>Larson, S (corresponding author), Seattle Aquarium, 1483 Alaskan Way,Pier 59, Seattle, WA 98101 USA.</t>
  </si>
  <si>
    <t>shawn.larson@ci.seattle.wa.us</t>
  </si>
  <si>
    <t>Bentzen, Paul/0000-0003-4288-7730</t>
  </si>
  <si>
    <t>10.1644/1545-1542(2002)083&lt;0893:MDAMDV&gt;2.0.CO;2</t>
  </si>
  <si>
    <t>589QD</t>
  </si>
  <si>
    <t>WOS:000177770800025</t>
  </si>
  <si>
    <t>Virgós, E; Tellería, JL; Santos, T</t>
  </si>
  <si>
    <t>7th Meeting of the Subsidiary Body on Scientific, Technical and Technological Advice of the Convention on Biological Diversity</t>
  </si>
  <si>
    <t>NOV 12-16, 2001</t>
  </si>
  <si>
    <t>MONTREAL, CANADA</t>
  </si>
  <si>
    <t>forest fragmentation; geographic effects; Iberian Peninsula; medium-sized carnivores; spatial scale</t>
  </si>
  <si>
    <t>BADGER MELES-MELES; MARTES-FOINA ERXLEBEN; HABITAT FRAGMENTATION; POPULATION; MOUNTAINS; CONSTRAINTS; PREDATION; ABUNDANCE; SELECTION; PATTERNS</t>
  </si>
  <si>
    <t>We studied the use of forest fragments by five medium-sized carnivore species in 280 forest fragments on the two Iberian plateaus. We looked for indirect evidence (faeces, tracks, dens) of fragment use (occurrence) by the species and analysed whether occurrence could be related to four groups of variables: local (vegetation structure and patch size), landscape (distance to possible colonisation sources), regional (fragment location on the northern or southern plateau) and the vegetation type of the fragments. We analysed the differential response of species according to their life-history and behavioural traits. The relationship between use by each species and the factors studied was analysed using stepwise logistic regressions. Results indicate that three factors are crucial to explain fragment use: fragment size, geographic location and vegetation type. Large fragments are used more than smaller ones, the northern plateau is more suitable than the southern plateau, and holm oak and broad-leaved oak forests are more used than pine woods. The effects and magnitude varied slightly among species, depending on habitat requirements or life-history traits. Data indicate that conservation strategies in fragmented environments must take into account elements functioning at different spatial scales, and that it is essential to consider each case within a characteristic regional context.</t>
  </si>
  <si>
    <t>Univ Complutense, Fac Biol Sci, Dept Anim Biol Vertebrate Zool 1, E-28040 Madrid, Spain</t>
  </si>
  <si>
    <t>Virgós, E (corresponding author), UCLM, CSIC, IREC, Ronda Toledo S-N, E-13005 Ciudad Real, Spain.</t>
  </si>
  <si>
    <t>evirgos@irec.uclm.es</t>
  </si>
  <si>
    <t>Tellería, José/AAQ-3702-2020; Santos, Tomás/AAA-5412-2019; Tellería, José Luis/K-2944-2013</t>
  </si>
  <si>
    <t>Tellería, José Luis/0000-0001-6170-8860</t>
  </si>
  <si>
    <t>10.1023/A:1015856703786</t>
  </si>
  <si>
    <t>562EP</t>
  </si>
  <si>
    <t>WOS:000176184700009</t>
  </si>
  <si>
    <t>Zielinski, WJ; Slauson, KM; Carroll, CR; Kent, CJ; Kudrna, DG</t>
  </si>
  <si>
    <t>conservation; distribution; marten; Martes americana; Pacific states</t>
  </si>
  <si>
    <t>LANDSCAPE PATTERN</t>
  </si>
  <si>
    <t>American martens (Martes americana) are associated strongly with mature conifer forests and once occurred throughout the mountains of the coastal Pacific states. We sought to document the distribution of martens in this region using historical records and to understand recent change in their distribution. We described the distribution of martens from 1900 to 1949 using museum and trapping records and compared it to recent (1989-1998) detections at camera and track-plate stations. Martens were detected at only 12 of the 237 (5.1%) survey sample units in coastal California, Oregon, and Washington. Martens are absent from most of the historical range of the Humboldt marten (M. a. humboldtensis) in California and also may have declined on the Olympic Peninsula of Washington. Few data exist from northwestern Oregon and southwestern Washington, but the limited amount of protected public land and absence of reported road kills are reasons for concern fur populations in this region. Martens still occur in the central and southern coastal mountains of Oregon. Our results suggest that conservation of martens in coastal forests will require new initiatives to protect existing populations and new efforts to document all populations of martens in this region. Conservation measures should include a reevaluation of timber harvest plans that affect habitat in coastal forests, interagency cooperation on a coastal marten conservation assessment, and the collection of new survey information, especially on private lands in southwestern Washington and northwestern Oregon.</t>
  </si>
  <si>
    <t>US Forest Serv, Redwood Sci Lab, Pacific SW Res Stn, Arcata, CA 95521 USA; US Forest Serv, Six Rivers Natl Forest, Corvallis, OR USA; Conservat Biol Inst, Corvallis, OR 97330 USA</t>
  </si>
  <si>
    <t>Zielinski, WJ (corresponding author), US Forest Serv, Redwood Sci Lab, Pacific SW Res Stn, 1700 Bayview Dr, Arcata, CA 95521 USA.</t>
  </si>
  <si>
    <t>10.1644/1545-1542(2001)082&lt;0478:SOAMIC&gt;2.0.CO;2</t>
  </si>
  <si>
    <t>435JV</t>
  </si>
  <si>
    <t>WOS:000168879100020</t>
  </si>
  <si>
    <t>Walker, CW; Vilà, C; Landa, A; Lindén, M; Ellegren, H</t>
  </si>
  <si>
    <t>bottleneck; genetic diversity; microsatellite; Mustelidae; phylogeography; population</t>
  </si>
  <si>
    <t>MITOCHONDRIAL-DNA; CONSERVATION GENETICS; LUTRA-LUTRA; MICROSATELLITES; PHYLOGEOGRAPHY; VARIABILITY; PRIMERS</t>
  </si>
  <si>
    <t>Wolverine (Gulo gulo) numbers in Scandinavia were significantly reduced during the early part of the century as a result of predator removal programmes and hunting. Protective legislation in both Sweden and Norway in the 1960s and 1970s has now resulted in increased wolverine densities in Scandinavia. We report here the development of 15 polymorphic microsatellite markers in wolverine and their use to examine the population sub-structure and genetic variability in free-ranging Scandinavian wolverine populations as well as in a sample of individuals collected before 1970. Significant subdivision between extant populations was discovered, in particular for the small and isolated population of southern Norway which represents a recent recolonization. Overall genetic variability was found to be,lower than previously reported for other mustelids, with only two to five alleles per locus and observed heterozygosities (H-o) ranging from 0.269 to 0.376 across the examined populations, being lowest in southern Norway Analysis of the mitochondrial DNA control region revealed no variation throughout the surveyed populations. As the historical sample did not show higher levels of genetic variability, our results are consistent with a reduction in the genetic variation in Scandinavian wolverines that pre-dates the demographic bottleneck observed during the last century. The observed subdivision between populations calls for management caution when issuing harvest quotas, especially for the geographically isolated south Norwegian population.</t>
  </si>
  <si>
    <t>Uppsala Univ, Dept Evolutionary Biol, S-75236 Uppsala, Sweden; Norwegian Inst Nat Res, N-7005 Trondheim, Norway; Malardalen Univ, Dept Biol &amp; Chem Engn, S-63105 Eskilstuna, Sweden</t>
  </si>
  <si>
    <t>Uppsala University; Norwegian Institute Nature Research; Malardalen University</t>
  </si>
  <si>
    <t>Ellegren, H (corresponding author), Uppsala Univ, Dept Evolutionary Biol, Norbyvagen 18D, S-75236 Uppsala, Sweden.</t>
  </si>
  <si>
    <t>hans.ellegren@ebc.uu.se</t>
  </si>
  <si>
    <t>Vilà, Carles/H-4893-2013; Vila, Carles/H-4893-2013</t>
  </si>
  <si>
    <t>Vilà, Carles/0000-0002-4206-5246;</t>
  </si>
  <si>
    <t>1365-294X</t>
  </si>
  <si>
    <t>+</t>
  </si>
  <si>
    <t>10.1046/j.1365-294X.2001.01184.x</t>
  </si>
  <si>
    <t>396QB</t>
  </si>
  <si>
    <t>WOS:000166647100007</t>
  </si>
  <si>
    <t>Gaines, WL; Singleton, P; Gold, AL</t>
  </si>
  <si>
    <t>NATURAL AREAS JOURNAL</t>
  </si>
  <si>
    <t>Canada; conservation; mammalian carnivores; North Cascades Ecosystem; rare species</t>
  </si>
  <si>
    <t>GRIZZLY BEARS; CENTRAL WASHINGTON; ROCKY-MOUNTAINS; SNOWSHOE HARES; HABITAT; WOLF; POPULATION; ROADS; LYNX</t>
  </si>
  <si>
    <t>The North Cascades Ecosystem of Washington (USA) and British Columbia (Canada) still supports a community of large mammalian carnivores, although some species may be seriously threatened with extirpation. This paper provides a summary of information on the numbers of grizzly bear (Ursus arctos Merriam), gray wolf (Canis lupus Hall and Kelson), Canadian lynx (Lynx canadensis Kurten and Rausch), and wolverine (Gulo gulo Kurten and Rausch), and an overview of current conservation efforts in the North Cascades Ecosystem. Basic research on population status, distribution, habitat needs, and limiting factors is needed for many of these species, because limited field investigations have been conducted in the region. It may be appropriate to approach some research tasks, such as basic surveys and evaluation of habitat connectivity, using a multi-species approach. In addition, a multi-species approach may be appropriate to address conservation issues such as monitoring, human access, and prey species management. By raising the awareness of managers, scientists, and the public about these issues, we hope to recognize the opportunity to recover a full complement of native carnivores and a functioning ecosystem in the North Cascades Ecosystem. This is an opportunity that is becoming extremely limited on a global scale.</t>
  </si>
  <si>
    <t>US Forest Serv, USDA, Wenatchee Natl Forest, Wenatchee, WA 98801 USA</t>
  </si>
  <si>
    <t>Gaines, WL (corresponding author), US Forest Serv, USDA, Wenatchee Natl Forest, 215 Melody Lane, Wenatchee, WA 98801 USA.</t>
  </si>
  <si>
    <t>NATURAL AREAS ASSOCIATION</t>
  </si>
  <si>
    <t>ROCKFORD</t>
  </si>
  <si>
    <t>320 SOUTH THIRD STREET, ROCKFORD, IL 61104 USA</t>
  </si>
  <si>
    <t>0885-8608</t>
  </si>
  <si>
    <t>NAT AREA J</t>
  </si>
  <si>
    <t>Nat. Areas J.</t>
  </si>
  <si>
    <t>Ecology; Forestry</t>
  </si>
  <si>
    <t>Environmental Sciences &amp; Ecology; Forestry</t>
  </si>
  <si>
    <t>363LG</t>
  </si>
  <si>
    <t>WOS:000089836700009</t>
  </si>
  <si>
    <t>Bright, PW</t>
  </si>
  <si>
    <t>3rd European Congress of Mammalogy</t>
  </si>
  <si>
    <t>MAY 31, 1999</t>
  </si>
  <si>
    <t>JYVASKYLA, FINLAND</t>
  </si>
  <si>
    <t>conservation biology; habitat fragmentation; intra-guild predation; Mustelidae; reintroductions</t>
  </si>
  <si>
    <t>PINE MARTEN; RED FOX; TRANSLOCATION; COEXISTENCE; BRITAIN; HABITAT</t>
  </si>
  <si>
    <t>What features of the mustelids might yield insight into issues of general importance for conservation and ecology? This review focuses attention on correlates of threat, intra-guild competition and reintroductions. Using the IUCN classification of the status of mustelid species, I constructed a statistical model of correlates of threat. This suggested that otters and martens, and mustelids with small distributional range sizes, were the most threatened. Whether or not a species was hunted and its habitat specificity did not correlate with threat. This analysis should be treated as indicative only, because the response variable (threat) was not totally independent of the explanatory variables. There is growing evidence that intraguild predation influences mustelids. In Scotland, there is some evidence for spatial segregation between Pine Martens and Red Foxes (a potential predator), Pine Marten relative abundance was higher in woodland interior than woodland edge. Red Foxes were equally abundant in woodland edge and interior. However. habitat fragmentation (woodland patch size) was the strongest correlate of relative abundance of both species. Research on mustelids has demonstrated the importance of appropriate release techniques during reintroductions. It has also shown that reintroductions of small numbers of animals can be successful, provided that they are conducted in high quality habitats, The implication is that habitat suitability assessments need to be given high priority. In this: respect, research in Britain suggests that inferring habitat needs from areas of relict distribution may lead to highly misleading conclusions.</t>
  </si>
  <si>
    <t>SEP-DEC</t>
  </si>
  <si>
    <t>3-4</t>
  </si>
  <si>
    <t>10.1046/j.1365-2907.2000.00068.x</t>
  </si>
  <si>
    <t>394LR</t>
  </si>
  <si>
    <t>WOS:000166526000006</t>
  </si>
  <si>
    <t>Williams, RN; Rhodes, OE Jr; Serfass, TL</t>
  </si>
  <si>
    <t>fisher; genetic structure; genetic variation; Martes pennanti; reintroduction</t>
  </si>
  <si>
    <t>HOME-RANGE CHARACTERISTICS; TAILED DEER POPULATIONS; MARTES PENNANTI; LARGE MAMMALS; CONSERVATION; HETEROZYGOSITY; DIVERSITY; DIFFERENTIATION; ALLELES; OTTERS</t>
  </si>
  <si>
    <t>A series of reintroduction programs have reestablished fisher (Martes pennanti) populations to a large part of their former range. Horizontal starch-gel electrophoresis of 20 presumptive gene loci was used from 1996 to 1998 to investigate gene dynamics in 4 remnant fisher populations (sources) and 4 reintroduced fisher populations from the northeastern and Great Lakes regions of the United States. Mean multilocus heterozygosities, mean number of alleles per locus, and percentage polymorphic loci were 0.027-0.090, 1.2-1.6, and 10.0-30.0, respectively, in the 8 populations surveyed. Significant allelic frequency differentiation was detected among the 4 source populations and among the 4 reintroduced populations, but a significant proportion of the genetic variance was partitioned only among the 4 reintroduced populations. Pairwise comparisons between each source and its associated reintroduced population indicated that only older reintroductions have attained significant differentiation of allelic frequency from their sources. Significant heterozygotic deficiencies were detected for statewide populations and regional populations within states, suggesting that breeding biology of the fisher, presumably among females, is creating levels of fine-scale genetic structure within populations.</t>
  </si>
  <si>
    <t>Purdue Univ, Dept Forestry &amp; Nat Resources, W Lafayette, IN 47907 USA; Frostburg State Univ, Dept Biol, Frostburg, MD 21532 USA</t>
  </si>
  <si>
    <t>Purdue University System; Purdue University; University System of Maryland; Frostburg State University</t>
  </si>
  <si>
    <t>Williams, RN (corresponding author), Purdue Univ, Dept Forestry &amp; Nat Resources, W Lafayette, IN 47907 USA.</t>
  </si>
  <si>
    <t>rodw@fnr.purdue.edu</t>
  </si>
  <si>
    <t>Rhodes, Olin/0000-0001-7271-9805</t>
  </si>
  <si>
    <t>10.1644/1545-1542(2000)081&lt;0895:AOGVAS&gt;2.3.CO;2</t>
  </si>
  <si>
    <t>347BR</t>
  </si>
  <si>
    <t>WOS:000088907500026</t>
  </si>
  <si>
    <t>Helldin, JO</t>
  </si>
  <si>
    <t>harvest management; historical harvest; Martes martes; over-harvesting; pine marten; population trends; Scandinavia</t>
  </si>
  <si>
    <t>RED FOX; SELECTION; CYCLES; DIET</t>
  </si>
  <si>
    <t>In this paper, I describe historical and present harvesting and population trends of pine marten Martes martes in Scandinavia, based on a literature review and analyses of harvest statistics and population indices. The pine marten population has experienced two periods of over-harvesting with subsequent large-scale declines in population density and local extinctions; in the 1500-1600s and in the early 1900s. The principal incentive for harvesting appears to have been economic (valuable pelt), but eradication efforts may have compounded the effect on the population. In the last decades, the pine marten population density has increased. At present, it is receding but pine martens are still harvested intensively. I discuss implications for management, and caution about over-harvesting of the Scandinavian pine marten population in a near future.</t>
  </si>
  <si>
    <t>Swedish Univ Agr Sci, Dept Conservat Biol, Grimso Wildlife Res Stn, S-73091 Riddarhyttan, Sweden</t>
  </si>
  <si>
    <t>Swedish University of Agricultural Sciences</t>
  </si>
  <si>
    <t>Helldin, JO (corresponding author), Swedish Univ Agr Sci, Dept Conservat Biol, Grimso Wildlife Res Stn, S-73091 Riddarhyttan, Sweden.</t>
  </si>
  <si>
    <t>10.2981/wlb.2000.006</t>
  </si>
  <si>
    <t>329VF</t>
  </si>
  <si>
    <t>WOS:000087928600005</t>
  </si>
  <si>
    <t>Potvin, F; Bélanger, L; Lowell, K</t>
  </si>
  <si>
    <t>AMERICAN MARTEN; STATISTICAL TECHNIQUES; ECOSYSTEM MANAGEMENT; RESOURCE SELECTION; HOME-RANGE; FOREST; POPULATION; WINTER; BIODIVERSITY; NEWFOUNDLAND</t>
  </si>
  <si>
    <t>To describe the forest mosaic suitable for marten (Martes americana) in a clearcut boreal landscape, we studied habitat selection in an area (123 km(2)) located in western Quebec, in which black spruce (Picea mariana) was the predominant forest type. This block had been recently clearcut with the protection of regeneration cutting technique, a logging method that employs equally spaced harvesting trails. The resulting landscape had a center dominated by a cutover matrix (60% of the block) and surrounded by contiguous uncut forest. Over 2 years, 20 marten equipped with radio collars provided enough locations to delineate their winter home range. Habitat composition and spatial configuration were measured at both stand and landscape scales by means of a geographic information system database that included telemetry locations and home ranges, forest maps, and limits of clearcut areas. Inside their winter home ranges, animals avoided open regenerating stands composed mostly of recent clearcuts with sparse regeneration. They did not select coniferous stands, even those that were mature or overmature, but preferred deciduous and mixed stands, a large proportion of which had a dense coniferous shrub layer as a result of a spruce budworm (Choristoneura fumiferana) epidemic 15-20 years ago. At the landscape scale, winter home ranges differed from random mosaics because they had a larger proportion of uncut forest (&gt;30 years), a smaller proportion of open regenerating stands, larger core area in forest habitat, and less edge between open regenerating stands and forest. Winter home ranges usually contained &lt;30-35% open or closed regenerating stands and &gt;40-50% uncut forest. We conclude that marten and clearcutting may be compatible, provided that forest logging is adapted to that species at the landscape level. Where the objective is to maintain marten at a local scale in black spruce forest, we suggest that greater than or equal to 50% uncut forest be preserved inside 10-km(2) units and that &lt;30% of the area be clearcut over a 30-year period.</t>
  </si>
  <si>
    <t>Faune &amp; Parcs Quebec, Quebec City, PQ G1R 5V7, Canada; Univ Laval, Fac Foresterie &amp; Geomat, Quebec City, PQ G1K 7P4, Canada; Univ Laval, Ctr Rech Geomat, Quebec City, PQ G1K 7P4, Canada</t>
  </si>
  <si>
    <t>Laval University; Laval University</t>
  </si>
  <si>
    <t>Potvin, F (corresponding author), Faune &amp; Parcs Quebec, 675 Blvd Rene Levesque Est 11,Boite 92, Quebec City, PQ G1R 5V7, Canada.</t>
  </si>
  <si>
    <t>fpotvin@mef.gouv.qc.ca</t>
  </si>
  <si>
    <t>10.1046/j.1523-1739.2000.99036.x</t>
  </si>
  <si>
    <t>323FF</t>
  </si>
  <si>
    <t>WOS:000087553900030</t>
  </si>
  <si>
    <t>Wilson, GM; Van den Bussche, RA; Kennedy, PK; Gunn, A; Poole, K</t>
  </si>
  <si>
    <t>allozymes; genetic variability; Gulo gulo; mitochondrial DNA; mtDNA; wolverine</t>
  </si>
  <si>
    <t>MITOCHONDRIAL-DNA; HOME-RANGE; NATURAL-POPULATIONS; LARGE MAMMALS; HABITAT USE; DIFFERENTIATION; POLYMORPHISM; SELECTION; DISPERSAL; SEQUENCES</t>
  </si>
  <si>
    <t>Because of anthropogenic factors in the early 1900s that caused populations to decline dramatically. wolverines (Gula gulo) currently are designated as endangered in eastern Canada and classified as vulnerable throughout the Holarctic Region by the international Union for Conservation of Nature and Natural Resources. Although numerous examples exist that illustrate the utility of genetic data for development of conservation plans, no study has investigated the genetic structure of natural populations of wolverines. We assessed allozymic and mitochondrial DNA (mtDNA) variability of wolverines within and among 5 sites from the Northwest Territories, Canada. Five of 46 presumptive allozyme loci were polymorphic. Estimates of heterozygosity (2.6%) and polymorphism (11.6%) were lower than values reported for most mammals but were within the range reported for Carnivora. To evaluate levels of variation in mtDNA, we sequenced the left domain of the control region. Six variable nucleotide sites were observed, resulting in 9 haplotypes of mtDNA. Within-site diversity of haplotypes (h) was high, but within-site diversity of nucleotides (ni was low, indicating little sequence divergence among the 9 haplotypes. Sequence data for mtDNA revealed considerably more genetic partitioning among sites (phi(ST) = 0.536) than did allozyme data (F-ST = 0.076). Based on fixation indices, gene flow estimates Nm) were moderate for nuclear markers but low for mtDNA loci. These findings suggest that, although wolverines maintain large home ranges, they exhibit fidelity to discrete areas, gene flow is predominantly male-mediated, and most sites in the Northwest Territories are genetically independent and thus represent populations. Therefore, any conservation plan for wolverines in the Northwest Territories must consider preservation of populations if genetic diversity of this taxon is to be maintained.</t>
  </si>
  <si>
    <t>Oklahoma State Univ, Dept Zool, Stillwater, OK 74078 USA; Oklahoma State Univ, Oklahoma Cooperat Fish &amp; Wildlife Res Unit, Stillwater, OK 74078 USA; Univ Memphis, Dept Biol, Memphis, TN 38152 USA; Govt NW Terr, Dept Renewable Resources, Coppermines, NT X0E 0E0, Canada; Govt NW Terr, Dept REnewable Resources, Yellowknife, NT X1A 2L9, Canada</t>
  </si>
  <si>
    <t>Oklahoma State University System; Oklahoma State University - Stillwater; Oklahoma State University System; Oklahoma State University - Stillwater; University of Memphis</t>
  </si>
  <si>
    <t>Van den Bussche, RA (corresponding author), Oklahoma State Univ, Dept Zool, Stillwater, OK 74078 USA.</t>
  </si>
  <si>
    <t>Van Den Bussche, Ronald/0000-0002-6481-3209</t>
  </si>
  <si>
    <t>10.1644/1545-1542(2000)081&lt;0186:GVOWGG&gt;2.0.CO;2</t>
  </si>
  <si>
    <t>286GP</t>
  </si>
  <si>
    <t>WOS:000085435500017</t>
  </si>
  <si>
    <t>Carroll, C; Zielinski, WJ; Noss, RF</t>
  </si>
  <si>
    <t>LANDSCAPE; ECOLOGY; BIODIVERSITY; POPULATIONS; MANAGEMENT; ECOSYSTEMS; DYNAMICS; FORESTS; DENSITY; OREGON</t>
  </si>
  <si>
    <t>Forest carnivores such as the fisher (Martes pennanti) have frequently been the target of conservation concern because of their association in some regions with older forests and sensibility to landscape-level habitat alteration. Although the fisher has been extirpated from most of its former range in the western United States, it is still found in northwestern California, Fisher distribution, however, is still poorly known in most of this region where surveys have not been conducted. To predict fisher distribution across the region, we created a multiple logistic regression model using data from 682 previously surveyed locations and a vegetation layer created from satellite imagery. A moving-window function in a geographic information system was used to derive landscape-level indices of canopy closure, tree size class, and percent conifer. The model was validated with new data from 468 survey locations. The correct classification rate of 78.6% with the new data was similar to that achieved with the original data set (80.4%). Whereas several fine-scale habitat attributes were significantly correlated with fisher presence, the multivariate model containing only landscape- and regional-scale variables performed as well as one incorporating fine-scale data, suggesting that habitat selection by fishers may be dominated by factors operating at the home-range scale and above. Fisher distribution was strongly associated with landscapes with high levels of tree canopy closure. Regional gradients such as annual precipitation were also significant. At the plot level, the diameter of hardwoods was greater at sites with fisher detections. A comparison of regional fisher distribution with land-management categories suggests that increased emphasis on the protection of biologically productive, low- to mid-elevation forests is important to ensuring the long-term viability of fisher populations.</t>
  </si>
  <si>
    <t>Klamath Ctr Conservat Res, Orleans, CA 95556 USA; US Forest Serv, USDA, Pacific SW Res Stn, Arcata, CA 95521 USA; Conservat Sci Inc, Corvallis, OR 97330 USA</t>
  </si>
  <si>
    <t>10.1046/j.1523-1739.1999.98364.x</t>
  </si>
  <si>
    <t>260RF</t>
  </si>
  <si>
    <t>WOS:000083963100016</t>
  </si>
  <si>
    <t>Landa, A; Gudvangen, K; Swenson, JE; Roskaft, E</t>
  </si>
  <si>
    <t>carnivore management; livestock depredation; predator control; Norway</t>
  </si>
  <si>
    <t>HOME-RANGE; YUKON; SELECTION; PREY</t>
  </si>
  <si>
    <t>1. Following a long history of eradication campaigns against predators, wolverine Gulo gulo distribution and numbers became critically low in Norway in the 1960s. Consequently, wolverines were protected by law during the 1970s and 1980s. This led to an increase in wolverine numbers and re-establishment in some formerly occupied habitats, resulting in increased depredation on domestic reindeer Rangifer tarandus and sheep Ovis aries. Wolverine control and licensed hunting have been used increasingly as tools to reduce the depredation since protection was introduced. However, the factors influencing the level of this depredation have not been studied. We therefore examined losses of domestic sheep grazing unattended on upland summer ranges in the Snohetta plateau of south central Norway during 1979-94, in relation to wolverine population numbers, reproduction and control measures. This area was recently re-occupied by wolverines and reproduction has been recorded regularly from the beginning of the study period. 2. The number of ewes and lambs recorded in organized grazing areas increased more than fivefold during the period, and losses increased proportionally with sheep numbers. The differences in losses among municipalities and grazing co-operatives were probably related to sheep breeds and local variation in wolverine density. 3. The heavy Dala sheep breed was most at risk, whereas losses from the lighter Norwegian short-tailed and Norwegian fur-bearing breeds were lower than expected. 4. Killing of wolverines led to fewer lambs being lost in the same year that the wolverine killing took place, but the effect quickly declined, implying a rapid re-establishment of wolverines in the local area. 5. Lambs were more vulnerable to wolverine predation than ewes, and losses were higher in wolverine cub-rearing areas than in the area as a whole. 6. We conclude that: (i) control programmes for wolverines, as practised today, will have little long-term effect in reducing sheep losses, unless wolverines are eradicated or severely reduced in numbers; (ii) the introduction of more agile sheep breeds will probably reduce losses; (iii) in areas where wolverine control to protect sheep is a threat towards wolverine conservation, the present sheep husbandry system of grazing unguarded sheep in the mountains should be replaced by alternative forms that provide the sheep with more protection. This is particularly important in wolverine denning areas.</t>
  </si>
  <si>
    <t>Norwegian Inst Nat Res, N-7485 Trondheim, Norway</t>
  </si>
  <si>
    <t>Landa, A (corresponding author), Greenland Inst Nat Resources, POB 570, DK-3900 Nuuk, Greenland.</t>
  </si>
  <si>
    <t>Swenson, Jon/AAE-2890-2019; Landa, Arild/JHU-2978-2023; Røskaft, Eivin/N-7476-2019</t>
  </si>
  <si>
    <t>Landa, Arild/0000-0002-2533-5179;</t>
  </si>
  <si>
    <t>10.1046/j.1365-2664.1999.00451.x</t>
  </si>
  <si>
    <t>271WR</t>
  </si>
  <si>
    <t>WOS:000084617900010</t>
  </si>
  <si>
    <t>Packer, JJ; Birks, JDS</t>
  </si>
  <si>
    <t>Polecat; Mustela putorius; gamekeepers; farmers; attitudes; pest control</t>
  </si>
  <si>
    <t>PREDATORS; BRITAIN</t>
  </si>
  <si>
    <t>Postal questionnaires were distributed to farmers and gamekeepers within the Polecat's Mustela putorius main range in Britain. Only 11% of responding farmers had ever experienced damage by Polecats; 28% regarded the species as a threat to livestock. Conversely 53% of farmers believed Polecats control Rabbits Oryctolagus cuniculus, and 39% believed they control rodents on the farm. Two-thirds of responding gamekeepers had experienced Polecat predation of penned game, with the commonest access routes via 'pop-holes' and beneath the perimeter wire. Most gamekeepers (68%) regarded the Polecat as a minor pest, but ranked it as a less serious threat to game than predators such as the Fox Vulpes vulpes, Feral Cat Felis catus, Stoat Mustela erminea, corvids and Mink Mustela vison. Majorities of both farmers and gamekeepers would be concerned about an increase in the numbers of Polecats, and most wished to be free to control the species. Trapping was regarded as the main defence against Polecat predation of game; 91% of gamekeepers had trapped Polecats over the preceding 5 years. A minority of farmers carried out Polecat control; this activity was more prevalent on farms near the fringe of the species' range. Pest-control practices likely to impact accidentally or indirectly upon Polecats, such as rodenticide use, fumigation ('gassing') of Rabbit burrows and ferreting, were also more prevalent on farms towards the fringe of the species' range. These findings are discussed in the light of the Polecat's status as a Scheduled species recovering its range in Britain. In anticipation of the species' further spread into areas where game shooting is prevalent, recommendations are made regarding the need to improve game husbandry and to modify trapping practice. In particular, the night-time closure of pop-holes and the effective exclusion of Polecats from tunnel traps are suggested as a means of promoting greater tolerance of Polecats and compliance with the law.</t>
  </si>
  <si>
    <t>Vincent Wildlife Trust, London EC3R 8DN, England; ADAS Wildlife Unit, Bristol BS10 6NQ, Avon, England</t>
  </si>
  <si>
    <t>Birks, JDS (corresponding author), Vincent Wildlife Trust, 119 Church St, Great Malvern WR14 2AJ, Worcs, England.</t>
  </si>
  <si>
    <t>10.1046/j.1365-2907.1999.00039.x</t>
  </si>
  <si>
    <t>215VG</t>
  </si>
  <si>
    <t>WOS:000081403700001</t>
  </si>
  <si>
    <t>Hargis, CD; Bissonette, JA; Turner, DL</t>
  </si>
  <si>
    <t>edge density; habitat fragmentation; Martes americana; proximity index; timber harvests</t>
  </si>
  <si>
    <t>LOGGED BOREAL FORESTS; HABITAT FRAGMENTATION; SQUIRREL; ECOLOGY; ONTARIO; OREGON; UNCUT</t>
  </si>
  <si>
    <t>1. We investigated the effects of forest fragmentation on American martens (Martes americana Rhoads) by evaluating differences in marten capture rates (excluding recaptures) in 18 study sites with different levels of fragmentation resulting from timber harvest clearcuts and natural openings. We focused on low levels of fragmentation, where forest connectivity was maintained and non-forest cover ranged from 2% to 42%. 2. Martens appeared to respond negatively to low levels of habitat fragmentation, based on the significant decrease in capture rates within the series of increasingly fragmented landscapes. Martens were nearly absent from landscapes having &gt;25% non-forest cover, even though forest connectivity was still present. 3. Marten capture rates were negatively correlated with increasing proximity of open areas and increasing extent of high-contrast edges. Forested landscapes appeared unsuitable for martens when the average nearest-neighbour distance between open (non-forested) patches was &lt;100 m. In these landscapes, the proximity of open areas created strips of forest edge and eliminated nearly all forest interior. 4. Small mammal densities were significantly higher in clearcuts than in forests, but marten captures were not correlated with prey abundance or biomass associated with clearcuts. 5. Conservation efforts for the marten must consider not only the structural aspects of mature forests, but the landscape pattern in which the forest occurs. We recommend that the combination of timber harvests and natural openings comprise &lt;25% of landscapes greater than or equal to 9 km(2) in size. 6. The spatial pattern of open areas is important as well, because small, dispersed openings result in less forest interior habitat than one large opening at the same percentage of fragmentation. Progressive cutting from a single patch would retain the largest amount of interior forest habitat.</t>
  </si>
  <si>
    <t>USDA, US Forest Serv, Flagstaff, AZ 86001 USA; Utah State Univ, Dept Fisheries &amp; Wildlife, Utah Cooperat Fish &amp; Wildlife Res Unit, USGS,BRD, Logan, UT 84322 USA; USDA, US Forest Serv, Intermt Res Stn, Logan, UT 84321 USA</t>
  </si>
  <si>
    <t>United States Department of Agriculture (USDA); United States Forest Service; United States Department of the Interior; United States Geological Survey; Utah System of Higher Education; Utah State University; United States Department of Agriculture (USDA); United States Forest Service</t>
  </si>
  <si>
    <t>Hargis, CD (corresponding author), USDA, US Forest Serv, SW Forest Sci Complex,2500 S Pine Knoll, Flagstaff, AZ 86001 USA.</t>
  </si>
  <si>
    <t>Bissonette, John/J-7494-2019</t>
  </si>
  <si>
    <t>10.1046/j.1365-2664.1999.00377.x</t>
  </si>
  <si>
    <t>194CD</t>
  </si>
  <si>
    <t>WOS:000080173800015</t>
  </si>
  <si>
    <t>Kauhala, K; Helle, P; Helle, E; Korhonen, J</t>
  </si>
  <si>
    <t>RACCOON DOG; RED FOX; SARCOPTIC MANGE; FLUCTUATIONS; FENNOSCANDIA; RESPONSES; MAMMALS; BIRDS</t>
  </si>
  <si>
    <t>The impact of predator removal on predator and mountain hare (Lepus timidus) populations was studied in southern, eastern and northern Finland in 1993-1998. In predator removal areas predators were intensively hunted, and in predator protection areas hunting was prohibited. Both predator (red fox Vulpes vulpes, pine marten Martes martes, stoat Mustela erminea and raccoon dog Nyctereutes procyonoides) and mountain hare populations were monitored in the study areas. Fox and marten populations were affected by predator removal/protection in eastern and northern Finland but the effect was not as evident in southern Finland. The stoat population was not affected by removal, but the raccoon dog population was to some extent. Trends in hare populations were similar in the removal and protection areas, indicating that localized control/protection of predators did not affect hare numbers. Hare population even increased in the protection area of northern Finland although predator numbers increased and vole numbers declined.</t>
  </si>
  <si>
    <t>Finnish Game &amp; Fisheries Res Inst, FIN-00721 Helsinki, Finland; Finnish Game &amp; Fisheries Res Inst, Meltaus Game Res Stn, FIN-97340 Meltaus, Finland</t>
  </si>
  <si>
    <t>Natural Resources Institute Finland (Luke); Natural Resources Institute Finland (Luke)</t>
  </si>
  <si>
    <t>Kauhala, K (corresponding author), Finnish Game &amp; Fisheries Res Inst, POB 6, FIN-00721 Helsinki, Finland.</t>
  </si>
  <si>
    <t>UNIV HELSINKI</t>
  </si>
  <si>
    <t>P O BOX 26, FI-00014 UNIV HELSINKI, FINLAND</t>
  </si>
  <si>
    <t>1797-2450</t>
  </si>
  <si>
    <t>244WV</t>
  </si>
  <si>
    <t>WOS:000083074500002</t>
  </si>
  <si>
    <t>Chapin, TG; Harrison, DJ; Katnik, DD</t>
  </si>
  <si>
    <t>HOME-RANGE SIZE; WESTERN NEWFOUNDLAND; ROCKY-MOUNTAINS; POPULATION; MAINE; DISPERSAL</t>
  </si>
  <si>
    <t>Few studies have examined the potential for clearcutting to fragment habitat of area-sensitive, for est-dependent mammals such as American marten (Martes americana). We examined relationships among measures of landscape pattern and spatial use of habitat by 33 resident and 32 nonresident, adult marten that were I radio-monitored in an extensively logged landscape Size and distribution of forest patches (trees over 6 nz in height) were associated with patch use by marten. Patches of forest used by resident marten (median = 27 ha n = 12) were larger (p &lt; 0.003) than patches with no observed use (median = 1.5 ha n = 128). Further, patches used by residents were closer to the nearest patch larger than 2.7 ha (38 nz versus 55 nz; p = 0.057) and to an adjacent forest preserve (2.5 km versus 3.5 km; p = 0.075) than patches with no observed rue. At four spatial scales (10, 65, 125, and 250 ha), grid cells used by resident marten comprised a greater percentage of residual forest over 6 in in height (p less than or equal to 0.008) and intersected forest patches of greater area (p less than or equal to 0.006) than cells with no observed use. Edge indices were not different (p greater than or equal to 0.490) between used grid cells and cells; with no observed use at any of the four spatial scales. Analyses of forest edge associations indicated that marten did not avoid residual-regenerating forest edge within home ranges or within the study area. Home ranges (n = 27) of all resident adult marten were composed of more than 60% forest cover over 6 m in height; median values were 78-80% for both sexes. The median size of the largest forest patch in marten home ranges was 150 ha for females and 247 ha for males Our results suggest that reducing fragmentation by consolidating clearcuts and retaining large residual patches would help to maintain resident marten in extensively logged landscapes.</t>
  </si>
  <si>
    <t>Univ Maine, Dept Wildlife Ecol, Orono, ME 04469 USA</t>
  </si>
  <si>
    <t>University of Maine System; University of Maine Orono</t>
  </si>
  <si>
    <t>Harrison, DJ (corresponding author), Univ Maine, Dept Wildlife Ecol, Orono, ME 04469 USA.</t>
  </si>
  <si>
    <t>harrison@umenfa.maine.edu</t>
  </si>
  <si>
    <t>MALDEN</t>
  </si>
  <si>
    <t>350 MAIN ST, MALDEN, MA 02148 USA</t>
  </si>
  <si>
    <t>10.1046/j.1523-1739.1998.96227.x</t>
  </si>
  <si>
    <t>146HN</t>
  </si>
  <si>
    <t>WOS:000077423400025</t>
  </si>
  <si>
    <t>Jenkinson, S; Wheater, CP</t>
  </si>
  <si>
    <t>LANDSCAPE; DECLINE; ESSEX</t>
  </si>
  <si>
    <t>The impact of public rights of way on badger setts was examined in the Bradford area of West Yorkshire using comparisons of 38 setts surveyed in 1985-1996 and again in 1992-1993. Badger setts were compared on the basis of whether they were still in use or not, and on the number of illegal disturbance events recorded over the study period. The number of, and distance from, public accesses did not influence sett persistence, and the least frequently disturbed setts (i.e. those with an average of one or less disturbance incidents every 2 years) were closer to a larger number of accesses. Frequency of poaching was high near to heavily disturbed setts and those no longer occupied at the later survey. Less frequently disturbed setts were associated with landowners who were unsupportive of badger conservation: it is possible that such landowners are highly protective of their land and thus incidentally reduce the frequency of poaching and other forms of disturbance. Setts in areas with formal authorized shooting were less disturbed. Setts still in use tended to be: in open habitats and visible from roads and nearby dwellings. Setts in open areas were less often disturbed than those in wooded sites. Since public access may not reduce sett persistence and may even be beneficial in an area of high wilful persecution, there are implications for the management of public access.</t>
  </si>
  <si>
    <t>Manchester Metropolitan Univ, Dept Environm &amp; Geog Sci, Manchester M1 5GD, Lancs, England</t>
  </si>
  <si>
    <t>Manchester Metropolitan University</t>
  </si>
  <si>
    <t>Wheater, CP (corresponding author), Manchester Metropolitan Univ, Dept Environm &amp; Geog Sci, Manchester M1 5GD, Lancs, England.</t>
  </si>
  <si>
    <t>Wheater, Philip/ABA-5984-2021</t>
  </si>
  <si>
    <t>Wheater, Charles/0000-0001-6403-7468</t>
  </si>
  <si>
    <t>40 WEST 20TH STREET, NEW YORK, NY 10011-4211 USA</t>
  </si>
  <si>
    <t>10.1111/j.1469-7998.1998.tb00186.x</t>
  </si>
  <si>
    <t>165YB</t>
  </si>
  <si>
    <t>WOS:000078548500019</t>
  </si>
  <si>
    <t>Foresman, KR; Pearson, DE</t>
  </si>
  <si>
    <t>cameras; fisher; forest carnivores; marten; Martes americana; Martes pennanti; Montana; survey methods; track plates</t>
  </si>
  <si>
    <t>ACTIVITY PATTERNS; MARTES-AMERICANA; CALIFORNIA; FISHER; ALTERNATIVES; PENNANTI; SNOW</t>
  </si>
  <si>
    <t>American marten (Martes americana), fisher (M, pennanti), wolverine (Gulo gulo), and lynx (Lynx lynx) are forest carnivores believed threatened by disturbance of late-successional forests. To manage forested ecosystems for these species, effective methods for their detection must be available. Recently, the U.S. Forest Service proposed standardized survey procedures for the detection of forest carnivores; this report presents the first critical assessment of these protocols. We compared dual sensor remote cameras and soot-coated open and covered track plates in the same study areas over an 8-month period. Of the 4 species targeted by these procedures, we detected 3 (American marten, fisher, wolverine). The remote camera method ranked highest with respect to ease of use, effectiveness, and accuracy of identifications. However, track plates performed well for 2 species and, under certain circumstances, may be the method of choice. We suggest improvements for each method and encourage that such standardized procedures be applied over wide regions.</t>
  </si>
  <si>
    <t>Univ Montana, Div Biol Sci, Missoula, MT 59812 USA</t>
  </si>
  <si>
    <t>University of Montana System; University of Montana</t>
  </si>
  <si>
    <t>Foresman, KR (corresponding author), Univ Montana, Div Biol Sci, Missoula, MT 59812 USA.</t>
  </si>
  <si>
    <t>foresman@selway.umt.edu</t>
  </si>
  <si>
    <t>10.2307/3801985</t>
  </si>
  <si>
    <t>134BL</t>
  </si>
  <si>
    <t>WOS:000076722900005</t>
  </si>
  <si>
    <t>Landa, A; Strand, O; Linnell, JDC; Skogland, T</t>
  </si>
  <si>
    <t>GULO-GULO; ALOPEX-LAGOPUS; HABITAT USE; ALASKA; YUKON; MOVEMENTS; SVALBARD; CANADA</t>
  </si>
  <si>
    <t>We compared the use of space and habitat by wolverines, Gulo gulo, and arctic foxes, Alopex lagopus, on the Snohetta plateau and surrounding mountains in south-central Norway. The arctic foxes used smaller annual home ranges than the wolverines, whose home ranges were among the largest yet reported for the species. In both species, resident males used larger home ranges than resident females. Arctic foxes used a much narrower, and higher, range of altitudes than wolverines, always above the tree line. Wolverines used lower altitudes in winter than in summer. Female wolverines showed pronounced seasonal peaks in their use of the peripheral areas of their home ranges. Both species showed an ability to cross at least some transportation corridors (road, rail, human settlements) in the area. The habitat available at Snohetta appears suitable for arctic foxes and does not explain the failure of the population to recover during 67 years of protection. Because of predation on domestic sheep, wolverines will probably be confined to a series of core conservation areas (CCA). At present densities (0.28-0.36 wolverines per 100 km(2)), the CCA surrounding Snohetta can contain from 36 to 50 wolverines.</t>
  </si>
  <si>
    <t>Norwegian Inst Nat Res, N-7005 Trondheim, Norway; Hedmark Coll, N-2480 Koppang, Norway</t>
  </si>
  <si>
    <t>Linnell, John D C/V-4177-2019; Landa, Arild/JHU-2978-2023</t>
  </si>
  <si>
    <t>Linnell, John D C/0000-0002-8370-5633; Landa, Arild/0000-0002-2533-5179</t>
  </si>
  <si>
    <t>RESEARCH JOURNALS, MONTREAL RD, OTTAWA, ONTARIO K1A 0R6, CANADA</t>
  </si>
  <si>
    <t>10.1139/cjz-76-3-448</t>
  </si>
  <si>
    <t>ZZ342</t>
  </si>
  <si>
    <t>WOS:000074719800009</t>
  </si>
  <si>
    <t>Landa, A; Tommeras, BA</t>
  </si>
  <si>
    <t>aversive agents; Gulo gulo; Norway; olfaction; predation; repellents; sheep; taste; wolverines</t>
  </si>
  <si>
    <t>SCENT MARKING; HABITAT USE; HOME RANGE</t>
  </si>
  <si>
    <t>Wolverine (Gulo gulo) predation on sheep (Ovis aces) on summer range in mountain areas has been documented in Norway during the last 15 years. Norweigan government policy is to sustain viable wolverine populations. However, the conflict created by wolverine predation on sheep and domestic reindeer results in strong local pressure for licenses to kill wolverines, and results as well in illegal killing. Illegal killing poses a threat to sustainable management of this protected species. Because sheep are present only in the alpine ecosystem during the short summer period, wolverine populations probably are not dependent on sheep predation. The aim of our study was to find nonlethal taste and olfactory agents that have an aversive effect on wolverines. We showed that certain chemicals and oils are potential aversive agents for captive wolverines by adding small amounts of chemicals to die normal diet, and by observing their reaction both directly and through video analysis. Five oils and 3 chemicals in combination Sate distinctive aversive reactions and were considered a good choice for tests in the field with wild wolverines. Development of dispensers is necessary for using the chemicals as long-lasting repellents on sheep. Volatile repellents attached to lambs are a potential method for decreasing wolverine predation on sheep.</t>
  </si>
  <si>
    <t>Landa, A (corresponding author), NORWEGIAN INST NAT RES,TUNGASLETTA 2,N-7005 TRONDHEIM,NORWAY.</t>
  </si>
  <si>
    <t>5410 GROSVENOR LANE, BETHESDA, MD 20814-2197</t>
  </si>
  <si>
    <t>10.2307/3802609</t>
  </si>
  <si>
    <t>XD779</t>
  </si>
  <si>
    <t>WOS:A1997XD77900029</t>
  </si>
  <si>
    <t>Watson, JC; Ellis, GM; Smith, TG; Ford, JKB</t>
  </si>
  <si>
    <t>Sea Otter; Enhydra lutris; otters; keystone predator; mustelid; fur trade</t>
  </si>
  <si>
    <t>BOTTOM PREY COMMUNITIES; ALASKA; THERMOREGULATION; ORGANIZATION; POPULATIONS; PREDATION; RANGE</t>
  </si>
  <si>
    <t>Sea Otters (Enhydra lutris) ranged historically across the north Pacific from the central Pacific coast of Baja California, to northern Japan. An intensive fur hunt in the 18th and 19th centuries extirpated the Sea Otter from much of its range. The species was protected in 1911, and now occupies approximately half of its historic range. Presently, the worldwide population of Sea Otters is thought to be about 150 000 animals. The British Columbia Sea Otter population, originating from 89 animals reintroduced to Vancouver Island from 1969 to 1972, has increased at a finite rate of 18.6% per year, a rate similar to reintroduced populations in Washington and southeast Alaska. In 1995, a minimum of 1522 Sea Otters were found in British Columbia. Most of these animals occurred off Vancouver Island, but at least 135 Sea Otters were found near Goose Island, 125 km north of Vancouver Island. The origin of this latter group is uncertain. Sea Otters are presently classed as threatened in British Columbia and are protected under Federal and Provincial regulations.</t>
  </si>
  <si>
    <t>Watson, JC (corresponding author), MALASPINA UNIV COLL,9000 5TH ST,NANIAMO,BC V9R 5S5,CANADA.</t>
  </si>
  <si>
    <t>PO BOX 35069, WESTGATE PO, OTTAWA ON K1Z 1A2, CANADA</t>
  </si>
  <si>
    <t>APR-JUN</t>
  </si>
  <si>
    <t>XJ315</t>
  </si>
  <si>
    <t>WOS:A1997XJ31500016</t>
  </si>
  <si>
    <t>Lewis, JC; Zielinski, WJ</t>
  </si>
  <si>
    <t>Recent petitions to list the fisher (Martes pennanti) under the Endangered Species Act have brought attention to fisher conservation. Although commercial trapping of fishers in California ended in 1946, summarizing the commercial harvest data can provide a historical perspective to fisher conservation and may indicate the prevalence of incidental fisher captures in traps set fur other species. We investigated the relationships between historical fisher harvests and the price paid for fisher pelts, number of trapping licenses sold, cost of a trapping license, total number of 5 sympatric species harvested, and their pelt prices in California. The frequency of incidental captures was also assessed by interviewing trappers, biologists, and wardens in California. Between 1919-1946, relatively few fishers were legally trapped in California (n = 462, (x) over bar = 18.5 annually), and their harvest declined steadily. Fisher harvests were positively related to fisher pelt price but were more strongly related to the number of trapping licenses sold, indicating that fishers were vulnerable to trappers in general as opposed to only those trappers specifically targeting them. We estimated an incidental capture rate of 1 per 407 set-nights and a mortality-injury rate of 24% from data obtained from 5 trappers in California. Trappers are an important source of information on the distribution of fishers and their cooperation is necessary to determine the effects of incidental capture on fisher populations.</t>
  </si>
  <si>
    <t>US FOREST SERV,PACIFIC SW RES STN,ARCATA,CA 95521</t>
  </si>
  <si>
    <t>PO BOX 645910, PULLMAN, WA 99164-5910</t>
  </si>
  <si>
    <t>WB997</t>
  </si>
  <si>
    <t>WOS:A1996WB99700001</t>
  </si>
  <si>
    <t>Sturtevant, BR; Bissonette, JA; Long, JN</t>
  </si>
  <si>
    <t>American marten; conservation; Martes americana; boreal forest; habitat management; relative density; silviculture; stand density management diagram; wildlife management; forest management</t>
  </si>
  <si>
    <t>SPRUCE BUDWORM; AMERICAN MARTEN; EASTERN CANADA; NATIONAL-PARK; SMALL MAMMALS; POPULATIONS; RESPONSES; WINTER; FIR; ECOLOGY</t>
  </si>
  <si>
    <t>The conservation of marten (Martes americana) populations within managed forests will require planning at appropriately large temporal and spatial scales. A conceptual model of stand-level dynamics is constructed from empirical study of forests in western Newfoundland and related to the habitat requirements of resident marten. The model suggests that the critical elements of marten foraging habitat are currently found within a senescent forest stand structure. Implications of the model are discussed as they relate to landscape-level disturbance patterns. Changes in both stand-level dynamics and landscape-level phenomena indicate that intensive silviculture is necessary to promote marten habitat within managed forests in Newfoundland. We propose a density management regime designed to provide a marten habitat window within a reasonable pulpwood rotation period. The stand-level prescriptions are intended as a tool to be incorporated into an overall landscape management regime.</t>
  </si>
  <si>
    <t>UTAH STATE UNIV, COLL NAT RESOURCES, DEPT FISHERIES &amp; WILDLIFE, US NATL BIOL SERV, LOGAN, UT 84322 USA; UTAH STATE UNIV, COLL NAT RESOURCES, DEPT FOREST RESOURCES, LOGAN, UT 84322 USA; UTAH STATE UNIV, COLL NAT RESOURCES, CTR ECOL, LOGAN, UT 84322 USA</t>
  </si>
  <si>
    <t>Utah System of Higher Education; Utah State University; Utah System of Higher Education; Utah State University; Utah System of Higher Education; Utah State University</t>
  </si>
  <si>
    <t>Sturtevant, Brian/KHV-0383-2024; Bissonette, John/J-7494-2019</t>
  </si>
  <si>
    <t>OCT 31</t>
  </si>
  <si>
    <t>1-3</t>
  </si>
  <si>
    <t>10.1016/S0378-1127(96)03837-6</t>
  </si>
  <si>
    <t>WA379</t>
  </si>
  <si>
    <t>WOS:A1996WA37900002</t>
  </si>
  <si>
    <t>PROULX, G; KOLENOSKY, AJ; BADRY, MJ; COLE, PJ; DRESCHER, RK</t>
  </si>
  <si>
    <t>AMERICAN MARTEN; CAPTURE; LEPUS-AMERICANUS; MARTES-AMERICANA; NEWFOUNDLAND; SNARE; SNOWSHOE HARE; THREATENED SPECIES</t>
  </si>
  <si>
    <t>MINK</t>
  </si>
  <si>
    <t>ALBERTA RES COUNCIL,DEPT FORESTRY,WILDLIFE SECT,EDMONTON,AB T6H 5X2,CANADA</t>
  </si>
  <si>
    <t>Alberta Innovates</t>
  </si>
  <si>
    <t>WIN</t>
  </si>
  <si>
    <t>PY631</t>
  </si>
  <si>
    <t>WOS:A1994PY63100012</t>
  </si>
  <si>
    <t>HODGMAN, TP; HARRISON, DJ; KATNIK, DD; ELOWE, KD</t>
  </si>
  <si>
    <t>IMMIGRATION; MAINE; MARTEN; MARTES-AMERICANA; POPULATION; RADIO TELEMETRY; ROAD ACCESS; SURVIVAL; TRAPPING</t>
  </si>
  <si>
    <t>AMERICANA; MORTALITY; ONTARIO; RATES; SEX</t>
  </si>
  <si>
    <t>Marten (Martes americana) are susceptible to overharvesting, and forestry practices may compound this problem by reducing habitat quality and increasing accessibility of trappers via forest roads. From May 1989 through December 1991, we estimated age- and sex-specific survival of marten in a logged area with road access. We tested for age- and sex-specific differences in survival, combined estimates of survival with published natality rates to evaluate whether harvests were sustainable, and simulated population response to management options. Trapping accounted for 90% of all documented mortalities (n = 49) among 38 radio-collared female (26 ad, 12 juv) and 36 radio-collared male (24 ad, 12 juv) marten. Most (93%) trapping-caused mortality occurred during the first 14 days of the season, during which vulnerability of adult females to trapping was 1.45-1.75 times less (P &lt; 0.01) than for other age-sex classes. Survival from 1 May to 15 December was higher (P = 0.03) for adult females (0.39) than adult males (0.12). Harvests of female marten were not sustainable, and shortening the trapping season from 6 to 2 weeks would be ineffective at achieving a finite rate of population change (lambda) greater-than-or-equal-to 1.0. Unless immigration compensated for emigration and trapper-caused mortality, we estimated that survival of females would need to nearly double to sustain the population. Access by trappers via logging roads increases the potential for declines in marten populations. Regulations to reduce trapping-caused mortality may be needed to maintain viable marten populations in landscapes with extensive forest harvesting and intensive trapping.</t>
  </si>
  <si>
    <t>MAINE DEPT INLAND FISHERIES &amp; WILDLIFE,DIV RESOURCE ASSESSMENT,BANGOR,ME 04401</t>
  </si>
  <si>
    <t>HODGMAN, TP (corresponding author), UNIV MAINE,DEPT WILDLIFE ECOL,5755 NUTTING HALL,ROOM 240,ORONO,ME 04469, USA.</t>
  </si>
  <si>
    <t>10.2307/3809671</t>
  </si>
  <si>
    <t>PL727</t>
  </si>
  <si>
    <t>WOS:A1994PL72700001</t>
  </si>
  <si>
    <t>KATNIK, DD; HARRISON, DJ; HODGMAN, TP</t>
  </si>
  <si>
    <t>HARVEST; HOME RANGE; MAINE; MARTEN; MARTES-AMERICANA; MOVEMENTS; MUSTELIDAE; RADIO TELEMETRY; TERRITORY; TRAPPING</t>
  </si>
  <si>
    <t>HOME RANGE; MUSTELA-ERMINEA; BODY SIZE; MOVEMENTS; PATTERNS; ECOLOGY; FISHERS</t>
  </si>
  <si>
    <t>Harvesting may disrupt spacing patterns that affect individual breeding status in solitary forest carnivores such as the marten (Martes americana). Further, male-biased harvests may decrease relative density of competitors for mates, enabling males to expand their territories to maximize access to females. We assessed whether territoriality was exhibited in an intensively trapped population of marten, evaluated whether males abandoned home ranges during the breeding season, and tested whether home-range size of males was related to energetic requirements or access to mates. We also assessed whether movements and range areas of adult females with offspring were different from nonreproductive adult (greater-than-or-equal-to 1 yr) females. We radiotracked 28 resident adult marten (14 M, 14 F) from May 1989 to April 1991. Overlap of ranges within sexes was less than (P = 0.01) expected if ranges were distributed independently among consexuals. Conversely, overlap between sexes was not different (P = 0.12) from expected if ranges were distributed independently of the opposite sex. The percentage of range shared with marten of the same sex (5.9% M, 10.7% F) was less (P &lt; 0.001 M, P = 0.01 F) than the proportion shared with the opposite sex (37.1% M, 71.4% F). Shared areas were not used less (P &gt; 0.17) than unshared areas, and distance between sexes increased (P = 0.01) from May to October. Contrary to some other mustelids, male marten did not foray from their territories during the breeding season; distance traveled and location of ranges did not change (P &gt; 0.11) during breeding (Jul-Aug). Range size (95% min. convex polygon) during May-October was larger (P = 0.002) for males (5.2 km2) than for females (2.8 km2) but not more than expected (P = 0.26) according to differences in body mass. Lactating female marten had smaller (P = 0.06) ranges than did nonreproductive females. Despite low densities, territories of 11 of 14 males overlapped with greater-than-or-equal-to 1 adult female. Breakdown of territories and transient behavior may not occur in trapped populations of marten unless mates become so widely distributed that intersexual overlap becomes unpredictable.</t>
  </si>
  <si>
    <t>KATNIK, DD (corresponding author), UNIV MAINE,DEPT WILDLIFE ECOL,5755 NUTTING HALL,ROOM 240,ORONO,ME 04469, USA.</t>
  </si>
  <si>
    <t>10.2307/3809672</t>
  </si>
  <si>
    <t>WOS:A1994PL72700002</t>
  </si>
  <si>
    <t>RIEDMAN, ML; ESTES, JA; STAEDLER, MM; GILES, AA; CARLSON, DR</t>
  </si>
  <si>
    <t>BREEDING BEHAVIOR; CALIFORNIA; ENHYDRA-LUTRIS; GESTATION; MATERNAL CARE; NATALITY; POPULATION DYNAMICS; PUP DEPENDENCY; PUP MORTALITY; REPRODUCTION; SEA OTTER</t>
  </si>
  <si>
    <t>ENHYDRA-LUTRIS</t>
  </si>
  <si>
    <t>Following commercial exploitation in the eighteenth and nineteenth centuries, sea otter (Enhydra lutris) populations in Alaska, British Columbia, and Washington recovered at 17-20% a year, yet the California population increased at only 5% a year. This slow rate of increase is perplexing, given that unoccupied and apparently favorable habitats occur throughout the sea otter's California range, and higher growth rates occurred among northern sea otter populations. Better knowledge of the demography of the California population is important in understanding these disparate population growth rates. We studied the reproductive biology and behavior of 53 tagged female sea otters from 1985 to 1991 in Monterey Bay, California. During the study, 136 pups were born to these females. Observations of each female enabled us to determine exact or estimated pup birth dates, which we used to calculate lengths of gestation, pup dependency, and reproductive cycle. Seasonal trends in pupping, in the proportion of adult females with pups, and in pup separations from their mothers were relatively uniform throughout the year. The average interval between separation from pup and subsequent birth was 198 days, the interbirth interval was 407 days, and estimated birth rate was 0.90/year for all adult females. For females that pupped annually (did not lose undetected newborns), the average interbirth interval was 342 days, given an estimated birth rate of 1.07/year. Length of the reproductive cycle increased with increasing length of prior pup dependency. However, the interval between separation from pup and subsequent birth was delayed among females that prematurely lost their pups. The average length of dependency for pups that survived to weaning was 166 days, but ranged from 120 to 280 days. The maximum preweaning survival rate was 0.60-0.65, less than values measured or inferred for some Alaskan populations. Most pups that did not survive to weaning were lost within a month of birth. The probability of successfully weaning pups and the length of dependency increased (P = 0.077) with mothers' ages, thus indicating that reproductive success may increase among females with greater mothering experience. The high preweaning pup mortality we observed probably accounts for much of the relatively slow growth rate of the California sea otter population.</t>
  </si>
  <si>
    <t>UNIV CALIF SANTA CRUZ,INST MARINE SCI,NATL BIOL SURVEY,SANTA CRUZ,CA 95064</t>
  </si>
  <si>
    <t>University of California System; University of California Santa Cruz</t>
  </si>
  <si>
    <t>RIEDMAN, ML (corresponding author), MONTEREY BAY AQUARIUM,DIV LIFE SCI,886 CANNERY ROW,MONTEREY,CA 93940, USA.</t>
  </si>
  <si>
    <t>10.2307/3809308</t>
  </si>
  <si>
    <t>NW893</t>
  </si>
  <si>
    <t>WOS:A1994NW89300001</t>
  </si>
  <si>
    <t>THOMPSON, ID; COLGAN, PW</t>
  </si>
  <si>
    <t>ACTIVITY; BEHAVIOR; LOGGING; MARTEN; MARTES-AMERICANA; MUSTELIDAE; OLD GROWTH; ONTARIO; PREDATION</t>
  </si>
  <si>
    <t>ACTIVITY PATTERNS; FOOD-HABITS; WINTER; AMERICANA; STANDS</t>
  </si>
  <si>
    <t>Marten (Martes americana) experience greater survival and production rates in old growth forests than in postclear-cut forests. To determine whether total time active and foraging success contribute to these differences, we compared marten movements and hunting activities in their preferred old-forests habitats to those in logged forests. Marten in uncut forests captured up to 119% (P = 0.003) more prey biomass than those in logged forests, depending on prey populations. We found few marten activity differences by forest type attributable to differences in density and prey species, or habitat structure. Distances between core areas in individual home ranges were greater (P &lt; 0.001) in logged forests than in uncut forests. In years when food was scarce, mean distance between core areas was greater (P &lt; 0.001) than in years of abundant food. Total diel time active was the same for males and females, but females were more (P &lt; 0.001) nocturnally active than males in uncut forests or all marten in logged forests. Marten activity declined (P &lt; 0.01) from less-than-or-equal-to14 hours/day in summer to &lt;4 hours/day in late winter. Marten changed their activity patterns from active at all times of the day (24 hr) in summer, to diurnal in winter. We hypothesize that marten activity in winter may be influenced by energy conservation, particularly when temperatures are below -15 C. Access to the subnivean zone was more available in uncut forests than in logged forests, but marten in each habitat hunted beneath the snow at similar rates (P = 0.76) suggesting that subnivean access may not be a limiting feature of habitat structure in boreal forest. Marten may prefer old coniferous forests because of a greater rate of prey capture compared with that in more open habitats presented by logged forests.</t>
  </si>
  <si>
    <t>FORESTRY CANADA,ST JOHNS A1C 5X8,NF,CANADA; CANADIAN MUSEUM NAT,OTTAWA K1P 6P4,ON,CANADA</t>
  </si>
  <si>
    <t>10.2307/3809392</t>
  </si>
  <si>
    <t>NF083</t>
  </si>
  <si>
    <t>WOS:A1994NF08300014</t>
  </si>
  <si>
    <t>LACY, RC; CLARK, TW</t>
  </si>
  <si>
    <t>GREAT BASIN NATURALIST</t>
  </si>
  <si>
    <t>ADAPTIVE MANAGEMENT; AMERICAN MARTEN; DEMOGRAPHIC STOCHASTICITY; ENVIRONMENTAL VARIATION; GENETIC VARIATION; EXTINCTION; GREATER YELLOWSTONE ECOSYSTEM; POPULATION VIABILITY ANALYSIS; SIMULATION MODELING; WILDLIFE CONSERVATION; MARTES AMERICANA</t>
  </si>
  <si>
    <t>American marten (Martes americana) are medium-sized mammalian carnivores inhabiting forest communities across northern North America. Martens are susceptible to local extinction from habitat alterations, trapping, and other factors. We (RCL) developed a population model called VORTEX to estimate extinction probabilities for marten populations as a management tool. The model permits managers to simulate various levels of timber harvesting, commercial trapping, and other factors to estimate their effects on marten populations. This paper describes this model and illustrates its benefits by using marten data from the Greater Yellowstone Ecosystem of northwestern Wyoming. Results are preliminary. Populations of 50 and 100 martens were simulated. The most optimistic scenario with populations of 100 individuals, no trapping, no logging, and no migrants showed a probability (66%) of surviving 100 years. Extinction probabilities were sensitive to immigration and emigration rates. Numerous scenarios were simulated and showed a range of results. Results of population viability analysis can be translated into area requirements if densities are known or can be estimated. In turn, various habitat patches and interconnecting corridors can be examined for their ability to support viable marten populations. Population modeling is invaluable to ''adaptive management'' of martens as well as other species.</t>
  </si>
  <si>
    <t>LACY, RC (corresponding author), CHICAGO ZOOL PK,BROOKFIELD,IL 60513, USA.</t>
  </si>
  <si>
    <t>290 LIFE SCIENCE MUSEUM, PROVO, UT 84602</t>
  </si>
  <si>
    <t>0017-3614</t>
  </si>
  <si>
    <t>GREAT BASIN NAT</t>
  </si>
  <si>
    <t>Gt. Basin Nat.</t>
  </si>
  <si>
    <t>MT819</t>
  </si>
  <si>
    <t>WOS:A1993MT81900006</t>
  </si>
  <si>
    <t>CLEVENGER, AP</t>
  </si>
  <si>
    <t>VARIABILITY</t>
  </si>
  <si>
    <t>Between March and December 1990, a survey of Pine Marten Martes martes L. on the Balearic Islands of Minorca and Majorca was carried out. Pine Marten were found distributed over 55% of Minorca and occupied Aleppo Pine and Holm Oak forests, mediterranean shrublands and riparian/cliff habitats. In Majorca, Pine Marten were found on 48% of the island and three broad physiographic areas, the Sierra de Tramuntana, Sierra de Levant and the Massif de Randa. Droppings were collected along four designated routes during five bimonthly intervals in Minorca to describe the Pine Marten's differential use of habitat types. The upland/open pine forest had the highest use index while the Holm Oak forest had the lowest. The number of Pine Marten faeces collected was greatest during the months of July-August. The Balearic Island Pine Marten populations were once on the verge of extinction; however, protection during the last 20 years has enabled the species to recover throughout most of the forested habitats on both islands. Resource managers must carefully monitor the Pine Marten populations to provide the species and its habitat with adequate protection and management in the future.</t>
  </si>
  <si>
    <t>UNIV TENNESSEE,DEPT FORESTRY WILDLIFE &amp; FISHERIES,KNOXVILLE,TN 37901</t>
  </si>
  <si>
    <t>University of Tennessee System; University of Tennessee Knoxville; UT Institute of Agriculture</t>
  </si>
  <si>
    <t>Clevenger, Anthony P/0000-0003-0380-6272</t>
  </si>
  <si>
    <t>10.1111/j.1365-2907.1993.tb00417.x</t>
  </si>
  <si>
    <t>LP710</t>
  </si>
  <si>
    <t>WOS:A1993LP71000001</t>
  </si>
  <si>
    <t>SERFASS, TL; PEPER, RL; WHARY, MT; BROOKS, RP</t>
  </si>
  <si>
    <t>JOURNAL OF ZOO AND WILDLIFE MEDICINE</t>
  </si>
  <si>
    <t>RIVER OTTER; LUTRA-CANADENSIS; REINTRODUCTION; CAPTIVE MANAGEMENT</t>
  </si>
  <si>
    <t>The Pennsylvania River Otter Reintroduction Project (PRORP) was initiated in 1982 to restore river otters (Lutra canadensis) to portions of their historic range in Pennsylvania. To date, 75 otters have been successfully reintroduced to five watersheds in north-central and western Pennsylvania. Otters were obtained by live trapping in northeastern Pennsylvania and Maryland or were purchased from commercial dealers and trappers in Louisiana, New York, Michigan, and New Hampshire. Prior to reintroduction, otters usually underwent a period of captivity of 10-14 days to facilitate clinical evaluation, treatment of injuries, convalescence following surgical implantation of radio transmitters, and prerelease conditioning. Captive management techniques for physical and chemical restraint, evaluation of health status, housing, and nutrition were developed and refined by a team of wildlife biologists and laboratory animal veterinarians to enhance reintroduction success by promoting the release of healthy, well-conditioned otters. The incorporation of a captive management plan within the framework of otter relocation efforts has contributed to successful restoration of otter populations in Pennsylvania.</t>
  </si>
  <si>
    <t>PENN STATE UNIV,ANIM RESOURCES PROGRAM LAB,UNIV PK,PA 16802</t>
  </si>
  <si>
    <t>Pennsylvania Commonwealth System of Higher Education (PCSHE); Pennsylvania State University; Pennsylvania State University - University Park</t>
  </si>
  <si>
    <t>SERFASS, TL (corresponding author), PENN STATE UNIV,SCH FOREST RESOURCES,FOREST RESOURCES LAB,UNIV PK,PA 16802, USA.</t>
  </si>
  <si>
    <t>AMER ASSOC Z00 VETERINARIANS</t>
  </si>
  <si>
    <t>MEDIA</t>
  </si>
  <si>
    <t>6 NORTH PENNELL ROAD, MEDIA, PA 19063</t>
  </si>
  <si>
    <t>1042-7260</t>
  </si>
  <si>
    <t>J ZOO WILDLIFE MED</t>
  </si>
  <si>
    <t>J. Zoo Wildl. Med.</t>
  </si>
  <si>
    <t>Veterinary Sciences</t>
  </si>
  <si>
    <t>LA707</t>
  </si>
  <si>
    <t>WOS:A1993LA70700005</t>
  </si>
  <si>
    <t>GREEN, GA; BRUEGGEMAN, JJ</t>
  </si>
  <si>
    <t>ALASKA PENINSULA; ENHYDRA-LUTRIS; FOOD HABITS; SEA OTTER</t>
  </si>
  <si>
    <t>COMMUNITIES; PREDATION; FISHERIES</t>
  </si>
  <si>
    <t>Diet of sea otters (Enhydra lutris) using a haulout site on the north side of the Alaska Peninsula was determined from 50 scats. Dominant prey species were mussels (Mytilus edulis), followed by three species of clams (Siliqua spp., Spisula polynyma, and Tellina lutea), sand dollars (Echinarachnius parma), and helmet crabs (Telmessus cheiragonus). Our results support preliminary findings by Cimberg et al. (1984) that this sea otter population preys heavily on mussels and that the presence of low caloric value sand dollars in their diet is significant. Coupled with population estimates, our results also provide evidence that this population of sea otters may be declining due, in part, to overdepletion of food resources.</t>
  </si>
  <si>
    <t>GREEN, GA (corresponding author), EBASCO ENVIRONM,10900 NE 8TH ST,BELLEVUE,WA 98004, USA.</t>
  </si>
  <si>
    <t>SOC MARINE MAMMALOGY</t>
  </si>
  <si>
    <t>1041 NEW HAMPSHIRE ST, LAWRENCE, KS 66044</t>
  </si>
  <si>
    <t>10.1111/j.1748-7692.1991.tb00114.x</t>
  </si>
  <si>
    <t>GN344</t>
  </si>
  <si>
    <t>WOS:A1991GN34400004</t>
  </si>
  <si>
    <t>KRUUK, H; GOUDSWAARD, PC</t>
  </si>
  <si>
    <t>AFRICAN JOURNAL OF ECOLOGY</t>
  </si>
  <si>
    <t>FISH; POPULATIONS; OTTER; LAKE VICTORIA; FEEDING</t>
  </si>
  <si>
    <t>CLAWLESS OTTER; MARINE HABITAT</t>
  </si>
  <si>
    <t>Observations were made on feeding by spotted-necked otters (Lutra maculicollis), and the Cape clawless otter (Aonyx capensis), in Lake Victoria, Tanzania. Spotted-necked otters lived mostly in small packs. Their prey consisted mainly of cichlid fishes. A method is described for estimating prey size from the diameter of fish eye-lenses found in the otters' faeces. Spotted-necked otters took mostly small prey but they also often ate relatively large, introduced fish species, in contrast to reports on their food elsewhere and in Lake Victoria before the recent change in fish populations. Clawless otters ate mostly crabs. The populations of spotted-necked otters have declined along most coasts of Lake Victoria, possibly because of changes in fish populations and vegetation. Introduced fish species were preyed upon in certain types of shore-line vegetation especially on uninhabited islands. The clawless otter is not likely to be affected by the changes in fish populations.</t>
  </si>
  <si>
    <t>HAPLOCHROMIS ECOL SURVEY TEAM,MWANZA,TANZANIA</t>
  </si>
  <si>
    <t>KRUUK, H (corresponding author), INST TERR ECOL,BANCHORY AB3 4BY,SCOTLAND.</t>
  </si>
  <si>
    <t>0141-6707</t>
  </si>
  <si>
    <t>AFR J ECOL</t>
  </si>
  <si>
    <t>Afr. J. Ecol.</t>
  </si>
  <si>
    <t>10.1111/j.1365-2028.1990.tb01167.x</t>
  </si>
  <si>
    <t>FA607</t>
  </si>
  <si>
    <t>WOS:A1990FA60700007</t>
  </si>
  <si>
    <t>CRESSWELL, P; HARRIS, S; BUNCE, RGH; JEFFERIES, DJ</t>
  </si>
  <si>
    <t>INST TERR ECOL,MERLEWOOD RES STN,GRANGE OVER SAND LA11 6JU,CUMBRIA,ENGLAND; NATL CONSERVANCY COUNCIL,PETERBOROUGH PE1 1UA,ENGLAND</t>
  </si>
  <si>
    <t>UK Centre for Ecology &amp; Hydrology (UKCEH)</t>
  </si>
  <si>
    <t>CRESSWELL, P (corresponding author), UNIV BRISTOL,DEPT ZOOL,WOODLAND RD,BRISTOL BS8 1UG,AVON,ENGLAND.</t>
  </si>
  <si>
    <t>ACADEMIC PRESS LTD</t>
  </si>
  <si>
    <t>24-28 OVAL RD, LONDON, ENGLAND NW1 7DX</t>
  </si>
  <si>
    <t>10.1111/j.1095-8312.1989.tb01566.x</t>
  </si>
  <si>
    <t>AV154</t>
  </si>
  <si>
    <t>WOS:A1989AV15400011</t>
  </si>
  <si>
    <t>Aylward, CM; Murdoch, JD; Kilpatrick, CW</t>
  </si>
  <si>
    <t>Aylward, Cody M.; Murdoch, James D.; Kilpatrick, C. William</t>
  </si>
  <si>
    <t>HEREDITY</t>
  </si>
  <si>
    <t>FUNCTIONAL CONNECTIVITY; MULTIMODEL INFERENCE; BEHAVIORAL ECOLOGY; HABITAT SELECTION; MODEL SELECTION; WINTER HABITAT; CLIMATE-CHANGE; REGRESSION; DISPERSAL; POPULATIONS</t>
  </si>
  <si>
    <t>American marten (Martes americana) are a conservation priority in many forested regions of North America. Populations are fragmented at the southern edge of their distribution due to suboptimal habitat conditions. Facilitating gene flow may improve population resilience through genetic and demographic rescue. We used a multiscale approach to estimate the relationship between genetic connectivity and landscape characteristics among individuals at three scales in the northeastern United States: regional, subregional, and local. We integrated multiple modeling techniques and identified top models based on consensus. Top models were used to parameterize resistance surfaces at each scale, and circuit theory was used to identify potential movement corridors. Regional gene flow was affected by forest cover, elevation, developed land cover, and slope. At subregional and local scales, the effects were site specific and included subsets of temperature, elevation, developed land cover, and slope. Developed land cover significantly affected gene flow at each scale. At finer scales, lack of variance in forest cover may have limited the ability to detect a relationship with gene flow. The effect of slope on gene flow was positive or negative, depending on the site examined. Occupancy probability was a relatively poor predictor, and we caution its use as a proxy for landscape resistance. Our results underscore the importance of replication and multiscale approaches in landscape genetics. Climate warming and landscape conversion may reduce the genetic connectivity of marten populations in the northeastern United States, and represent the primary challenges to marten conservation at the southern periphery of their range.</t>
  </si>
  <si>
    <t>[Aylward, Cody M.; Murdoch, James D.] Univ Vermont, Rubenstein Sch Environm &amp; Nat Resources, Wildlife &amp; Fisheries Biol Program, 81 Carrigan Dr, Burlington, VT 05405 USA; [Aylward, Cody M.] Univ Calif Davis, Dept Wildlife Fish &amp; Conservat Biol, One Shields Ave, Davis, CA 95616 USA; [Aylward, Cody M.] Univ Calif Davis, Mammalian Ecol &amp; Conservat Unit, Vet Genet Lab, Davis, CA 95616 USA; [Kilpatrick, C. William] Univ Vermont, Dept Biol, 109 Carrigan Dr, Burlington, VT 05405 USA</t>
  </si>
  <si>
    <t>University of Vermont; University of California System; University of California Davis; University of California System; University of California Davis; University of Vermont</t>
  </si>
  <si>
    <t>Aylward, CM (corresponding author), Univ Vermont, Rubenstein Sch Environm &amp; Nat Resources, Wildlife &amp; Fisheries Biol Program, 81 Carrigan Dr, Burlington, VT 05405 USA.;Aylward, CM (corresponding author), Univ Calif Davis, Dept Wildlife Fish &amp; Conservat Biol, One Shields Ave, Davis, CA 95616 USA.;Aylward, CM (corresponding author), Univ Calif Davis, Mammalian Ecol &amp; Conservat Unit, Vet Genet Lab, Davis, CA 95616 USA.</t>
  </si>
  <si>
    <t>cmaylward@ucdavis.edu</t>
  </si>
  <si>
    <t>Vermont Department of Fish and Wildlife; University of Vermont</t>
  </si>
  <si>
    <t>Tissue samples for genetic analyses were provided by Paul Jensen (New York Department of Environmental Conservation), Chris Bernier and Kim Royar (Vermont Department of Fish and Wildlife), Alexej Siren and Jill Kilborn (New Hampshire Department of Fish and Game), Cory Mosby (Maine Department of Inland Fisheries and Wildlife), and volunteer trappers from Maine. We thank Liz Kierepka for helpful technical advice on methods and analysis. We also thank Jeremy Larroque for a constructive review. We thank the Vermont Department of Fish and Wildlife for funding genetic analyses and the University of Vermont for publishing funds.</t>
  </si>
  <si>
    <t>SPRINGERNATURE</t>
  </si>
  <si>
    <t>CAMPUS, 4 CRINAN ST, LONDON, N1 9XW, ENGLAND</t>
  </si>
  <si>
    <t>0018-067X</t>
  </si>
  <si>
    <t>1365-2540</t>
  </si>
  <si>
    <t>Heredity</t>
  </si>
  <si>
    <t>10.1038/s41437-020-0295-y</t>
  </si>
  <si>
    <t>Ecology; Evolutionary Biology; Genetics &amp; Heredity</t>
  </si>
  <si>
    <t>Environmental Sciences &amp; Ecology; Evolutionary Biology; Genetics &amp; Heredity</t>
  </si>
  <si>
    <t>KV6YU</t>
  </si>
  <si>
    <t>WOS:000509840000001</t>
  </si>
  <si>
    <t>Genetic diversity; Genetic structure; Martes; Peripheral populations; Reintroduction; Relictual populations</t>
  </si>
  <si>
    <t>MICROSATELLITE MARKERS; COMPUTER-PROGRAM; CONSERVATION; REINTRODUCTION; PATTERNS; PENNANTI; VARIABILITY; DISPERSAL; MOVEMENTS; INFERENCE</t>
  </si>
  <si>
    <t>American marten were extirpated from much of their native range in the northeastern United States as a result of land development and overharvesting before the mid-twentieth century. Based on occurrence records, recolonization in the late twentieth century was believed to have occurred via natural population expansion from two refugia: northern Maine and the eastern Adirondack Mountains of New York. Furthermore, a 1989-1991 reintroduction attempt in southern Vermont was originally declared unsuccessful, but marten have been rediscovered in southern Vermont since 2010. We used molecular techniques to resolve uncertain population histories and estimate contemporary levels of genetic variation and gene flow in marten populations in the northeastern United States. We sequenced a 320bp segment of the control region (D-loop) of mtDNA in 112 individuals and amplified 10 microsatellite loci in 111 individuals. Five genetic clusters were identified in the northeastern United States based on the microsatellite data: (1) Maine, (2) New Hampshire, (3) eastern Adirondacks (New York), (4) western Adirondacks (New York), and (5) southern Vermont. Clustering and assignment tests suggest that individuals in southern Vermont are most likely to have originated in Mainethe primary source of the reintroduction. However, we were unable to rule out the possibility of a relict population in southern Vermont. Population expansion in New Hampshire appears to be the primary source of recolonization in northeastern Vermont. Additionally, dispersers from the reintroduction attempt may have spread to northeastern Vermont. Genetic diversity is lower in the entire northeastern United States than an interior population in Ontario, Canada. This study improves our understanding of population history in the northeastern United States. Relict populations of marten may have persisted through the nineteenth and twentieth centuries where they were believed to have been extirpated. Recognizing and conserving all of the distinct subsets of native genetic diversity in the region could promote long-term population health.</t>
  </si>
  <si>
    <t>[Aylward, Cody M.; Murdoch, James D.] Univ Vermont, Rubenstein Sch Environm &amp; Nat Resources, Wildlife &amp; Fisheries Biol Program, George D Aiken Ctr, 81 Carrigan Dr, Burlington, VT 05405 USA; [Aylward, Cody M.] Univ Calif Davis, Dept Fish Wildlife &amp; Conservat Biol, Davis, CA 95616 USA; [Kilpatrick, C. William] Univ Vermont, Dept Biol, 109 Carrigan Dr, Burlington, VT 05405 USA</t>
  </si>
  <si>
    <t>University of Vermont; University of California System; University of California Davis; University of Vermont</t>
  </si>
  <si>
    <t>Aylward, CM (corresponding author), Univ Vermont, Rubenstein Sch Environm &amp; Nat Resources, Wildlife &amp; Fisheries Biol Program, George D Aiken Ctr, 81 Carrigan Dr, Burlington, VT 05405 USA.;Aylward, CM (corresponding author), Univ Calif Davis, Dept Fish Wildlife &amp; Conservat Biol, Davis, CA 95616 USA.</t>
  </si>
  <si>
    <t>Vermont Fish and Wildlife Department; University of Vermont</t>
  </si>
  <si>
    <t>We thank the Vermont Fish and Wildlife Department and University of Vermont for funding, and Chris Bernier (Vermont Fish and Wildlife Department), Kim Royar (Vermont Fish and Wildlife Department), Paul Jensen (New York Department of Environmental Conservation), Jillian Kilborn (New Hampshire Fish and Game Department), Alexej Siren (University of Massachusetts Amherst), Cory Mosby (Maine Department of Inland Fisheries and Wildlife), and volunteer trappers from Maine for providing tissue samples for genetic analyses. Katherine O'Shea conducted preliminary microsatellite amplifications.</t>
  </si>
  <si>
    <t>10.1007/s10592-018-1130-3</t>
  </si>
  <si>
    <t>HQ2CL</t>
  </si>
  <si>
    <t>WOS:000462207000010</t>
  </si>
  <si>
    <t>Heim, N; Fisher, JT; Clevenger, A; Paczkowski, J; Volpe, J</t>
  </si>
  <si>
    <t>Heim, Nicole; Fisher, Jason T.; Clevenger, Anthony; Paczkowski, John; Volpe, John</t>
  </si>
  <si>
    <t>human footprint; interspecific interactions; mesocarnivore; occupancy; species distribution</t>
  </si>
  <si>
    <t>RESPONSES; OCCUPANCY; RECOMMENDATIONS; CONSERVATION; BIODIVERSITY; POPULATIONS; COEXISTENCE; COMPETITION; FOOTPRINT; MORTALITY</t>
  </si>
  <si>
    <t>Contemporary landscapes are subject to a multitude of human-derived stressors. Effects of such stressors are increasingly realized by population declines and large-scale extirpation of taxa worldwide. Most notably, cumulative effects of climate and landscape change can limit species' local adaptation and dispersal capabilities, thereby reducing realized niche space and range extent. Resolving the cumulative effects of multiple stressors on species persistence is a pressing challenge in ecology, especially for declining species. For example, wolverines (Gulo gulo L.) persist on only 40% of their historic North American range. While climate change has been shown to be a mechanism of range retractions, anthropogenic landscape disturbance has been recently implicated. We hypothesized these two interact to effect declines. We surveyed wolverine occurrence using camera trapping and genetic tagging at 104 sites at the wolverine range edge, spanning a 15,000 km(2) gradient of climate, topographic, anthropogenic, and biotic variables. We used occupancy and generalized linear models to disentangle the factors explaining wolverine distribution. Persistent spring snow pack-expected to decrease with climate change-was a significant predictor, but so was anthropogenic landscape change. Canid mesocarnivores, which we hypothesize are competitors supported by anthropogenic landscape change, had comparatively weaker effect. Wolverine population declines and range shifts likely result from climate change and landscape change operating in tandem. We contend that similar results are likely for many species and that research that simultaneously examines climate change, landscape change, and the biotic landscape is warranted. Ecology research and species conservation plans that address these interactions are more likely to meet their objectives.</t>
  </si>
  <si>
    <t>[Heim, Nicole; Volpe, John] Univ Victoria, Victoria, BC, Canada; [Fisher, Jason T.] Univ Victoria, InnoTech Alberta, Victoria, BC, Canada; [Clevenger, Anthony] Montana State Univ, Western Transportat Inst, Bozeman, MT 59717 USA; [Paczkowski, John] Alberta Environm &amp; Pk, Edmonton, AB, Canada</t>
  </si>
  <si>
    <t>University of Victoria; University of Victoria; Montana State University System; Montana State University Bozeman</t>
  </si>
  <si>
    <t>Heim, N (corresponding author), Univ Victoria, Victoria, BC, Canada.</t>
  </si>
  <si>
    <t>heimnikki@gmail.com</t>
  </si>
  <si>
    <t>; Volpe, John/G-5667-2010; Fisher, Jason Thomas/AFK-7984-2022</t>
  </si>
  <si>
    <t>Clevenger, Anthony P/0000-0003-0380-6272; Volpe, John/0000-0001-6600-6868; Fisher, Jason Thomas/0000-0002-9020-6509</t>
  </si>
  <si>
    <t>Alberta Innovates - Technology Futures; University of Victoria; Natural Sciences and Engineering Research Council of Canada; Yellowstone to Yukon Conservation Initiative; Alpine Club of Canada Disney Conservation Fund Parks Canada Patagonia Environmental Fund National Geographic Society; Committee Research Exploration TD Environment Western Transportation Institute; Montana State University Woodcock Foundation</t>
  </si>
  <si>
    <t>Alberta Innovates - Technology Futures; University of Victoria; Natural Sciences and Engineering Research Council of Canada(Natural Sciences and Engineering Research Council of Canada (NSERC)CGIAR); Yellowstone to Yukon Conservation Initiative; Alpine Club of Canada Disney Conservation Fund Parks Canada Patagonia Environmental Fund National Geographic Society; Committee Research Exploration TD Environment Western Transportation Institute; Montana State University Woodcock Foundation</t>
  </si>
  <si>
    <t>Alberta Innovates - Technology Futures, Grant/Award Number: Eastern Slopes Predator Project Funding; University of Victoria; Natural Sciences and Engineering Research Council of Canada; Yellowstone to Yukon Conservation Initiative; Alpine Club of Canada Disney Conservation Fund Parks Canada Patagonia Environmental Fund National Geographic Society; Committee Research Exploration TD Environment Western Transportation Institute; Montana State University Woodcock Foundation</t>
  </si>
  <si>
    <t>10.1002/ece3.3337</t>
  </si>
  <si>
    <t>FM2ZZ</t>
  </si>
  <si>
    <t>WOS:000414873600022</t>
  </si>
  <si>
    <t>Cianfrani, C; Broennimann, O; Loy, A; Guisan, A</t>
  </si>
  <si>
    <t>Cianfrani, C.; Broennimann, O.; Loy, A.; Guisan, A.</t>
  </si>
  <si>
    <t>Freshwater ecosystems; Climate change; Vulnerability; Fragmentation; Human footprint; Intrinsic sensitivity; Extrinsic exposure</t>
  </si>
  <si>
    <t>ASSESSING SPECIES VULNERABILITY; EXTINCTION RISK; DISTRIBUTION MODELS; HUMAN FOOTPRINT; CONSERVATION; BIODIVERSITY; THREATS; TRAITS; DISTRIBUTIONS; CHALLENGES</t>
  </si>
  <si>
    <t>Climate change impact on species is commonly assessed by predicting species' range change, a measure of a species' extrinsic exposure. However, this is only one dimension of species' vulnerability to climate change. Spatial arrangement of suitable habitats (e.g., fragmentation), their degree of protection or human disturbance, as well as species' intrinsic sensitivity, such as climatic tolerances, are often neglected. Here, we consider components of species' intrinsic sensitivity to climate change (climatic niche specialization and marginality) together with components of extrinsic exposure (changes in range extent, fragmentation, coverage of protected areas, and human footprint) to develop an integrated vulnerability index to climate change for world's freshwater otters. As top freshwater predators, otters are among the most vulnerable mammals, with most species being threatened by habitat loss and degradation. All dimensions of climate change exposure were based on present and future predictions of species distributions. Annual mean temperature, mean diurnal temperature range, mean temperature of the wettest quarter, precipitation during the wettest quarter, and precipitation seasonality prove the most important variables for otters. All species are vulnerable to climate change, with global vulnerability index ranging from -0.19 for Lontra longicaudis to -36,9 for Aonyx congicus. However, we found that, for a given species, climate change can have both positive and negative effects on different components of extrinsic exposure, and that measures of species' sensitivity are not necessarily congruent with measures of exposure. For instance, the range of all African species would be negatively affected by climate change, but their different sensitivity offers a more (Hydrictis maculicollis, Aonyx capensis) or less (Aonyx congicus) pessimistic perspective on their ability to cope with climate change. Also, highly sensitive species like the South American Pteronura brasiliensis, Lontra provocax, and Lutra perspicillata might face no exposure to climate change. For the Asian Lutra sumatrana, climate change would instead lead to an increased, less fragmented, and more protected range extent, but the range extent would also be shifted into areas with higher human disturbances. Our study represents a balanced example of how to develop an index aimed at comparatively evaluating vulnerability to climate change of different species by combining different aspects of sensitivity and exposure, providing additional information on which to base more efficient conservation strategies.</t>
  </si>
  <si>
    <t>[Cianfrani, C.; Guisan, A.] Univ Lausanne, Inst Earth Surface Dynam IDYST, Geopolis, CH-1015 Lausanne, Switzerland; [Broennimann, O.; Guisan, A.] Univ Lausanne, Dept Ecol &amp; Evolut DEE, Biophore, CH-1015 Lausanne, Switzerland; [Loy, A.] Univ Molise, Dept Biosci &amp; Terr, Environmetr Lab, Contrada Fonte Lappone, I-86090 Pesche, Italy</t>
  </si>
  <si>
    <t>University of Lausanne; University of Lausanne; University of Molise</t>
  </si>
  <si>
    <t>Cianfrani, C (corresponding author), Univ Lausanne, Inst Earth Surface Dynam IDYST, Geopolis, CH-1015 Lausanne, Switzerland.</t>
  </si>
  <si>
    <t>carmen.cianfrani@unil.ch</t>
  </si>
  <si>
    <t>Broennimann, Olivier/D-3495-2011; Guisan, Antoine/A-1057-2011; Brönnimann, Olivier/D-3495-2011</t>
  </si>
  <si>
    <t>Broennimann, Olivier/0000-0001-9913-3695; Guisan, Antoine/0000-0002-3998-4815; Brönnimann, Olivier/0000-0001-5394-4564</t>
  </si>
  <si>
    <t>Swiss National Science Foundation; National Park of Abruzzo, Lazio and Molise</t>
  </si>
  <si>
    <t>Swiss National Science Foundation(Swiss National Science Foundation (SNSF)); National Park of Abruzzo, Lazio and Molise</t>
  </si>
  <si>
    <t>CC and AG benefitted support from the Swiss National Science Foundation. This project was also partly supported by the National Park of Abruzzo, Lazio and Molise to AL. We are grateful to the three anonymous referees which suggestions and comments improved the clarity and readability of a previous version of this manuscript.</t>
  </si>
  <si>
    <t>10.1016/j.biocon.2018.02.031</t>
  </si>
  <si>
    <t>GF3IC</t>
  </si>
  <si>
    <t>WOS:000431837800012</t>
  </si>
  <si>
    <t>Zielinski, WJ; Tucker, JM; Rennie, KM</t>
  </si>
  <si>
    <t>Zielinski, William J.; Tucker, Jody M.; Rennie, Kerry M.</t>
  </si>
  <si>
    <t>California; Climate; Fisher; Geographic range; Marten; Martes caurina; Niche; Pekania pennanti; Sierra Nevada</t>
  </si>
  <si>
    <t>MARTES-AMERICANA; SIERRA-NEVADA; FISHERS; PENNANTI; HABITAT; DISTRIBUTIONS; EVOLUTIONARY; COOCCURRENCE; COEXISTENCE; CALIFORNIA</t>
  </si>
  <si>
    <t>There is considerable interest in factors controlling warm-edge limits the lower elevation and latitudinal edges of a species' range. Understanding whether conservation measures can mitigate anticipated change in climate requires consideration of future climate as well as species interactions. We explored niche relations of martens and fishers at their southern range margins to understand their spatial and temporal dynamics, and how they may be affected by climate change. We used large-scale non-invasive surveys and home range data from radio-marked individuals to explore the spatial dynamics of each species. Marten and fisher were allopatric in the northern/wetter regions but sympatric at intermediate latitudes with lower precipitation. In the driest/southernmost region only fishers occurred. Martens were not detected when annual precipitation was &lt; 900 mm and rare where minimum temperatures exceeded 4 degrees C. Fishers were absent where spring snow was &gt; 650 mm. Classification trees, accounting for multivariate interactions, supported these results. Where sympatric, similar to 70% of a marten's home range overlapped with at least one fisher but martens tended to avoid this area. In sympatry, marten expanded their niche into areas with reduced snowpack, warmer temperatures and uncharacteristic lower elevation habitats. Future climate scenarios predict conditions that favor fishers, but our data suggest martens may be capable of shifting their niche somewhat to warmer and less snowy habitats. The conservation of interacting species at their warm range limits will require land managers be aware of interspecific tolerance, how each may respond uniquely to future climates, and how potential climate refugia can be integrated with existing habitat.</t>
  </si>
  <si>
    <t>[Zielinski, William J.] US Forest Serv, USDA, Pacific Southwest Res Stn, Pacific Southwest Stn, 1700 Bayview Dr, Arcata, CA 95521 USA; [Tucker, Jody M.] US Forest Serv, USDA, Pacific Southwest Reg, Sequoia Natl Forest, 1839 S Newcomb St, Porterville, CA 93257 USA; [Rennie, Kerry M.] Humboldt State Univ, Dept Wildlife, Arcata, CA 95521 USA</t>
  </si>
  <si>
    <t>United States Department of Agriculture (USDA); United States Forest Service; United States Department of Agriculture (USDA); United States Forest Service; California State University System; California State Polytechnic University, Humboldt</t>
  </si>
  <si>
    <t>Zielinski, WJ (corresponding author), US Forest Serv, USDA, Pacific Southwest Res Stn, Pacific Southwest Stn, 1700 Bayview Dr, Arcata, CA 95521 USA.</t>
  </si>
  <si>
    <t>USDA Forest Service Pacific Southwest Research Station; USDA Forest Service Pacific Southwest Region</t>
  </si>
  <si>
    <t>USDA Forest Service Pacific Southwest Research Station(United States Department of Agriculture (USDA)United States Forest Service); USDA Forest Service Pacific Southwest Region(United States Department of Agriculture (USDA)United States Forest Service)</t>
  </si>
  <si>
    <t>We thank the USDA Forest Service Pacific Southwest Research Station and the USDA Forest Service Pacific Southwest Region for financial support and T. Morelli for review comments. J. Baldwin provided statistical support. We thank R. Truex for his extensive contributions to the Sierra Nevada carnivore monitoring program and innumerable field assistants.</t>
  </si>
  <si>
    <t>10.1016/j.biocon.2017.03.016</t>
  </si>
  <si>
    <t>EY9HB</t>
  </si>
  <si>
    <t>WOS:000404308600059</t>
  </si>
  <si>
    <t>Navarro, MA; Quadros, J</t>
  </si>
  <si>
    <t>Navarro, Marcos A.; Quadros, Juliana</t>
  </si>
  <si>
    <t>IHERINGIA SERIE ZOOLOGIA</t>
  </si>
  <si>
    <t>Portuguese</t>
  </si>
  <si>
    <t>Atlantic Forest; landslides; Lutrinae; mammals; Saint-Hilaire/Lange National Park</t>
  </si>
  <si>
    <t>NEOTROPICAL OTTER; SOUTHEASTERN BRAZIL; SOUTHERN BRAZIL; RIVER; STREAM; OLFERS; STATE; DIET</t>
  </si>
  <si>
    <t>Studies about natural disasters impact on fauna are rare in the scientific literature. Concerning Lontra longicaudis (Olfers, 1818), published data could not be found. This study aimed to determine whether the landslides occurred in March 2011 in part of the slopes of Serra da Prata (Parana, Brazil) affected the occurrence of the Neotropical Otter in the impacted area. With this purpose, the study area comprehended an affected river (Rio Santa Cruz -RSC), on the east face of those mountains that was compared to another one, on the same face and with similar original features, but not affected by the natural disaster (Rio das Pombas - RP). The study area is located within the boundaries of a conservation unit (Parque Nacional de Saint-Hilaire/Lange, PNSHL). Seven field campaigns from the altitudinal limit of PNSHL (60 m a.s.l.) towards upstream, were conducted between August 2012 and July 2013. Campaigns consisted of an active search for evidence (scats, footprints, scratches) and otter dens along 3 km of river banks. Other mammal records were also registered. Each evidence was noted down on a field book, photographed and georeferenced. Dens were monitored along field campaigns. Concerning otters, 102 vestiges (11 scratches, 11 footprints and 80 scats) and 17 dens were recorded in the not affected river (RP); and the affected river (RSC) presented only four vestiges (three footprints, one scat) and one den. Other mammal records denoted the presence of eight taxa at RP and 14 at RSC. The conspicuous differences in the amount of evidences of otter presence indicate that the natural disaster affected the otter population in RSC river and that even more than two years later otters had only discreetly come back. On the other hand, other mammal species, such as Cuniculus paca (Linnaeus, 1758) reoccupied the river banks abundantly.</t>
  </si>
  <si>
    <t>[Navarro, Marcos A.; Quadros, Juliana] Univ Fed Parana, Programa Posgrad Zool, Ave Cel Francisco Heraclito dos Santos 210, BR-81531970 Curitiba, Parana, Brazil; [Quadros, Juliana] Univ Fed Parana, Lab Biodiversidade &amp; Conservacao, Setor Litoral, Rua Jaguaria 512, BR-83260000 Matinhos, PR, Brazil</t>
  </si>
  <si>
    <t>Universidade Federal do Parana; Universidade Federal do Parana</t>
  </si>
  <si>
    <t>Navarro, MA (corresponding author), Univ Fed Parana, Programa Posgrad Zool, Ave Cel Francisco Heraclito dos Santos 210, BR-81531970 Curitiba, Parana, Brazil.</t>
  </si>
  <si>
    <t>navarro.navarro@live.com; quadros.juliana@hotmail.com</t>
  </si>
  <si>
    <t>Navarro, Marcos André/0009-0002-5348-0987</t>
  </si>
  <si>
    <t>FUNDACAO ZOOBOTANICA RIO GRANDE SUL, MUSEU CIENCIAS NATURAIS</t>
  </si>
  <si>
    <t>PORTO ALEGRE</t>
  </si>
  <si>
    <t>CAIXA POSTAL 1188, PORTO ALEGRE, RS 00000, BRAZIL</t>
  </si>
  <si>
    <t>0073-4721</t>
  </si>
  <si>
    <t>1678-4766</t>
  </si>
  <si>
    <t>IHERINGIA SER ZOOL</t>
  </si>
  <si>
    <t>Iheringia Ser. Zool.</t>
  </si>
  <si>
    <t>e2017039</t>
  </si>
  <si>
    <t>10.1590/1678-4766e2017039</t>
  </si>
  <si>
    <t>FL4KH</t>
  </si>
  <si>
    <t>WOS:000414198000004</t>
  </si>
  <si>
    <t>Formoso, AE; Dolsan, M; Sosa, RA; Teta, P</t>
  </si>
  <si>
    <t>Formoso, Anahi E.; Dolsan, Marcelo; Alberto Sosa, Ramon; Teta, Pablo</t>
  </si>
  <si>
    <t>Argentina; La Pampa; New record; National Park; Patagonian weasel</t>
  </si>
  <si>
    <t>CONSERVATION</t>
  </si>
  <si>
    <t>The Patagonian weasel (Lyncodon patagonicus) is a small, rare, and little known carnivore. Its distribution, which includes several fossil and historical records, spans western Argentina and southern Chile. According to recent studies, its populations are declining, affecting its conservation. In this paper we report a new locality of occurrence for the species based on a photographed individual from Lihue Calel National Park, La Pampa Province. The importance of this record is that it is located 173 km southwest from the nearest previously known reference, and helps to fill a wide gap in the center of its range, where there were no previous records. All Rights Reserved (C) 2016 Universidad Nacional Autonoma de Mexico, Institute de Biologia. This is an open access item distributed under the Creative Commons CC License BY-NC-ND 4.0.</t>
  </si>
  <si>
    <t>[Formoso, Anahi E.] Consejo Nacl Invest Cient &amp; Tecn, Inst Diversidad &amp; Evolut Austral, Blvd Brown 2915, RA-9120 Puerto Madryn, Chubut, Argentina; [Dolsan, Marcelo] Direcc Recursos Nat, Dept Flora &amp; Fauna, Santiago Ortiz 339, RA-6300 Santa Rosa, La Pampa, Argentina; [Alberto Sosa, Ramon] Univ Nacl La Pampa, Fac Ciencias Exactas &amp; Nat, Dept Recursos Nat, Grp Invest Ecol Comunidades Aridas &amp; Semiaridas, Uruguay 151,L6300CLB, Santa Rosa, La Pampa, Argentina; [Teta, Pablo] Museo Argentino Ciencias Nat Bernardino Rivadavia, Div Mastozool, Av Angel Gallardo 470,C1405DJR, Buenos Aires, DF, Argentina</t>
  </si>
  <si>
    <t>Consejo Nacional de Investigaciones Cientificas y Tecnicas (CONICET); Museo Argentino de Ciencias Naturales Bernardino Rivadavia (MACN)</t>
  </si>
  <si>
    <t>Formoso, AE (corresponding author), Consejo Nacl Invest Cient &amp; Tecn, Inst Diversidad &amp; Evolut Austral, Blvd Brown 2915, RA-9120 Puerto Madryn, Chubut, Argentina.</t>
  </si>
  <si>
    <t>formoso@cenpat-conicet.gob.ar</t>
  </si>
  <si>
    <t>Formoso, Anahi E/0000-0001-9086-1901</t>
  </si>
  <si>
    <t>10.1016/j.rmb.2016.06.012</t>
  </si>
  <si>
    <t>DY1SC</t>
  </si>
  <si>
    <t>WOS:000384873700034</t>
  </si>
  <si>
    <t>Ahlers, AA; Cotner, LA; Wolff, PJ; Mitchell, MA; Heske, EJ; Schooley, RL</t>
  </si>
  <si>
    <t>Ahlers, Adam A.; Cotner, Lisa A.; Wolff, Patrick J.; Mitchell, Mark A.; Heske, Edward J.; Schooley, Robert L.</t>
  </si>
  <si>
    <t>MINK MUSTELA-VISON; MUSKRATS ONDATRA-ZIBETHICUS; AMERICAN MINK; CLIMATE-CHANGE; HABITAT PREFERENCES; HOME RANGES; SPACE USE; OCCUPANCY; SELECTION; SURVIVAL</t>
  </si>
  <si>
    <t>Climate change is predicted to increase the frequency of droughts and intensity of seasonal precipitation in many regions. Semiaquatic mammals should be vulnerable to this increased variability in precipitation, especially in human-modified landscapes where dispersal to suitable habitat or temporary refugia may be limited. Using six years of presence-absence data (2007-2012) spanning years of record-breaking drought and flood conditions, we evaluated regional occupancy dynamics of American mink (Neovison vison) and muskrats (Ondatra zibethicus) in a highly altered agroecosystem in Illinois, USA. We used noninvasive sign surveys and a multiseason occupancy modeling approach to estimate annual occupancy rates for both species and related these rates to summer precipitation. We also tracked radiomarked individuals to assess mortality risk for both species when moving in terrestrial areas. Annual model-averaged estimates of occupancy for mink and muskrat were correlated positively to summer precipitation. Mink and muskrats were widespread during a year (2008) with above-average precipitation. However, estimates of site occupancy declined substantially for mink (0.56) and especially muskrats (0.09) during the severe drought of 2012. Mink are generalist predators that probably use terrestrial habitat during droughts. However, mink had substantially greater risk of mortality away from streams. In comparison, muskrats are more restricted to aquatic habitats and likely suffered high mortality during the drought. Our patterns are striking, but a more mechanistic understanding is needed of how semiaquatic species in human-modified ecosystems will respond ecologically in situ to extreme weather events predicted by climate-change models.</t>
  </si>
  <si>
    <t>[Ahlers, Adam A.; Cotner, Lisa A.; Wolff, Patrick J.; Schooley, Robert L.] Univ Illinois, Dept Nat Resources &amp; Environm Sci, Urbana, IL 61801 USA; [Ahlers, Adam A.; Heske, Edward J.] Illinois Nat Hist Survey, Prairie Res Inst, Champaign, IL 61820 USA; [Mitchell, Mark A.] Univ Illinois, Coll Vet Med, Urbana, IL 61801 USA</t>
  </si>
  <si>
    <t>University of Illinois System; University of Illinois Urbana-Champaign; Illinois Natural History Survey; University of Illinois System; University of Illinois Urbana-Champaign</t>
  </si>
  <si>
    <t>Ahlers, AA (corresponding author), Kansas State Univ, Dept Hort Forestry &amp; Recreat Resources, Manhattan, KS 66506 USA.</t>
  </si>
  <si>
    <t>aahlers2@ksu.edu.edu</t>
  </si>
  <si>
    <t>; Ahlers, Adam/G-4874-2012; Mitchell, Mark/GPX-1183-2022</t>
  </si>
  <si>
    <t>Ahlers, Adam/0000-0002-5699-0897;</t>
  </si>
  <si>
    <t>Federal Aid and Wildlife Restoration Fund [W-149-R-2]; Illinois Department of Natural Resources Furbearer Fund; Illinois Trappers Association</t>
  </si>
  <si>
    <t>Federal Aid and Wildlife Restoration Fund; Illinois Department of Natural Resources Furbearer Fund; Illinois Trappers Association</t>
  </si>
  <si>
    <t>Funding was provided by grants from Federal Aid and Wildlife Restoration Fund(W-149-R-2), Illinois Department of Natural Resources Furbearer Fund, and the Illinois Trappers Association.</t>
  </si>
  <si>
    <t>AUG 18</t>
  </si>
  <si>
    <t>e0135036</t>
  </si>
  <si>
    <t>10.1371/journal.pone.0135036</t>
  </si>
  <si>
    <t>CP1VY</t>
  </si>
  <si>
    <t>WOS:000359666100020</t>
  </si>
  <si>
    <t>Albeke, SE; Nibbelink, NP; Ben-David, M</t>
  </si>
  <si>
    <t>Albeke, Shannon E.; Nibbelink, Nathan P.; Ben-David, Merav</t>
  </si>
  <si>
    <t>VALDEZ OIL-SPILL; RANDOM-WALK MODELS; CLIMATE-CHANGE; NORTHERN GULF; LIFE-HISTORY; HOME RANGES; NITROGEN DEPOSITION; MIGRATION PHENOLOGY; LUTRA-CANADENSIS; ANIMAL MOVEMENT</t>
  </si>
  <si>
    <t>Effects of climate change on animal behavior and cascading ecosystem responses are rarely evaluated. In coastal Alaska, social river otters (Lontra Canadensis), largely males, cooperatively forage on schooling fish and use latrine sites to communicate group associations and dominance. Conversely, solitary otters, mainly females, feed on intertidal-demersal fish and display mutual avoidance via scent marking. This behavioral variability creates hotspots of nutrient deposition and affects plant productivity and diversity on the terrestrial landscape. Because the abundance of schooling pelagic fish is predicted to decline with climate change, we developed a spatially-explicit individual-based model (IBM) of otter behavior and tested six scenarios based on potential shifts to distribution patterns of schooling fish. Emergent patterns from the IBM closely mimicked observed otter behavior and landscape use in the absence of explicit rules of intraspecific attraction or repulsion. Model results were most sensitive to rules regarding spatial memory and activity state following an encounter with a fish school. With declining availability of schooling fish, the number of social groups and the time simulated otters spent in the company of conspecifics declined. Concurrently, model results suggested an elevation of defecation rate, a 25% increase in nitrogen transport to the terrestrial landscape, and significant changes to the spatial distribution of hotspots with declines in schooling fish availability. However, reductions in availability of schooling fish could lead to declines in otter density over time.</t>
  </si>
  <si>
    <t>[Albeke, Shannon E.] Univ Wyoming, Wyoming Geog Informat Sci Ctr, Laramie, WY 82071 USA; [Nibbelink, Nathan P.] Univ Georgia, Warnell Sch Forestry &amp; Nat Resources, Athens, GA 30602 USA; [Ben-David, Merav] Univ Wyoming, Dept Zool &amp; Physiol, Laramie, WY 82071 USA</t>
  </si>
  <si>
    <t>University of Wyoming; University System of Georgia; University of Georgia; University of Wyoming</t>
  </si>
  <si>
    <t>Albeke, SE (corresponding author), Univ Wyoming, Wyoming Geog Informat Sci Ctr, Laramie, WY 82071 USA.</t>
  </si>
  <si>
    <t>salbeke@uwyo.edu</t>
  </si>
  <si>
    <t>; Albeke, Shannon/J-1668-2012</t>
  </si>
  <si>
    <t>Nibbelink, Nathan/0000-0003-0793-0502;</t>
  </si>
  <si>
    <t>National Science Foundation [0454474]; University of Georgia; Warnell School of Forestry and Natural Resources; University of Wyoming; Division Of Environmental Biology; Direct For Biological Sciences [0454474] Funding Source: National Science Foundation</t>
  </si>
  <si>
    <t>National Science Foundation(National Science Foundation (NSF)); University of Georgia; Warnell School of Forestry and Natural Resources; University of Wyoming; Division Of Environmental Biology; Direct For Biological Sciences(National Science Foundation (NSF)NSF - Directorate for Biological Sciences (BIO))</t>
  </si>
  <si>
    <t>Funding for this project was provided by the National Science Foundation (http://www.nsf.gov/) DEB #0454474, the University of Georgia (http://uga.edu) Warnell School of Forestry and Natural Resources (http://www.warnell.uga.edu/), and the University of Wyoming (http://uwyo.edu). The funders had no role in study design, data collection and analysis, decision to publish, or preparation of the manuscript.</t>
  </si>
  <si>
    <t>JUN 10</t>
  </si>
  <si>
    <t>e0126208</t>
  </si>
  <si>
    <t>10.1371/journal.pone.0126208</t>
  </si>
  <si>
    <t>CK1PO</t>
  </si>
  <si>
    <t>WOS:000355979500012</t>
  </si>
  <si>
    <t>Clevenger, AP</t>
  </si>
  <si>
    <t>Clevenger, Anthony P.</t>
  </si>
  <si>
    <t>Banff National Park; Gulo gulo; roads; wildlife crossing structures; wolverine</t>
  </si>
  <si>
    <t>WILDLIFE CROSSING-STRUCTURES; CLIMATE-CHANGE; HABITAT USE; GULO-GULO; CONNECTIVITY; CONSERVATION; UNDERPASSES; DISPERSAL</t>
  </si>
  <si>
    <t>Research provides transportation agencies with evidence-based data to guide the planning and design of crossing structures that effectively link critical habitats and populations. To date, research has focused on a range of mammal species. However, for rare-occurring, wide-ranging species such as wolverines (Gulo gulo), collecting the required information can be challenging. Highway crossing structures have been recommended as a conservation strategy for wolverines in the northern U.S. Rocky Mountains. However, there is virtually no information describing wolverine response to crossing mitigation. I describe 15 years of continuous year-round monitoring (1996-2012) of wolverine response to highway mitigation in Banff National Park, Alberta. Crossing structures were monitored using track pads and cameras. Wolverines were detected using crossing structures 10 times. Nine crossings occurred at wildlife underpasses and one at a wildlife overpass. The first detected passage occurred in 2005. Three crossings were recorded during the same crossing check in 2010 and 2011, suggesting use by the same individual of the structures. Few conclusions can be drawn regarding the attributes of crossing structures that facilitate passage of wolverines. Given the scarcity of crossing structures within wolverine range, it will be difficult to collect sufficient information in the short term for this rare and elusive species. Given the proposal to list wolverines under the Endangered Species Act, transportation departments and land managers should begin proactively identifying critical habitat linkages across highways in wolverine range and opportunities for highway mitigation in the short and long term.</t>
  </si>
  <si>
    <t>Montana State Univ, Western Transportat Inst, Bozeman, MT 59717 USA</t>
  </si>
  <si>
    <t>Montana State University System; Montana State University Bozeman</t>
  </si>
  <si>
    <t>Clevenger, AP (corresponding author), Montana State Univ, Western Transportat Inst, POB 174250, Bozeman, MT 59717 USA.</t>
  </si>
  <si>
    <t>apclevenger@gmail.com</t>
  </si>
  <si>
    <t>Parks Canada; Western Transportation Institute at Montana State University; Woodcock Foundation; Henry P. Kendall Foundation; Wilburforce Foundation</t>
  </si>
  <si>
    <t>Thanks to Trevor Kinley, Omar McDadi and two anonymous reviewers for edits to an early draft. Ben Dorsey created the study area figure and provided geographic information system (GIS) assistance. The long-term project has been supported by Parks Canada, Western Transportation Institute at Montana State University, Woodcock Foundation, Henry P. Kendall Foundation, and Wilburforce Foundation. Stephen Woodley championed our research within Parks Canada. I thank the many field assistants and volunteers for their help checking crossing structures, raking track pads year-round, and helping with the time-consuming task of classifying photographs from the crossing structures.</t>
  </si>
  <si>
    <t>10.3955/046.087.0307</t>
  </si>
  <si>
    <t>229MZ</t>
  </si>
  <si>
    <t>WOS:000325271800005</t>
  </si>
  <si>
    <t>Wasserman, TN; Cushman, SA; Littell, JS; Shirk, AJ; Landguth, EL</t>
  </si>
  <si>
    <t>Wasserman, Tzeidle N.; Cushman, Samuel A.; Littell, Jeremy S.; Shirk, Andrew J.; Landguth, Erin L.</t>
  </si>
  <si>
    <t>Climate change; Population connectivity; Gene flow; Genetic diversity; American marten; Martes americana</t>
  </si>
  <si>
    <t>INBREEDING DEPRESSION; EXTINCTION RISK; HABITAT FRAGMENTATION; SPECIES DISTRIBUTIONS; LANDSCAPE; DISPERSAL; INFERENCE; FLOW</t>
  </si>
  <si>
    <t>Climate change is likely to alter population connectivity, particularly for species associated with higher elevation environments. The goal of this study is to predict the potential effects of future climate change on population connectivity and genetic diversity of American marten populations across a 30.2 million hectare region of the in the US northern Rocky Mountains. We use a landscape resistance model validated from empirical landscape genetics modeling to predict the current and expected future extent and fragmentation of American marten dispersal habitat under five climate change scenarios, corresponding to climatic warming of between 0.7 and 3.3 A degrees C, consistent with expected climate change by year 2080. We predict the regions of the current and future landscapes where gene flow is expected to be governed by isolation by distance and the regions where population fragmentation is expected to limit gene flow. Finally, we predict changes in the strength and location of predicted movement corridors, fracture zones and the location of dispersal barriers across the study area in each scenario. We found that under the current climate, gene flow is predicted to be limited primarily by distance (isolation), and landscape structure does not significantly limit gene flow, resulting in very high genetic diversity over most of the study area. Projected climatic warming substantially reduces the extent and increases the fragmentation of marten populations in the western and northwestern parts of the study area. In contrast, climate change is not predicted to fragment the extensive higher elevation mountain massifs in central Idaho, the northern U.S. continental divide, and Greater Yellowstone Ecosystem. In addition, we show locations in the study area that are important corridors in the current landscape that remain intact across the climate change scenarios.</t>
  </si>
  <si>
    <t>[Wasserman, Tzeidle N.] No Arizona Univ, Flagstaff, AZ 86011 USA; [Cushman, Samuel A.] US Forest Serv, Rocky Mt Res Stn, Flagstaff, AZ 86001 USA; [Littell, Jeremy S.; Shirk, Andrew J.] Univ Washington, Climate Impacts Grp, Seattle, WA 98195 USA; [Landguth, Erin L.] Univ Montana, Div Biol Sci, Missoula, MT 59812 USA</t>
  </si>
  <si>
    <t>Northern Arizona University; United States Department of Agriculture (USDA); United States Forest Service; University of Washington; University of Washington Seattle; University of Montana System; University of Montana</t>
  </si>
  <si>
    <t>Cushman, SA (corresponding author), US Forest Serv, Rocky Mt Res Stn, 2500 S Pine Knoll Dr, Flagstaff, AZ 86001 USA.</t>
  </si>
  <si>
    <t>scushman@fs.fed.us</t>
  </si>
  <si>
    <t>Cushman, Samuel/IWM-0020-2023; Landguth, Erin/ABB-8941-2020</t>
  </si>
  <si>
    <t>10.1007/s10592-012-0336-z</t>
  </si>
  <si>
    <t>119DD</t>
  </si>
  <si>
    <t>WOS:000317076500023</t>
  </si>
  <si>
    <t>Zigouris, J; Dawson, FN; Bowman, J; Gillett, RM; Schaefer, JA; Kyle, CJ</t>
  </si>
  <si>
    <t>Zigouris, Joanna; Dawson, F. Neil; Bowman, Jeff; Gillett, Roxanne M.; Schaefer, James A.; Kyle, Christopher J.</t>
  </si>
  <si>
    <t>Microsatellites; Mitochondrial DNA; Genetic structure; Wolverine; Peripheral population; Conservation; Gulo gulo</t>
  </si>
  <si>
    <t>GEOGRAPHICAL RANGES; CLIMATE-CHANGE; DIVERSITY; MITOCHONDRIAL; CONSERVATION; EDGE; PATTERNS; PHYLOGEOGRAPHY; ABUNDANCE; HISTORY</t>
  </si>
  <si>
    <t>Conservation strategies have a tendency to discount range peripheries, but recent evidence suggests that range edges may be important to species persistence by harboring genetic variants not found in core distributions. Wolverines in Canada are recognized as existing in two populations-an endangered eastern population and an extant western population thought to be largely panmictic. Studies from western North America identified strong patterns of female philopatry and increased genetic structure at the current southwestern periphery. Due to the paucity of data from the contemporary eastern periphery, it remains unclear if similar patterns exist at this range edge. Using neutral microsatellite and mitochondrial DNA markers from a broad geographic extent (&gt; 2,500 km), we found that wolverines at the eastern periphery displayed strong patterns of genetic distinctiveness from northwestern populations. While the microsatellite data suggest contemporary genetic structure exists, the haplotypic composition of the eastern periphery drastically differed from the core, indicating longstanding differences between regions. Further research is needed to determine if wolverines from the eastern periphery show evidence of interactions with the functionally extirpated eastern population, if functional markers display similar patterns of genetic diversity, and what relevance these may have in their evolutionary potential. Pronounced environmental fluctuations at range boundaries likely contribute to peripheral populations having genotypes with a greater capacity to respond to future selection pressures like climate change and may become a vital source of genetic diversity should core regions become replaced by edge habitats, and thus warrant separate conservation consideration.</t>
  </si>
  <si>
    <t>[Zigouris, Joanna] Trent Univ, Environm &amp; Life Sci Gradate Program, Peterborough, ON K9J 7B8, Canada; [Dawson, F. Neil] Ontario Minist Nat Resources, Thunder Bay, ON P7C 4T9, Canada; [Bowman, Jeff] Trent Univ, Ontario Minist Nat Resources, Wildlife Res &amp; Dev Sect, Peterborough, ON K9J 7B8, Canada; [Gillett, Roxanne M.] Trent Univ, Nat Resources DNA Profiling &amp; Forens Ctr, Peterborough, ON K9J 7B8, Canada; [Schaefer, James A.] Trent Univ, Dept Biol, Peterborough, ON K9J 7B8, Canada; [Kyle, Christopher J.] Trent Univ, Dept Forens Sci, Peterborough, ON K9J 7B8, Canada</t>
  </si>
  <si>
    <t>Trent University; Ministry of Natural Resources &amp; Forestry; Trent University; Ministry of Natural Resources &amp; Forestry; Trent University; Trent University; Trent University</t>
  </si>
  <si>
    <t>Zigouris, J (corresponding author), Trent Univ, Environm &amp; Life Sci Gradate Program, 1600 W Bank Dr, Peterborough, ON K9J 7B8, Canada.</t>
  </si>
  <si>
    <t>joannazigouris@gmail.com</t>
  </si>
  <si>
    <t>Bowman, Jeff/0000-0002-1892-4469; Schaefer, James/0000-0002-3416-1748</t>
  </si>
  <si>
    <t>Ontario Living Legacy Trust Fund; Wildlife Conservation Society Canada; Wolverine Foundation, Inc.; Ontario Ministry of Natural Resources Far North Initiative; Natural Sciences and Engineering Research Council of Canada</t>
  </si>
  <si>
    <t>Ontario Living Legacy Trust Fund; Wildlife Conservation Society Canada; Wolverine Foundation, Inc.; Ontario Ministry of Natural Resources Far North Initiative; Natural Sciences and Engineering Research Council of Canada(Natural Sciences and Engineering Research Council of Canada (NSERC)CGIAR)</t>
  </si>
  <si>
    <t>We would like to thank, Kim Austen, Dean Berezanski, Audrey Magoun, Lori Skitt, and Justina Ray for providing assistance with aspects of this study. This research was funded by the Ontario Living Legacy Trust Fund, Wildlife Conservation Society Canada, The Wolverine Foundation, Inc., the Ontario Ministry of Natural Resources Far North Initiative, and Discovery Grants from the Natural Sciences and Engineering Research Council of Canada to Dr. J.A. Schaefer and Dr. C.J. Kyle. We also thank the three anonymous reviewers for their helpful comments and suggestions.</t>
  </si>
  <si>
    <t>10.1007/s10592-012-0399-x</t>
  </si>
  <si>
    <t>031LQ</t>
  </si>
  <si>
    <t>WOS:000310642300010</t>
  </si>
  <si>
    <t>Cianfrani, C; Le Lay, G; Maiorano, L; Satizábal, HF; Loy, A; Guisan, A</t>
  </si>
  <si>
    <t>Cianfrani, Carmen; Le Lay, Gwenaelle; Maiorano, Luigi; Satizabal, Hector F.; Loy, Anna; Guisan, Antoine</t>
  </si>
  <si>
    <t>Long-term conservation plan; Climate change; Freshwater ecosystem; Ensemble forecasting; Species distribution models</t>
  </si>
  <si>
    <t>FRESH-WATER ECOSYSTEMS; LUTRA-LUTRA; HABITAT; BIODIVERSITY; NICHE; AVAILABILITY; POPULATIONS; RESOURCES; PATTERNS; IMPACTS</t>
  </si>
  <si>
    <t>Climate change has created the need for new strategies in conservation planning that account for the dynamics of factors threatening endangered species. Here we assessed climate change threat to the European otter, a flagship species for freshwater ecosystems, considering how current conservation areas will perform in preserving the species in a climatically changed future. We used an ensemble forecasting approach considering six modelling techniques applied to eleven subsets of otter occurrences across Europe. We performed a pseudo-independent and an internal evaluation of predictions. Future projections of species distribution were made considering the A2 and B2 scenarios for 2080 across three climate models: CCCMA-CGCM2, CSIRO-MK2 and HCCPR HAD-CM3. The current and the predicted otter distributions were used to identify priority areas for the conservation of the species, and overlapped to existing network of protected areas. Our projections show that climate change may profoundly reshuffle the otter's potential distribution in Europe, with important differences between the two scenarios we considered. Overall, the priority areas for conservation of the otter in Europe appear to be unevenly covered by the existing network of protected areas, with the current conservation efforts being insufficient in most cases. For a better conservation, the existing protected areas should be integrated within a more general conservation and management strategy incorporating climate change projections. Due to the important role that the otter plays for freshwater habitats, our study further highlights the potential sensitivity of freshwater habitats in Europe to climate change. (C) 2011 Elsevier Ltd. All rights reserved.</t>
  </si>
  <si>
    <t>[Cianfrani, Carmen; Le Lay, Gwenaelle; Maiorano, Luigi; Guisan, Antoine] Univ Lausanne, Dept Ecol &amp; Evolut, CH-1015 Lausanne, Switzerland; [Le Lay, Gwenaelle] Swiss Fed Res Inst WSL, Landscape Dynam Res Unit, CH-8903 Birmensdorf, Switzerland; [Satizabal, Hector F.] Sch Business &amp; Engn Vaud HEIG VD, Reconfigurable &amp; Embedded Digital Syst Inst, CH-1401 Yverdon, Switzerland; [Loy, Anna] Univ Molise, Dept Sci &amp; Technol Environm, I-86090 Pesche, Italy</t>
  </si>
  <si>
    <t>University of Lausanne; Swiss Federal Institutes of Technology Domain; Swiss Federal Institute for Forest, Snow &amp; Landscape Research; University of Molise</t>
  </si>
  <si>
    <t>Cianfrani, C (corresponding author), Univ Lausanne, Dept Ecol &amp; Evolut, CH-1015 Lausanne, Switzerland.</t>
  </si>
  <si>
    <t>Guisan, Antoine/A-1057-2011; Maiorano, Luigi/A-8637-2008</t>
  </si>
  <si>
    <t>Guisan, Antoine/0000-0002-3998-4815; LOY, Anna/0000-0002-8934-6694; Maiorano, Luigi/0000-0002-2957-8979</t>
  </si>
  <si>
    <t>Swiss Federal Office for the Environment; MAVA Foundation; ECOCHANGE (FP6-ECOCHANGE project) [FP6-036866]; University of Molise; Italian Ministry of the Environment; ENHANCE project</t>
  </si>
  <si>
    <t>Swiss Federal Office for the Environment; MAVA Foundation; ECOCHANGE (FP6-ECOCHANGE project)(European Union (EU)); University of Molise; Italian Ministry of the Environment; ENHANCE project</t>
  </si>
  <si>
    <t>We thank anonymous referees, D. Pio, R. Engler, O. Broennimann and J. Dwyer for their useful comments on the manuscript. This study was supported by a grant from the Swiss Federal Office for the Environment and from MAVA Foundation to CC and AG. AG and LM were also supported by ECOCHANGE (FP6-ECOCHANGE project, FP6-036866). CC was also partially supported by a grant from the University of Molise. AL was funded by Italian Ministry of the Environment, Project Rete Ecologica per la lontra - fase I. GL was funded by the MAVA Foundation and the ENHANCE project.</t>
  </si>
  <si>
    <t>10.1016/j.biocon.2011.03.027</t>
  </si>
  <si>
    <t>791JJ</t>
  </si>
  <si>
    <t>WOS:000292661200002</t>
  </si>
  <si>
    <t>Peacock, S</t>
  </si>
  <si>
    <t>Peacock, Synte</t>
  </si>
  <si>
    <t>ENVIRONMENTAL RESEARCH LETTERS</t>
  </si>
  <si>
    <t>wolverine; climate change</t>
  </si>
  <si>
    <t>PREDICTING SPECIES DISTRIBUTION; RESPONSES; GULO</t>
  </si>
  <si>
    <t>Ensembles of 21st century climate projections made using a state of the art global climate model are analyzed to explore possible changes in spring snow cover and summer air temperature in present-day wolverine habitats in the contiguous United States (US). Projected changes in both snow cover and temperature are presented for a range of future emissions scenarios, and implications for the continued survival of the wolverine in the contiguous US are discussed. It is shown that under a high or medium-low emissions scenario there are likely to be dramatic reductions in spring snow cover in present-day wolverine habitats. Under these scenarios there is also likely to be a concomitant increase in summer-time temperatures, with projected maximum daily August temperatures far above those currently tolerated by the wolverine. It is likely that the wolverine, with its many adaptations for cold weather and deep snow pack, would have great difficulty adapting to such changes. The results of the simulations presented here suggest that the very low numbers of wolverines currently living in the contiguous US will likely further decline in response to the deterioration of their habitat in coming decades.</t>
  </si>
  <si>
    <t>Natl Ctr Atmospher Res, Boulder, CO 80305 USA</t>
  </si>
  <si>
    <t>National Center Atmospheric Research (NCAR) - USA</t>
  </si>
  <si>
    <t>Peacock, S (corresponding author), Natl Ctr Atmospher Res, 1850 Table Mesa Dr, Boulder, CO 80305 USA.</t>
  </si>
  <si>
    <t>synte@ucar.edu</t>
  </si>
  <si>
    <t>National Science Foundation</t>
  </si>
  <si>
    <t>National Science Foundation(National Science Foundation (NSF))</t>
  </si>
  <si>
    <t>The author would like to thank Mariana Vertenstein and Andrew Mai for their efforts in choreographing the 21st century runs with daily output. Thanks to Joanie Kleypas and to Keith Lindsay for discussions regarding species distributions and the RCP scenarios respectively. The author would also like to thank the anonymous reviewers whose insightful comments greatly improved the manuscript. NCAR is sponsored by the National Science Foundation.</t>
  </si>
  <si>
    <t>IOP PUBLISHING LTD</t>
  </si>
  <si>
    <t>BRISTOL</t>
  </si>
  <si>
    <t>TEMPLE CIRCUS, TEMPLE WAY, BRISTOL BS1 6BE, ENGLAND</t>
  </si>
  <si>
    <t>1748-9326</t>
  </si>
  <si>
    <t>ENVIRON RES LETT</t>
  </si>
  <si>
    <t>Environ. Res. Lett.</t>
  </si>
  <si>
    <t>10.1088/1748-9326/6/1/014007</t>
  </si>
  <si>
    <t>Environmental Sciences; Meteorology &amp; Atmospheric Sciences</t>
  </si>
  <si>
    <t>Environmental Sciences &amp; Ecology; Meteorology &amp; Atmospheric Sciences</t>
  </si>
  <si>
    <t>746RE</t>
  </si>
  <si>
    <t>WOS:000289263600008</t>
  </si>
  <si>
    <t>Brodie, JF; Post, E</t>
  </si>
  <si>
    <t>Brodie, Jedediah F.; Post, Eric</t>
  </si>
  <si>
    <t>POPULATION ECOLOGY</t>
  </si>
  <si>
    <t>Climate change; Global warming; Gulo gulo; Harvest; Population dynamics; Time-series analysis</t>
  </si>
  <si>
    <t>WHITE-TAILED DEER; CLIMATE-CHANGE; GULO-GULO; BRITISH-COLUMBIA; PHASE-DEPENDENCE; TIME-SERIES; DYNAMICS; DENSITY; SURVIVAL; GRADIENTS</t>
  </si>
  <si>
    <t>Understanding the population-level impacts of climate change is critical for effectively managing ecosystems. Predators are important components of many systems because they provide top-down control of community structure. Ecological theory suggests that these species could be particularly susceptible to climate change because they generally occur at low densities and have resource-limited populations. Yet, our understanding of climate-change impacts on predators is hindered by the difficulty in assessing complex, nonlinear dynamics over the large spatial scales necessary to depict a species' general response to abiotic forcing. Here we use fur-return data to characterize population dynamics of a snow-adapted carnivore, the wolverine, across most of its North American range. Using novel modeling techniques, we simultaneously measured the impact of winter snowpack on wolverine dynamics across critical thresholds in snowpack depth and two domains of population growth. Winter snowpack declined from 1970 to 2004 in nearly the entire region studied, concordant with increases in Northern Hemisphere temperature anomalies. Fur returns have declined in many areas; our models show that snowpack has strong, nonlinear effects on wolverine population dynamics. Importantly, wolverine harvests dropped the fastest in areas where snowpack declined most rapidly and also where snowpack had the greatest effect on population dynamics. Moreover, declining snow cover appears to drive trends in wolverine population synchrony, with important implications for overall persistence. These results illustrate the vulnerability and complex responses of predator populations to climate change. We also suggest that declining snowpack may be an important and hitherto little-analyzed mechanism through which climate change alters high-latitude ecosystems.</t>
  </si>
  <si>
    <t>[Brodie, Jedediah F.] Univ Montana, Wildlife Biol Program, Missoula, MT 59812 USA; [Post, Eric] Penn State Univ, Dept Biol, University Pk, PA 16802 USA</t>
  </si>
  <si>
    <t>University of Montana System; University of Montana; Pennsylvania Commonwealth System of Higher Education (PCSHE); Pennsylvania State University; Pennsylvania State University - University Park</t>
  </si>
  <si>
    <t>Brodie, JF (corresponding author), Univ Montana, Wildlife Biol Program, Missoula, MT 59812 USA.</t>
  </si>
  <si>
    <t>jedediah.brodie@gmail.com</t>
  </si>
  <si>
    <t>Post, Eric/OUJ-8638-2025</t>
  </si>
  <si>
    <t>David H. Smith Conservation Research Fellowship</t>
  </si>
  <si>
    <t>This project was supported by a David H. Smith Conservation Research Fellowship to JB. We are grateful to Michael Schwartz, Mark Hebblewhite, and Justina Ray for discussion and constructive comments on previous versions of the manuscript.</t>
  </si>
  <si>
    <t>1438-3896</t>
  </si>
  <si>
    <t>1438-390X</t>
  </si>
  <si>
    <t>POPUL ECOL</t>
  </si>
  <si>
    <t>Popul. Ecol.</t>
  </si>
  <si>
    <t>10.1007/s10144-009-0189-6</t>
  </si>
  <si>
    <t>552ZO</t>
  </si>
  <si>
    <t>WOS:000274334000004</t>
  </si>
  <si>
    <t>Lofroth, EC; Krebs, JA; Harrower, WL; Lewis, D</t>
  </si>
  <si>
    <t>Lofroth, Eric C.; Krebs, John A.; Harrower, William L.; Lewis, Dave</t>
  </si>
  <si>
    <t>British Columbia; food habits; foraging; Gulo gulo; wolverine</t>
  </si>
  <si>
    <t>We examined the seasonal food habits of wolverine Gulo gulo in subboreal and interior wet-belt montane environments in British Columbia by analyzing scats collected during the course of two concurrent wolverine studies. Understanding foraging ecology for a wide-ranging carnivore such as the wolverine is important, particularly because reproduction has been demonstrated to be closely linked to food abundance. Wolverine diet was shown to vary regionally and seasonally. Regional variation was related to differences in prey availability between study areas. Moose Alces alces, caribou Rangifer tarandus, and hoary marmots Marmota caligata were abundant and common prey items within both study areas. Mountain goats Oreamnos americanus and porcupine Erithizon dorsatum were more abundant and more frequent prey items in the Columbia Mountains, while snowshoe hare Lepus americanus and beaver Castor canadensis were more abundant and more frequent prey items in the Omineca Mountains. Within the winter season, diet choices by reproductive females were different than other sex and age classes. Caribou, hoary marmots and porcupines were found in significantly higher frequencies in the diet of reproductive females. Foraging observations concurred with the findings of scat analyses. Dependence of reproductive females on a species of current conservation concern (caribou) and one which could be affected by issues related to climate change (hoary marmot) may present conservation issues for wolverines in the future.</t>
  </si>
  <si>
    <t>Minist Environm, Wildlife Sci Sect, Victoria, BC V8W 9M1, Canada; Columbia Basin Fish &amp; Wildlife Compensat Program, Nelson, BC V1L 4K3, Canada; High Country Consulting Ltd, Brentwood Bay, BC V8M 1A6, Canada</t>
  </si>
  <si>
    <t>Lofroth, EC (corresponding author), Minist Environm, Wildlife Sci Sect, POB 9338,Stn Prov Gov, Victoria, BC V8W 9M1, Canada.</t>
  </si>
  <si>
    <t>Eric.Lofroth@gov.bc.ca; John.Krebs@bchydro.bc.ca; harrower@uvic.ca; cdclewis@telus.net</t>
  </si>
  <si>
    <t>10.2981/0909-6396(2007)13[31:FHOWGG]2.0.CO;2</t>
  </si>
  <si>
    <t>WOS:000250588600004</t>
  </si>
  <si>
    <t>Carter, SK; Rosas, FCW</t>
  </si>
  <si>
    <t>BRAZILIAN AMAZONIA; RIVER OTTER; LUTRA-LUTRA; MERCURY; BASIN; MINK</t>
  </si>
  <si>
    <t>The Giant Otter Pteronura brasiliensis (Zimmermann, 1780) is endemic to South America, distributed throughout the Orinoco, Amazon and La Plata River basins and numerous localities in the Guyanas. This otter is the largest member of the family Mustelidae, clearly distinguished from other South American otter species by morphological and behavioural characteristics. Large-scale pelt hunting in the 1950s and 1960s led to the classification of the species as 'vulnerable' by the World Conservation Union (IUCN, 1990). Habitat degradation and destruction now present the largest threat to remaining populations. The current distribution of the Giant Otter is presented, emphasizing recent information collected in the Amazon Basin. Morphology, systematics, habitat, behaviour, diet, predation, competition, reproduction, development and physiology are discussed. New data on habitat use and preference, behaviour and diet in northern Amazonia are included, and recommendations for future conservation measures are made. Because of the decimation of the Giant Otter in its southern distribution and the habitat destruction occurring in the remainder of its range, we recommend that this species be elevated to 'endangered' status in the IUCN Red Data Book.</t>
  </si>
  <si>
    <t>INST NACL PESQUISAS,LAB MAMIFEROS AQUATICOS,BR-69011970 MANAUS,AMAZONAS,BRAZIL</t>
  </si>
  <si>
    <t>Instituto de Pesquisas Ecologicas</t>
  </si>
  <si>
    <t>Weber Rosas, Fernando Cesar/0000-0001-6715-5689</t>
  </si>
  <si>
    <t>P O BOX 88, OSNEY MEAD, OXFORD, OXON, ENGLAND OX2 0NE</t>
  </si>
  <si>
    <t>10.1111/j.1365-2907.1997.tb00370.x</t>
  </si>
  <si>
    <t>WN225</t>
  </si>
  <si>
    <t>WOS:A1997WN22500001</t>
  </si>
  <si>
    <t>Pecingina, IR; Popa, RG</t>
  </si>
  <si>
    <t>Pecingina, Irina-Ramona; Popa, Roxana-Gabriela</t>
  </si>
  <si>
    <t>SCIENTIFIC PAPERS-SERIES E-LAND RECLAMATION EARTH OBSERVATION &amp; SURVEYING ENVIRONMENTAL ENGINEERING</t>
  </si>
  <si>
    <t>Natural Protected Area; assessment; conservation</t>
  </si>
  <si>
    <t>The Gilort River Natural protected area lies in Gorj, Getic Subcarpathians in the Ciolanei Depression and is a site of community importance forming part of the Natura 2000 European network. The purpose of Gilort River protected area is to protect and conserve important species at national and community level (Lutra lutra, Bombina variegata, Eudontomyzon mariae, Gobio albipinnatus, Barbus meridionalis, Sabanejewia aurata). The paper presents the methodology for assessing the conservation status of mammal's species of Lutra lutra. There have been carried out evaluations in the field, between Januarys to April 2015, with a frequency of 3-4 per month, applying the multi-criteria method, which was based on the following criteria: local distribution, population, habitat of the species and prospects. Following the evaluation and presentation of the distribution of the Lutra lutra species and of the areas favorable for its protection, it was shown that there were traces of the presence of the otter in the river Gilort, on sandy beaches in inaccessible areas difficult to access, close to areas with greater depth of water, being identified a maximum of two family groups of otters, meaning 7 individuals. The evaluation demonstrated that the conservation status is unfavorable and inadequate.</t>
  </si>
  <si>
    <t>[Pecingina, Irina-Ramona; Popa, Roxana-Gabriela] Constantin Brancusi Univ Targu Jiu, 30 Eroilor St, Targu Jiu, Gorj, Romania</t>
  </si>
  <si>
    <t>Constantin Brancusi University</t>
  </si>
  <si>
    <t>Pecingina, IR (corresponding author), Constantin Brancusi Univ Targu Jiu, 30 Eroilor St, Targu Jiu, Gorj, Romania.</t>
  </si>
  <si>
    <t>irinacornescu@yahoo.com</t>
  </si>
  <si>
    <t>PECINGINĂ, IRINA-RAMONA/KBC-8343-2024; Roxana - Gabriela, Popa/HPF-0637-2023</t>
  </si>
  <si>
    <t>Roxana Gabriela, Popa/0000-0001-5566-1680</t>
  </si>
  <si>
    <t>UNIV AGRICULTURAL SCIENCES &amp; VETERINARY MEDICINE BUCHAREST</t>
  </si>
  <si>
    <t>BUCHAREST</t>
  </si>
  <si>
    <t>59 MARASTI BOULEVARD, DISTRICT 1, BUCHAREST, 011464, ROMANIA</t>
  </si>
  <si>
    <t>2285-6064</t>
  </si>
  <si>
    <t>SCI PAP-SER-E-LAND R</t>
  </si>
  <si>
    <t>Sci. Pap.-Ser. E-Land Reclam. Earth Obs. Surv. Environ. Eng.</t>
  </si>
  <si>
    <t>Agriculture, Multidisciplinary</t>
  </si>
  <si>
    <t>Agriculture</t>
  </si>
  <si>
    <t>GV6KO</t>
  </si>
  <si>
    <t>WOS:000446219500002</t>
  </si>
  <si>
    <t>Marcelli, M; Fusillo, R</t>
  </si>
  <si>
    <t>Marcelli, Manlio; Fusillo, Romina</t>
  </si>
  <si>
    <t>Anthropogenic influences; Conservation planning; False absences; Land-use; Logistic models; Monte Carlo simulations; Presence-absence surveys; Recolonization process; Species distribution</t>
  </si>
  <si>
    <t>METAPOPULATION DYNAMICS; SITE OCCUPANCY; LAND-USE; CONSERVATION; POPULATION; EXTINCTION; DECLINE; ACCURACY; CONTRACTION; RECOVERY</t>
  </si>
  <si>
    <t>Detecting and understanding recoveries of threatened species from past and recent presence/absence data is essential to improving conservation efforts. However, false positive trends may be reported because of false absences in past data, therefore appropriate testing is needed. We tested an expansion/recolonization of the otter (Lutra lutra) populations in Italy from a fragmented distribution outlined in the 1984-1985 period by using Monte Carlo simulations. Land-use changes, human depopulation and decrease in influence of anthropogenic features were investigated as potential drivers of recolonization by using GIS modeling. A survey of the entire Italian range of the otter, conducted in 2002-2004, recorded a 2.2-fold increase in the proportion of occupied 10-km squares and 49 local colonizations. The range size and proportion of urban land-use in the 1984-1985 distribution were smaller (P &lt; 0.05) than those derived from simulated surveys based on 49 random false absences versus colonization events. The distribution range expanded southward and nearly reached the southern margins of the peninsula. Recolonization of moderately urbanized landscapes was not accompanied by human depopulation. According to partial logistic regressions, the pure effect of urban land proportion and industry proximity on otter occurrence probability declined by about 48%, suggesting a decreased impact on the stream habitat. Conversely, natural factors, increased in importance by about 116%. The absence of a significant northward expansion in the 20 year period suggests that northward habitat restoration should be planned to encourage further recolonization. On the other hand, potential urban threats in the newly occupied landscapes should be controlled.</t>
  </si>
  <si>
    <t>[Marcelli, Manlio; Fusillo, Romina] LUTRIA Snc Wildlife Res, I-00173 Rome, Italy</t>
  </si>
  <si>
    <t>Marcelli, M (corresponding author), LUTRIA Snc Wildlife Res, Via Stefano Oberto 69, I-00173 Rome, Italy.</t>
  </si>
  <si>
    <t>Fusillo, Romina/0000-0003-2590-5773</t>
  </si>
  <si>
    <t>Cilento and Vallo di Diano National Park (Vallo della Lucania)</t>
  </si>
  <si>
    <t>We thank Marilena Marconi and Valentina Bove who helped us in collecting the field data (2002-2004 survey). The 2002-2004 survey was part of the PhD research undertaken by M. Marcelli at the University of Rome 'La Sapienza'. Data collection was conducted within a larger project on otter conservation in Southern Italy funded by the Cilento and Vallo di Diano National Park (Vallo della Lucania) and supervised by Luigi Boitani (Dept. of Animal and Human Biology, University of Rome 'La Sapienza'). Mark Burgman kindly provided an R code to calculate the a-hulls. Thanks are also due to an anonymous reviewer for helpful comments on the manuscript.</t>
  </si>
  <si>
    <t>10.1007/s10531-009-9618-2</t>
  </si>
  <si>
    <t>495SZ</t>
  </si>
  <si>
    <t>WOS:000269916600010</t>
  </si>
  <si>
    <t>de Oliveira, IAP; Norris, D; Michalski, F</t>
  </si>
  <si>
    <t>Pereira de Oliveira, Isabel Aline; Norris, Darren; Michalski, Fernanda</t>
  </si>
  <si>
    <t>Pteronura brasiliensis; Mustelidae; Amazon; Anthropic influence; Species records</t>
  </si>
  <si>
    <t>PTERONURA-BRASILIENSIS; FOREST LANDSCAPE; PROTECTED AREAS; CONSERVATION; SPACE</t>
  </si>
  <si>
    <t>Historic anthropogenic impacts affecting the distribution and ecology of Giant otters are well documented, however little is known regarding the factors affecting the current distribution of this species. Our objective was to determine the relative importance of temporal (seasonal river levels), and anthropogenic (presence of houses, boats and fishing nets) factors on the distribution of Giant otters around a sustainable-use protected area in the eastern Brazilian Amazon. We conducted a total of 6836.1 km of boat surveys to record locations of both direct and indirect Giant otter sightings along 198.9 km of waterways. To understand the importance of the factors at different spatial scales we conducted analysis using data summarized at two spatial scales: 50 km river zones and 5.1 km river sections. Our results showed that anthropogenic disturbances were the most important determinants of the presence of both direct and indirect signs, with Giant otters rarely detected within 40 km of the nearest town. Giant otters were present in the waterways throughout the annual water cycle (high, decreasing, low and increasing river levels), with direct observations positively related with the number of fishing nets present in the waterways. Our results suggest considerable spatial and temporal overlap between Giant otters and the activities of local fishermen which must be considered for the effective management of conservation conflicts in this rapidly developing region. (C) 2014 Deutsche Gesellschaft fur Saugetierkunde. Published by Elsevier GmbH. All rights reserved.</t>
  </si>
  <si>
    <t>[Pereira de Oliveira, Isabel Aline; Norris, Darren; Michalski, Fernanda] Univ Fed Amapa, Ecol &amp; Conservat Amazonian Vertebrates Res Grp, BR-68903419 Macapa, AP, Brazil; [Pereira de Oliveira, Isabel Aline; Norris, Darren; Michalski, Fernanda] Natl Inst Amazonian Res, Postgrad Programme Ecol, BR-69060001 Manaus, Amazonas, Brazil; [Michalski, Fernanda] Univ Fed Amapa, Postgrad Programme Trop Biodivers, BR-68903419 Macapa, Brazil; [Michalski, Fernanda] Pro Carnivores Inst, BR-12945010 Atibaia, Brazil</t>
  </si>
  <si>
    <t>Fundacao Universidade Federal do Amapa; Institute Nacional de Pesquisas da Amazonia; Fundacao Universidade Federal do Amapa</t>
  </si>
  <si>
    <t>Michalski, F (corresponding author), Univ Fed Amapa, Ecol &amp; Conservat Amazonian Vertebrates Res Grp, Rod Juscelino Kubitschek Km 02, BR-68903419 Macapa, AP, Brazil.</t>
  </si>
  <si>
    <t>fmichalski@procarnivoros.org.br</t>
  </si>
  <si>
    <t>Michalski, Fernanda/J-4691-2012; Norris, Darren/J-5182-2012</t>
  </si>
  <si>
    <t>Michalski, Fernanda/0000-0002-8074-9964; Norris, Darren/0000-0003-0015-8214</t>
  </si>
  <si>
    <t>Conservation International-Brazil; Walmart Institute-Brazil; CNPq [477629/2011-3]; Institut Chico Mendes de Conservacao da Biodiversidade (ICMBio); CAPES</t>
  </si>
  <si>
    <t>Conservation International-Brazil; Walmart Institute-Brazil; CNPq(Conselho Nacional de Desenvolvimento Cientifico e Tecnologico (CNPQ)); Institut Chico Mendes de Conservacao da Biodiversidade (ICMBio); CAPES(Coordenacao de Aperfeicoamento de Pessoal de Nivel Superior (CAPES))</t>
  </si>
  <si>
    <t>This research was supported by Conservation International-Brazil, and the Walmart Institute-Brazil through the project Support to the implementation of the Amapa National Forest, The Rufford Small Grants for Nature Conservation, a research grant from CNPq (process 477629/2011-3), and The Institut Chico Mendes de Conservacao da Biodiversidade (ICMBio). The Universidade Federal do Amapa provided logistical support. We thank IBAMA for authorization to conduct research in FLONA (IBAMA/SISBIO permit 26653-2). I.A.P.O. received a MSc studentship from CNPq and DN receives a postdoctoral fellowship from CAPES. We are deeply indebted to Cintia Togura, Paula Conceicao, Joyce Amador, Edinaldo Sousa, Davi Sousa, Alvino Pantoja and Cremilson Alves for assistance in the field.</t>
  </si>
  <si>
    <t>10.1016/j.mambio.2014.07.006</t>
  </si>
  <si>
    <t>CA4RO</t>
  </si>
  <si>
    <t>WOS:000348892400006</t>
  </si>
  <si>
    <t>Krebs, J; Lofroth, EC; Parfitt, I</t>
  </si>
  <si>
    <t>Krebs, John; Lofroth, Eric C.; Parfitt, Ian</t>
  </si>
  <si>
    <t>British Columbia; Geographic Information System; Gulo gulo; habitat association; human use; predation risk; prey relationships; resource selection function; wolverines</t>
  </si>
  <si>
    <t>GULO-GULO; HOME-RANGE; UNITED-STATES; SELECTION; ALASKA; CONSERVATION; RESILIENCE; CARNIVORES; PREDATION; MOUNTAINS</t>
  </si>
  <si>
    <t>Wolverine (Gulo gulo) distribution in British Columbia, Canada, includes multiple-use lands where human use and resource extraction may influence habitat selection. We evaluated seasonal habitat use by resident adult wolverines using radiotelemetry locations from 2 multiple-use landscapes in British Columbia. Food, predation risk, and human disturbance hypotheses were considered in logistic regression analyses of used and random landscapes. Male wolverine habitat associations were most supported by the food hypothesis in both summer and winter. Moose (Alces alces) winter ranges, valley bottom forests, and avalanche terrain were positively associated with winter male wolverine use. Habitat use by male wolverines in winter was also negatively associated with helicopter skiing areas in the Columbia Mountains. Habitat associations of females were more complex; combinations of variables supporting food, predation risk, or human disturbance hypotheses were included in most supported models from both summer and winter in both study areas. Females were associated with alpine and avalanche environments where hoary marmot (Marmota caligata) and Columbia ground squirrel (Spermophilus columbianus) prey are found in summer. Roaded and recently logged areas were negatively associated with female wolverines in summer. In the Columbia Mountains, where winter recreation was widespread, females were negatively associated with helicopter and backcountry skiing. Moose winter ranges within rugged landscapes were positively associated with females during winter. Our analysis suggests wolverines were negatively responding to human disturbance within occupied habitat. The population consequences of these functional habitat relationships will require additional focused research. Our spatially explicit models can be used to support conservation planning for resource extraction and tourism industries operating in landscapes occupied by wolverines.</t>
  </si>
  <si>
    <t>Columbia Basin Fish &amp; Wildlife Compensat Program, Nelson, BC V1L 4K3, Canada; Minist Environm, Biodivers Branch, Victoria, BC V8W 9M1, Canada; Selkirk Coll Geospatial Res Ctr, Castlegar, BC V1N 3J1, Canada</t>
  </si>
  <si>
    <t>Krebs, J (corresponding author), Columbia Basin Fish &amp; Wildlife Compensat Program, 103-333 Victoria St, Nelson, BC V1L 4K3, Canada.</t>
  </si>
  <si>
    <t>10.2193/2007-099</t>
  </si>
  <si>
    <t>WOS:000249351100011</t>
  </si>
  <si>
    <t>Lofroth, EC; Krebs, J</t>
  </si>
  <si>
    <t>Lofroth, Eric C.; Krebs, John</t>
  </si>
  <si>
    <t>abundance; British Columbia; density estimation; distribution; Gulo gulo; habitat quality; mapping; wolverines</t>
  </si>
  <si>
    <t>LARGE CARNIVORE CONSERVATION; GULO-GULO; ROCKY-MOUNTAINS; POPULATION-SIZE; MANAGEMENT; SELECTION; CLASSIFICATION; SCANDINAVIA; INDICATOR; AMERICA</t>
  </si>
  <si>
    <t>The abundance and distribution of carnivores and their habitat are key information needed for status assessment, conservation planning, population management, and assessment of the effects of human development on their habitat and populations. We developed a habitat quality rating system, using existing wolverine (Gale gulo) distribution, wolverine food, ecosystem mapping, and human development data. We used this and empirically derived estimates of wolverine density to predict wolverine distribution and abundance at a provincial scale. Density estimates for wolverines in high-quality habitat averaged 6.2 wolverines/1,000 km(2) (95% CI = 4.2-9.5). We predicted mean densities ranging from 0.3/1,000 km(2) in rare-qualin, habitat to 4.1/1,000 km(2) in moderate-quality habitat. Our predicted population estimate for wolverines in British Columbia was 3,530 (95% CI - 2,700-4,760). We predicted highest densities of wolverines in interior mountainous regions, moderate densities in interior plateau and boreal forest regions, and low densities in mainland coastal regions and drier interior plateaus. We predicted that wolverines would be rare on Vancouver Island, along the outer mainland coast, and in the dry interior forests, and absent from the Queen Charlotte Islands, interior grassland environments, and areas of intensive urban development.</t>
  </si>
  <si>
    <t>British Columbia Minist Environm, Victoria, BC V8W 9M1, Canada; Columbia Basin Fish &amp; Wildlife Compensat Program, Nelson, BC V1L 4K3, Canada</t>
  </si>
  <si>
    <t>Eric.Lofroth@gov.bc.ca</t>
  </si>
  <si>
    <t>10.2193/2007-094</t>
  </si>
  <si>
    <t>WOS:000249351100009</t>
  </si>
  <si>
    <t>Hong, S; Di Febbraro, M; Loy, A; Cowan, P; Joo, GJ</t>
  </si>
  <si>
    <t>Hong, Sungwon; Di Febbraro, Mirko; Loy, Anna; Cowan, Phil; Joo, Gea-Jae</t>
  </si>
  <si>
    <t>Non-invasive monitoring; Endangered species; Conservation; Generalized linear mixed model; Hot spot analysis; Lutra lutra</t>
  </si>
  <si>
    <t>LOWER NAKDONG RIVER; SCENT-MARKING; SPECIES DISTRIBUTION; GENETIC-STRUCTURE; HABITAT MODELS; CONSERVATION; DIET; FOOD; ABUNDANCE; PATTERNS</t>
  </si>
  <si>
    <t>The validity of using spraint (otter faeces) density for population monitoring has been debated for more than 30 years. In this study, we investigated endangered Eurasian otter (Lutra lutra) spraint occurrence and densities at large scales (over 23,800 km(2), a quarter of South Korea) over three years (2014-2016). To clarify the spatial heterogeneity of spraint density and count distributions, we applied the global Morans' I test and hot spot analysis. We also constructed models with 30 environmental factors (six landscape, eight anthropogenic, 13 aquatic health indices, one prey abundance, and two meteorological factors) using generalized linear mixed models with repeated measurements. Our geographical analysis showed regional clusters of otters extending over distances of more than 80 km. The most parsimonious model, a zero-inflated negative binomial model, indicated that our otter spraint counts were significantly positively related to the benthic macro-invertebrate index and precipitation and negatively related to proportion of home range covered by water. In addition, this model showed that absence probabilities of otter spraint were significantly positively related to human populations and negatively related to the number of fish species and altitude. The best explanatory model suggests that our count data was highly related to otter population status, and also affected by anthropogenic disturbance.</t>
  </si>
  <si>
    <t>[Hong, Sungwon; Joo, Gea-Jae] Pusan Natl Univ, Dept Biol Sci, Busan 46241, South Korea; [Di Febbraro, Mirko; Loy, Anna] Univ Molise, Dept Biosci &amp; Terr, I-86090 Contrada Fonte Lappone, Pesche, Italy; [Cowan, Phil] Manaaki Whenua Landcare Res, Lincoln 7640, New Zealand</t>
  </si>
  <si>
    <t>Pusan National University; University of Molise; Landcare Research - New Zealand</t>
  </si>
  <si>
    <t>gjjoo@pusan.ac.kr</t>
  </si>
  <si>
    <t>Di Febbraro, Mirko/GQA-4462-2022; Hong, Sungwon/K-2809-2019</t>
  </si>
  <si>
    <t>Di Febbraro, Mirko/0000-0001-8898-7046; Hong, Sungwon/0000-0002-2838-2464</t>
  </si>
  <si>
    <t>NRF (National Research Foundation of Korea) [2018R1A6A3A01013478, 2016R1D1A1B01009492]</t>
  </si>
  <si>
    <t>This work was supported by an NRF (National Research Foundation of Korea) [Young Researcher Program (2018R1A6A3A01013478)] and [Basic Research (2016R1D1A1B01009492)].</t>
  </si>
  <si>
    <t>10.1016/j.ecolind.2019.105844</t>
  </si>
  <si>
    <t>JT4CY</t>
  </si>
  <si>
    <t>WOS:000500940400039</t>
  </si>
  <si>
    <t>Weinberger, IC; Muff, S; Kranz, A; Bontadina, F</t>
  </si>
  <si>
    <t>Weinberger, Irene C.; Muff, Stefanie; Kranz, Andreas; Bontadina, Fabio</t>
  </si>
  <si>
    <t>Resting site selection; Human disturbance; Conservation; Riverine landscape; Radio-tracking; Lutra lutra</t>
  </si>
  <si>
    <t>LUTRA-LUTRA L.; HABITAT SELECTION; POPULATIONS; SITES; CONSEQUENCES; CONSERVATION; DISTURBANCE; EXPANSION; PATTERNS; POLECATS</t>
  </si>
  <si>
    <t>The riparian vegetation belt is one of the few remaining structures that provide coverage for wildlife in many anthropogenic landscapes. It provides shelter for many species and functions as corridors for dispersal. However, this landscape is increasingly utilised by humans for leisure activities. The loss of riparian vegetation with a concurrent increase of human disturbance in these habitats can pose a serious threat to wildlife. One of the species potentially affected is the Eurasian otter Lutra lutra. In the Alps, otters are nocturnal and rest during the day when human activity is high. To study the impact of human presence on resting site selection in otters, we radio-tracked nine otters for up to 30 months in the eastern Central Alps of Austria. We analysed resting site selection in relation to human disturbance. Altogether, we identified 285 resting sites scattered throughout the territories of the individual otters at an average distance of 144 m between sites. Almost all the resting sites (95%) were located in the natural riparian vegetation, making this the most important habitat for resting otters. We found evidence that human disturbance within these riparian habitats shapes resting site selection. Otters preferred narrow riparian strips when there was no human presence, but selected areas with a wider vegetation belt when the disturbance level increased. Outside the vegetation period, animals rested below ground more often than above, which suggests that vegetation also functions as visual cover. Our study highlights the importance of the restoration of the natural riparian vegetation belt for the protection of wildlife, particularly where human activities are intense. We provide information for the effective conservation management of otters considering the combination of spatial distribution of resting sites and specific habitat requirements in the presence of human disturbance. Areas of conservation importance chosen in this way are likely to benefit other wildlife that utilise the riparian vegetation belt. (C) 2019 Deutsche Gesellschaft fur Saugetierkunde. Published by Elsevier GmbH. All rights reserved.</t>
  </si>
  <si>
    <t>[Weinberger, Irene C.; Muff, Stefanie] Univ Zurich, Dept Evolutionary Biol &amp; Environm Studies, Winterthurerstr 190, CH-8057 Zurich, Switzerland; [Muff, Stefanie] Univ Zurich, Epidemiol Biostat &amp; Prevent Inst, Hirschengraben 84, CH-8001 Zurich, Switzerland; [Kranz, Andreas] Alka Kranz Ingenieurburo Wildokol &amp; Nat Schutz, Waldgrund 25, A-8044 Graz, Austria; [Bontadina, Fabio] SWILD Urban Ecol &amp; Wildlife Res, Wuhrstr 12, CH-8003 Zurich, Switzerland; [Bontadina, Fabio] Swiss Fed Res Inst WSL, Biodivers &amp; Conservat Biol, CH-8903 Birmensdorf, Switzerland</t>
  </si>
  <si>
    <t>University of Zurich; University of Zurich; Swiss School of Public Health (SSPH+); Swiss Federal Institutes of Technology Domain; Swiss Federal Institute for Forest, Snow &amp; Landscape Research</t>
  </si>
  <si>
    <t>Weinberger, IC (corresponding author), Wasserwerkgasse 2, CH-3011 Bern, Switzerland.</t>
  </si>
  <si>
    <t>i.weinberger@quadrapoda.ch</t>
  </si>
  <si>
    <t>Bontadina, Fabio/0000-0002-0163-2486</t>
  </si>
  <si>
    <t>Zuercher Tierschutz; Ernst Goehner Stiftung; Stotzer-Kaestli-Stiftung; Bernd Thies-Stiftung; Stiftung Temperatio; Claraz Schenkung; Conseil International de la Chasse CIC; Sektion Schweiz; Theo-Wucher Stiftung; Charlotte und Nelly Dornacher Stiftung; Parrotia Stiftung; Vontobel-Stiftung; Promotor Stiftung; Autax-Stiftung</t>
  </si>
  <si>
    <t>This study was initiated by the foundation Pro Lutra, Switzerland and funded by Zuercher Tierschutz, Ernst Goehner Stiftung, Stotzer-Kaestli-Stiftung, Bernd Thies-Stiftung, Autax-Stiftung, Stiftung Temperatio, Claraz Schenkung, Conseil International de la Chasse CIC, Sektion Schweiz, Theo-Wucher Stiftung, Charlotte und Nelly Dornacher Stiftung, Parrotia Stiftung, Vontobel-Stiftung, Promotor Stiftung, Peter and Anna Weinberger, and an anonymous sponsor. Authorization for capture and treatment of otters was given by the government of Styria, Austria (Division 10a and 13c). We thank Prof. Lukas Keller for his support throughout all those years. We thank Susana Freire, Barbara Schnueriger, Andre Weller, Susanne Pusch, Gaspar Camlik, Vaslik Beran, Lucas Polednik, Ales Toman, Iris Hanetseder, Anja Roy, Annette Stephani, Gert Niederkofler, Anja Hohl, Lisa Spuehler, Marco Pavanello, Sophie Theunissen, Tabea Lanz, Lorenza Manconi and Manuel Freiburghaus for their great work in the field. We thank Addy and Lena de Jongh and Tjibbe Jong for capturing, the veterinarians Gerd Kaltenegger, Ivanna Antos and Christa Weissenbacher for conducting the surgeries, Ronald Schmidt for support in GIS and Benedikt Gehr, Christine Grossen and Yolanda Melero for discussions and inputs, and especially a big thank you to Alex van Rensburg. We are also thankful to two anonymous reviewers who have helped to substantially improve the manuscript.</t>
  </si>
  <si>
    <t>10.1016/j.mambio.2019.09.001</t>
  </si>
  <si>
    <t>JJ1YC</t>
  </si>
  <si>
    <t>WOS:000493957100021</t>
  </si>
  <si>
    <t>Heinemeyer, K; Squires, J; Hebblewhite, M; O'Keefe, JJ; Holbrook, JD; Copeland, J</t>
  </si>
  <si>
    <t>Heinemeyer, Kimberly; Squires, John; Hebblewhite, Mark; O'Keefe, Julia J.; Holbrook, Joseph D.; Copeland, Jeffrey</t>
  </si>
  <si>
    <t>functional response; Gulo gulo; habitat model; indirect habitat loss; winter recreation; wolverine</t>
  </si>
  <si>
    <t>GULO-GULO; RESOURCE SELECTION; ENVIRONMENTAL CONCERN; MOUNTAIN CARIBOU; MULE DEER; CONSERVATION; CLIMATE; BEHAVIOR; INFRASTRUCTURE; REGULARIZATION</t>
  </si>
  <si>
    <t>Outdoor recreation is increasingly recognized to impact nature and wildlife, yet few studies have examined recreation within large natural landscapes that are critical habitat to some of our most rare and potentially disturbance-sensitive species. Over six winters (2010-2015) and four study areas (&gt;1.1 million ha) in Idaho, Wyoming, and Montana, we studied the responses of wolverines (Gulo gulo) to backcountry winter recreation. We fit Global Positioning System (GPS) collars to 24 individual wolverines and acquired &gt;54,000 GPS locations over 39 animal-years during winter (January-April). Simultaneously, we monitored winter recreation, collecting similar to 6000 GPS tracks (similar to 200,000 km) from backcountry recreationists. We combined the GPS tracks with trail use counts and aerial recreation surveys to map the extent and relative intensity of motorized and non-motorized recreation. We integrated our wolverine and backcountry recreation data to (1) assess patterns of wolverine habitat selection and (2) evaluate the effect of backcountry recreation on wolverine habitat relationships. We used resource selection functions to model habitat selection of male and female wolverines within their home ranges. We first modeled habitat selection for environmental covariates to understand male and female habitat use then incorporated winter recreation covariates. We assessed the potential for indirect habitat loss from winter recreation and tested for functional responses of wolverines to differing levels and types of recreation. Motorized recreation occurred at higher intensity across a larger footprint than non-motorized recreation in most wolverine home ranges. Wolverines avoided areas of both motorized and non-motorized winter recreation with off-road recreation eliciting a stronger response than road-based recreation. Female wolverines exhibited stronger avoidance of off-road motorized recreation and experienced higher indirect habitat loss than male wolverines. Wolverines showed negative functional responses to the level of recreation exposure within the home range, with female wolverines showing the strongest functional response to motorized winter recreation. We suggest indirect habitat loss, particularly to females, could be of concern in areas with higher recreation levels. We speculate that the potential for backcountry winter recreation to affect wolverines may increase under dimate change if reduced snow pack concentrates winter recreationists and wolverines in the remaining areas of persistent snow cover.</t>
  </si>
  <si>
    <t>[Heinemeyer, Kimberly; O'Keefe, Julia J.] Round River Conservat Studies, 104 East Main St, Bozeman, MT 59715 USA; [Squires, John; Copeland, Jeffrey] US Forest Serv, Rocky Mt Res Stn, Missoula, MT 59802 USA; [Hebblewhite, Mark] Univ Montana, WA Franke Coll Forestry &amp; Conservat, Wildlife Biol Program, Dept Ecosyst &amp; Conservat Sci, Missoula, MT 59812 USA; [Holbrook, Joseph D.] Univ Wyoming, Haub Sch Environm &amp; Nat Resources, Laramie, WY 82072 USA; [Copeland, Jeffrey] Wolverine Fdn, 4444 Packsaddle Rd, Tetonia, ID 83452 USA</t>
  </si>
  <si>
    <t>United States Department of Agriculture (USDA); United States Forest Service; University of Montana System; University of Montana; University of Wyoming</t>
  </si>
  <si>
    <t>Heinemeyer, K (corresponding author), Round River Conservat Studies, 104 East Main St, Bozeman, MT 59715 USA.</t>
  </si>
  <si>
    <t>kim@roundriver.org</t>
  </si>
  <si>
    <t>Hebblewhite, Mark/G-6164-2013</t>
  </si>
  <si>
    <t>Hebblewhite, Mark/0000-0001-5382-1361</t>
  </si>
  <si>
    <t>U.S. Forest Service; Liz Claiborne Art Ortenberg Foundation; Round River Conservation Studies; Idaho Department of Fish and Game; Wolverine Foundation; Idaho State Snowmobile Association; Idaho Falls Zoo; Sawtooth Society; Defenders of Wildlife; University of Montana</t>
  </si>
  <si>
    <t>U.S. Forest Service(United States Department of Agriculture (USDA)United States Forest Service); Liz Claiborne Art Ortenberg Foundation; Round River Conservation Studies; Idaho Department of Fish and Game; Wolverine Foundation; Idaho State Snowmobile Association; Idaho Falls Zoo; Sawtooth Society; Defenders of Wildlife; University of Montana</t>
  </si>
  <si>
    <t>We thank Ana Egnew, Diane Evans Mack, Lisa Nutt, Mark Drew, Rob Cavallaro, Robin Garwood, and the many additional agency personnel who assisted us from the Payette, Boise, Sawtooth, Bridger-Teton and Caribou-Targhee National Forests, Idaho Department of Fish and Game, Nez Perce Tribe and Wyoming Game and Fish. Funding, equipment, and logistical support for the project were provided by the U.S. Forest Service, Liz Claiborne Art Ortenberg Foundation, Round River Conservation Studies, Idaho Department of Fish and Game, The Wolverine Foundation, Idaho State Snowmobile Association, Idaho Falls Zoo, Sawtooth Society, Defenders of Wildlife, and the University of Montana. Businesses also provided logistic support including Brundage Mountain Resort, Jackson Hole Mountain Resort, Grand Targhee Resort, Sun Valley Heli Ski, Teton Backcountry Guides, and numerous local businesses in the towns of Cascade, Driggs, Fairfield, Island Park, McCall, Stanley, Sun Valley and Victor in Idaho and Jackson, Wyoming. We are indebted to our many hard-working field technicians and volunteers. We also thank the thousands of volunteer recreationists who carried and returned GPS units. We thank Lucretia Olson, Dennis Sizemore, and three anonymous reviewers for reviewing earlier versions of this paper.</t>
  </si>
  <si>
    <t>e02611</t>
  </si>
  <si>
    <t>10.1002/ecs2.2611</t>
  </si>
  <si>
    <t>HP3LA</t>
  </si>
  <si>
    <t>WOS:000461577000030</t>
  </si>
  <si>
    <t>Slauson, KM; Zielinski, WJ; Schwartz, MK</t>
  </si>
  <si>
    <t>Slauson, Keith M.; Zielinski, William J.; Schwartz, Michael K.</t>
  </si>
  <si>
    <t>density; marten; Martes caurina; movement; occupancy; recreation; ski area; spatially explicit capture recapture</t>
  </si>
  <si>
    <t>AMERICAN MARTEN; GENOTYPING ERRORS; FORESTS; POPULATIONS; DISTURBANCE; CALIFORNIA; OCCUPANCY; LANDSCAPE; INDICATOR; SELECTION</t>
  </si>
  <si>
    <t>Alpine ski recreation is one of the most popular outdoor winter sports globally but often involves habitat modification and dense human activity, both of which can harm wildlife. We investigated the effects of ski area development and winter recreation activities on movement, occupancy, and density of Pacific martens (Martes caurina) in the Lake Tahoe region of California and Nevada, USA by comparing 3 ski and 3 control study areas. We systematically surveyed martens using live traps and hair snares during spring-summer and winter seasons from 2009 through 2011 to identify how martens responded to the year-round effects of habitat fragmentation from ski area development and the seasonal effects of winter recreation activities. Martens selectively moved between remnant forest patches with the shortest crossing distances across open, non-forested ski runs in both seasons, with the effect more pronounced in females. Overall, habitat connectivity was reduced by 41% in ski areas compared to habitat not fragmented by ski runs. During spring-summer, occupancy rates were not different between habitat within or outside of ski operations areas. During winter, however, occupancy was significantly lower inside (52%) ski area boundaries than outside (88%) them. Reduced detection probability in ski areas indicated martens also reduced the frequency of use of operations areas in winter. Using spatially explicit capture-recapture models, we found that marten density did not differ between ski areas and controls during spring, but during winter female density declined at ski areas by 63% compared to spring-summer and was &lt; 50% of female density compared to controls. This suggests that females seasonally avoid habitat in ski areas by shifting their habitat use to areas outside ski operations boundaries during winter. Although male marten density did not differ, the lack of resident males &gt; 3 years old coupled with higher annual turnover rates suggests male densities at ski areas may be reliant on annual male immigration. In winter, martens avoided using habitat in ski operations areas when recreation activity was greatest. Winter ski recreation may not be incompatible with marten use of habitat in ski areas, but habitat fragmentation from ski areas affects marten movement and recreation activities affect seasonal habitat occupancy and female density. Maintaining functional habitat connectivity, via networks of short ski run crossings that link habitat in and out of ski areas, will be important for maintaining or improving marten use of remnant habitat in developed ski areas. (C) 2017 The Wildlife Society</t>
  </si>
  <si>
    <t>[Slauson, Keith M.; Zielinski, William J.] US Forest Serv, USDA, Pacific Southwest Res Stn, 1700 Bayview Ave, Arcata, CA 95521 USA; [Schwartz, Michael K.] US Forest Serv, USDA, Rocky Mt Res Stn, 800 E Beckwith Ave, Missoula, MT 59801 USA</t>
  </si>
  <si>
    <t>Slauson, KM (corresponding author), US Forest Serv, USDA, Pacific Southwest Res Stn, 1700 Bayview Ave, Arcata, CA 95521 USA.</t>
  </si>
  <si>
    <t>Southern Nevada Public Land Management Act</t>
  </si>
  <si>
    <t>We thank the Lake Tahoe Basin Management Unit staff and especially J. Keely for logistical assistance. We also thank T. Thayer and S. Romsos and the Tahoe Regional Planning Agency for assistance in study justification and design. We thank C. Blann and J. Larmore and the Heavenly resort, D. Bray and the Sierra-at-Tahoe resort, and K. Hoopengarner and Homewood Mountain resort for assistance with access and logistics at ski areas. We thank crew leaders M. Linnell, K. Greller, and W. Watts and all field assistants: N. Craven, D. Crenshaw, M. Delheimer, K. Lawson, P. Lundberg, K. Mansfield, D. Marsh, C. McNamara, N. Mesce, C. Pharris, N. Shea, and K. Sholty. We thank K. Pilgrim and staff at the Rocky Mountain Research Station's National Genomics Center for Wildlife and Fish Conservation. We also thank other staff from the United States Department of Agriculture Pacific Southwest Research Station: R. Schlexer for logistical support, and J. Werren, T. Kirk, and D. Montoya for GIS support. We thank P. Buettner and the Modoc National Forest for use of snowmobiles during the study. We thank M. Hebblewhite, M. Mitchell, and L. S. Mills for comments and suggested additional analyses on earlier drafts of this manuscript, which substantially improved this work. The Southern Nevada Public Land Management Act provided the funding for this study.</t>
  </si>
  <si>
    <t>10.1002/jwmg.21243</t>
  </si>
  <si>
    <t>EY6YZ</t>
  </si>
  <si>
    <t>WOS:000404132300014</t>
  </si>
  <si>
    <t>Charre-Medellín, JF; López-González, C; Lozano, A; Guzmán, AF</t>
  </si>
  <si>
    <t>Charre-Medellin, Juan F.; Lopez-Gonzalez, Celia; Lozano, Abraham; Fabiola Guzman, Ana</t>
  </si>
  <si>
    <t>otter records; distribution; diet; Rio Mezquital; Rio Nazas; Rio Grande of Santiago</t>
  </si>
  <si>
    <t>OAXACA</t>
  </si>
  <si>
    <t>An update on the state of knowledge on the neotropical otter (Lowly longicaudis) for the state of Durango, Mexico is presented based on the revision of literature reports and the addition of 2 new records. Upon revision, only 3 of the previous reports are supported by physical evidence or observations; and 2 more are newly documented records based on scats. Analysis of these samples indicated that the main items consumed by otters in Durango were mostly native fishes. Catostomus plebeius, Campostoma ornatum. Gila conspersa. Carassius auratus and Scartomyzon austrinus had not been recorded previously in the neotropical otter's diet. Neotropical otters are able to persist at the headwaters of at least 3 major basins (San Pedro-Mezquital, Nazas, and Grande de Santiago) even though strong anthropogenic disturbances have already occurred downstream, thus pointing to the need of effective conservation strategies for these areas.</t>
  </si>
  <si>
    <t>[Charre-Medellin, Juan F.] Univ Michoacana, Fac Biol, Morelia 58194, Michoacan, Mexico; [Lopez-Gonzalez, Celia; Lozano, Abraham] Inst Politecn Nacl, CHDIR Unidad Durango, Durango 34220, Mexico; [Fabiola Guzman, Ana] Inst Nacl Antropol &amp; Hist, Lab Arqueozool Men C Ticul Alvarez Solorzano Subd, Lab Apoyo Acad, Mexico City 06060, DF, Mexico; [Fabiola Guzman, Ana] Inst Politecn Nacl, Escuela Nacl Ciencias Biol, Mexico City 11340, DF, Mexico</t>
  </si>
  <si>
    <t>Universidad Michoacana de San Nicolas de Hidalgo; Instituto Politecnico Nacional - Mexico; Instituto Politecnico Nacional - Mexico</t>
  </si>
  <si>
    <t>Charre-Medellín, JF (corresponding author), Univ Michoacana, Fac Biol, Ciudad Univ, Morelia 58194, Michoacan, Mexico.</t>
  </si>
  <si>
    <t>jfcharre@yahoo.com.mx</t>
  </si>
  <si>
    <t>Lopez-Gonzalez, Celia/R-6796-2017; Lozano, Abraham/G-5132-2019</t>
  </si>
  <si>
    <t>Lozano, Abraham/0000-0002-0411-0210</t>
  </si>
  <si>
    <t>862FX</t>
  </si>
  <si>
    <t>WOS:000298076300031</t>
  </si>
  <si>
    <t>GalloReynoso, JP; Rathbun, GB</t>
  </si>
  <si>
    <t>UNIV CALIF SANTA CRUZ,SANTA CRUZ,CA 95064; US NATL BIOL SERV,PIEDRAS BLANCAS RES STN,SAN SIMEON,CA 93452</t>
  </si>
  <si>
    <t>10.1111/j.1748-7692.1997.tb00639.x</t>
  </si>
  <si>
    <t>WU789</t>
  </si>
  <si>
    <t>WOS:A1997WU78900015</t>
  </si>
  <si>
    <t>Brickner, KM; Grenier, MB; Crosier, AE; Pauli, JN</t>
  </si>
  <si>
    <t>Brickner, Katrina M.; Grenier, Martin B.; Crosier, Adrienne E.; Pauli, Jonathan N.</t>
  </si>
  <si>
    <t>Bayesian; Character displacement; Cynomys leucurus; Mustelid; Sexual dimorphism; Stable isotope</t>
  </si>
  <si>
    <t>DISCRIMINATION FACTORS; PRAIRIE DOGS; FOOD-HABITS; DIET; POPULATION; DELTA-N-15; DELTA-C-13; NITROGEN; GROWTH; VALUES</t>
  </si>
  <si>
    <t>The extirpation of black-footed ferrets (Mustela nigripes) from the wild resulted from the rangewide decline of prairie dogs (Cynomys spp.) brought about by poisoning campaigns, the arrival of an exotic disease, and habitat loss. It is widely accepted that ferrets are an obligate, near monophagous, dietary specialist of prairie dogs and that high-density prairie dog colonies are necessary for effective recovery. To test the extent to which ferrets are dietary specialists, we measured the stable isotopic values of 321 ferrets of known age and sex as well as of their potential prey (e.g., prairie dogs, mice, ground squirrels, and rabbits). Our results confirmed that prairie dogs are the most common diet item for ferrets, although ferrets possessed greater foraging plasticity than previously reported, consuming substantial quantities of other species. The degree to which ferrets were specialized on prairie dogs differed between age-sex groups. Adult male and juvenile ferrets had equivalent diets, with prairie dogs constituting nearly 75% of their assimilated diet. In contrast, adult females obtained over one third of their diet from other species, notably mice. However, female ferrets appeared to have provisioned prairie dogs to their dependent offspring. Conservation of ferrets, one of North America's most endangered mammals, will require prairie dogs, not just as prey, but also for the prey-rich habitat that their colonies provide.(C) 2013 Elsevier Ltd. All rights reserved.</t>
  </si>
  <si>
    <t>[Brickner, Katrina M.; Pauli, Jonathan N.] Univ Wisconsin Madison, Dept Forest &amp; Wildlife Ecol, Madison, WI 53706 USA; [Grenier, Martin B.] Wyoming Game &amp; Fish Dept, Lander, WY 82520 USA; [Crosier, Adrienne E.] Smithsonian Conservat Biol Inst, Front Royal, VA 22630 USA</t>
  </si>
  <si>
    <t>University of Wisconsin System; University of Wisconsin Madison; Smithsonian Institution; Smithsonian National Zoological Park &amp; Conservation Biology Institute</t>
  </si>
  <si>
    <t>Pauli, JN (corresponding author), Univ Wisconsin Madison, Dept Forest &amp; Wildlife Ecol, Madison, WI 53706 USA.</t>
  </si>
  <si>
    <t>jnpauli@wisc.edu</t>
  </si>
  <si>
    <t>Wyoming Wildlife Heritage Foundation</t>
  </si>
  <si>
    <t>We thank the staff at the Smithsonian Conservation Biology Institute and Wynne Moss for assisting with analyses. Protocols were approved by the Institutional Animal Care and Use Committees at the University of Wisconsin-Madison and Smithsonian Conservation Biology Institute and followed the guidelines set forth by the American Society of Mammalogists. Sampling permits for black-footed ferrets were obtained from the US Fish and Wildlife Service. Funding for this project was provided by a grant from the Wyoming Wildlife Heritage Foundation.</t>
  </si>
  <si>
    <t>10.1016/j.biocon.2013.10.010</t>
  </si>
  <si>
    <t>AD9GX</t>
  </si>
  <si>
    <t>WOS:000333574400001</t>
  </si>
  <si>
    <t>Biggins, DE</t>
  </si>
  <si>
    <t>Biggins, Dean E.</t>
  </si>
  <si>
    <t>PRAIRIE DOGS CYNOMYS; CONATA BASIN; RESOURCE SELECTION; MUSTELA-NIGRIPES; SURVIVAL; MEETEETSE; BEHAVIORS; PLAGUE; AREAS</t>
  </si>
  <si>
    <t>Once feared to be extinct, black-footed ferrets (Mustela nigripes) were rediscovered near Meeteetse, Wyoming, in 1981, resulting in renewed conservation and research efforts for this highly endangered species. A need for information directly useful to recovery has motivated much monitoring of ferrets since that time, but field activities have enabled collection of data relevant to broader biological themes. This special feature is placed in a context of similar books and proceedings devoted to ferret biology and conservation. Articles include general observations on ferrets, modeling of potential impacts of ferrets on prairie dogs (Cynomys spp.), discussions on relationships of ferrets to prairie dog habitats at several spatial scales (from individual burrows to patches of burrow systems) and a general treatise on the status of black-footed ferret recovery.</t>
  </si>
  <si>
    <t>US Geol Survey, Ft Collins Sci Ctr, Ft Collins, CO 80525 USA</t>
  </si>
  <si>
    <t>Biggins, DE (corresponding author), US Geol Survey, Ft Collins Sci Ctr, 2150 Ctr Ave,Bldg C, Ft Collins, CO 80525 USA.</t>
  </si>
  <si>
    <t>dean_biggins@usgs.gov</t>
  </si>
  <si>
    <t>National Zoo (Front Royal, VA); Henry Doorly Zoo (Omaha, NB); Louisville Zoo (Louisville, KY); Toronto Zoo (Toronto, Ontario, Canada); Cheyenne Mountain Zoo (Colorado Springs, CO); Phoenix Zoo (Phoenix, AZ)</t>
  </si>
  <si>
    <t>A good measure of credit for the successes of black-footed ferret recovery efforts is due to the Wyoming Game and Fish Department, the U.S. Fish and Wildlife Service's Black-footed Ferret Conservation Center, and multiple ZOOS for producing ferrets that have been reintroduced to the wild over the past 25 years. The National Zoo (Front Royal, VA), Henry Doorly Zoo (Omaha, NB), Louisville Zoo (Louisville, KY), Toronto Zoo (Toronto, Ontario, Canada), Cheyenne Mountain Zoo (Colorado Springs, CO), and Phoenix Zoo (Phoenix, AZ) are commended for generating their own funds to support ferret conservation. Reintroduction of ferrets began with captive production of the animals, but tremendous effort was required at many other levels to finally reestablish the multiple populations of free-ranging animals (Fig. 2). The individuals directly involved now number in the hundreds, and they work within state work groups and represent many state and federal agencies, as well as private organizations. To name all individuals who have put their hearts and lives into ferret conservation unfortunately is not possible here (but visit the web site http://www.prairiewildlife.org/). Sadly, some members of our team from the post-Meeteetse era are no longer with us but remain alive in our memories. These include the following: William Russell, George E. Menkins Jr., Ulysses Seal, Stanley H. Anderson, Donna Zeiler, JoGayle Dillon Howard, Lucille Hogg, E. Tom Thorne, Elizabeth S. Williams, and Joe Truett. Their contributions were considerable, and they are missed. Finally, it also seems fitting to pay tribute to Shep, the dog owned by John and Lucille Hogg, who by killing an individual ferret near Meeteetse in 1981 gave life to the species.</t>
  </si>
  <si>
    <t>1944-8341</t>
  </si>
  <si>
    <t>10.3398/064.072.0201</t>
  </si>
  <si>
    <t>999BH</t>
  </si>
  <si>
    <t>WOS:000308283600001</t>
  </si>
  <si>
    <t>Miller, B; Reading, RP</t>
  </si>
  <si>
    <t>Miller, Brian; Reading, Richard P.</t>
  </si>
  <si>
    <t>MUSTELA-NIGRIPES; CYNOMYS; ATTITUDES; SURVIVAL; ECOLOGY; PLAGUE</t>
  </si>
  <si>
    <t>The black-footed ferret (Mustela nigripes) recovery program is an example of single-species management to preserve flora and fauna. We argue that conservationists must move beyond that approach for success. In 1988, the U.S. Fish and Wildlife Service proposed a down-listing goal of 1500 adult black-footed ferrets in 10 wild populations by 2010. The recovery program has only reached 23% of that goal. The overriding reason is the lack of regulatory mechanisms for poisoning and shooting prairie clogs (Cynomys spp.) and our inability to control occurrence of plague (Yersinia pestis) in prairie dogs. We propose that prairie dogs need, and deserve, some level of federal protection to address these factors and that the primary goal for conservation of black-footed ferrets should be maintaining numbers and distributions of prairie clogs at sufficient temporal and geographic scales to restore them to a level of ecological function in the grasslands. We contend that prairie clogs qualify for protection in at least 4 of the 5 categories used to assess level of threat under the Endangered Species Act. A species needs to qualify in one of those categories to merit protection. The threat posed by plague should itself be sufficient reason to justify prairie clog protection, both for themselves and for the black-footed ferret recovery program.</t>
  </si>
  <si>
    <t>[Miller, Brian] Wind River Ranch Fdn, Watrous, NM 87753 USA; [Reading, Richard P.] Denver Zool Fdn, Dept Conservat, Denver, CO 80205 USA</t>
  </si>
  <si>
    <t>Miller, B (corresponding author), Wind River Ranch Fdn, Box 27, Watrous, NM 87753 USA.</t>
  </si>
  <si>
    <t>brimill@desertgate.com</t>
  </si>
  <si>
    <t>10.3398/064.072.0212</t>
  </si>
  <si>
    <t>WOS:000308283600012</t>
  </si>
  <si>
    <t>Biggins, DE; Miller, BJ; Hanebury, LR; Powell, RA</t>
  </si>
  <si>
    <t>Biggins, Dean E.; Miller, Brian J.; Hanebury, Louis R.; Powell, Roger A.</t>
  </si>
  <si>
    <t>captive breeding; Cynomys; ecological equivalent; ecological surrogate; Mustela eversmanii; Mustela nigripes; predation; reintroduction; survival; translocation</t>
  </si>
  <si>
    <t>MUSTELA-EVERSMANNI; SURVIVAL SKILLS; AVIAN PREDATION; MAMMALS; EUROPE</t>
  </si>
  <si>
    <t>Black-footed ferrets (Mustela nigripes) likely were extirpated from the wild in 1985-1986, and their repatriation depends on captive breeding and reintroduction. Postrelease survival of animals can be affected by behavioral changes induced by captivity. We released neutered Siberian polecats (M. eversmanii), close relatives of ferrets, in 1989-1990 on black-tailed prairie dog (Cynomys ludovicianus) colonies in Colorado and Wyoming initially to test rearing and reintroduction techniques. Captive-born polecats were reared in cages or cages plus outdoor pens, released from elevated cages or into burrows, and supplementally fed or not fed. We also translocated wild-born polecats from China in 1990 and released captive-born, cage-reared black-footed ferrets in 1991, the 1st such reintroduction of black-footed ferrets. We documented mortality for 55 of 92 radiotagged animals in these studies, mostly due to predation (46 cases). Coyotes (Canis latrans) killed 31 ferrets and polecats. Supplementally fed polecats survived longer than nonprovisioned polecats. With a model based on deaths per distance moved, survival was highest for wild-born polecats, followed by pen-experienced, then cage-reared groups. Indexes of abundance (from spotlight surveys) for several predators were correlated with mortality rates of polecats and ferrets due to those predators. Released black-footed ferrets had lower survival rates than their ancestral population in Wyoming, and lower survival than wild-born and translocated polecats, emphasizing the influence of captivity. Captive-born polecats lost body mass more rapidly postrelease than did captive-born ferrets. Differences in hunting efficiency and prey selection provide further evidence that these polecats and ferrets are not ecological equivalents in the strict sense.</t>
  </si>
  <si>
    <t>[Biggins, Dean E.; Miller, Brian J.; Hanebury, Louis R.] US Fish &amp; Wildlife Serv, Natl Ecol Res Ctr, Ft Collins, CO 80525 USA; [Powell, Roger A.] N Carolina State Univ, Dept Biol, Raleigh, NC 27695 USA</t>
  </si>
  <si>
    <t>United States Department of the Interior; US Fish &amp; Wildlife Service; North Carolina State University</t>
  </si>
  <si>
    <t>Biggins, DE (corresponding author), US Geol Survey, Ft Collins Sci Ctr, 2150 Ctr Ave,Bldg C, Ft Collins, CO 80526 USA.</t>
  </si>
  <si>
    <t>dean_biggins@ugsg.gov</t>
  </si>
  <si>
    <t>United States Geological Survey; Smithsonian Institution; Loudon Area Ferret Fanciers; National Zoo; National Fish and Wildlife Foundation; United States Army</t>
  </si>
  <si>
    <t>United States Geological Survey(United States Geological Survey); Smithsonian Institution(Smithsonian Institution); Loudon Area Ferret Fanciers; National Zoo(Smithsonian InstitutionSmithsonian National Zoological Park &amp; Conservation Biology Institute); National Fish and Wildlife Foundation; United States Army(United States Department of DefenseUnited States Army)</t>
  </si>
  <si>
    <t>Funding for this project came from the United States Geological Survey, Smithsonian Institution, Loudon Area Ferret Fanciers, Friends of the National Zoo, National Fish and Wildlife Foundation, and United States Army. We are especially grateful to Wildlife Trust for long-term support of this conservation effort. We are deeply indebted to the Wyoming Game and Fish Department and the Henry Doorly Zoo (Omaha, Nebraska) for producing the ferrets that were reintroduced in 1991. The National Zoo Conservation and Research Center provided logistical support, housing, food, and husbandry for captive polecats. The United States Army Pueblo Chemical Depot and the National Zoo Conservation and Research Center allowed us to convert buildings into polecat conditioning arenas. Ranchers at Hasty, Veteran, and Shirley Basin graciously allowed us to work on their lands. J. Ma and Z. Zhao, Northeast Forestry University (Ministry of Forestry), Harbin, China, were instrumental in obtaining polecats from Inner Mongolia. The United States Army Corps of Engineers provided housing and office facilities at Hasty. L. Phillips of Brookfield Zoo and S. Monfort and J. Zoziarski of the National Zoo performed sterilization surgery on ferrets, and R. Opferman provided veterinary assistance on many occasions. Space does not permit individual acknowledgment of the many technicians and volunteers who worked on ferret and polecat releases, but their help is sincerely appreciated. We appreciate the helpful reviews of this paper by B. Wunder, J. Detling, W. Andelt, R. Reading, and E. Valdez. Any use of trade, product, or firm names is for descriptive purposes only and does not imply endorsement by the United States government.</t>
  </si>
  <si>
    <t>AUG 16</t>
  </si>
  <si>
    <t>10.1644/10-MAMM-S-115.1</t>
  </si>
  <si>
    <t>812TD</t>
  </si>
  <si>
    <t>WOS:000294314900004</t>
  </si>
  <si>
    <t>Wisely, SM; McDonald, DB; Buskirk, SW</t>
  </si>
  <si>
    <t>ZOO BIOLOGY</t>
  </si>
  <si>
    <t>endangered species; captive propagation; reintroductions; mean kinship; microsatellite DNA; population genetics</t>
  </si>
  <si>
    <t>Empirical support for the genetic management strategies employed by captive breeding and reintroduction programs is scarce. We evaluated the genetic management plan for the highly endangered black-footed ferret (Mustela nigripes) developed by the American Zoo and Aquarium Associations (AZA) as a part of the species survival plan (SSP). We contrasted data collected from five microsatellite loci to predictions from a pedigree-based kinship matrix analysis of the captive black-footed ferret population. We compared genetic diversity among captive populations managed for continued captive breeding or reintroduction, and among wild-born individuals from two reintroduced populations. Microsatellite data gave an accurate but only moderately precise estimate of heterozygosity. Genetic diversity was similar in captive populations maintained for breeding and release, and it appears that the recovery program will achieve its goal of maintaining 80% of the genetic diversity of the founder population over 25 years. Wild-born individuals from reintroduced populations maintained genetic diversity and avoided close inbreeding. We detected small but measurable genetic differentiation between the reintroduced populations. The model of random mating predicted only slightly lower levels of heterozygosity retention compared to the SSP strategy. The random mating strategy may be a viable alternative for managing large, stable, captive populations such as that of the black-footed ferret. (C) 2003 Wiley-Liss, Inc.</t>
  </si>
  <si>
    <t>Univ Wyoming, Dept Zool &amp; Physiol, Laramie, WY 82071 USA</t>
  </si>
  <si>
    <t>University of Wyoming</t>
  </si>
  <si>
    <t>Wisely, SM (corresponding author), Smithsonian Inst, Mol Genet Lab, 3001 Connecticut Ave NW, Washington, DC 20008 USA.</t>
  </si>
  <si>
    <t>wisely.samantha@nmnh.si.edu</t>
  </si>
  <si>
    <t>McDonald, David/C-3195-2008; Buskirk, Steven/K-2871-2016</t>
  </si>
  <si>
    <t>McDonald, David/0000-0001-8582-3775; Buskirk, Steven/0000-0003-0611-6648</t>
  </si>
  <si>
    <t>0733-3188</t>
  </si>
  <si>
    <t>1098-2361</t>
  </si>
  <si>
    <t>ZOO BIOL</t>
  </si>
  <si>
    <t>Zoo Biol.</t>
  </si>
  <si>
    <t>10.1002/zoo.10089</t>
  </si>
  <si>
    <t>Veterinary Sciences; Zoology</t>
  </si>
  <si>
    <t>697NX</t>
  </si>
  <si>
    <t>WOS:000183950800007</t>
  </si>
  <si>
    <t>Wisely, SM; Buskirk, SW; Fleming, MA; McDonald, DB; Ostrander, EA</t>
  </si>
  <si>
    <t>CONSERVATION; GHOST</t>
  </si>
  <si>
    <t>The black-footed ferret (Mustela nigripes) is an endangered North American carnivore that underwent a well-documented population bottleneck in the mid-1980s. To better understand the effects of a bottleneck on a free-ranging carnivore population, we used 24 microsatellite loci to compare genetic diversity before versus during the bottleneck, and compare the last wild population to two historical populations. We also compared genetic diversity in black-footed ferrets to that of two sibling species, the steppe polecat (Mustela eversmanni) and the European polecat (Mustela putorius). Black-footed ferrets during the bottleneck had less genetic diversity than steppe polecats. The three black-footed ferret populations were well differentiated (F-ST = 0.57 +/- 0.15; mean +/- SE). We attributed the decrease in genetic diversity in black-footed ferrets to localized extinction of these genetically distinct subpopulations and to the bottleneck in the surviving subpopulation. Although genetic diversity decreased, female fecundity and juvenile survival were not affected by the population bottleneck.</t>
  </si>
  <si>
    <t>Univ Wyoming, Dept Zool &amp; Physiol, Laramie, WY 82071 USA; Fred Hutchinson Canc Res Ctr, Seattle, WA 98104 USA; Genet Lab, Washington, DC 20008 USA</t>
  </si>
  <si>
    <t>University of Wyoming; Fred Hutchinson Cancer Center</t>
  </si>
  <si>
    <t>Wisely, SM (corresponding author), Univ Wyoming, Dept Zool &amp; Physiol, POB 3166, Laramie, WY 82071 USA.</t>
  </si>
  <si>
    <t>Buskirk, Steven/K-2871-2016; McDonald, David/C-3195-2008</t>
  </si>
  <si>
    <t>Ostrander, Elaine/0000-0001-6075-9738; McDonald, David/0000-0001-8582-3775</t>
  </si>
  <si>
    <t>JUL-AUG</t>
  </si>
  <si>
    <t>10.1093/jhered/93.4.231</t>
  </si>
  <si>
    <t>610JR</t>
  </si>
  <si>
    <t>WOS:000178957400001</t>
  </si>
  <si>
    <t>Owen, PR; Bell, CJ; Mead, EM</t>
  </si>
  <si>
    <t>conservation; Cynomys; diet; ferret; fossil; Mustela eversmanni; Mustela nigripes; Pleistocene</t>
  </si>
  <si>
    <t>A new middle Pleistocene record of Mustela nigripes is reported from Cathedral Cave, White Pine County, Nevada. The specimen dates to 750,000-850,000 years ago and represents one of the oldest remains recovered of the black-footed ferret. Forty-two percent of fossil faunas known to contain M. nigripes do not contain Cynomys, the common prey of black-footed ferrets in historic times. Consideration of dietary information and habitat requirements of ill. nigripes and its sister taxon, M. eversmanni (steppe ferret), reveals ancestral behavioral repertoires for ferrets. We suggest that the historically documented obligate predator-prey relationship between M. nigripes and Cynomys was a secondary effect of colonization by black-footed ferrets of Cynomys-dominated habitats sometime in the past 800,000 years. A phylogenetic perspective on the behavior of ferrets combined with paleontological data indicates a broader range of possibilities for conservation of the black-footed ferret.</t>
  </si>
  <si>
    <t>Univ Texas, Dept Geol Sci, Austin, TX 78712 USA; Univ Texas, Vertebrate Paleontol Lab, Austin, TX 78712 USA; Univ Arizona, Teaching Ctr, Tucson, AZ 85721 USA</t>
  </si>
  <si>
    <t>University of Texas System; University of Texas Austin; University of Texas System; University of Texas Austin; University of Arizona</t>
  </si>
  <si>
    <t>Owen, PR (corresponding author), Univ Texas, Dept Geol Sci, Austin, TX 78712 USA.</t>
  </si>
  <si>
    <t>powen@mail.utexas.edu</t>
  </si>
  <si>
    <t>10.1644/1545-1542(2000)081&lt;0422:FDACOB&gt;2.0.CO;2</t>
  </si>
  <si>
    <t>316ET</t>
  </si>
  <si>
    <t>WOS:000087155200010</t>
  </si>
  <si>
    <t>Torres, J; Mañas, S; Palazón, S; Ceña, JC; Miquel, J; Feliu, C</t>
  </si>
  <si>
    <t>ACTA PARASITOLOGICA</t>
  </si>
  <si>
    <t>helminth fauna; Mustela lutreola; M. vison; Mustelidae; Carnivora; Spain</t>
  </si>
  <si>
    <t>The European mink (M. lutreola) and the American mink (M. vison) are riparian mustelids inhabiting; Spain. During the last few decades, M. lutreola populations have declined almost everywhere, but, since being introduced in Europe, the American mink has become wide spread there. The present study presents the first comprehensive helminthological data of both mink species in Western Europe and analyses the possible cross-transmission of some pathogenic helminths between neighbouring Spanish populations of both mustelids. One hundred and forty specimens (28 M. lutreola and 112 M. vison) from several Spanish zones were analysed. A total of thirteen helminth species were found: Metorchis bilis, Parametorchis sp., Pseudamphistomum truncation, Euryhelmis squamula and Apophallus donicus (Trematoda), Taenia martis and T. tenuicollis (Cestoda), Aonchotheca putorii, Strongyloides mustelorum, Molineus patens, Crenosoma melesi and Aelurostrongylus pridhami (Nematoda), and Centrorhynchus ninnii (Acanthocephala). The helminth fauna of M. lutreola was qualitatively and quantitatively richer than that of M. visor.. This fact was particularly evident amongst digeneans with four species (M. bilis, Parametorchis sp., P, truncatum and A. donicus) exclusively present in M. lutreola. Twenty-five M. lutreola individuals were infected with parasitic worms (89.3%). In contrast, less than half (41.1%) of the American minks analysed were infected by helminths. The helminth fauna of both European and American minks in Spain are compared with those of both mustelids in Belarus, where another important population of M. lutreola is present. Also considered are some epidemiological and pathogenic aspects of the helminth fauna of both mink species that might act as regulatory factors over the Spanish population of M. lutreola.</t>
  </si>
  <si>
    <t>Univ Barcelona, Fac Farm, Parasitol Lab, E-08028 Barcelona, Spain; Univ Barcelona, Dept Biol Anim, E-08028 Barcelona, Spain</t>
  </si>
  <si>
    <t>University of Barcelona; University of Barcelona</t>
  </si>
  <si>
    <t>Torres, J (corresponding author), Univ Barcelona, Fac Farm, Parasitol Lab, Av Joan XXIII S-N, E-08028 Barcelona, Spain.</t>
  </si>
  <si>
    <t>jtorres@farmacia.far.ub.es</t>
  </si>
  <si>
    <t>Miquel, Jordi/J-7186-2017</t>
  </si>
  <si>
    <t>Miquel, Jordi/0000-0003-1132-3772</t>
  </si>
  <si>
    <t>SPRINGER INT PUBL AG</t>
  </si>
  <si>
    <t>CHAM</t>
  </si>
  <si>
    <t>GEWERBESTRASSE 11, CHAM, CH-6330, SWITZERLAND</t>
  </si>
  <si>
    <t>1230-2821</t>
  </si>
  <si>
    <t>1896-1851</t>
  </si>
  <si>
    <t>ACTA PARASITOL</t>
  </si>
  <si>
    <t>Acta Parasitolog.</t>
  </si>
  <si>
    <t>Parasitology; Veterinary Sciences; Zoology</t>
  </si>
  <si>
    <t>667XY</t>
  </si>
  <si>
    <t>WOS:000182261200008</t>
  </si>
  <si>
    <t>Guzmán, DSM; Carvajal, A; García-Marín, JF; Ferreras, MC; Pérez, V; Mitchell, M; Urra, F; Ceña, JC</t>
  </si>
  <si>
    <t>Sanchez-Migallon Guzman, David; Carvajal, Ana; Garcia-Marin, Juan F.; Ferreras, Maria C.; Perez, Valentin; Mitchell, Mark; Urra, Fermin; Cena, Juan C.</t>
  </si>
  <si>
    <t>Aleutian disease; counter immunoelectrophoresis; European mink; Mustela lutreola; protein electrophoresis; pathology; seroprevalence; canine distemper virus; adiaspiromycosis</t>
  </si>
  <si>
    <t>PARVOVIRUS INFECTION; NUCLEOTIDE-SEQUENCE; VIRUS; FERRETS; CARNIVORES; ADIASPIROMYCOSIS; TRANSMISSION; ANTIBODIES; LESIONS; PASTEL</t>
  </si>
  <si>
    <t>The European mink, Mustela lutreola, has suffered a dramatic decline in Europe during the 20th Century and is one of the most endangered carnivores in the world. The subpopulation of European mink from Navarra, Spain, estimated to number approximately 420, represents approximately two thirds of the total number of mink in Spain. Aleutian Disease Virus (ADV) is a parvovirus with a high degree of variability that can infect a broad range of mustelid hosts. The pathogenesis of this virus in small carnivores is variable and can be influenced by both host factors (e.g., species, American mink genotype, and immune status) and viral strain. A cross-sectional Study was conducted during the pre-reproductive period of February-March 2004 and 2005 and the postreproductive period of September-December 2004. Mink were intensively trapped along seven rivers that were representative of the European mink habitat in Navarra. Antibody counter immunoelectrophoresis against ADV was performed on 84 European mink blood samples. All the samples were negative. Protein electrophoresis was performed on 93 plasma samples. Nine of those samples (9.6%) had gamma globulin levels exceeding 20% of the total plasma protein. Complete necropsies were performed on 23 cadavers of European mink collected in the area between 2000 and 2005. Seventeen of the mink (74%) had traumatic and hemorrhagic lesions compatible with vehicular impact injuries. Although there were no histopathologic lesions associated with ADV, this Study documents the first description of I naturally Occurring canine distemper Virus infection in a European mink. In addition. Pulmonary adiaspiromycosis in three European mink from Spain was reported.</t>
  </si>
  <si>
    <t>[Sanchez-Migallon Guzman, David] Louisiana State Univ, Sch Vet Med, Dept Vet Clin Sci, Baton Rouge, LA 70803 USA; [Carvajal, Ana; Garcia-Marin, Juan F.; Ferreras, Maria C.; Perez, Valentin] Univ Leon, Fac Vet, Dept Sanidad Anim, E-24071 Leon, Spain; [Cena, Juan C.] Ingn Tecn Forestal, Logrono 26006, La Rioja, Spain; [Urra, Fermin] Gest Ambiental Navarra SA, Navarra 31015, Spain</t>
  </si>
  <si>
    <t>Louisiana State University System; Louisiana State University; Louisiana State University School of Veterinary Medicine; Universidad de Leon</t>
  </si>
  <si>
    <t>Guzmán, DSM (corresponding author), Louisiana State Univ, Sch Vet Med, Dept Vet Clin Sci, Baton Rouge, LA 70803 USA.</t>
  </si>
  <si>
    <t>; Mitchell, Mark/GPX-1183-2022; Ferreras, María-Carmen/GWU-5647-2022; Perez, Valentin/A-6281-2015; Carvajal, Ana/P-2351-2017</t>
  </si>
  <si>
    <t>Carvajal, Ana/0000-0001-8961-636X; Perez, Valentin/0000-0003-0075-1587; Ferreras Estrada, María del Carmen/0000-0003-1996-2229</t>
  </si>
  <si>
    <t>Gobierno de Navarra Departamento de Medio Ambiente, Ordenacion del Territorio y Vivienda</t>
  </si>
  <si>
    <t>The authors thank Alfonso Cena Martinez, Gabriel Berasategui Echevarria, losu Alfaro Vergarachea, Itsaso Bidegain Garbala, and Uxue ltoitz Marinelarena for the trapping of the animals and Benjamin Gomez Moliner for the technical Support during the Study. This Study Was financed by Gobierno de Navarra Departamento de Medio Ambiente, Ordenacion del Territorio y Vivienda.</t>
  </si>
  <si>
    <t>AMER ASSOC ZOO VETERINARIANS</t>
  </si>
  <si>
    <t>YULEE</t>
  </si>
  <si>
    <t>581705 WHITE OAK ROAD, YULEE, FL 32097 USA</t>
  </si>
  <si>
    <t>1937-2825</t>
  </si>
  <si>
    <t>10.1638/2006-0033.1</t>
  </si>
  <si>
    <t>351ID</t>
  </si>
  <si>
    <t>WOS:000259417000003</t>
  </si>
  <si>
    <t>Palomares, F; López-Bao, JV; Telletxea, G; Ceña, JC; Fournier, P; Giralda, G; Urra, F</t>
  </si>
  <si>
    <t>Palomares, Francisco; Lopez-Bao, J. V.; Telletxea, G.; Cena, J. C.; Fournier, P.; Giralda, G.; Urra, F.</t>
  </si>
  <si>
    <t>Circadian activity; Conservation; Europea mink; Mustela lutreola; Spatial organization; Space use</t>
  </si>
  <si>
    <t>MUSTELA-LUTREOLA; HABITAT USE; SPACE USE; SEGREGATION; DYNAMICS; PATTERNS; PUTORIUS; ERMINEA; VISON; DIET</t>
  </si>
  <si>
    <t>The European mink is a critically endangered mustelid species of conservation concern throughout Europe. Several conservation interventions have been implemented in recent years, supported by both national and European governments. However, knowledge about the natural history of the European mink is scarce and localized to a few specific areas. From 2007 to 2009, we studied mink activity patterns, home range sizes, and macrohabitats of mink home ranges based on 28 radio-tracked European mink (10 adult females, 11 adult males, 3 young females, and 4 young males) in the Foral Community of Navarre (northern Spain), in the Arga and Aragon rivers. We also provide insights on the spatial organization of the species. European mink presented a stable, mainly nocturnal and crepuscular activity pattern and required between 15 and 75 ha of fluvial habitats to establish their home ranges, which were also quite stable throughout the year. There were great differences between adult females and adult males, the latter having home ranges five times larger. In addition, whereas adult females mainly settled in lagoons and small tributaries, males also used to a large extent the main river sections. European mink presented a polygynous mating system, where males were territorial and encompassed several female home ranges within their home ranges. Lagoons and similar structures should be preserved and favored in management strategies, and tributaries maintained in good condition, as female requirements should be prioritized in plans to improve the general habitat quality for the species. Any conservation plan aimed at the improvement or recovery of European mink populations through habitat management should consider management blocks of at least 15 ha per each potential breeding female.</t>
  </si>
  <si>
    <t>[Palomares, Francisco] CSIC, Estn Biol Donana, Avda Americo Vespucio S-N, Seville 41092, Spain; [Lopez-Bao, J. V.] Univ Oviedo, Res Unit Biodivers UO CSIC PA, Mieres 33600, Spain; [Telletxea, G.] URTZEL Estudios Ambientales, Elizaga 18, Eugi 31638, Spain; [Cena, J. C.] C Estambrera 13-3 B, Logrono 36006, Spain; [Fournier, P.] GREGE, Route Prechac, F-33730 Villandraut, France; [Giralda, G.] Gobierno Navarra, C Gonzalez Tablas 9, Pamplona 31005, Spain; [Urra, F.] Gest Ambiental Navarra, 219 Bajo, Pamplona 31015, Spain</t>
  </si>
  <si>
    <t>Consejo Superior de Investigaciones Cientificas (CSIC); CSIC - Estacion Biologica de Donana (EBD); Consejo Superior de Investigaciones Cientificas (CSIC); University of Oviedo</t>
  </si>
  <si>
    <t>Palomares, F (corresponding author), CSIC, Estn Biol Donana, Avda Americo Vespucio S-N, Seville 41092, Spain.</t>
  </si>
  <si>
    <t>ffpaloma@ebd.csic.es</t>
  </si>
  <si>
    <t>Palomares, Francisco/F-5327-2016</t>
  </si>
  <si>
    <t>European Union project LIFE TERRITORIO VISON [LIFE09/NAT/ES/53]; European Union project GIRE Interreg II A program; European Union project LIFE GERVE [LIFE05 NAT/E/000073]; Navarre Government; Juan de la Cierva research contract from the Spanish Ministry of Economy and Competitiveness [JCI-2012-13066]</t>
  </si>
  <si>
    <t>European Union project LIFE TERRITORIO VISON; European Union project GIRE Interreg II A program(Interreg Europe); European Union project LIFE GERVE; Navarre Government; Juan de la Cierva research contract from the Spanish Ministry of Economy and Competitiveness</t>
  </si>
  <si>
    <t>This study was funded by the European Union projects LIFE TERRITORIO VISON (LIFE09/NAT/ES/53), GIRE Interreg II A program, and LIFE GERVE (LIFE05 NAT/E/000073),as well as by the Navarre Government. JVLB was supported by a Juan de la Cierva research contract (JCI-2012-13066) from the Spanish Ministry of Economy and Competitiveness. We thank M. Delibes for his advice with the study design and discussion and A. Cena, U. Itoiz, I. Bidegain, G. Berasategui, and I. Alfaro for their help during the fieldwork and assistance with data management.</t>
  </si>
  <si>
    <t>10.1007/s10344-017-1135-0</t>
  </si>
  <si>
    <t>FH3OV</t>
  </si>
  <si>
    <t>WOS:000411059800007</t>
  </si>
  <si>
    <t>Nicholson, TE; Mayer, KA; Staedler, MM; Fujii, JA; Murray, MJ; Johnson, AB; Tinker, MT; Van Houtan, KS</t>
  </si>
  <si>
    <t>Nicholson, Teri E.; Mayer, Karl A.; Staedler, Michelle M.; Fujii, Jessica A.; Murray, Michael J.; Johnson, Andrew B.; Tinker, M. Tim; Van Houtan, Kyle S.</t>
  </si>
  <si>
    <t>ECOGRAPHY</t>
  </si>
  <si>
    <t>coastal ecology; population recovery; global change</t>
  </si>
  <si>
    <t>ENHYDRA-LUTRIS-NEREIS; CARCHARODON-CARCHARIAS; POPULATION-GROWTH; TROPHIC CASCADES; DOMOIC ACID; MORTALITY; HABITAT; RANGE; RESILIENCE; DEMOGRAPHY</t>
  </si>
  <si>
    <t>Despite more than a century of federal protection, the California sea otter Enhydra lutris nereis remains threatened under the U.S. Endangered Species Act (ESA), and the population has not appreciably expanded its range in two decades. Here, we examine a novel dataset of 725 sea otter live strandings from 1984-2015 to gain insights into demographic and environmental factors underlying threats to sea otter recovery. Using multinomial logistic regression to evaluate spatiotemporal patterns of stranding causes, we demonstrate that increases in stranding rates, particularly outside the range center, are related to a substantial increase in shark bites. By contrast, trauma linked to human activities has declined dramatically, and now accounts for less than 5% of stranding cases. Within the range core, where the sea otter population seems regulated by prey availability, symptoms of energetic stress represent more than 63% of all strandings and are strongly associated with high sea otter density. Conversely, in range peripheries, the majority of strandings are caused by shark bite and neurological disease. Notably, these threats are virtually absent where nearshore habitat is characterized by at least 10% kelp canopy cover. Our analyses reveal that declining kelp cover may therefore constrain the population's spatial expansion and recovery in two key ways. Absence of kelp intensifies density-independent threats in the range peripheries, and likely limits dispersal of reproductive females, which depend on kelp canopy for nursery habitat. These results highlight the significance of both top-down and bottom-up processes in population dynamics, and inform an ecosystem-based approach to conservation planning.</t>
  </si>
  <si>
    <t>[Nicholson, Teri E.; Mayer, Karl A.; Staedler, Michelle M.; Fujii, Jessica A.; Murray, Michael J.; Johnson, Andrew B.; Van Houtan, Kyle S.] Monterey Bay Aquarium, Monterey, CA 93940 USA; [Van Houtan, Kyle S.] Duke Univ, Nicholas Sch Environm, Durham, NC 27708 USA; [Tinker, M. Tim] Univ Calif Santa Cruz, Long Marine Lab, Dept Ecol &amp; Evolutionary Biol, Santa Cruz, CA 95064 USA; [Tinker, M. Tim] US Geol Survey, Western Ecol Res Ctr, Santa Cruz, CA USA</t>
  </si>
  <si>
    <t>Monterey Bay Aquarium Research Institute; Duke University; University of California System; University of California Santa Cruz; United States Department of the Interior; United States Geological Survey</t>
  </si>
  <si>
    <t>Nicholson, TE (corresponding author), Monterey Bay Aquarium, Monterey, CA 93940 USA.</t>
  </si>
  <si>
    <t>tnicholson@mbayaq.org</t>
  </si>
  <si>
    <t>Tinker, Martin/D-3249-2018; Van Houtan, Kyle/A-4695-2008</t>
  </si>
  <si>
    <t>Johnson, Anew/0000-0003-3089-2081; Van Houtan, Kyle/0000-0001-5725-1773</t>
  </si>
  <si>
    <t>0906-7590</t>
  </si>
  <si>
    <t>1600-0587</t>
  </si>
  <si>
    <t>Ecography</t>
  </si>
  <si>
    <t>10.1111/ecog.03561</t>
  </si>
  <si>
    <t>HA0GS</t>
  </si>
  <si>
    <t>WOS:000449886600001</t>
  </si>
  <si>
    <t>Fournier-Chambrillon, C; Torres, J; Miquel, J; André, A; Michaux, J; Lemberger, K; Carrera, GG; Fournier, P</t>
  </si>
  <si>
    <t>Fournier-Chambrillon, Christine; Torres, Jordi; Miquel, Jordi; Andre, Adrien; Michaux, Johan; Lemberger, Karin; Giralda Carrera, Gloria; Fournier, Pascal</t>
  </si>
  <si>
    <t>PARASITOLOGY RESEARCH</t>
  </si>
  <si>
    <t>Critically endangered; Severe parasitism; Mustela lutreola; Physiological exhaustion; Spain; Versteria mustelae</t>
  </si>
  <si>
    <t>SOUTH-WESTERN FRANCE; VISON; POPULATION; PUTORIUS</t>
  </si>
  <si>
    <t>The riparian European mink (Mustela lutreola), currently surviving in only three unconnected sites in Europe, is now listed as a critically endangered species in the IUCN Red List of Threatened Species. Habitat loss and degradation, anthropogenic mortality, interaction with the feral American mink (Neovison vison), and infectious diseases are among the main causes of its decline. In the Spanish Foral Community of Navarra, where the highest density of M. lutreola in its western population has been detected, different studies and conservation measures are ongoing, including health studies on European mink, and invasive American mink control. We report here a case of severe parasitism with progressive physiological exhaustion in an aged free-ranging European mink female, which was accidentally captured and subsequently died in a live-trap targeting American mink. Checking of the small intestine revealed the presence of 17 entangled Versteria mustelae worms. To our knowledge, this is the first description of hyperinfestation by tapeworms in this species.</t>
  </si>
  <si>
    <t>[Fournier-Chambrillon, Christine; Fournier, Pascal] Grp Rech &amp; Etud Gest Environm, Route Prechac, F-33730 Villandraut, France; [Torres, Jordi; Miquel, Jordi] Univ Barcelona, Dept Biol Sanitat &amp; Medi Ambient, Ave Joan 23,Sn, E-08028 Barcelona, Spain; [Torres, Jordi; Miquel, Jordi] Univ Barcelona, Inst Recerca Biodiversitat, Ave Diagonal 645, E-08028 Barcelona, Spain; [Andre, Adrien; Michaux, Johan] Univ Liege, Lab Genet Conservat, GeCoLAB, Chemin Vallee 4, B-4000 Liege, Belgium; [Lemberger, Karin] Vetdiagnostics, 14 Ave Rockefeller, F-69008 Lyon, France; [Giralda Carrera, Gloria] Gobierno Navarra, Secc Gest Comarca Pirena, C Gonzalez Tablas 9, Pamplona 31005, Spain</t>
  </si>
  <si>
    <t>University of Barcelona; University of Barcelona; University of Liege</t>
  </si>
  <si>
    <t>Fournier-Chambrillon, C (corresponding author), Grp Rech &amp; Etud Gest Environm, Route Prechac, F-33730 Villandraut, France.</t>
  </si>
  <si>
    <t>c.fournier-chambrillon@wanadoo.fr</t>
  </si>
  <si>
    <t>Torres, Jordi/AAA-4315-2019; Miquel, Jordi/J-7186-2017</t>
  </si>
  <si>
    <t>Departamento de Desarrollo Rural, Medio Ambiente y Administracion Local del Gobierno de Navarra</t>
  </si>
  <si>
    <t>The necropsies program was funded by the Departamento de Desarrollo Rural, Medio Ambiente y Administracion Local del Gobierno de Navarra and the carcasses were collected by the Seccion de Habitats y Seccion de Guarderio de Gobierno de Navarra, Equipo de Biodiversidad de Gestion Ambiental de Navarra S.A. We thank two anonymous reviewers for their very constructive recommendations.</t>
  </si>
  <si>
    <t>0932-0113</t>
  </si>
  <si>
    <t>1432-1955</t>
  </si>
  <si>
    <t>PARASITOL RES</t>
  </si>
  <si>
    <t>Parasitol. Res.</t>
  </si>
  <si>
    <t>10.1007/s00436-018-6043-z</t>
  </si>
  <si>
    <t>Parasitology</t>
  </si>
  <si>
    <t>GU3ES</t>
  </si>
  <si>
    <t>WOS:000445159500036</t>
  </si>
  <si>
    <t>Shapiro, K; Miller, M; Mazet, J</t>
  </si>
  <si>
    <t>Shapiro, Karen; Miller, Melissa; Mazet, Jonna</t>
  </si>
  <si>
    <t>JOURNAL OF WILDLIFE DISEASES</t>
  </si>
  <si>
    <t>Protozoa; runoff; Sarcocystis neurona; sea otter; Toxoplasma gondii; water quality</t>
  </si>
  <si>
    <t>TOXOPLASMA-GONDII INFECTION; OOCYST; TRANSMISSION; PATTERNS</t>
  </si>
  <si>
    <t>Toxoplasma gondii and Sarcocystis neurone have caused significant morbidity and mortality in threatened Southern sea otters (Enhydra lutris nereis) along the central California coast. Because only terrestrial animals are known to serve as definitive hosts for T. gondii and S. neurona, infections in otters suggest a land to sea flow of these protozoan pathogens. To better characterize the role of overland runoff in delivery of terrestrially derived fecal pathogens to the near shore, we assessed the temporal association between indicators of runoff and the timing of sea otter deaths due to T. gondii and S. neurona. Sea otter stranding records 1998-2004, from Monterey and Estero bays were reviewed and cases identified for which T. gondii or S. neurona were determined to be a primary or contributing cause of death. Precipitation and stream flow data from both study sites were used as indicators of land-based runoff. Logistic regression was applied to determine if a temporal association could be detected between protozoal mortalities and runoff indicators that occur in the 2 mo preceding mortality events. A significant association was found between S. neurona otter deaths at Estero Bay and increased stream flow that occurred 30-60 days prior to mortality events. At this site, the cause of otter mortality following increased river flows was 12 times more likely to be S. neurona infection compared with nonprotozoal causes of death. There were no significant associations between the timing of T. gondii otter deaths and indicators of overland runoff. Our results indicate that the association between overland runoff and otter mortalities is affected by geography as well as parasite type, and highlight the complex mechanisms that influence transmission of terrestrially, derived pathogens to marine wildlife. Policy and management practices that aim to mitigate discharges of contaminated overland runoff can aid conservation efforts by reducing pathogen pollution of coastal waters, which impacts the health of threatened marine wildlife and humans.</t>
  </si>
  <si>
    <t>[Shapiro, Karen; Miller, Melissa; Mazet, Jonna] Univ Calif Davis, Wildlife Hlth Ctr, Sch Vet Med, Davis, CA 95616 USA; [Miller, Melissa] Marine Wildlife Vet Care &amp; Res Ctr, Dept Fish &amp; Game, Santa Cruz, CA 95060 USA; [Miller, Melissa] Univ Calif Davis, Santa Cruz, CA 95060 USA</t>
  </si>
  <si>
    <t>University of California System; University of California Davis; University of California System; University of California Davis</t>
  </si>
  <si>
    <t>Shapiro, K (corresponding author), Univ Calif Davis, Wildlife Hlth Ctr, Sch Vet Med, 1 Shields Ave, Davis, CA 95616 USA.</t>
  </si>
  <si>
    <t>kshapiro@ucdavis.edu</t>
  </si>
  <si>
    <t>Mazet, Jonna/B-4811-2012</t>
  </si>
  <si>
    <t>Mazet, Jonna/0000-0002-8712-5951; Shapiro, Karen/0000-0003-2678-3851</t>
  </si>
  <si>
    <t>University of California Davis; Directorate For Geosciences [1065990] Funding Source: National Science Foundation; Division Of Ocean Sciences [1065990] Funding Source: National Science Foundation</t>
  </si>
  <si>
    <t>University of California Davis(University of California System); Directorate For Geosciences(National Science Foundation (NSF)NSF - Directorate for Geosciences (GEO)); Division Of Ocean Sciences(National Science Foundation (NSF)NSF - Directorate for Geosciences (GEO))</t>
  </si>
  <si>
    <t>We thank Erin Dodd, Eva Berberich, and Francesca Batac of the Marine Wildlife Veterinary Care and Research Center for preparation of the sea otter mortality data, and the students and faculty of the Master of Preventive Veterinary Medicine program at University of California Davis for their intellectual support. Access to river flow data from the Estero Bay stranding location was obtained from Kari Graton at the San Luis Obispo County Department of Public Works Utilities Division. Finally, we acknowledge Elizabeth Van Wormer and Christie Mayo for their helpful insight and discussions on logistic regression modeling.</t>
  </si>
  <si>
    <t>WILDLIFE DISEASE ASSOC, INC</t>
  </si>
  <si>
    <t>810 EAST 10TH ST, LAWRENCE, KS 66044-8897 USA</t>
  </si>
  <si>
    <t>0090-3558</t>
  </si>
  <si>
    <t>1943-3700</t>
  </si>
  <si>
    <t>J WILDLIFE DIS</t>
  </si>
  <si>
    <t>J. Wildl. Dis.</t>
  </si>
  <si>
    <t>10.7589/0090-3558-48.2.394</t>
  </si>
  <si>
    <t>922ZZ</t>
  </si>
  <si>
    <t>WOS:000302589000013</t>
  </si>
  <si>
    <t>Kuker, K; Barrett-Lennard, L</t>
  </si>
  <si>
    <t>Kuker, Katie; Barrett-Lennard, Lance</t>
  </si>
  <si>
    <t>Alaska; marine mammals; contaminants; North Pacific Ocean; predator-prey dynamics</t>
  </si>
  <si>
    <t>SEQUENTIAL MEGAFAUNAL COLLAPSE; PRINCE-WILLIAM-SOUND; NORTH PACIFIC-OCEAN; LION EUMETOPIAS-JUBATUS; BALD EAGLES; ORGANOCHLORINE PESTICIDES; SLEEPER SHARK; PERSISTENT ORGANOCHLORINES; ENVIRONMENTAL CONTAMINANTS; POLYCHLORINATED-BIPHENYLS</t>
  </si>
  <si>
    <t>During the past 15-20 years, sea otters Enhydra lutris in the Aleutian Islands, Alaska, USA, experienced a drastic decrease in population size. It has been hypothesized that an increase in killer whale Orcinus orca predation was the primary cause of this decline. Causation of the decline by increased killer whale predation is now considered a textbook case of top-down predator control. The purpose of this review is to re-evaluate the evidence for killer whale predation and to review evidence for alternative causes. The killer whale predation hypothesis is based on three lines of evidence: (i) there was an increase in the number of observed killer whale attacks on sea otters during the 1990s, coincident with a decline in sea otters, (ii) sea otter populations did not decline in areas considered inaccessible to killer whales, while they declined in adjacent areas considered accessible to killer whales, and (iii) the estimated number of attacks necessary to account for the rate of decline is similar to the observed number of attacks. Our re-evaluation indicates that although the killer whale hypothesis is by no means disproved, the supporting data are limited and inconclusive. Increases in shark populations in the Aleutian Islands concurrent with the sea otter population declines indicate the need for further research into the role of alternative marine predators in the population decline. High contaminant levels observed in sea otters in the Aleutian Islands warrant further investigation into the impact of these toxins on sea otter health and vital rates, and their possible role on the population decline. Disease has not been ruled out as a significant contributor to the population decline, particularly in the early stages of the decline.</t>
  </si>
  <si>
    <t>[Kuker, Katie; Barrett-Lennard, Lance] Vancouver Aquarium Marine Sci Ctr, Cetacean Res Lab, Vancouver, BC V6B 3X8, Canada; [Kuker, Katie; Barrett-Lennard, Lance] Univ British Columbia, Dept Zool, Vancouver, BC V6T 1Z4, Canada</t>
  </si>
  <si>
    <t>Kuker, K (corresponding author), Vancouver Aquarium Marine Sci Ctr, Cetacean Res Lab, POB 3232, Vancouver, BC V6B 3X8, Canada.</t>
  </si>
  <si>
    <t>kuker@zoology.ubc.ca; Lance.Barrett-Lennard@vanaqua.org</t>
  </si>
  <si>
    <t>Natural Sciences and Engineering Research Council of Canada; Department of Zoology at the University of British Columbia; Vancouver Aquarium Marine Science Centre; BC Killer Whale Adoption Program</t>
  </si>
  <si>
    <t>Natural Sciences and Engineering Research Council of Canada(Natural Sciences and Engineering Research Council of Canada (NSERC)CGIAR); Department of Zoology at the University of British Columbia; Vancouver Aquarium Marine Science Centre; BC Killer Whale Adoption Program</t>
  </si>
  <si>
    <t>We thank Darren Irwin, Paul Wade, Kathy Heise, Jake Goheen, Nick Pyenson and Volker Deecke for providing useful comments on earlier drafts of this manuscript. We also thank Doug DeMaster and Robert Small for thorough reviews that greatly improved the content and quality of this paper. Funding was provided by the Natural Sciences and Engineering Research Council of Canada, the Department of Zoology at the University of British Columbia, the Vancouver Aquarium Marine Science Centre, and the BC Killer Whale Adoption Program.</t>
  </si>
  <si>
    <t>10.1111/j.1365-2907.2009.00156.x</t>
  </si>
  <si>
    <t>WOS:000275762100001</t>
  </si>
  <si>
    <t>Gabriel, MW; Woods, LW; Wengert, GM; Stephenson, N; Higley, JM; Thompson, C; Matthews, SM; Sweitzer, RA; Purcell, K; Barrett, RH; Keller, SM; Gaffney, P; Jones, M; Poppenga, R; Foley, JE; Brown, RN; Clifford, DL; Sacks, BN</t>
  </si>
  <si>
    <t>Gabriel, Mourad W.; Woods, Leslie W.; Wengert, Greta M.; Stephenson, Nicole; Higley, J. Mark; Thompson, Craig; Matthews, Sean M.; Sweitzer, Rick A.; Purcell, Kathryn; Barrett, Reginald H.; Keller, Stefan M.; Gaffney, Patricia; Jones, Megan; Poppenga, Robert; Foley, Janet E.; Brown, Richard N.; Clifford, Deana L.; Sacks, Benjamin N.</t>
  </si>
  <si>
    <t>MOUNTAIN LION PREDATION; MARTES-PENNANTI; TOXOPLASMA-GONDII; CANINE-DISTEMPER; DNA; RISK</t>
  </si>
  <si>
    <t>Wildlife populations of conservation concern are limited in distribution, population size and persistence by various factors, including mortality. The fisher (Pekania pennanti), a North American mid-sized carnivore whose range in the western Pacific United States has retracted considerably in the past century, was proposed for threatened status protection in late 2014 under the United States Endangered Species Act by the United States Fish and Wildlife Service in its West Coast Distinct Population Segment. We investigated mortality in 167 fishers from two genetically and geographically distinct sub-populations in California within this West Coast Distinct Population Segment using a combination of gross necropsy, histology, toxicology and molecular methods. Overall, predation (70%), natural disease (16%), toxicant poisoning (10%) and, less commonly, vehicular strike (2%) and other anthropogenic causes (2%) were causes of mortality observed. We documented both an increase in mortality to (57% increase) and exposure (6%) from pesticides in fishers in just the past three years, highlighting further that toxicants from marijuana cultivation still pose a threat. Additionally, exposure to multiple rodenticides significantly increased the likelihood of mortality from rodenticide poisoning. Poisoning was significantly more common in male than female fishers and was 7 times more likely than disease to kill males. Based on necropsy findings, suspected causes of mortality based on field evidence alone tended to underestimate the frequency of disease-related mortalities. This study is the first comprehensive investigation of mortality causes of fishers and provides essential information to assist in the conservation of this species.</t>
  </si>
  <si>
    <t>[Gabriel, Mourad W.; Wengert, Greta M.] Integral Ecol Res Ctr, Blue Lake, CA 95525 USA; [Gabriel, Mourad W.; Sacks, Benjamin N.] Univ Calif Davis, Mammalian Ecol &amp; Conservat Unit, Vet Genet Lab, Davis, CA 95616 USA; [Woods, Leslie W.; Poppenga, Robert] Univ Calif Davis, Calif Anim Hlth &amp; Food Safety Lab Syst, Davis, CA 95616 USA; [Stephenson, Nicole; Foley, Janet E.] Univ Calif Davis, Sch Vet Med, Davis, CA 95616 USA; [Higley, J. Mark] Hoopa Tribal Forestry, Dept Wildlife, Hoopa, CA USA; [Thompson, Craig; Purcell, Kathryn] US Forest Serv, Pacific Southwest Res Stn, Sierra Nevada Res Ctr, Fresno, CA USA; [Matthews, Sean M.] Wildlife Conservat Soc, Hoopa, CA USA; [Sweitzer, Rick A.; Barrett, Reginald H.] Univ Calif Berkeley, Sierra Nevada Adapt Management Project, Berkeley, CA 94720 USA; [Keller, Stefan M.; Gaffney, Patricia; Jones, Megan] Univ Calif Davis, Dept Pathol Microbiol &amp; Immunol, Davis, CA 95616 USA; [Brown, Richard N.] Humboldt State Univ, Dept Wildlife, Arcata, CA 95521 USA; [Clifford, Deana L.] Calif Dept Fish &amp; Wildlife, Wildlife Invest Lab, Rancho Cordova, CA USA; [Sacks, Benjamin N.] Univ Calif Davis, Dept Populat Hlth &amp; Reprod, Davis, CA 95616 USA</t>
  </si>
  <si>
    <t>University of California System; University of California Davis; University of California System; University of California Davis; University of California System; University of California Davis; United States Department of Agriculture (USDA); United States Forest Service; Wildlife Conservation Society; University of California System; University of California Berkeley; University of California System; University of California Davis; California State University System; California State Polytechnic University, Humboldt; University of California System; University of California Davis</t>
  </si>
  <si>
    <t>Gabriel, MW (corresponding author), Integral Ecol Res Ctr, Blue Lake, CA 95525 USA.</t>
  </si>
  <si>
    <t>mgabriel@IERCecology.org</t>
  </si>
  <si>
    <t>Purcell, Kathryn/S-2592-2016; Barrett, Reginald/AAC-2608-2020; Keller, Stefan/ABK-6651-2022</t>
  </si>
  <si>
    <t>Higley, Mark/0000-0002-7722-3785; Keller, Stefan/0000-0002-5428-2985</t>
  </si>
  <si>
    <t>Integral Ecology Research Center; California Animal Health and Food Safety Laboratory System; Hoopa Valley Tribal Forestry; United States Forest Service; National Park Service; United States Fish and Wildlife Service; California Department of Water Resources; California Department of Fish and Wildlife; California Department of Forestry and Fire Protection; Sierra Nevada Conservancy; Sierra Nevada Adaptive Management Project; Bureau of Indian Affairs</t>
  </si>
  <si>
    <t>Integral Ecology Research Center; California Animal Health and Food Safety Laboratory System; Hoopa Valley Tribal Forestry; United States Forest Service(United States Department of Agriculture (USDA)United States Forest Service); National Park Service; United States Fish and Wildlife Service(US Fish &amp; Wildlife Service); California Department of Water Resources; California Department of Fish and Wildlife; California Department of Forestry and Fire Protection; Sierra Nevada Conservancy; Sierra Nevada Adaptive Management Project; Bureau of Indian Affairs</t>
  </si>
  <si>
    <t>Funding: This work was supported by the Integral Ecology Research Center, California Animal Health and Food Safety Laboratory System, Hoopa Valley Tribal Forestry, United States Forest Service, National Park Service, United States Fish and Wildlife Service, California Department of Water Resources, California Department of Fish and Wildlife, California Department of Forestry and Fire Protection, The Sierra Nevada Conservancy, Sierra Nevada Adaptive Management Project and the Bureau of Indian Affairs. The funders had no role in study design, data collection and analysis, decision to publish, or preparation of the manuscript.</t>
  </si>
  <si>
    <t>NOV 4</t>
  </si>
  <si>
    <t>e0140640</t>
  </si>
  <si>
    <t>10.1371/journal.pone.0140640</t>
  </si>
  <si>
    <t>CV5GZ</t>
  </si>
  <si>
    <t>WOS:000364298400028</t>
  </si>
  <si>
    <t>Sweitzer, RA; Popescu, VD; Barrett, RH; Purcell, KL; Thompson, CM</t>
  </si>
  <si>
    <t>Sweitzer, Rick A.; Popescu, Viorel D.; Barrett, Reginald H.; Purcell, Kathryn L.; Thompson, Craig M.</t>
  </si>
  <si>
    <t>density; fecundity; fisher; lambda; mark-resight; Martes; Pekania pennanti; reproduction</t>
  </si>
  <si>
    <t>MARTES-PENNANTI; DEMOGRAPHIC PARAMETERS; HABITAT SELECTION; SURVIVAL; CONSERVATION; CAPTURE; MARK; DENSITY; NEVADA</t>
  </si>
  <si>
    <t>In the west coast region of the United States, fishers (Pekania pennanti) exist in 2 remnant populations-1 in northern California and 1 in the southern Sierra Nevada, California-and 3 reintroduced populations (western Washington, southern Oregon, and northeastern California). The West Coast Distinct Population Segment of fishers encompassing all of these populations was proposed for listing as threatened by the U.S. Fish and Wildlife Service in October 2014. There are likely fewer than 500 total fishers in the southern Sierra Nevada population isolate, but empirical data on demographic rates, population size, and population growth are almost entirely lacking. Our goal was to estimate demographic parameters and current abundance of a fisher population at the north margin of the southern Sierra Nevada region. Radiocollared fishers were monitored from 2007 to 2013 to estimate survival and demographic rates, and camera traps were used to estimate population size based on detections of individual animals in a capture-mark-resight (CMR) framework. A Leslie matrix model was used to estimate a deterministic population growth rate (lambda). Fisher abundance ranged from 48 animals in 2010 to 62 animals in 2012, whereas mean population density varied from 0.075 to 0.096 fishers/km(2). Reproductive status was determined for 89 of 93 total denning opportunities; denning and weaning rates were estimated at 84% and 70%, and litter size was 1.6 kits. We documented 8 den failures, mostly associated with predator attacks. Demographic rates in the study population were comparable to reports from elsewhere in California or Oregon, but the CMR-based population density was the lowest reported in the United States. The estimated lambda for the population was 0.966 (range 0.786-1.155), which was in agreement with no indication of a positive or negative trend in population density. An encouraging result from sensitivity analyses was that minor improvements in fisher survival and fecundity, facilitated by proposed mitigation or management to reduce exposure to several agents of mortality, could improve lambda to 1.06-1.09 over the longer term. We believe that the combination of a population growth rate slightly below 1.0, small population size and low density, multiple challenges to survival and reproduction, and damage to habitat from wildfires warrants concern for the viability of the fisher population in our study area, which may extend to the overall southern Sierra Nevada population if lambda trends below 1.0 in other parts of the region. There is a need for continued monitoring and potential mitigation for threats to survival to assure continued presence of fishers in the southern Sierra Nevada, California.</t>
  </si>
  <si>
    <t>[Sweitzer, Rick A.] Great Basin Inst, Reno, NV 89511 USA; [Popescu, Viorel D.] Simon Fraser Univ, Earth Ocean Res Grp, Burnaby, BC V5A 1S6, Canada; [Popescu, Viorel D.] Univ Bucharest, Ctr Environm Res CCMESI, Bucharest 010041, Romania; [Barrett, Reginald H.] Univ Calif Berkeley, Dept Environm Sci Policy &amp; Management, Berkeley, CA 94720 USA; [Purcell, Kathryn L.; Thompson, Craig M.] US Forest Serv, USDA, Pacific Southwest Res Stn, Fresno, CA 93710 USA</t>
  </si>
  <si>
    <t>Simon Fraser University; University of Bucharest; University of California System; University of California Berkeley; United States Department of Agriculture (USDA); United States Forest Service</t>
  </si>
  <si>
    <t>Sweitzer, RA (corresponding author), Great Basin Inst, 16750 Mt Rose Highway, Reno, NV 89511 USA.</t>
  </si>
  <si>
    <t>rsweitzer@thegreatbasininstitute.org</t>
  </si>
  <si>
    <t>Barrett, Reginald/AAC-2608-2020; Popescu, Viorel/AAP-4699-2021; Purcell, Kathryn/S-2592-2016</t>
  </si>
  <si>
    <t>USDA Forest Service Region 5; California Agricultural Experiment Station</t>
  </si>
  <si>
    <t>The field effort would not have been possible without help from a dedicated team of staff and volunteers including C. J. O'Brien, T. Thein, R. Wise, W. Mitchell, J. Schneiderman, D. Jackson, J. Ashling, M. Ratchford, S. Vogel, J. Ruthven, J. Busiek, T. Watson, D. Hardeman, J. C. Jablonicky, T. Gorman, S. Bassing, A. Beaudette, Z. Eads, T. Day, and K. Wagner. M. Anderson, J. Bridges, L. Cline, and G. Cline also provided assistance in the field. We thank Forest Service pilots J. Litton, J. Irving, S. Forkel, B. Bulfer, and C. Haney for aviation support. Local support was facilitated by B. Persson, A. Otto, and A. Lombardo. H. Rustigian-Romsos aided with Fig. 1, and we thank J. Tucker, S. Matthews, and especially K. Jenkins for comments and suggestions that significantly improved the manuscript. The study is part of the Sierra Nevada Adaptive Management Project, a joint effort between US Forest Service Region 5, the University of California, US Forest Service Pacific Southwest Research Station, U.S. Fish and Wildlife Service, California Department of Water Resources, California Department of Fish and Game, California Department of Forestry and Fire Protection, the University of Wisconsin-Madison, and the University of Minnesota, focused on investigating the effects of landscape fuel treatments on forest ecosystems. USDA Forest Service Region 5 funded the majority of the field research, and the California Agricultural Experiment Station funded the remainder. This is contribution #33 from the Sierra Nevada Adaptive Management Project.</t>
  </si>
  <si>
    <t>10.1093/jmammal/gyv083</t>
  </si>
  <si>
    <t>CQ4NW</t>
  </si>
  <si>
    <t>WOS:000360582700015</t>
  </si>
  <si>
    <t>Taylor, BC; Brotheridge, RM; Jessup, DA; Stott, JL</t>
  </si>
  <si>
    <t>VETERINARY IMMUNOLOGY AND IMMUNOPATHOLOGY</t>
  </si>
  <si>
    <t>killer whale; sea otter; immunoglobulin</t>
  </si>
  <si>
    <t>Killer whales and sea otters maintained in captivity are the subjects of routine health monitoring programs, and interest in immunologic studies in sea otters has been rising recently in response to potential impacts from infectious disease and environmental pollution on the threatened southern sea otter population. Development of species-specific reagents for immunologic studies in these two marine mammals is currently in its infancy. In this study, killer whale and sea otter immunoglobulin-specific polyclonal antibodies were generated, and used to develop tests for serum Ig concentration in the killer whale (Orcinus orca) and the southern (Enhydra lutris nereis) and northern sea otter (Enhydra lutris lutris). Killer whale serum IgG was purified using caprylic acid/ammonium sulfate precipitation. Sea otter plasma IgG was purified using protein-A-agarose. Polyclonal anti-Ig antisera were produced in rabbits, and specificity confirmed by immunoelectrophoresis. Radial immunodiffusion was used to measure Ig concentration in serum or plasma samples derived from 21 captive killer whales, 18 wild and 4 captive southern sea otters and 15 wild and 4 captive northern sea otters grouped by age. Mean killer whale serum Ig concentration (+/-95% confidence interval) ranged from 15.04+/-3.97 g/l for animals aged 0-5 years to 26.65+/-9.8 g/l for animals aged &gt;10 years. Mean sea otter serum Ig concentration ( 95% confidence interval) ranged from 28.39+/-11.00 g/l for southern sub-adults to 32.76+/-11.58 g/l for southern adults. No significant difference in serum Ig concentration was found between southern and northern sea otters. Serum Ig concentrations in two northern sea otter pups were low compared to those of adult sea otters. The two serum Ig quantitation assays produced were highly specific and reproducible and will be useful additions to the limited number of tests available for immune function in these marine mammal species. (C) 2002 Elsevier Science B.V. All rights reserved.</t>
  </si>
  <si>
    <t>Univ Calif Davis, Sch Vet Med, Dept Pathol Microbiol &amp; Immunol, Davis, CA 95616 USA; Univ Leeds, Sch Med, Mol Epidemiol Unit, Leeds LS2 9J2, W Yorkshire, England; Calif Dept Fish &amp; Game, Off Oil Spill Prevent &amp; Response, Santa Cruz, CA 95060 USA</t>
  </si>
  <si>
    <t>University of California System; University of California Davis; University of Leeds</t>
  </si>
  <si>
    <t>Taylor, BC (corresponding author), Univ Wisconsin, Dept Microbiol, 1725 State St, La Crosse, WI 54601 USA.</t>
  </si>
  <si>
    <t>0165-2427</t>
  </si>
  <si>
    <t>VET IMMUNOL IMMUNOP</t>
  </si>
  <si>
    <t>Vet. Immunol. Immunopathol.</t>
  </si>
  <si>
    <t>OCT 28</t>
  </si>
  <si>
    <t>PII S0165-2427(02)00208-8</t>
  </si>
  <si>
    <t>10.1016/S0165-2427(02)00208-8</t>
  </si>
  <si>
    <t>Immunology; Veterinary Sciences</t>
  </si>
  <si>
    <t>606WE</t>
  </si>
  <si>
    <t>WOS:000178757000009</t>
  </si>
  <si>
    <t>VanWormer, E; Miller, MA; Conrad, PA; Grigg, ME; Rejmanek, D; Carpenter, TE; Mazet, JAK</t>
  </si>
  <si>
    <t>VanWormer, Elizabeth; Miller, Melissa A.; Conrad, Patricia A.; Grigg, Michael E.; Rejmanek, Daniel; Carpenter, Tim E.; Mazet, Jonna A. K.</t>
  </si>
  <si>
    <t>PLOS NEGLECTED TROPICAL DISEASES</t>
  </si>
  <si>
    <t>ENHYDRA-LUTRIS-NEREIS; SEA OTTERS; GENETIC DIVERSITY; MOUNTAIN LIONS; IDENTIFICATION; OOCYSTS; INFECTION; OUTBREAK; SURVIVAL; BOBCATS</t>
  </si>
  <si>
    <t>Background: Environmental transmission of the zoonotic parasite Toxoplasma gondii, which is shed only by felids, poses risks to human and animal health in temperate and tropical ecosystems. Atypical T. gondii genotypes have been linked to severe disease in people and the threatened population of California sea otters. To investigate land-to-sea parasite transmission, we screened 373 carnivores (feral domestic cats, mountain lions, bobcats, foxes, and coyotes) for T. gondii infection and examined the distribution of genotypes in 85 infected animals sampled near the sea otter range. Methodology/Principal Findings: Nested PCR-RFLP analyses and direct DNA sequencing at six independent polymorphic genetic loci (B1, SAG1, SAG3, GRA6, L358, and Apico) were used to characterize T. gondii strains in infected animals. Strains consistent with Type X, a novel genotype previously identified in over 70% of infected sea otters and four terrestrial wild carnivores along the California coast, were detected in all sampled species, including domestic cats. However, odds of Type X infection were 14 times higher (95% CI: 1.3-148.6) for wild felids than feral domestic cats. Type X infection was also linked to undeveloped lands (OR = 22, 95% CI: 2.3-250.7). A spatial cluster of terrestrial Type II infection (P = 0.04) was identified in developed lands bordering an area of increased risk for sea otter Type II infection. Two spatial clusters of animals infected with strains consistent with Type X (P &lt;= 0.01) were detected in less developed landscapes. Conclusions: Differences in T. gondii genotype prevalence among domestic and wild felids, as well as the spatial distribution of genotypes, suggest co-existing domestic and wild T. gondii transmission cycles that likely overlap at the interface of developed and undeveloped lands. Anthropogenic development driving contact between these cycles may increase atypical T. gondii genotypes in domestic cats and facilitate transmission of potentially more pathogenic genotypes to humans, domestic animals, and wildlife.</t>
  </si>
  <si>
    <t>[VanWormer, Elizabeth; Miller, Melissa A.; Conrad, Patricia A.; Rejmanek, Daniel; Mazet, Jonna A. K.] Univ Calif Davis, Sch Vet Med, Hlth Inst 1, Wildlife Hlth Ctr, Davis, CA 95616 USA; [Miller, Melissa A.] Calif Dept Fish &amp; Wildlife, Marine Wildlife Vet Care &amp; Res Ctr, Santa Cruz, CA USA; [Conrad, Patricia A.; Rejmanek, Daniel] Univ Calif Davis, Sch Vet Med, Dept Pathol Microbiol &amp; Immunol, Davis, CA 95616 USA; [Grigg, Michael E.] NIAID, Parasit Dis Lab, NIH, Bethesda, MD 20892 USA; [Carpenter, Tim E.] Massey Univ, EpiCtr, Palmerston North, New Zealand</t>
  </si>
  <si>
    <t>University of California System; University of California Davis; University of California System; University of California Davis; National Institutes of Health (NIH) - USA; NIH National Institute of Allergy &amp; Infectious Diseases (NIAID); Massey University</t>
  </si>
  <si>
    <t>VanWormer, E (corresponding author), Univ Calif Davis, Sch Vet Med, Hlth Inst 1, Wildlife Hlth Ctr, Davis, CA 95616 USA.</t>
  </si>
  <si>
    <t>evanwormer@ucdavis.edu</t>
  </si>
  <si>
    <t>Mazet, Jonna/0000-0002-8712-5951; VanWormer, Elizabeth/0000-0002-7598-8493</t>
  </si>
  <si>
    <t>National Science Foundation Ecology of Infectious Disease Program [0525765, 1065990]; NIH; NIAID; UC Davis Wildlife Health Center; National Institute of Allergy and Infectious Diseases [ZIAAI001018] Funding Source: NIH RePORTER; Division Of Ocean Sciences; Directorate For Geosciences [1065990, 0525765] Funding Source: National Science Foundation</t>
  </si>
  <si>
    <t>National Science Foundation Ecology of Infectious Disease Program; NIH(United States Department of Health &amp; Human ServicesNational Institutes of Health (NIH) - USA); NIAID(United States Department of Health &amp; Human ServicesNational Institutes of Health (NIH) - USANIH National Institute of Allergy &amp; Infectious Diseases (NIAID)); UC Davis Wildlife Health Center; National Institute of Allergy and Infectious Diseases(United States Department of Health &amp; Human ServicesNational Institutes of Health (NIH) - USANIH National Institute of Allergy &amp; Infectious Diseases (NIAID)); Division Of Ocean Sciences; Directorate For Geosciences(National Science Foundation (NSF)NSF - Directorate for Geosciences (GEO))</t>
  </si>
  <si>
    <t>Grants from the National Science Foundation Ecology of Infectious Disease Program (0525765, 1065990), the Intramural Research Program of the NIH and NIAID (MEG), and the UC Davis Wildlife Health Center supported this research. MEG is a scholar of the CIFAR Integrated Microbial Biodiversity Program. The funders had no role in study design, data collection and analysis, decision to publish, or preparation of the manuscript.</t>
  </si>
  <si>
    <t>1935-2735</t>
  </si>
  <si>
    <t>PLOS NEGLECT TROP D</t>
  </si>
  <si>
    <t>Plos Neglect. Trop. Dis.</t>
  </si>
  <si>
    <t>e2852</t>
  </si>
  <si>
    <t>10.1371/journal.pntd.0002852</t>
  </si>
  <si>
    <t>Infectious Diseases; Parasitology; Tropical Medicine</t>
  </si>
  <si>
    <t>AJ5OS</t>
  </si>
  <si>
    <t>WOS:000337735100046</t>
  </si>
  <si>
    <t>Sweitzer, RA; Popescu, VD; Thompson, CM; Purcell, KL; Barrett, RH; Wengert, GM; Gabriel, MW; Woods, LW</t>
  </si>
  <si>
    <t>Sweitzer, Rick A.; Popescu, Viorel D.; Thompson, Craig M.; Purcell, Kathryn L.; Barrett, Reginald H.; Wengert, Greta M.; Gabriel, Mourad W.; Woods, Leslie W.</t>
  </si>
  <si>
    <t>California; cause-specific; disease; fisher; Kaplan-Meier; lambda; mortality; Pekania pennanti; predation; roadkill; rodenticides; Sierra Nevada; vehicle strike</t>
  </si>
  <si>
    <t>SOUTHERN SIERRA-NEVADA; CANINE-DISTEMPER; MARTES-PENNANTI; MOUNTAIN LIONS; HABITAT SELECTION; PEKANIA-PENNANTI; BIGHORN SHEEP; FOREST; EXTINCTION; MANAGEMENT</t>
  </si>
  <si>
    <t>Fishers (Pekania pennanti) in the west coast states of Washington, Oregon, and California, USA have not recovered from population declines and the United States Fish and Wildlife Service has proposed options for listing them as threatened. Our objectives were to evaluate differences in survival and mortality risk from natural (e.g., predation, disease, injuries, starvation) and human-linked causes (e.g., rodenticide exposure [toxicants], vehicle strikes). We monitored survival of 232 radio-collared fishers at a northern and southern study site in the Sierra National Forest, California. We retrieved fisher carcasses, and used necropsy examinations to determine causes of death. We estimated survival and mortality rates using the Kaplan-Meier estimator and nonparametric cumulative incidence functions, respectively, and integrated risk-specific survival rates into a Leslie matrix to evaluate how population growth (l) might improve if management can reduce mortality from any of the risks. We determined cause of death for 93 of 121 fishers, and annual survival was 0.69 for all fishers, and 0.72 for female fishers. Mortality rates were 19.5% for predation; 2.5% for disease, injury, and starvation; and 1.9% for toxicant exposure and vehicle strikes. Predation rates were similar between sexes, and relative risk was 51% lower in fall and winter compared to spring and summer. Combined mortality from disease, injuries, starvation, vehicle strikes, and toxicants was 4.4%, and 11 times higher for males than females. We estimated a base lambda at the northern site of 0.96, which had the potential to increase to 1.03 or 1.11 if predation were reduced by 25% or 50%, respectively, whereas lambda could increase to 0.97 in the absence of deaths from all other risks except predation. Predation was the dominant limiting factor in our study population, and was also the most common mortality risk for fishers in the 3 West Coast states (67%), followed by disease, injury, and starvation (12%) and vehicle strikes (8%). Direct mortality from toxicants appeared limited to fishers in California. Our results identified the need for continued and potential expanded restrictions on habitat disturbance in fisher denning habitats. Research is needed on contact rates between larger predators and fishers, including whether fishers are more vulnerable to attack in open forests or along roads used by coursing predators. (C) 2015 The Wildlife Society.</t>
  </si>
  <si>
    <t>[Sweitzer, Rick A.] Great Basin Inst, 16750 Mt Rose Highway, Reno, NV 89511 USA; [Popescu, Viorel D.] Simon Fraser Univ, Earth Ocean Res Grp, 8888 Univ Dr, Burnaby, BC V5A 1S6, Canada; [Popescu, Viorel D.] Univ Bucharest, Ctr Environm Res CCMESI, 1 N Balcescu Blvd, Bucharest, Romania; [Thompson, Craig M.; Purcell, Kathryn L.] US Forest Serv, USDA, Pacific Southwest Res Stn, 2081 E Sierra Ave, Fresno, CA 93710 USA; [Barrett, Reginald H.] Univ Calif Berkeley, Dept Environm Sci Policy &amp; Management, Berkeley, CA 94720 USA; [Wengert, Greta M.; Gabriel, Mourad W.] Integral Ecol Res Ctr, Blue Lake, CA 95525 USA; [Woods, Leslie W.] Calif Anim Hlth &amp; Food Safety Lab Syst, Davis, CA 95616 USA</t>
  </si>
  <si>
    <t>Simon Fraser University; University of Bucharest; United States Department of Agriculture (USDA); United States Forest Service; University of California System; University of California Berkeley</t>
  </si>
  <si>
    <t>sweitzerrick@gmail.com</t>
  </si>
  <si>
    <t>Barrett, Reginald/AAC-2608-2020; Purcell, Kathryn/S-2592-2016; Popescu, Viorel/AAP-4699-2021</t>
  </si>
  <si>
    <t>U.S. Forest Service Region 5; U.S. Forest Service Pacific Southwest Research Station</t>
  </si>
  <si>
    <t>U.S. Forest Service Region 5; U.S. Forest Service Pacific Southwest Research Station(United States Department of Agriculture (USDA)United States Forest Service)</t>
  </si>
  <si>
    <t>The field effort would not have been possible without help from a dedicated team of staff and volunteers including J. Ashling, S. Bassing, A. Beaudette J. Busiek, A. Cellar, T. Day, Z. Eads, T. Gorman, D. Hardeman, D. Jackson, W. Mitchell, B. Nieles, C. O'Brien, M. Ratchford, J. Ruthven, J. Schneiderman, W. Sicard, T. Thein, S. Vogel, R. Wise, T. Watson, and others on the northern site, and J. Garner, T. Brickly, J. Banaszak, C. Indelicato, N. Hebert, Z. Miller, B. Nichols, S. Rossler, T. Smith, Z. Stoll, G. Watts, and others on the southern site. We thank Forest Service pilots J. Litton, J. Irving, S. Forkel, B. Bulfer, and C. Haney for aviation support and safety on the northern site. Local support at the northern site was facilitated by B. Persson, A. Otto, and A. Lombardo. We also thank K. Jenkins and R. Powell for valuable comments and suggestions that helped improve the manuscript. Research at the northern site was associated with the Sierra Nevada Adaptive Management Project (SNAMP), a joint effort between U.S. Forest Service Region 5, the University of California, U.S. Forest Service Pacific Southwest Research Station, USFWS, California Department of Water Resources, California Department of Fish and Wildlife, California Department of Forestry and Fire Protection, the University of Wisconsin-Madison, and the University of Minnesota, focused on investigating the effects of landscape fuel treatments on Sierra Nevada forest ecosystems. The U.S. Forest Service Region 5 and the U.S. Forest Service Pacific Southwest Research Station funded the majority of the field and laboratory work associated with this effort, and the California Agricultural Experiment Station assisted with the remainder. This is publication no. 43 from the SNAMP.</t>
  </si>
  <si>
    <t>10.1002/jwmg.1020</t>
  </si>
  <si>
    <t>DI4OV</t>
  </si>
  <si>
    <t>WOS:000373480100006</t>
  </si>
  <si>
    <t>Palazón, S; Ceña, JC; Ruiz-Olmo, J; Ceña, A; Gosálbez, J; Gómez-Gayubo, A</t>
  </si>
  <si>
    <t>European mink; Mustela lutreola; distribution; pollution; Spain</t>
  </si>
  <si>
    <t>CARNIVORES; TOXICITY; PCB</t>
  </si>
  <si>
    <t>Changes in the known Spanish distribution of the European mink (Mustela lutreola) since 1950 to 1999 are described, where 258 records of the species were obtained. All records are refered to northern Spain (Basque Country, Rioja, Navarre, NW Aragon, NE Castilla-Leon) with some isolated ones from southern Catalonia. Types of records changed throughout the decades. The killings by humans decreased and the road casualties increased. Between 1980 and 1999 minks have been found in 99 (10 x 10 km) U.T.M. squares, but only in 85 squares since 1990 (2.0% and 1.8% of the Spanish territory, respectively). M lutreola was found in three main nuclei, more or less connected. There are two main hypotheses which could explain the current range of European minks in Spain; (1) M lutreola inhabits Spain since before the 19th century, within their historical range in Europe, and the (2) M lutreola reached Spain recently (during the 20th century) from SW France, extending southwards. Our data seem to confirm the last one. Although some European mink were reported in heavily polluted rivers, they generally avoid these waters. Furthermore, the establishment, inside the European mink range, of an American mink Population in northern Spain, the spreading of the large American mink population from Central Spain and the presence of ADV in several European minks pose a serious threat to its survival in Spain.</t>
  </si>
  <si>
    <t>Univ Barcelona, Dept Biol Anim, E-08028 Barcelona, Spain; Direccio Gen Boscos &amp; Biodiversitat, Serv Proteccio Fauna Flora &amp; Anim Companyia, Barcelona 08017, Spain</t>
  </si>
  <si>
    <t>University of Barcelona</t>
  </si>
  <si>
    <t>Palazón, S (corresponding author), Univ Barcelona, Dept Biol Anim, Avda Diagonal 645, E-08028 Barcelona, Spain.</t>
  </si>
  <si>
    <t>santiago.palazon@correu.gencat.es; santiago.palazon@correu.gencat.es</t>
  </si>
  <si>
    <t>817SE</t>
  </si>
  <si>
    <t>WOS:000221196400001</t>
  </si>
  <si>
    <t>Smith, EAE; Tinker, MT; Whistler, EL; Kennett, DJ; Vellanoweth, RL; Gifford-Gonzalez, D; Hylkema, MG; Newsome, SD</t>
  </si>
  <si>
    <t>Smith, Emma A. Elliott; Tinker, Martin Tim; Whistler, Emily L.; Kennett, Douglas J.; Vellanoweth, Rene L.; Gifford-Gonzalez, Diane; Hylkema, Mark G.; Newsome, Seth D.</t>
  </si>
  <si>
    <t>amino acid stable isotope analysis; historical ecology; marine ecology; marine mammal conservation; stable isotopes; zooarchaeology</t>
  </si>
  <si>
    <t>INDIVIDUAL VARIATION; TROPHIC CASCADES; KELP; SPECIALIZATION; CARBON; ARCHAEOLOGY; RESILIENCE; ECOSYSTEMS; COLLAGEN; BONE</t>
  </si>
  <si>
    <t>The sea otter (Enhydra lutris) is a marine mammal hunted to near extinction during the 1800s. Despite their well-known modern importance as a keystone species, we know little about historical sea otter ecology. Here, we characterize the ecological niche of ancient southern sea otters (E. lutris nereis) using delta C-13 analysis and delta N-15 analysis of bones recovered from archaeological sites spanning ~7,000 to 350 years before present (N = 112 individuals) at five regions along the coast of California. These data are compared with previously published data on modern animals (N = 165) and potential modern prey items. In addition, we analyze the delta N-15 of individual amino acids for 23 individuals to test for differences in sea otter trophic ecology through time. After correcting for tissue-specific and temporal isotopic effects, we employ nonparametric statistics and Bayesian niche models to quantify differences among ancient and modern animals. We find ancient otters occupied a larger isotopic niche than nearly all modern localities; likely reflecting broader habitat and prey use in prefur trade populations. In addition, ancient sea otters at the most southerly sites occupied an isotopic niche that was more than twice as large as ancient otters from northerly regions. This likely reflects greater invertebrate prey diversity in southern California relative to northern California. Thus, we suggest the potential dietary niche of sea otters in southern California could be larger than in central and northern California. At two sites, Ano Nuevo and Monterey Bay, ancient otters had significantly higher delta N-15 values than modern populations. Amino acid delta N-15 data indicated this resulted from shifting baseline isotope values, rather than a change in sea otter trophic ecology. Our results help in better understanding the contemporary ecological role of sea otters and exemplify the strength of combing zooarchaeological and biological information to provide baseline data for conservation efforts.</t>
  </si>
  <si>
    <t>[Smith, Emma A. Elliott; Newsome, Seth D.] Univ New Mexico, Dept Biol, Albuquerque, NM 87131 USA; [Tinker, Martin Tim] Nhydra Ecol Consulting, St Margarets Bay, NS, Canada; [Tinker, Martin Tim] Univ Calif Santa Cruz, Dept Ecol &amp; Evolutionary Biol, Santa Cruz, CA 95064 USA; [Whistler, Emily L.] Washington State Univ, Dept Anthropol, Pullman, WA 99164 USA; [Kennett, Douglas J.] Univ Calif Santa Barbara, Dept Anthropol, Santa Barbara, CA 93106 USA; [Vellanoweth, Rene L.] Calif State Univ Los Angeles, Dept Anthropol, Los Angeles, CA 90032 USA; [Gifford-Gonzalez, Diane] Univ Calif Santa Cruz, Dept Anthropol, Santa Cruz, CA 95064 USA; [Hylkema, Mark G.] Calif Dept Pk &amp; Recreat, Santa Cruz, CA USA</t>
  </si>
  <si>
    <t>University of New Mexico; University of California System; University of California Santa Cruz; Washington State University; University of California System; University of California Santa Barbara; California State University System; California State University Los Angeles; University of California System; University of California Santa Cruz</t>
  </si>
  <si>
    <t>Smith, EAE (corresponding author), Univ New Mexico, Dept Biol, Albuquerque, NM 87131 USA.</t>
  </si>
  <si>
    <t>eaelliot@unm.edu</t>
  </si>
  <si>
    <t>; Tinker, Martin/D-3249-2018; Gifford-Gonzales, Diane/AAK-1407-2021</t>
  </si>
  <si>
    <t>Newsome, Seth/0000-0002-4534-1242; Gifford-Gonzalez, Diane/0000-0003-4092-3283; Whistler, Emily L/0000-0001-9710-8525; Tinker, Martin/0000-0002-3314-839X;</t>
  </si>
  <si>
    <t>10.1002/ece3.6114</t>
  </si>
  <si>
    <t>LB1TE</t>
  </si>
  <si>
    <t>WOS:000524417200013</t>
  </si>
  <si>
    <t>Shanebeck, KM; Lakemeyer, J; Siebert, U; Lehnert, K</t>
  </si>
  <si>
    <t>Shanebeck, Kyle M.; Lakemeyer, Jan; Siebert, Ursula; Lehnert, Kristina</t>
  </si>
  <si>
    <t>DISEASES OF AQUATIC ORGANISMS</t>
  </si>
  <si>
    <t>Wildlife disease; Parasitology; First record; Conservation; Ecosystem; Ecology; Trophic transmission</t>
  </si>
  <si>
    <t>HELMINTH-PARASITES; NEREIS; MORTALITY; CONSEQUENCES; COMPETITION; CALIFORNIA; ALASKA; COSTS; SHEEP</t>
  </si>
  <si>
    <t>Infectious disease is a major cause of mortality for sea otters Enhydra lutris, a keystone species of continued concern for conservationists. Parasitic infection has long been identified as a cause of mortality in otters in both Alaska and California, USA. Corynosoma enhydri (Acanthocephala) is the only parasite that uses sea otters as its primary definitive host and is highly prevalent in otter populations; however, it is generally considered unimportant both pathologically and ecologically, although this assumption is based on limited empirical knowledge. Research has instead focused on Profilicollis infections (P. major, P. kenti, P. altmani) as a significant source of otter mortality due to associated enteritis and peritonitis, which are threats to otter health. Here we describe acanthocephalan infections in sea otters by Profilicollis spp. and C. enhydri, from a survey comparing C. enhydri infections between northern sea otters E. lutris kenyoni (n = 12) and southern sea otters E. lutris nereis (n = 19). We report a novel infection of C. enhydri in a pup approximately 1 mo of age, which shows that the early introduction to solid food at around 3 wk by their mothers may lead to subsequent infection via infected prey items. We also document the first 2 known cases of Profilicollis infection in northern sea otters, which may present an unknown threat to the Alaskan population, or may be an interesting example of accidental infection.</t>
  </si>
  <si>
    <t>[Shanebeck, Kyle M.; Lakemeyer, Jan; Siebert, Ursula; Lehnert, Kristina] Univ Vet Med Hannover, Inst Terr &amp; Aquat Wildlife Res, D-25761 Busum, Germany; [Shanebeck, Kyle M.] Univ Alberta, Dept Biol Sci, 11455 Saskatchewan Dr, Edmonton, SK T6G 0H6, Canada</t>
  </si>
  <si>
    <t>University of Veterinary Medicine Hannover; University of Alberta</t>
  </si>
  <si>
    <t>Lehnert, K (corresponding author), Univ Vet Med Hannover, Inst Terr &amp; Aquat Wildlife Res, D-25761 Busum, Germany.</t>
  </si>
  <si>
    <t>kristina.lehnert@tiho-hannover.de</t>
  </si>
  <si>
    <t>Lehnert, Kristina/JEZ-9162-2023; Shanebeck, Kyle/ABE-6359-2020</t>
  </si>
  <si>
    <t>Lehnert, Kristina/0000-0001-8938-3340; Shanebeck, Kyle/0000-0001-5763-5128</t>
  </si>
  <si>
    <t>Institute for Terrestrial and Aquatic Wildlife Research, University of Veterinary Medicine Hannover, Foundation</t>
  </si>
  <si>
    <t>This study was funded by the Institute for Terrestrial and Aquatic Wildlife Research, University of Veterinary Medicine Hannover, Foundation. We thank Melissa Miller, Katie Greenwald, and the staff and volunteers of the Marine Wildlife Veterinary Care and Research Center a part of the California Department of Fish and Wildlife in Santa Cruz, CA, as well as Josh Lynn and the volunteers for the Marine Mammals Management Office at the US Fish and Wildlife office, Alaska Region, Anchorage, AK, for their support through sea otter necropsies, collecting samples, and offering their facilities for this project. We thank Karl Mayer, Dr. Kathy Burek, and Michelle Staedler for their personal communication in response to inquiries, and clarification of questions concerning the gaps in available published literature. We also thank 2 anonymous reviewers for their helpful criticism and feedback.</t>
  </si>
  <si>
    <t>0177-5103</t>
  </si>
  <si>
    <t>1616-1580</t>
  </si>
  <si>
    <t>DIS AQUAT ORGAN</t>
  </si>
  <si>
    <t>Dis. Aquat. Org.</t>
  </si>
  <si>
    <t>10.3354/dao03442</t>
  </si>
  <si>
    <t>Fisheries; Veterinary Sciences</t>
  </si>
  <si>
    <t>KX2UK</t>
  </si>
  <si>
    <t>WOS:000521736600008</t>
  </si>
  <si>
    <t>Shanebeck, KM; Lagrue, C</t>
  </si>
  <si>
    <t>Shanebeck, Kyle M.; Lagrue, Clement</t>
  </si>
  <si>
    <t>acanthocephalan parasite; behavior; cascading effects; Corynosoma enhydri; immune response; marine ecosystem; metabolic; sea otter</t>
  </si>
  <si>
    <t>ENHYDRA-LUTRIS-NEREIS; CLIMATE-CHANGE; GUT MICROBIOTA; HIDDEN CONSEQUENCES; NEMATODE INFECTIONS; HELMINTH-PARASITES; CENTRAL CALIFORNIA; HIGH COST; POPULATION; BEHAVIOR</t>
  </si>
  <si>
    <t>The acanthocephalan parasite, Corynosoma enhydri, uses sea otters (Enhydra lutris) as definitive host. Despite high prevalence and abundance in southern sea otters (E. l. nereis), sublethal impacts of infection on otter health are unknown. Parasites are an integral part of ecosystem structure and functioning. Many affect host behavior, reproduction, predation, or prey preference. Parasites can suppress host immune response, facilitate secondary bacterial, viral, or parasitic infections, and influence concurrent microbial infection. Acanthocephalan infections can have significant effects on host metabolism, digestion, nutrient absorption, and energetics. Because high metabolic expenditures and resource limitations are known to affect southern sea otter populations, even subtle effects of infection could negatively impact individual health and population recovery. In this review we summarize reports of host-parasite-environmental interactions for helminth infections and discuss how these same attributes could manifest in southern sea otters and coastal food web dynamics. Based on these data, investigation of potential sublethal impacts of C. enhydri is warranted. We recommend expanding understanding of the significance of parasites in marine ecosystems beyond associated mortality. Future investigation into the ecological implications of sublethal effects are essential to fully grasp parasite impacts on host populations, and predict potential additive effects with climate change in ecosystem functioning.</t>
  </si>
  <si>
    <t>[Shanebeck, Kyle M.; Lagrue, Clement] Univ Alberta, Dept Biol Sci, Edmonton, AB, Canada; [Lagrue, Clement] Dept Conservat, Dunedin, New Zealand</t>
  </si>
  <si>
    <t>Shanebeck, KM (corresponding author), 11455 Saskatchewan Dr,Biol Sci Bldg, Edmonton, AB T6G 2R3, Canada.</t>
  </si>
  <si>
    <t>shanebec@ualberta.ca</t>
  </si>
  <si>
    <t>Shanebeck, Kyle/ABE-6359-2020</t>
  </si>
  <si>
    <t>Shanebeck, Kyle/0000-0001-5763-5128</t>
  </si>
  <si>
    <t>10.1111/mms.12659</t>
  </si>
  <si>
    <t>LC4SX</t>
  </si>
  <si>
    <t>WOS:000498598900001</t>
  </si>
  <si>
    <t>Harley, JR; Gill, VA; Lee, S; Kannan, K; Santana, V; Burek-Huntington, K; O'Hara, TM</t>
  </si>
  <si>
    <t>Harley, John R.; Gill, Verena A.; Lee, Sunmi; Kannan, Kurunthachalam; Santana, Vanessa; Burek-Huntington, Kathy; O'Hara, Todd M.</t>
  </si>
  <si>
    <t>SCIENCE OF THE TOTAL ENVIRONMENT</t>
  </si>
  <si>
    <t>POPs; Sea otters; Alaska; PCBs; PBDEs; Contaminants</t>
  </si>
  <si>
    <t>PERSISTENT ORGANIC POLLUTANTS; POLYBROMINATED DIPHENYL ETHERS; INDIVIDUAL DIET SPECIALIZATION; STABLE-ISOTOPES; POLYCHLORINATED-BIPHENYLS; TEMPORAL TRENDS; ARCTIC MARINE; ORGANOCHLORINE PESTICIDES; NUTRITIONAL STRESS; CALIFORNIA</t>
  </si>
  <si>
    <t>Many organohalogen compounds (OHCs) are persistent organic pollutants (POPs) found in appreciable concentrations in marine predators. While production of some POPs has declined or ceased in recent decades, their capacity for global transport and bioaccumulation results in observations of unchanging or increasing concentrations in marine systems. Sea otters (Enhydra lutris) have been advocated as an environmental sentinel for contaminants due to their longevity, site fidelity and prey species that often overlap with human consumption. Using archived (1992-2010) samples of livers from Northern sea otters (n= 50) from Alaska we examine concentrations of chlordanes (CHLs), polychlorinated biphenyls (PCBs), dichlorodiphenyltrichloroethane (DDTs), and polybrominated diphenyl ethers (PBDEs) and associated metabolites. We found some evidence for declining Sigma PCBs over the two decades, however for most animals concentrations were low compared to toxicological thresholds. Six animals had relatively high concentrations of Sigma PCBs (mean = 262,000 ng/g lipid weight), Sigma DDTs (mean = 8,800 ng/g/lw), and Sigma PBDEs (mean = 4,600 ng/g lw), with four of these six animals experiencing hepatic parasitism or hepatitis. In order to assess whether differences in POP concentrations are associated with feeding ecology, we examined stable isotopes of C and N in archived muscle and whisker samples. In general, there were no significant relationships between Sigma POP concentrations and stable isotope ratios. There were small differences in stable isotope profiles in animals with high POP concentrations, although it was unclear if these differences were due to feeding ecology or disease processes. This study highlights the importance of considering feeding ecology and necropsy (health and disease status) datawhile conducting contaminant surveys, and confirms some previous reports of trends in OHCs in Alaska marine mammals. (c) 2019 Elsevier B.V. All rights reserved.</t>
  </si>
  <si>
    <t>[Harley, John R.] Univ Alaska Southeast, Alaska Coastal Rainforest Ctr, 11066 Auke Lake Way, Juneau, AK 99801 USA; [Gill, Verena A.] US Fish &amp; Wildlife Serv, Marine Mammals Management, 1011 East Tudor Rd,MS 341, Anchorage, AK 99503 USA; [Gill, Verena A.] Natl Ocean &amp; Atmospher Adm Fisheries, 222 W 7th Ave,Rm 552, Anchorage, AK 99513 USA; [Lee, Sunmi; Kannan, Kurunthachalam] New York State Dept Hlth, Wadsworth Ctr, Albany, NY 12201 USA; [Santana, Vanessa] Univ Alaska, Dept Biol &amp; Wildlife, 982 Koyukuk Dr, Fairbanks, AK 99775 USA; [Burek-Huntington, Kathy] Alaska Vet Pathol Serv, 23834 Clearing Dr, Eagle River, AK 99577 USA; [O'Hara, Todd M.] Univ Alaska, Dept Vet Med, 901 Koyukuk Dr, Fairbanks, AK 99775 USA; [Lee, Sunmi; Kannan, Kurunthachalam] SUNY Albany, Sch Publ Hlth, Albany, NY 12201 USA</t>
  </si>
  <si>
    <t>University of Alaska System; University of Alaska Southeastern; United States Department of the Interior; US Fish &amp; Wildlife Service; National Oceanic Atmospheric Admin (NOAA) - USA; Wadsworth Center; State University of New York (SUNY) System; University of Alaska System; University of Alaska Fairbanks; University of Alaska System; University of Alaska Fairbanks; State University of New York (SUNY) System; University at Albany, SUNY</t>
  </si>
  <si>
    <t>Harley, JR (corresponding author), Univ Alaska Southeast, Alaska Coastal Rainforest Ctr, 11066 Auke Lake Way, Juneau, AK 99801 USA.</t>
  </si>
  <si>
    <t>john.harley@alaska.edu</t>
  </si>
  <si>
    <t>Kannan, Kurunthachalam/ACA-0037-2022</t>
  </si>
  <si>
    <t>Kannan, Kurunthachalam/0000-0002-1926-7456; Harley, John/0000-0001-9244-1724</t>
  </si>
  <si>
    <t>National Institute of General Medical Sciences of the National Institutes of Health [RL5GM118990]; NIH Office of the Director [RL5GM118990, UL1GM118991, TL4GM118992] Funding Source: NIH RePORTER</t>
  </si>
  <si>
    <t>National Institute of General Medical Sciences of the National Institutes of Health(United States Department of Health &amp; Human ServicesNational Institutes of Health (NIH) - USANIH National Institute of General Medical Sciences (NIGMS)); NIH Office of the Director(United States Department of Health &amp; Human ServicesNational Institutes of Health (NIH) - USANIH Office of the Director)</t>
  </si>
  <si>
    <t>Research reported in this publication was supported by the National Institute of General Medical Sciences of the National Institutes of Health under award numbers RL5GM118990. The content is solely the responsibility of the authors and does not necessarily represent the official views of the National Institutes of Health. The authors wish to thank Vanessa Schilling and Alisa Thiede for their contributions to the stable isotopes portion of this project. The authors also wish to thank the members of the Alaska Marine Mammal Stranding Network who facilitated the collection of sea otter carcasses as well as the Alaska Native peoples that contributed samples from hunted animals. Samples were collected under USFWS MMPA Permit # MA041309-2 issued to Gill at the U.S. Fish and Wildlife Service. The findings and conclusions in this article are those of the authors and do not necessarily represent the views of the US Fish and Wildlife Service.</t>
  </si>
  <si>
    <t>0048-9697</t>
  </si>
  <si>
    <t>1879-1026</t>
  </si>
  <si>
    <t>SCI TOTAL ENVIRON</t>
  </si>
  <si>
    <t>Sci. Total Environ.</t>
  </si>
  <si>
    <t>NOV 15</t>
  </si>
  <si>
    <t>10.1016/j.scitotenv.2019.07.040</t>
  </si>
  <si>
    <t>JX8WQ</t>
  </si>
  <si>
    <t>WOS:000504009600075</t>
  </si>
  <si>
    <t>Viscardi, M; Santoro, M; Clausi, MT; Cozzolino, L; Decaro, N; Colaianni, ML; Fusco, G</t>
  </si>
  <si>
    <t>Viscardi, Maurizio; Santoro, Mario; Clausi, Maria Teresa; Cozzolino, Loredana; Decaro, Nicola; Colaianni, Maria Loredana; Fusco, Giovanna</t>
  </si>
  <si>
    <t>TRANSBOUNDARY AND EMERGING DISEASES</t>
  </si>
  <si>
    <t>Carnivore protoparvovirus 1; CPV; FPV; Lutra lutra; VP2 gene</t>
  </si>
  <si>
    <t>CANINE PARVOVIRUS; DOLPHIN MORBILLIVIRUS; EVOLUTION; EMERGENCE; INFECTION; EMPHASIS; SEQUENCE; REVEALS; TYPE-2; PUPS</t>
  </si>
  <si>
    <t>The most important Italian population of the Eurasian otter (Lutra lutra) occurs in the southern part of the peninsula with two isolated sub-populations of about 250 adult individuals. The Eurasian otter is considered to be near threatened and it is a fully protected species. The aims of this study were to investigate for the first time the occurrence and characterize the parvoviruses included in the species Carnivore protoparvovirus 1 in seven carcasses of road-killed Eurasian otters from the southern Italy. Carnivore protoparvovirus 1 are responsible for acute gastroenteritis and leukopenia in pets and free-ranging carnivores. Initial screening of tissue samples by real-time PCR revealed CPV/FPV DNA in tissue samples of five Eurasian otters; three of them, showed co-infections by both CPV and FPV. Among the five positive Eurasian otters, we successfully obtained six DNA sequences from four individuals including two CPV-2a, one CPV-2b, one CPV-2c, and two FPV sequences. Comparison of these sequences with 250 VP2 gene sequences deposited in the GenBank database, showed 10 nt differences resulting in two synonymous and eight non-synonymous substitutions. On the basis of these results, two sequences here found were characterized as new CPV-2a, one was characterized as new CPV-2b variant, and one was characterized as FPV-like mutant. The last two sequences belong to a FPV and CPV-2c strain respectively. Carnivore protoparvovirus 1 is reported for the first time in the Eurasian otter showing high infection value in southern Italy. Occurrence of this infection should be studied further to understand its possible pathogenicity and virulence to the fragile and isolate Eurasian otter population which live in southern Italy.</t>
  </si>
  <si>
    <t>[Viscardi, Maurizio; Santoro, Mario; Clausi, Maria Teresa; Cozzolino, Loredana; Fusco, Giovanna] Ist Zooprofilatt Sperimentale Mezzogiorno, I-80055 Portici, Italy; [Decaro, Nicola] Univ Bari, Dept Vet Med, Bari, Italy; [Colaianni, Maria Loredana] Ist Zooprofilatt Sperimentale Puglia &amp; Basilicata, Foggia, Italy</t>
  </si>
  <si>
    <t>IZS del Mezzogiorno; Universita degli Studi di Bari Aldo Moro; IZS Puglia e Basilicata</t>
  </si>
  <si>
    <t>Santoro, M (corresponding author), Ist Zooprofilatt Sperimentale Mezzogiorno, I-80055 Portici, Italy.</t>
  </si>
  <si>
    <t>mario.santoro@izsmportici.it</t>
  </si>
  <si>
    <t>; Clausi, Maria Teresa/AAM-4530-2020; Fusco, Giovanna/J-2675-2018; Decaro, Nicola/K-2560-2018; Viscardi, Maurizio/AAC-4603-2022; Santoro, Mario/K-3251-2019</t>
  </si>
  <si>
    <t>Colaianni, Maria Loredana/0000-0003-1573-179X; Clausi, Maria Teresa/0000-0003-2106-3767; Fusco, Giovanna/0000-0003-3139-7672; Cozzolino, Loredana/0000-0001-7696-164X; Viscardi, Maurizio/0000-0003-1813-5993; Santoro, Mario/0000-0002-6483-3103</t>
  </si>
  <si>
    <t>WILEY-HINDAWI</t>
  </si>
  <si>
    <t>ADAM HOUSE, 3RD FL, 1 FITZROY SQ, LONDON, WIT 5HE, ENGLAND</t>
  </si>
  <si>
    <t>1865-1674</t>
  </si>
  <si>
    <t>1865-1682</t>
  </si>
  <si>
    <t>TRANSBOUND EMERG DIS</t>
  </si>
  <si>
    <t>Transbound. Emerg. Dis.</t>
  </si>
  <si>
    <t>10.1111/tbed.13212</t>
  </si>
  <si>
    <t>Infectious Diseases; Veterinary Sciences</t>
  </si>
  <si>
    <t>IW5EZ</t>
  </si>
  <si>
    <t>WOS:000485002800008</t>
  </si>
  <si>
    <t>Dent, CES; Miller, MA; Batac, F; Dodd, E; Smith, W; Pesapane, R; Foley, J</t>
  </si>
  <si>
    <t>Dent, Colleen E. Shockling; Miller, Melissa A.; Batac, Francesca; Dodd, Erin; Smith, Woutrina; Pesapane, Risa; Foley, Janet</t>
  </si>
  <si>
    <t>INTERNATIONAL JOURNAL FOR PARASITOLOGY-PARASITES AND WILDLIFE</t>
  </si>
  <si>
    <t>Enhydra lutris; Epidemiology; Halarachne sp.; Nasal (nasopulmonary) mite; Risk factor; Sea otter</t>
  </si>
  <si>
    <t>INFESTATION; MORTALITY; ACARINA</t>
  </si>
  <si>
    <t>Halarachne sp. nasal mites infest harbor seals (Phoca vitulina) and southern sea otters (Enhydra lutris nereis) in California, but little is known about the pathophysiology of these infestations, or risk factors for exposure. To investigate these questions, a retrospective case-control study was performed using necropsy data from 70 mite-infested sea otters, and 144 non-infested controls. Case records for sea otters examined by pathologists from February 1999 through May 2015 were examined to assess risk factors for infestation, and lesions associated with nasopulmonary acariasis. Animals with a history of captive care within 10 days of death or carcass recovery were 3.2 times more likely to be infested with nasopulmonary mites than those with no history of recent rehabilitation. Sea otters stranding within 1 km of Elkhorn Slough in Monterey Bay were 4.9 times more likely to be infested with nasal mites than other areas; this site is characterized by high sea otter contact with sympatric harbor seals (a common host for Halarachne sp.), and a comparatively large population of rehabilitated and released sea otters. Aged adult otters were 9.4 times more likely to be infested than younger animals, and sea otters with nasopulmonary acariasis were 14.2 times more likely to have upper respiratory inflammation than un-infested animals. Additional findings in otters with nasopulmonary acariasis included lower respiratory tract bacterial infections, presence of medium-sized and/or fresh nose wounds at necropsy (indicators of recent face-to-face interaction between otters during copulation or fighting), and turbinate bone erosion. Our findings, although preliminary, suggest that captive rehabilitation and close contact with harbor seals could facilitate nasopulmonary mite transmission to sea otters. We also identified a high-risk zone for nasopulmonary acariasis in sea otters. We also provide preliminary data to suggest that nasopulmonary mite infestations can cause significant respiratory pathology in sea otters.</t>
  </si>
  <si>
    <t>[Dent, Colleen E. Shockling] Ohio State Univ, Coll Vet Med, 1900 Coffey Rd, Columbus, OH 43210 USA; [Miller, Melissa A.; Batac, Francesca; Dodd, Erin] Marine Wildlife Vet Care &amp; Res Ctr, Calif Dept Fish &amp; Wildlife, 151 McAllister Way, Santa Cruz, CA 95060 USA; [Miller, Melissa A.; Smith, Woutrina] Univ Calif Davis, Sch Vet Med, One Hlth Inst, 1089 Vet Med Dr, Davis, CA 95616 USA; [Smith, Woutrina; Pesapane, Risa; Foley, Janet] Univ Calif Davis, Sch Vet Med, Dept Med &amp; Epidemiol, One Shields Ave, Davis, CA 95616 USA</t>
  </si>
  <si>
    <t>University System of Ohio; Ohio State University; University of California System; University of California Davis; University of California System; University of California Davis</t>
  </si>
  <si>
    <t>Foley, J (corresponding author), Univ Calif Davis, Sch Vet Med, Dept Med &amp; Epidemiol, One Shields Ave, Davis, CA 95616 USA.</t>
  </si>
  <si>
    <t>jfoley@ucdavis.edu</t>
  </si>
  <si>
    <t>Pesapane, Risa/AAG-2407-2020; Dodd, Erin/AAQ-3335-2020</t>
  </si>
  <si>
    <t>Pesapane, Risa/0000-0001-9318-9911; Batac, Francesca/0000-0002-3187-059X</t>
  </si>
  <si>
    <t>California Department of Fish and Wildlife - Office of Spill Prevention and Response</t>
  </si>
  <si>
    <t>The authors would like to thank the researchers, field technicians, and volunteers of U.S. Geological Survey -Western Ecological Research Center, The Monterey Bay Aquarium and SORAC, the California Department of Fish and Wildlife, The Marine Mammal Center and the University of California, Santa Cruz who helped collect stranded sea otters along the California coast. A special thanks to all the veterinarians, staff, interns, volunteers at MWVCRC that conducted numerous necropsies with great detail. This research did not receive any specific grant from funding agencies in the public, commercial, or not-for-profit sectors. This work was completed with support from the California Department of Fish and Wildlife - Office of Spill Prevention and Response.</t>
  </si>
  <si>
    <t>2213-2244</t>
  </si>
  <si>
    <t>INT J PARASITOL-PAR</t>
  </si>
  <si>
    <t>Int. J. Parasitol.-Parasit. Wildl.</t>
  </si>
  <si>
    <t>10.1016/j.ijppaw.2019.03.009</t>
  </si>
  <si>
    <t>Ecology; Parasitology</t>
  </si>
  <si>
    <t>Environmental Sciences &amp; Ecology; Parasitology</t>
  </si>
  <si>
    <t>II0OP</t>
  </si>
  <si>
    <t>WOS:000474905300010</t>
  </si>
  <si>
    <t>Ionica, AM; Deak, G; D'Amico, G; Stan, GF; Chisamera, GB; Constantinescu, IC; Adam, C; Lefkaditis, M; Gherman, CM; Mihalca, AD</t>
  </si>
  <si>
    <t>Ionica, Angela Monica; Deak, Georgiana; D'Amico, Gianluca; Stan, Gheorghe Florin; Chisamera, Gabriel Bogdan; Constantinescu, Ioana Cristina; Adam, Costica; Lefkaditis, Menelaos; Gherman, Calin Mircea; Mihalca, Andrei Daniel</t>
  </si>
  <si>
    <t>PARASITES &amp; VECTORS</t>
  </si>
  <si>
    <t>Thelazia callipaeda; Host; Mustelidae; Meles meles; Martes foina</t>
  </si>
  <si>
    <t>PHORTICA-VARIEGATA; EYEWORM; MARTES</t>
  </si>
  <si>
    <t>BackgroundThelazia callipaeda (Spirurida, Thelaziidae) is a vector-borne zoonotic eye worm with a broad host spectrum. In Europe, it is an emerging threat, having greatly expanded its geographical distribution during the past two decades. In Romania, T. callipaeda has been previously reported in domestic and wild canids and felids. The aim of the present study was to assess the occurrence of T. callipaeda in mustelids in the country.MethodsBetween March 2015 and April 2019, 77 road-killed mustelids (3 pine martens, Martes martes; 6 European polecats, Mustela putorius; 13 beech martens, Martes foina; and 55 European badgers, Meles meles) were examined by necropsy. If present, all ocular nematodes were collected and stored in absolute ethanol, for subsequent morphological and molecular identification.ResultsTwo animals were found to be infected with T. callipaeda: one European badger and one beech marten. The molecular analysis revealed a 100% nucleotide similarity to T. callipaeda haplotype h1 for all the sequenced specimens.ConclusionsTo our knowledge, the present study demonstrates for the first time the occurrence of T. callipaeda in mustelids from Romania, records the easternmost locality of the parasite in Europe, and represents the first report of T. callipaeda in the European badger, Meles meles, extending the known host range for this parasite in Europe.</t>
  </si>
  <si>
    <t>[Ionica, Angela Monica; Deak, Georgiana; D'Amico, Gianluca; Gherman, Calin Mircea; Mihalca, Andrei Daniel] Univ Agr Sci &amp; Vet Med Cluj Napoca, Dept Parasitol &amp; Parasit Dis, 3-5 Calea Manastur, Cluj Napoca 400372, Romania; [Ionica, Angela Monica] Univ Agr Sci &amp; Vet Med Cluj Napoca, Regele Mihai I Romanier Life Sci Inst, CDS 9, 3-5 Calea Manastur, Cluj Napoca 400372, Romania; [Stan, Gheorghe Florin] Univ Agr Sci &amp; Vet Med Cluj Napoca, Dept Anat, 3-5 Calea Manastur, Cluj Napoca 400372, Romania; [Chisamera, Gabriel Bogdan; Constantinescu, Ioana Cristina; Adam, Costica] Grigore Antipa Natl Museum Nat Hist, Sos Kiseleff 1, Bucharest 011341 1, Romania; [Lefkaditis, Menelaos] Univ Thessaly, Fac Vet Med, Sch Hlth Sci, Lab Microbiol &amp; Parasitol, 224 Trikalon, Kardhitsa, Greece</t>
  </si>
  <si>
    <t>University of Agricultural Sciences &amp; Veterinary Medicine Cluj Napoca; University of Agricultural Sciences &amp; Veterinary Medicine Cluj Napoca; University of Agricultural Sciences &amp; Veterinary Medicine Cluj Napoca; University of Thessaly</t>
  </si>
  <si>
    <t>Deak, G (corresponding author), Univ Agr Sci &amp; Vet Med Cluj Napoca, Dept Parasitol &amp; Parasit Dis, 3-5 Calea Manastur, Cluj Napoca 400372, Romania.</t>
  </si>
  <si>
    <t>georgiana.deak@usamvcluj.ro</t>
  </si>
  <si>
    <t>Ionica, Angela/HDM-8313-2022; gherman, calin/P-5823-2016; Deak, Georgiana/AAO-4742-2021; D'Amico, Gianluca/A-8708-2019; Gabriel Bogdan, Chisamera/AAO-5227-2020; Constantinescu, Ioana-Cristina/HKN-7667-2023; Stan, Florin Gheorghe/C-3979-2015; Adam, Costica/HNI-4409-2023; Mihalca, Anei/A-1561-2008</t>
  </si>
  <si>
    <t>Gabriel Bogdan, Chisamera/0000-0001-8859-0559; Constantinescu, Ioana-Cristina/0000-0003-4671-8379; Stan, Florin Gheorghe/0000-0001-9335-0445; Adam, Costica/0000-0002-6060-4602; Mihalca, Anei/0000-0001-6076-7914</t>
  </si>
  <si>
    <t>Ministry of Research and Innovation of Romania, Projects for Financing the Excellence in CDI [37PFE/06.11.2018, PCCDI 57/2018]</t>
  </si>
  <si>
    <t>Ministry of Research and Innovation of Romania, Projects for Financing the Excellence in CDI</t>
  </si>
  <si>
    <t>This study was funded by the Ministry of Research and Innovation of Romania, Projects for Financing the Excellence in CDI, Contract no. 37PFE/06.11.2018 and PCCDI 57/2018.</t>
  </si>
  <si>
    <t>BMC</t>
  </si>
  <si>
    <t>CAMPUS, 4 CRINAN ST, LONDON N1 9XW, ENGLAND</t>
  </si>
  <si>
    <t>1756-3305</t>
  </si>
  <si>
    <t>PARASITE VECTOR</t>
  </si>
  <si>
    <t>Parasites Vectors</t>
  </si>
  <si>
    <t>JUL 26</t>
  </si>
  <si>
    <t>10.1186/s13071-019-3631-4</t>
  </si>
  <si>
    <t>Parasitology; Tropical Medicine</t>
  </si>
  <si>
    <t>IL9GE</t>
  </si>
  <si>
    <t>WOS:000477592400005</t>
  </si>
  <si>
    <t>Colella, JP; Wilson, RE; Talbot, SL; Cook, JA</t>
  </si>
  <si>
    <t>Colella, Jocelyn P.; Wilson, Robert E.; Talbot, Sandra L.; Cook, Joseph A.</t>
  </si>
  <si>
    <t>Asymmetric introgression; Genetics; Hybridization; Introductions; Islands; Marten</t>
  </si>
  <si>
    <t>ALEXANDER ARCHIPELAGO; POPULATION-GENETICS; STATISTICAL-METHOD; SPECIES TREES; GENUS MARTES; R-PACKAGE; HYBRIDIZATION; SOFTWARE; EXTINCTION; INFERENCE</t>
  </si>
  <si>
    <t>The evolutionary consequences of natural introgression provide a rare opportunity to retrospectively evaluate how the introduction of exotics or genetic rescue efforts may impact endemic faunas. Phylogeographic structure among mainland, endemic insular, and introduced North American marten (Martes americana and M. caurina) populations have been shaped by a complex history of natural, post-glacial population expansion followed by a series of anthropogenic introductions. In some cases, both natural colonization and translocations facilitated secondary contact, offering a series of replicated experiments that demonstrate how introgression, in these cases following isolation (insular and refugial), shapes genetic diversity. We test whether genetic exchange is occurring between North American marten species using mitochondrial genomes and ten nuclear loci. We present evidence of biased nuclear introgression from M. caurina into M. americana across two natural hybrid zones (insular and mainland) and found no remnant evidence of M. caurina on islands that received M. americana translocations, suggesting prior absence, potential extirpation, or genetic swamping of M. caurina from these islands. Our results highlight the importance of understanding phylogeographic variation prior to identifying source populations for wildlife translocations and caution the use of genetic rescue for North American marten populations. Although previously managed as a single species, these two species show substantial genetic divergence. When the two are placed into contact, they exhibit unidirectional, asymmetric introgression with potentially negative consequences for M. caurina, underscoring the value of mindful consideration of introgression in wildlife management.</t>
  </si>
  <si>
    <t>[Colella, Jocelyn P.; Cook, Joseph A.] 1 Univ New Mexico, Dept Biol, MSC03-2020, Albuquerque, NM 87131 USA; [Colella, Jocelyn P.; Cook, Joseph A.] 1 Univ New Mexico, Museum Southwestern Biol, MSC03-2020, Albuquerque, NM 87131 USA; [Wilson, Robert E.; Talbot, Sandra L.] US Geol Survey, Alaska Sci Ctr, 4210 Univ Dr, Anchorage, AK 99508 USA</t>
  </si>
  <si>
    <t>University of New Mexico; University of New Mexico; United States Department of the Interior; United States Geological Survey</t>
  </si>
  <si>
    <t>Colella, JP (corresponding author), 1 Univ New Mexico, Dept Biol, MSC03-2020, Albuquerque, NM 87131 USA.;Colella, JP (corresponding author), 1 Univ New Mexico, Museum Southwestern Biol, MSC03-2020, Albuquerque, NM 87131 USA.</t>
  </si>
  <si>
    <t>Cook, Joseph/0000-0003-3985-0670; Talbot, Sana/0000-0002-3312-7214; Wilson, Robert/0000-0003-1800-0183</t>
  </si>
  <si>
    <t>American Society of Mammalogists; UNM Biology Graduate Student Association; NSF-DEB [1258010]; U.S. Geological Survey; Direct For Biological Sciences; Division Of Environmental Biology [1258010] Funding Source: National Science Foundation</t>
  </si>
  <si>
    <t>American Society of Mammalogists; UNM Biology Graduate Student Association; NSF-DEB(National Science Foundation (NSF)NSF - Directorate for Biological Sciences (BIO)); U.S. Geological Survey(United States Geological Survey); Direct For Biological Sciences; Division Of Environmental Biology(National Science Foundation (NSF)NSF - Directorate for Biological Sciences (BIO))</t>
  </si>
  <si>
    <t>We thank Sarah Sonsthagen for streamlining MiSeq protocols at the U.S. Geological Survey, Alaska Science Center; Haven Shaginoff and Aaron Cde Baca for lab assistance; Travis Burkhard for computational support; Barbara Deshler for independent reviews; Alaska and British Columbia trappers, Nikolai Dokuchaev, Natalie Dawson, Melissa Fleming, and Anson Koehler for coordinating specimen acquisition; and our funding sources, including: the American Society of Mammalogists Grant-in-Aid, the UNM Biology Graduate Student Association, U.S. Geological Survey, and NSF-DEB 1258010 for support. This research used resources provided by the Center for Advanced Research Computing (CARC) at the University of New Mexico and the Core Science Analytics, Synthesis, and Libraries (CSASL) Advanced Research Computing (ARC) group at the U.S. Geological Survey. Any use of trade, firm, or product names is for descriptive purposes only and does not imply endorsement by the U.S. Government.</t>
  </si>
  <si>
    <t>10.1007/s10592-018-1120-5</t>
  </si>
  <si>
    <t>WOS:000462207000002</t>
  </si>
  <si>
    <t>Pesapane, R; Dodd, E; Javeed, N; Miller, M; Foley, J</t>
  </si>
  <si>
    <t>Pesapane, Risa; Dodd, Erin; Javeed, Nadia; Miller, Melissa; Foley, Janet</t>
  </si>
  <si>
    <t>Halarachnidae; Sea otter; Acarology; Marine parasites; Enhydra lutris; Halarachne halichoeri</t>
  </si>
  <si>
    <t>ACARI; INFESTATION; PHYLOGENY; MORTALITY</t>
  </si>
  <si>
    <t>Parasitism, particularly in concert with other sublethal stressors, may play an important, yet underappreciated role in morbidity and mortality of threatened species. During necropsy of southern sea otters (Enhydra lutra nereis) from California submitted to the Marine Wildlife Veterinary Care and Research Center's Sea Otter Necropsy Program between 1999 and 2017, pathologists occasionally observed nasopulmonary mites infesting the respiratory tracts. Infestation was sometimes accompanied by lesions reflective of mite-associated host tissue damage and respiratory illness. Our objectives were to estimate prevalence of nasopulmonary mites, determine the taxonomic identity of the observed mites, and create a DNA reference for these organisms in southern sea otters as an aid in population management Using unique morphological characteristics discerned via light and scanning electron microscopy (SEM), we identified the mites as Halarachne halichoeri, a species typically associated with harbor seals (Phoca vitiluna). The 18S, 16S, 28S and ITS1-2 genetic regions were sequenced and submitted to GenBank. We observed H. halichoeri mites in 25.6% (95% CI 19.9-33.4%). of southern sea otters from a subset of necropsies performed between 2012 and 2017. This is the first documentation of H. halichoeri in southern sea otters and is suggestive of parasite exchange between sea otters and harbor seals.</t>
  </si>
  <si>
    <t>[Pesapane, Risa; Javeed, Nadia; Foley, Janet] Univ Calif Davis, Sch Vet Med, Dept Med &amp; Epidemiol, 1320D Tupper Hall, Davis, CA 95616 USA; [Dodd, Erin; Miller, Melissa] Calif Dept Fish &amp; Wildlife, Marine Wildlife Vet Care &amp; Res Ctr, 151 McAllister Way, Santa Cruz, CA 95060 USA</t>
  </si>
  <si>
    <t>University of California System; University of California Davis</t>
  </si>
  <si>
    <t>Pesapane, R (corresponding author), Univ Calif Davis, Sch Vet Med, Dept Med &amp; Epidemiol, 1320D Tupper Hall, Davis, CA 95616 USA.</t>
  </si>
  <si>
    <t>rrpesapane@ucdavis.edu</t>
  </si>
  <si>
    <t>; Dodd, Erin/AAQ-3335-2020; Pesapane, Risa/AAG-2407-2020</t>
  </si>
  <si>
    <t>Javeed, Nadia/0000-0003-0038-0448; Pesapane, Risa/0000-0001-9318-9911</t>
  </si>
  <si>
    <t>Sea Otter Foundation and Trust; California Department of Fish and Wildlife Marine Veterinary Care and Research Center (MWVCRC)</t>
  </si>
  <si>
    <t>This project was supported by the Sea Otter Foundation and Trust (www.SeaOtterFoundationTrust.org) and the California Department of Fish and Wildlife Marine Veterinary Care and Research Center (MWVCRC). Field support was provided by the California Department of Fish and Wildlife; the United States Geological Survey, Biological Resources Division; and the Monterey Bay Aquarium. The authors appreciate the technical support provided by James Mertins of the United States Department of Agriculture's National Veterinary Services Laboratories, Francesca Batac of the MWVCRC, and Patricia Kysar, C.E.M.T, of the University of California - Davis Biological Electron Microscopy Core Laboratory. We also thank Murray Dailey for sharing prior publications and providing historical insight, as well as Christine Fontaine and Francis Gulland of The Marine Mammal Center, Michael Murray of the Monterey Bay Aquarium, Pam Tuomi and Michael Kinsella of the Alaska SeaLife Center, and Kristin Worman from the Alaska Region, U.S. Fish and Wildlife Service for reference specimens and ecological context.</t>
  </si>
  <si>
    <t>10.1016/j.ijppaw.2018.09.009</t>
  </si>
  <si>
    <t>HC8PH</t>
  </si>
  <si>
    <t>WOS:000452065700020</t>
  </si>
  <si>
    <t>Podra, M; Gómez, A</t>
  </si>
  <si>
    <t>Podra, Madis; Gomez, Asuncion</t>
  </si>
  <si>
    <t>distribution area; endangered species; invasive species; Mustela lutreola; Neovison vison</t>
  </si>
  <si>
    <t>MUSTELA-LUTREOLA LINNAEUS; OTTER LUTRA-LUTRA; DISTRIBUTIONAL HISTORY; VISON SCHREBER; POPULATION; TRENDS; CONSERVATION; IMPACT; KNOWLEDGE; DENSITY</t>
  </si>
  <si>
    <t>The American mink (Neovison vison) was introduced in Europe for fur farming in the 1920s and feral populations were formed due to escapes or intentional releases to the wild thereafter. Nowadays, the species is widely distributed across much of the continent, and is considered the main cause of extinction of the European mink (Mustela lutreola). In Spain, the first populations of the American mink were formed in the 1980s and since then a continuous expansion in their range has been observed. We describe the expansion process of the American mink based on reports of its distribution in the literature, focusing particularly on its increasing overlap with the distribution of the native, endangered European mink. Over the 27 years (1985-2012), the distribution area of non-native mink in Spain increased by 17 times, with an average annual increment of 16.5% and no significant variation among populations. By 2012, a quarter of continental Spain was occupied by the American mink and its presence was confirmed in one-third of the distribution area of the European mink. The status of native mink has worsened drastically in Spain over the last years and urgent conservation measures are required to stop further spread of the American mink.</t>
  </si>
  <si>
    <t>[Podra, Madis] Univ Barcelona, Asociac Vison Europeo, Dept Anim Biol Vertebrates, Av Diagonal 645, Barcelona 08028, Spain; [Podra, Madis] Fdn Lutreola, Paldiski Mnt 145, Tallinn, Estonia; [Gomez, Asuncion] TRAGSATEC, Gerencia Calidad, Evaluac Ambiental &amp; Medio Nat, C Julian Camarillo 6B,4 A, Madrid 28037, Spain</t>
  </si>
  <si>
    <t>Podra, M (corresponding author), Univ Barcelona, Asociac Vison Europeo, Dept Anim Biol Vertebrates, Av Diagonal 645, Barcelona 08028, Spain.;Podra, M (corresponding author), Fdn Lutreola, Paldiski Mnt 145, Tallinn, Estonia.</t>
  </si>
  <si>
    <t>madis.podra@yahoo.es</t>
  </si>
  <si>
    <t>10.1515/mammalia-2017-0013</t>
  </si>
  <si>
    <t>GZ1RM</t>
  </si>
  <si>
    <t>WOS:000449147100006</t>
  </si>
  <si>
    <t>Echenique, JVZ; Soares, MP; Mascarenhas, CS; Bandarra, PM; Quadros, P; Driemeier, D; Schild, AL</t>
  </si>
  <si>
    <t>Echenique, Joanna V. Z.; Soares, Mauro P.; Mascarenhas, Carolina S.; Bandarra, Paulo M.; Quadros, Paulo; Driemeier, David; Schild, Ana Lucia</t>
  </si>
  <si>
    <t>PESQUISA VETERINARIA BRASILEIRA</t>
  </si>
  <si>
    <t>Lontra longicaudis; otter; canine parvovirus; Dioctophyma renale; parvovirus infection; wildlife; viroses; parasitoses</t>
  </si>
  <si>
    <t>GRANDE-DO-SUL; NEMATODA ENOPLIDA; 3RD-STAGE LARVAE; SOUTHERN BRAZIL; DOMESTIC DOGS; WILDLIFE; DISEASES; GOEZE; CANADENSIS; MUSTELIDAE</t>
  </si>
  <si>
    <t>This study describes a case of parvovirus infection in a river otter (Lontra longicaudis) assisted at the Wildlife Rehabilitation Center and Wildlife Screening Center, Federal University of Pelotas (UFPeI), Rio Grande do Sul state, Brazil. Clinical signs included apathy, dark and fetid diarrhea, and crusted lesions on the palmar pads of the fore and hind limbs. The animal died after undergoing support treatment with antibiotics, anti-inflammatory, and fluid therapy. At necropsy, the intestines were reddened and edematous and the right kidney was diminished by one third of its normal size and covered with whitish, spongy material. A female Dioctophyma renale was found free in the abdominal cavity. Histologically, dilatation of the intestinal crypts and fusion and blunting of the intestinal villi were observed. In addition, moderate, multifocal lymphocytic enteritis with lymphoid depletion in Peyer's patches and mesenteric lymph nodes were present. lmmunohistochemistry with anti-canine parvovirus monoclonal antibody (anti-CPV) was strongly positive in the bone marrow cells and enterocytes of the intestinal crypts, confirming the diagnosis of parvovirus infection. The peritoneum on the right kidney was expanded with a cuboidal cell border, forming multiple papillary projections associated with eggs of D. renale and severe inflammatory infiltrate (giant cells, macrophages, lymphocytes, eosinophils, and plasma cells). Areas of necrosis and mineralization were also observed. Due to fragmentation and degradation of its natural habitat, the otter approached the urban area and was contaminated with the virus, which is hosted and disseminated by domestic animals. Infection with D. renale can be associated with the large population of parasitized domestic animals, which eliminate the helminth eggs through urine, contaminating the environment where the parasite intermediate and paratenic hosts co-inhabit. The diseases of these animals can be a decline factor of wild populations that inhabit the region and are an alert to spillover risk.</t>
  </si>
  <si>
    <t>[Echenique, Joanna V. Z.] Univ Fed Pelotas UFPel, Curso Posgrad Vet, Fac Vet, Campus Univ Capao do Leao, BR-96010900 Capao Do Leao, RS, Brazil; [Soares, Mauro P.; Schild, Ana Lucia] Univ Fed Pelotas UFPel, Lab Reg Diagnost, Campus Univ Capao do Leao, BR-96010900 Pelotas, RS, Brazil; [Mascarenhas, Carolina S.] Univ Fed Pelotas UFPel, Lab Parasitol Anim Silvestres, Inst Biol, Campus Univ Capao do Leao, BR-96010900 Pelotas, RS, Brazil; [Bandarra, Paulo M.; Quadros, Paulo] Univ Fed Pelotas UFPel, Nucleo Reabilitacao Fauna Silvestre Nurfs, Ctr Triagem Anim Silvestres Cetas, Campus Univ Capao do Leao, BR-96010900 Pelotas, RS, Brazil; [Driemeier, David] Univ Fed Rio Grande do Sul, Fac Vet, Setor Patol Vet, Av Bento Goncalves 9090, BR-91540000 Porto Alegre, RS, Brazil</t>
  </si>
  <si>
    <t>Universidade Federal de Pelotas; Universidade Federal de Pelotas; Universidade Federal de Pelotas; Universidade Federal de Pelotas; Universidade Federal do Rio Grande do Sul</t>
  </si>
  <si>
    <t>Schild, AL (corresponding author), Univ Fed Pelotas UFPel, Lab Reg Diagnost, Campus Univ Capao do Leao, BR-96010900 Pelotas, RS, Brazil.</t>
  </si>
  <si>
    <t>alschild@terra.com.br</t>
  </si>
  <si>
    <t>Menezes, Paulo/AAJ-6087-2020; Driemeier, David/H-3461-2012; Silveira Mascarenhas, Carolina/ABV-7130-2022</t>
  </si>
  <si>
    <t>Vargas Zillig Echenique, Joanna/0000-0003-1586-1965;</t>
  </si>
  <si>
    <t>REVISTA PESQUISA VETERINARIA BRASILEIRA</t>
  </si>
  <si>
    <t>RIO JANEIRO</t>
  </si>
  <si>
    <t>EMBRAPA-SAUDE ANIMAL, KM47 SEROPEDICA, 23851-970 RIO JANEIRO, BRAZIL</t>
  </si>
  <si>
    <t>0100-736X</t>
  </si>
  <si>
    <t>1678-5150</t>
  </si>
  <si>
    <t>PESQUI VET BRASIL</t>
  </si>
  <si>
    <t>Pesqui. Vet. Bras.</t>
  </si>
  <si>
    <t>10.1590/1678-5150-PVB-5744</t>
  </si>
  <si>
    <t>GZ6OR</t>
  </si>
  <si>
    <t>WOS:000449559300021</t>
  </si>
  <si>
    <t>Barros, M; Cabezón, O; Dubey, JP; Almería, S; Ribas, MP; Escobar, LE; Ramos, B; Medina-Vogel, G</t>
  </si>
  <si>
    <t>Barros, Macarena; Cabezon, Oscar; Dubey, Jitender P.; Almeria, Sonia; Ribas, Maria P.; Escobar, Luis E.; Ramos, Barbara; Medina-Vogel, Gonzalo</t>
  </si>
  <si>
    <t>SOUTHERN RIVER OTTER; SEROPREVALENCE; ANTIBODIES; PROVOCAX; DOLPHINS; ANIMALS; MAMMALS; LAND; MINK</t>
  </si>
  <si>
    <t>The increase in human population and domestic pets, such as cats, are generating important consequences in terms of habitat loss and pathogen pollution of coastal ecosystems with potential to generate negative impacts in marine biodiversity. Toxoplasma gondii is the etiological agent of zoonotic disease toxoplasmosis, and is associated with cat abundance and anthropogenic disturbance. The presence of T. gondii oocysts in the ocean has negatively affected the health status of the threatened Southern sea otter (Enhydra lutris nereis) populations. The present study analyzed seroprevalence and presence of T. gondii DNA in American mink (Neovison vison), Southern river otters (Lontra provocax) and domestic cats (Felis silvestris catus) in four different areas in Southern Chile comprising studies in rivers and lakes in Andean foothills and mountains, marine habitat and island coastal ecosystems. Mean seroprevalence of T. gondii in the study was 64% of 151 total animals sampled: 59% of 73 American mink, 77% of 13 Southern river otters, 68% of 65 domestic cats and in two of two kodkods (Leopardus guigna). Toxoplasma gondii DNA was detected in tissues from one American mink and one Southern river otter. The present study confirms the widespread distribution of T. gondii in Southern Chile, and shows a high exposure of semiaquatic mustelids and domestic cats to the parasite. Cats and anthropogenic disturbance have a role in the maintenance of T. gondii infection in ecosystems of southern Chile.</t>
  </si>
  <si>
    <t>[Barros, Macarena; Ramos, Barbara; Medina-Vogel, Gonzalo] Univ Andres Bello, Ctr Invest Sustentabilidad, Santiago, Chile; [Cabezon, Oscar; Almeria, Sonia; Ribas, Maria P.] Campus Univ Autonoma Barcelona, UAB, Ctr Recerca Sanitat Anim, CReSA,IRTA, Bellaterra, Spain; [Cabezon, Oscar; Ribas, Maria P.] Univ Autonoma Barcelona, Dept Med &amp; Cirugia Anim, Serv Ecopatol Fauna Salvatge, Bellaterra, Spain; [Dubey, Jitender P.] ARS, Anim Parasit Dis Lab, Beltsville Agr Res Ctr, USDA, Beltsville, MD USA; [Almeria, Sonia] Univ Autonoma Barcelona, Dept Sanitat &amp; Anat Anim, Bellaterra, Spain; [Escobar, Luis E.] Virginia Tech, Dept Fish &amp; Wildlife Conservat, Blacksburg, VA USA</t>
  </si>
  <si>
    <t>Universidad Andres Bello; Autonomous University of Barcelona; IRTA; Autonomous University of Barcelona; United States Department of Agriculture (USDA); Autonomous University of Barcelona; Virginia Polytechnic Institute &amp; State University</t>
  </si>
  <si>
    <t>Medina-Vogel, G (corresponding author), Univ Andres Bello, Ctr Invest Sustentabilidad, Santiago, Chile.</t>
  </si>
  <si>
    <t>gmedina@unab.cl</t>
  </si>
  <si>
    <t>Chaves Ramos, Barbara/KHE-4980-2024; Puig Ribas, Maria/HTO-3748-2023; Almeria, Sonia/N-4663-2014; Cabezon, Oscar/AAV-7876-2020; Escobar, Luis E/I-2204-2019</t>
  </si>
  <si>
    <t>Puig Ribas, Maria/0000-0003-3242-0758; Medina-Vogel, Gonzalo/0000-0002-1579-9463; Cabezon, Oscar/0000-0001-7543-8371; Escobar, Luis E/0000-0001-5735-2750</t>
  </si>
  <si>
    <t>FONDECYT [1100139, 1171417]</t>
  </si>
  <si>
    <t>FONDECYT(Comision Nacional de Investigacion Cientifica y Tecnologica (CONICYT)CONICYT FONDECYT)</t>
  </si>
  <si>
    <t>This study was supported by FONDECYT 1100139 (field research, data collection and analysis, reports, writing, mailing) and FONDECYT 1171417 (writing and publication) http.//www. conicyt.cl/fondecyt/files/2017/04/Nomina-Aprobados-Reg_2017.pdf. The funders had no role in study design, data collection and analysis, decision to publish, or preparation of the</t>
  </si>
  <si>
    <t>JUN 20</t>
  </si>
  <si>
    <t>e0199085</t>
  </si>
  <si>
    <t>10.1371/journal.pone.0199085</t>
  </si>
  <si>
    <t>GJ8QS</t>
  </si>
  <si>
    <t>WOS:000435655600045</t>
  </si>
  <si>
    <t>Penezic, A; Moriano, R; Spasic, M; Cirovic, D</t>
  </si>
  <si>
    <t>Penezic, Aleksandra; Moriano, Roberta; Spasic, Marija; Cirovic, Dusko</t>
  </si>
  <si>
    <t>Eurasian otter; Lutra lutra; Parasite; Dirofilaria immitis; Heartworm; Natural infection</t>
  </si>
  <si>
    <t>SERBIA</t>
  </si>
  <si>
    <t>Dirofilaria immitis causes a severe and life-threatening cardio-pulmonary disease in Europe, Asia, Africa, and the Americas; also, zoonotic infections have been reported. This parasitic vector-borne disease is mostly common in domestic and wild canids and felids. Here, we present a rare finding of this roundworm in the heart of a Eurasian otter (Lutra lutra). Four mature specimens of D. immitis were found in the right ventricle of the heart. Necropsy was performed after the animal was found road-killed in Eastern Serbia, close to the Danube River. Two heartworms were females, one was male and sex for one remained unidentified. Microfilariae were present in the uterus of one of the female heartworms, indicating that otters can act as reservoirs of dirofilariasis in the wild. This is the first report of a patent infection in a free-ranging otter.</t>
  </si>
  <si>
    <t>[Penezic, Aleksandra; Spasic, Marija; Cirovic, Dusko] Univ Belgrade, Fac Biol, Studentski Trg 16, Belgrade 11000, Serbia; [Moriano, Roberta] Univ Torino, Dept Vet Sci, Largo Paolo Braccini 2, I-10095 Turin, Italy</t>
  </si>
  <si>
    <t>University of Belgrade; University of Turin</t>
  </si>
  <si>
    <t>Penezic, A (corresponding author), Univ Belgrade, Fac Biol, Studentski Trg 16, Belgrade 11000, Serbia.</t>
  </si>
  <si>
    <t>aleksandra.penezic@bio.bg.ac.rs</t>
  </si>
  <si>
    <t>Moriano, Roberta/NGS-4980-2025; Cirovic, Dusko/AAM-6303-2020</t>
  </si>
  <si>
    <t>Moriano, Roberta/0009-0004-2233-4973; Penezic, Aleksana/0000-0002-3033-1658;</t>
  </si>
  <si>
    <t>Ministry of Education, Science and Technological Development of the Republic of Serbia [173006]</t>
  </si>
  <si>
    <t>Ministry of Education, Science and Technological Development of the Republic of Serbia</t>
  </si>
  <si>
    <t>This work was supported by a grant from the Ministry of Education, Science and Technological Development of the Republic of Serbia (Project No. 173006).</t>
  </si>
  <si>
    <t>10.1007/s00436-018-5769-y</t>
  </si>
  <si>
    <t>FY1DA</t>
  </si>
  <si>
    <t>WOS:000426550800035</t>
  </si>
  <si>
    <t>Capuano, AM; Miller, M; Stallknecht, DE; Moriarty, M; Plancarte, M; Dodd, E; Batac, F; Boyce, WM</t>
  </si>
  <si>
    <t>Capuano, Alyssa M.; Miller, Melissa; Stallknecht, David E.; Moriarty, Megan; Plancarte, Magdalena; Dodd, Erin; Batac, Francesca; Boyce, Walter M.</t>
  </si>
  <si>
    <t>Enhydra lutris nereis; influenza A virus; serology; southern sea otter; virus microneutralization</t>
  </si>
  <si>
    <t>There are approximately 3,000 southern sea otters (Enhydra lutris nereis) in the nearshore environment along the California coast, US, and the species is classified as Threatened under the Endangered Species Act. We tested sera from 661 necropsied southern sea otters sampled from 1997 to 2015 to determine overall exposure to influenza A viruses (IAVs) and to identify subtype-specific antibody responses. Using an enzyme-linked immunosorbent assay (ELISA), antibodies to IAV nucleoproteins were detected in 160 (24.2%) otters, with seropositive animals found in every year except 2008. When the ELISA-positive samples were tested by virus microneutralization, antibody responses were detected to avian-origin hemagglutinin subtypes H1, H3, H4, H5, H6, H7, H9, and H11. Strong antibody responses to pandemic H1N1 (pdmH1N1) were also detected, indicating that epizootic transmission of pdmH1N1 occurred among the southern sea otter population after the emergence of this human-origin virus in 2009. We conclude that southern sea otters are susceptible to infection with avian and humanorigin IAV and that exposure to a wide array of subtypes likely occurs during a given otter's 10- to 15-yr life span. Important unanswered questions include what effect, if any, IAV infection has on sea otter health, and how these animals become infected in their nearshore environment.</t>
  </si>
  <si>
    <t>[Capuano, Alyssa M.; Plancarte, Magdalena; Boyce, Walter M.] Univ Calif Davis, Sch Vet Med, One Shields Ave, Davis, CA 95616 USA; [Miller, Melissa; Moriarty, Megan; Dodd, Erin; Batac, Francesca] Calif Dept Fish &amp; Wildlife, Marine Wildlife Vet Care &amp; Res Ctr, 151 McAllister Way, Santa Cruz, CA 95060 USA; [Stallknecht, David E.] Univ Georgia, Coll Vet Med, 589 DW Brooks Dr,Wildlife Hlth Bldg, Athens, GA 30602 USA; [Moriarty, Megan; Boyce, Walter M.] Univ Calif Davis, Karen C Drayer Wildlife Hlth Ctr, One Shields Ave, Davis, CA 95616 USA</t>
  </si>
  <si>
    <t>University of California System; University of California Davis; University System of Georgia; University of Georgia; University of California System; University of California Davis</t>
  </si>
  <si>
    <t>Boyce, WM (corresponding author), Univ Calif Davis, Sch Vet Med, One Shields Ave, Davis, CA 95616 USA.;Boyce, WM (corresponding author), Univ Calif Davis, Karen C Drayer Wildlife Hlth Ctr, One Shields Ave, Davis, CA 95616 USA.</t>
  </si>
  <si>
    <t>wmboyce@ucdavis.edu</t>
  </si>
  <si>
    <t>; Dodd, Erin/AAQ-3335-2020</t>
  </si>
  <si>
    <t>Batac, Francesca/0000-0002-3187-059X;</t>
  </si>
  <si>
    <t>National Institutes of Health Centers of Excellence for Influenza Research and Surveillance [HHSN272201400008C, HHSN266200700010C, HHSN272201400006C]; Students Training in Advanced Research program at the School of Veterinary Medicine, University of California, Davis; California Sea Otter Tax Checkoff</t>
  </si>
  <si>
    <t>National Institutes of Health Centers of Excellence for Influenza Research and Surveillance; Students Training in Advanced Research program at the School of Veterinary Medicine, University of California, Davis; California Sea Otter Tax Checkoff</t>
  </si>
  <si>
    <t>This study was supported in part by funding from National Institutes of Health Centers of Excellence for Influenza Research and Surveillance HHSN272201400008C, HHSN266200700010C, and HHSN272201400006C and the Students Training in Advanced Research program at the School of Veterinary Medicine, University of California, Davis. This work was also supported in part by the California Sea Otter Tax Checkoff, administered by the California Department of Fish and Wildlife and the State Coastal Conservancy. We thank the scientists at California Department of Fish and Wildlife; US Geological Survey; Monterey Bay Aquarium; University of California, Davis; and The Marine Mammal Center for carcass collection and staff at the Southeastern Cooperative Wildlife Disease Study at the University of Georgia for expertise and assistance with the virus microneutralization assay.</t>
  </si>
  <si>
    <t>10.7589/2017-01-011</t>
  </si>
  <si>
    <t>FJ2SH</t>
  </si>
  <si>
    <t>WOS:000412579200027</t>
  </si>
  <si>
    <t>Borges, JCG; Lima, DD; da Silva, EM; Moreira, ALD; Marmontel, M; Carvalho, VL; Amaral, RD; Lazzarini, SM; Alves, LC</t>
  </si>
  <si>
    <t>Gomes Borges, Joao Carlos; Lima, Danielle dos Santos; da Silva, Edson Moura; de Oliveira Moreira, Andre Lucas; Marmontel, Miriam; Carvalho, Vitor Luz; Amaral, Rodrigo de Souza; Lazzarini, Stella Maris; Alves, Leucio Camara</t>
  </si>
  <si>
    <t>Protozoa; Parasitic diseases; Zoonosis; Aquatic mammals; Conservation</t>
  </si>
  <si>
    <t>OTTERS LONTRA-CANADENSIS; NEOPHOCA-CINEREA; SEA; DUODENALIS; MANATEES; ANIMALS</t>
  </si>
  <si>
    <t>Cryptosporidium and Giardia are protozoans that can infect humans and wild and domestic animals. Due to the growing importance of diseases caused by protozoan parasites in aquatic species, we aimed to evaluate the frequency of infection by Cryptosporidium spp. and Giardia sp. in aquatic and marine mammals in the northern and northeastern regions of Brazil. We collected 553 fecal samples from 15 species of wild- ranging and captive aquatic mammals in northern and northeastern Brazil. All samples were analyzed by the Kinyoun technique for identification of Cryptosporidium spp. oocysts. Giardia sp. cysts were identified by means of the centrifugal- flotation technique in zinc sulfate solution. Subsequently, all samples were submitted for direct immunofluorescence testing. The overall frequency of infection was 15.55% (86/553) for Crypto sporidium spp. and 9.04% (50/553) for Giardia sp. The presence of Cryptosporidium spp. was detected in samples from 5 species: neotropical river otter Lontra longicaudis (15.28%), giant otter Pteronura brasiliensis (41.66%), Guiana dolphin Sotalia guianensis (9.67%), Amazonian manatee Trichechus inunguis (16.03%), and Antillean manatee T. manatus (13.79%). Giardia sp. was identified in L. longicaudis (9.23%), P. brasiliensis (29.16%), pygmy sperm whale Kogia breviceps (100%), dwarf sperm whale K. sima (25%), S. guianensis (9.67%), T. inunguis (3.81%), and T. manatus (10.34%). This is the first report of Cryptosporidium spp. in L. longicaudis, P. brasiliensis, and S. guianensis, while the occurrence of Giardia sp., in addition to the 2 otter species, was also identified in manatees, thus extending the number of hosts susceptible to these parasitic agents.</t>
  </si>
  <si>
    <t>[Gomes Borges, Joao Carlos; da Silva, Edson Moura; Alves, Leucio Camara] Univ Fed Rural Pernambuco, Dom Manoel de Medeiros S-N, BR-52171900 Recife, PE, Brazil; [Gomes Borges, Joao Carlos; de Oliveira Moreira, Andre Lucas] Fundacao Mamiferos Aquat, 17 Agosto,2001, BR-52061540 Recife, PE, Brazil; [Gomes Borges, Joao Carlos; Lima, Danielle dos Santos; Marmontel, Miriam] Inst Desenvolvimento Sustentavel Mamirau, Grp Pesquisa Mamiferos Aquat Amazon, Estr Bexiga 2584, BR-69553225 Tefe, Amazonas, Brazil; [Carvalho, Vitor Luz] AQUASIS, Assoc Pesquisa &amp; Preservacao Ecossistemas Aquat, SESC Iparana, Rua Jose de Alencar 150, BR-61627210 Caucaia, CE, Brazil; [Amaral, Rodrigo de Souza] Inst Fed Educ Ciencia &amp; Tecnol Amazonas, Ave Cosme Ferreira 8045, BR-69083000 Manaus, AM, Brazil; [Lazzarini, Stella Maris] Ctr Preservacao &amp; Pesquisa Mamiferos Aquat, Rodovia Manaus Caracarai,Km 122, BR-69736000 Presidente Figueiredo, AM, Brazil</t>
  </si>
  <si>
    <t>Universidade Federal Rural de Pernambuco (UFRPE); Instituto Federal do Amazonas (IFAM)</t>
  </si>
  <si>
    <t>Borges, JCG (corresponding author), Univ Fed Rural Pernambuco, Dom Manoel de Medeiros S-N, BR-52171900 Recife, PE, Brazil.;Borges, JCG (corresponding author), Fundacao Mamiferos Aquat, 17 Agosto,2001, BR-52061540 Recife, PE, Brazil.;Borges, JCG (corresponding author), Inst Desenvolvimento Sustentavel Mamirau, Grp Pesquisa Mamiferos Aquat Amazon, Estr Bexiga 2584, BR-69553225 Tefe, Amazonas, Brazil.</t>
  </si>
  <si>
    <t>jcgborges@hotmail.com</t>
  </si>
  <si>
    <t>Marmontel, Miriam/AGF-7653-2022; Amaral, Roigo/AAA-2035-2021</t>
  </si>
  <si>
    <t>Amaral, Roigo/0000-0002-0455-2481</t>
  </si>
  <si>
    <t>Fundacao Mamiferos Aquaticos; Biolex Consultoria Ambiental; Sete Solucoes e Tecnologia Ambiental; STCP Engenharia de Projetos Ltda; Instituto Amares; Mineracao Rio do Norte; CAPES</t>
  </si>
  <si>
    <t>Fundacao Mamiferos Aquaticos; Biolex Consultoria Ambiental; Sete Solucoes e Tecnologia Ambiental; STCP Engenharia de Projetos Ltda; Instituto Amares; Mineracao Rio do Norte; CAPES(Coordenacao de Aperfeicoamento de Pessoal de Nivel Superior (CAPES))</t>
  </si>
  <si>
    <t>We appreciate the support of the Fundacao Mamiferos Aquaticos, Biolex Consultoria Ambiental, Sete Solucoes e Tecnologia Ambiental, STCP Engenharia de Projetos Ltda, and Instituto Amares. We also acknowledge Mineracao Rio do Norte for support offered in the Saraca-Taquera National Forest, and ICMBio-Trombetas and IBAMA for the research permits. This paper employed data generated by the SubRegional Program for Stranding and Abnormal Activity Monitoring, as a mitigating measure of the Federal Environmental Licensing conducted by the Brazilian environmental Agency IBAMA. The results of this research study are part of the efforts carried out by the project 'Viva o Peixe-Boi.' J.C.G.B. also thanks CAPES for the scholarship granted. We thank Projeto Boto and Dr. Vera M. F. da Silva for providing the samples from Inia geoffrensis.</t>
  </si>
  <si>
    <t>SEP 20</t>
  </si>
  <si>
    <t>10.3354/dao03156</t>
  </si>
  <si>
    <t>FI8ZO</t>
  </si>
  <si>
    <t>WOS:000412292600003</t>
  </si>
  <si>
    <t>Salkeld, DJ</t>
  </si>
  <si>
    <t>Salkeld, Daniel J.</t>
  </si>
  <si>
    <t>ECOHEALTH</t>
  </si>
  <si>
    <t>Editorial Material</t>
  </si>
  <si>
    <t>Yersinia pestis; black-footed ferret; prairie dog; wildlife vaccine; plague control; wildlife disease and conservation</t>
  </si>
  <si>
    <t>MUSTELA-NIGRIPES; CYNOMYS-LUDOVICIANUS; DELTAMETHRIN; FLEA</t>
  </si>
  <si>
    <t>The endangered black-footed ferret (Mustela nigripes) is affected by plague, caused by Yersinia pestis, both directly, as a cause of mortality, and indirectly, because of the impacts of plague on its prairie dog (Cynomys spp.) prey base. Recent developments in vaccines and vaccine delivery have raised the possibility of plague control in prairie dog populations, thereby protecting ferret populations. A large-scale experimental investigation across the western US shows that sylvatic plague vaccine delivered in oral baits can increase prairie dog survival. In northern Colorado, an examination of the efficacy of insecticides to control fleas and plague vaccine shows that timing and method of plague control is important, with different implications for long-term and large-scale management of Y. pestis delivery. In both cases, the studies show that ambitious field-work and cross-sectoral collaboration can provide potential solutions to difficult issues of wildlife management, conservation and disease ecology.</t>
  </si>
  <si>
    <t>[Salkeld, Daniel J.] Colorado State Univ, Dept Biol, Ft Collins, CO 80523 USA</t>
  </si>
  <si>
    <t>Colorado State University System; Colorado State University Fort Collins</t>
  </si>
  <si>
    <t>Salkeld, DJ (corresponding author), Colorado State Univ, Dept Biol, Ft Collins, CO 80523 USA.</t>
  </si>
  <si>
    <t>dansalkeld@gmail.com</t>
  </si>
  <si>
    <t>1612-9202</t>
  </si>
  <si>
    <t>1612-9210</t>
  </si>
  <si>
    <t>EcoHealth</t>
  </si>
  <si>
    <t>10.1007/s10393-017-1273-6</t>
  </si>
  <si>
    <t>FL3VI</t>
  </si>
  <si>
    <t>WOS:000414153000001</t>
  </si>
  <si>
    <t>Tripp, DW; Rocke, TE; Runge, JP; Abbott, RC; Miller, MW</t>
  </si>
  <si>
    <t>Tripp, Daniel W.; Rocke, Tonie E.; Runge, Jonathan P.; Abbott, Rachel C.; Miller, Michael W.</t>
  </si>
  <si>
    <t>Black-tailed prairie dog; Cynomys ludovicianus; Deltamethrin; Plague; Raccoonpox; Vaccine</t>
  </si>
  <si>
    <t>CYNOMYS-LUDOVICIANUS; SYLVATIC PLAGUE; CONSUMPTION; COLORADO; FLEAS; BAITS; UTAH; DELTAMETHRIN; TRANSMISSION; VECTOR</t>
  </si>
  <si>
    <t>Plague impacts prairie dogs (Cynomys spp.), the endangered black-footed ferret (Mustela nigripes) and other sensitive wildlife species. We compared efficacy of prophylactic treatments (burrow dusting with deltamethrin or oral vaccination with recombinant sylvatic plague vaccine [RCN-F1/V307]) to placebo treatment in black-tailed prairie dog (C. ludovicianus) colonies. Between 2013 and 2015, we measured prairie dog apparent survival, burrow activity and flea abundance on triplicate plots (blocks) receiving dust, vaccine or placebo treatment. Epizootic plague affected all three blocks but emerged asynchronously. Dust plots had fewer fleas per burrow (P &lt; 0.0001), and prairie dogs captured on dust plots had fewer fleas (P &lt; 0.0001) than those on vaccine or placebo plots. Burrow activity and prairie dog density declined sharply in placebo plots when epizootic plague emerged. Patterns in corresponding dust and vaccine plots were less consistent and appeared strongly influenced by timing of treatment applications relative to plague emergence. Deltamethrin or oral vaccination enhanced apparent survival within two blocks. Applying insecticide or vaccine prior to epizootic emergence blunted effects of plague on prairie dog survival and abundance, thereby preventing colony collapse. Successful plague mitigation will likely entail strategic combined uses of burrow dusting and oral vaccination within large colonies or colony complexes.</t>
  </si>
  <si>
    <t>[Tripp, Daniel W.; Miller, Michael W.] Colorado Div Pk &amp; Wildlife, Wildlife Hlth Program, 4330 Laporte Ave, Ft Collins, CO 80521 USA; [Rocke, Tonie E.; Abbott, Rachel C.] US Geol Survey, Natl Wildlife Hlth Ctr, 6006 Schroeder Rd, Madison, WI 53711 USA; [Runge, Jonathan P.] Colorado Div Pk &amp; Wildlife, Terr Resources Program, 317 West Prospect Rd, Ft Collins, CO 80526 USA</t>
  </si>
  <si>
    <t>Tripp, DW (corresponding author), Colorado Div Pk &amp; Wildlife, Wildlife Hlth Program, 4330 Laporte Ave, Ft Collins, CO 80521 USA.</t>
  </si>
  <si>
    <t>dan.tripp@state.co.us</t>
  </si>
  <si>
    <t>Rocke, Tonie/0000-0003-3933-1563</t>
  </si>
  <si>
    <t>CPW; Colorado's Species Conservation Trust Fund; USGS; US Fish and Wildlife Service; Western association of Fish and Wildlife Agencies</t>
  </si>
  <si>
    <t>CPW; Colorado's Species Conservation Trust Fund; USGS(United States Geological Survey); US Fish and Wildlife Service(US Fish &amp; Wildlife Service); Western association of Fish and Wildlife Agencies</t>
  </si>
  <si>
    <t>Our work was supported by CPW, Colorado's Species Conservation Trust Fund, USGS, the US Fish and Wildlife Service and the Western association of Fish and Wildlife Agencies. We thank the City of Fort Collins, Natural Areas Program and Utilities Department for access to field sites and for field assistance. Thanks also to A. Allison, C. Archuleta, E. Canales, M. Fisher, J. Foster, K. Fox, S. Green, K. Griffin, M. Markus, D. Sack, S. Smith, S. Streich, A. Tschirley, A. Vitulli and J. Williamson for field or laboratory assistance. M. Matchett and R. Russell provided helpful comments on earlier manuscript drafts. The use of trade, firm or product names is for descriptive purposes only and does not imply endorsement by the U.S. Government.</t>
  </si>
  <si>
    <t>10.1007/s10393-017-1236-y</t>
  </si>
  <si>
    <t>WOS:000414153000003</t>
  </si>
  <si>
    <t>Mize, EL; Grassel, SM; Britten, HB</t>
  </si>
  <si>
    <t>Mize, Erica L.; Grassel, Shaun M.; Britten, Hugh B.</t>
  </si>
  <si>
    <t>Black-footed ferret; Oropsylla hirsuta; plague; Yersinia pestis</t>
  </si>
  <si>
    <t>TAILED PRAIRIE DOG; F1-V FUSION PROTEIN; POPULATION GENETIC-STRUCTURE; YERSINIA-PESTIS; OROPSYLLA-HIRSUTA; CONATA BASIN; CYNOMYS-LUDOVICIANUS; RESOURCE SELECTION; SOUTH-DAKOTA; TRANSMISSION</t>
  </si>
  <si>
    <t>Sylvatic plague is one of the major impediments to the recovery of the black-footed ferret (Mustela nigripes) because it decimates their primary prey species, prairie dogs (Cynomys spp.), and directly causes mortality in ferrets. Fleas are the primary vector of Yersinia pestis, the causative agent of sylvatic plague. The goal of this research was to better understand the flea fauna of ferrets and the factors that might influence flea abundance on ferrets. Fleas from ferrets were tested for Y. pestis in a post hoc assessment to investigate the plausibility that some ferrets could act as incidental transporter hosts of fleas infected with Y. pestis. Fleas were collected from ferrets captured on the Lower Brule Indian Reservation in central South Dakota, US from 2009 to 2012. A total of 528 fleas collected from 67 individual ferrets were identified and tested for the presence of Y. pestis with a nested PCR assay. The predominant flea recovered from ferrets was Oropsylla hirsuta, a species that comprises 70-100% of the fleas recovered from prairie dogs and their burrows in the study area. Yersinia pestis was detected at low levels in fleas collected from ferrets with prevalence ranging from 0% to 2.9%; male ferrets harbored significantly more fleas than female ferrets. Six of 67 ferrets vaccinated against plague carried fleas that tested positive for Y. pestis, which suggests ferrets vaccinated against plague could inadvertently act as incidental transporter hosts of Y. pestis-positive fleas.</t>
  </si>
  <si>
    <t>[Mize, Erica L.; Britten, Hugh B.] Univ South Dakota, Dept Biol, 414 E Clark St, Vermillion, SD 57069 USA; [Mize, Erica L.] US Fish &amp; Wildlife Serv, Midwest Fisheries Ctr, 555 Lester Ave, Onalaska, WI 54650 USA; [Grassel, Shaun M.] Lower Brule Sioux Tribe, Dept Wildlife Fish &amp; Recreat, 22695 Little Bend Rd,POB 246, Lower Brule, SD 57548 USA</t>
  </si>
  <si>
    <t>University of South Dakota; United States Department of the Interior; US Fish &amp; Wildlife Service</t>
  </si>
  <si>
    <t>Mize, EL (corresponding author), Univ South Dakota, Dept Biol, 414 E Clark St, Vermillion, SD 57069 USA.;Mize, EL (corresponding author), US Fish &amp; Wildlife Serv, Midwest Fisheries Ctr, 555 Lester Ave, Onalaska, WI 54650 USA.</t>
  </si>
  <si>
    <t>erica_mize@fws.gov</t>
  </si>
  <si>
    <t>Mize, Erica/AAD-1907-2019; Mize, Erica/P-5416-2017</t>
  </si>
  <si>
    <t>Mize, Erica/0000-0003-2355-3268</t>
  </si>
  <si>
    <t>Bureau of Indian Affairs; US Fish and Wildlife Service; South Dakota Department of Game, Fish, and Parks Wildlife Diversity Small Grants Program</t>
  </si>
  <si>
    <t>Bureau of Indian Affairs; US Fish and Wildlife Service(US Fish &amp; Wildlife Service); South Dakota Department of Game, Fish, and Parks Wildlife Diversity Small Grants Program</t>
  </si>
  <si>
    <t>We thank the Bureau of Indian Affairs, US Fish and Wildlife Service, and South Dakota Department of Game, Fish, and Parks Wildlife Diversity Small Grants Program for providing funding. Additional resources were provided by the Lower Brule Sioux Tribe and the University of South Dakota. We are grateful for the significant contribution to the field effort for this study made by personnel with the Lower Brule Sioux Tribe Department of Wildlife, Fish, and Recreation. We thank G. Kolenic from the Center for Statistical Consultation and Research at the University of Michigan. Comments by D. Biggins, M. Dixon, R. Matchett, and an anonymous reviewer greatly improved this manuscript.</t>
  </si>
  <si>
    <t>10.7589/2016-09-202</t>
  </si>
  <si>
    <t>FA0AV</t>
  </si>
  <si>
    <t>WOS:000405093800009</t>
  </si>
  <si>
    <t>Siqueira, JD; Ng, TF; Miller, M; Li, LL; Deng, XT; Dodd, E; Batac, F; Delwart, E</t>
  </si>
  <si>
    <t>Siqueira, Juliana D.; Ng, Terry F.; Miller, Melissa; Li, Linlin; Deng, Xutao; Dodd, Erin; Batac, Francesca; Delwart, Eric</t>
  </si>
  <si>
    <t>Adenovirus; Enhydra lutris nereis; metagenomics; parvovirus; polyomavirus; southern sea otter; virome</t>
  </si>
  <si>
    <t>ALEUTIAN MINK DISEASE; HUMAN BUFAVIRUS; VIRUS; NORTHERN; ANELLOVIRUS; CALIFORNIA; DIARRHEA; IDENTIFICATION; METAGENOMICS; CHILDREN</t>
  </si>
  <si>
    <t>Over the past century, the southern sea otter (SSO; Enhydra lutris nereis) population has been slowly recovering from near extinction due to overharvest. The SSO is a threatened subspecies under federal law and a fully protected species under California law, US. Through a multiagency collaborative program, stranded animals are rehabilitated and released, while deceased animals are necropsied and tissues are cryopreserved to facilitate scientific study. Here, we processed archival tissues to enrich particle-associated viral nucleic acids, which we randomly amplified and deeply sequenced to identify viral genomes through sequence similarities. Anelloviruses and endogenous retroviral sequences made up over 50% of observed viral sequences. Polyomavirus, parvovirus, and adenovirus sequences made up most of the remaining reads. We characterized and phylogenetically analyzed the full genome of sea otter polyomavirus 1 and the complete coding sequence of sea otter parvovirus 1 and found that the closest known viruses infect primates and domestic pigs (Sus scrofa domesticus), respectively. We tested archived tissues from 69 stranded SSO necropsied over 14 yr (2000-13) by PCR. Polyomavirus, parvovirus, and adenovirus infections were detected in 51, 61, and 29% of examined animals, respectively, with no significant increase in frequency over time, suggesting endemic infection. We found that 80% of tested SSO were infected with at least one of the three DNA viruses, whose tissue distribution we determined in 261 tissue samples. Parvovirus DNA was most frequently detected in mesenteric lymph node, polyomavirus DNA in spleen, and adenovirus DNA in multiple tissues (spleen, retropharyngeal and mesenteric lymph node, lung, and liver). This study describes the virome in tissues of a threatened species and shows that stranded SSO are frequently infected with multiple viruses, warranting future research to investigate associations between these infections and observed lesions.</t>
  </si>
  <si>
    <t>[Siqueira, Juliana D.] Inst Nacl Canc Jose Alencar Gomes da Silva, Programa Oncovirol, Rua Andre Cavalcanti,37-48 Andar, BR-20231050 Rio De Janeiro, Brazil; [Siqueira, Juliana D.; Ng, Terry F.; Li, Linlin; Deng, Xutao; Delwart, Eric] Blood Syst Res Inst, 270 Mason Ave, San Francisco, CA 94118 USA; [Ng, Terry F.] Ctr Dis Control &amp; Prevent, Div Viral Dis, 1600 Clifton Rd, Atlanta, GA 30333 USA; [Miller, Melissa; Dodd, Erin; Batac, Francesca] Calif Dept Fish &amp; Wildlife, Marine Wildlife Vet Care &amp; Res Ctr, 1451 Shaffer Rd, Santa Cruz, CA 95060 USA; [Miller, Melissa] Univ Calif Davis, Wildlife Hlth Ctr, One Shields Ave, Davis, CA 95616 USA; [Li, Linlin] Calif Dept Publ Hlth, Richmond, CA 94804 USA; [Delwart, Eric] Univ Calif San Francisco, Dept Lab Med, San Francisco, CA 94118 USA</t>
  </si>
  <si>
    <t>Vitalant; Vitalant Research Institute; Centers for Disease Control &amp; Prevention - USA; University of California System; University of California Davis; California Department of Public Health; University of California System; University of California San Francisco</t>
  </si>
  <si>
    <t>Delwart, E (corresponding author), Blood Syst Res Inst, 270 Mason Ave, San Francisco, CA 94118 USA.;Miller, M (corresponding author), Calif Dept Fish &amp; Wildlife, Marine Wildlife Vet Care &amp; Res Ctr, 1451 Shaffer Rd, Santa Cruz, CA 95060 USA.;Miller, M (corresponding author), Univ Calif Davis, Wildlife Hlth Ctr, One Shields Ave, Davis, CA 95616 USA.;Delwart, E (corresponding author), Univ Calif San Francisco, Dept Lab Med, San Francisco, CA 94118 USA.</t>
  </si>
  <si>
    <t>Melissa.Miller@wildlife.ca.gov; delwarte@medicine.ucsf.edu</t>
  </si>
  <si>
    <t>Dodd, Erin/AAQ-3335-2020; Delwart, Eric/AFQ-8298-2022; Ng, Terry Fei Fan/H-5305-2019</t>
  </si>
  <si>
    <t>Ng, Terry Fei Fan/0000-0002-4815-8697; Siqueira, Juliana/0000-0002-4266-9795; Batac, Francesca/0000-0002-3187-059X</t>
  </si>
  <si>
    <t>National Heart, Lung, and Blood Institute [R01 HL105770]; Blood Systems Research Institute; California Sea Otter Fund through the California Department of Fish and Wildlife; California Coastal Conservancy; Brazilian Research Council under Science without Borders'' Program; Brazilian National Cancer Institute</t>
  </si>
  <si>
    <t>National Heart, Lung, and Blood Institute(United States Department of Health &amp; Human ServicesNational Institutes of Health (NIH) - USANIH National Heart Lung &amp; Blood Institute (NHLBI)); Blood Systems Research Institute; California Sea Otter Fund through the California Department of Fish and Wildlife; California Coastal Conservancy; Brazilian Research Council under Science without Borders'' Program; Brazilian National Cancer Institute(United States Department of Health &amp; Human ServicesNational Institutes of Health (NIH) - USANIH National Cancer Institute (NCI))</t>
  </si>
  <si>
    <t>National Heart, Lung, and Blood Institute R01 HL105770 grant and Blood Systems Research Institute funded E.D. This research was supported, in part, by the California Sea Otter Fund through the California Department of Fish and Wildlife and the California Coastal Conservancy. We sincerely thank staff and volunteers from the California Department of Fish and Wildlife, US Geological Survey, US Fish and Wildlife Service, Monterey Bay Aquarium, and The Marine Mammal Center for their continuous efforts to recover stranded sea otters for necropsy examination. J.D.S. was recipient of a fellowship by the Brazilian Research Council under the auspices of Science without Borders'' Program and is supplemented with intramural funds by the Brazilian National Cancer Institute.</t>
  </si>
  <si>
    <t>10.7589/2016-04-082</t>
  </si>
  <si>
    <t>WOS:000405093800010</t>
  </si>
  <si>
    <t>Bowman, J; Beauclerc, K; Farid, AH; Fenton, H; Klütsch, CFC; Schulte-Hostedde, AI</t>
  </si>
  <si>
    <t>Bowman, Jeff; Beauclerc, Kaela; Farid, A. Hossain; Fenton, Heather; Klutsch, Cornelya F. C.; Schulte-Hostedde, Albrecht I.</t>
  </si>
  <si>
    <t>American mink; domestication; hybridization; insular; introgression; Neovison vison</t>
  </si>
  <si>
    <t>MULTILOCUS GENOTYPE DATA; MUSTELA-VISON; DISEASE VIRUS; POPULATION-STRUCTURE; ARVICOLA-TERRESTRIS; GENETIC-STRUCTURE; NOVA-SCOTIA; FERAL MINK; SOFTWARE; RAREFACTION</t>
  </si>
  <si>
    <t>Farmed American mink (Neovison vison (Schreber, 1777)) pose a risk to biodiversity owing to escape and release from farms. Feral mink may affect native species in locations where American mink are not endemic, such as Europe. In contrast, escaping domestic mink may hybridize with wild mink in North America, leading to introgression of domestic traits via hybrid-mediated gene flow. We tested this idea in eastern Canada, which has a history of mink farming. We sampled known domestic and free-ranging mink, and profiled 508 individuals at 15 microsatellite loci. We found that 33% of free-ranging mink were either escaped domestic individuals, domestic-wild hybrids, or were introgressed to domestic or wild parental groups. The greatest prevalence of free-ranging domestic, hybrid, or introgressed mink (59%) occurred in Nova Scotia, which also had the most mink farms. Historic (1980s or earlier) mink sampled from museums had higher allelic richness and private allelic richness than contemporary wild mink. Domestic mink are artificially selected for traits desired by farmers, and as such, introgression with wild mink may lead to a loss of local adaptation. Our findings demonstrate that continued escape and release of mink could pose risks to the maintenance of genetic integrity in wild mink.</t>
  </si>
  <si>
    <t>[Bowman, Jeff; Beauclerc, Kaela] Trent Univ, Ontario Minist Nat Resources &amp; Forestry, Wildlife Res &amp; Monitoring Sect, 2140 East Bank Dr,DNA Bldg, Peterborough, ON K9L 0G2, Canada; [Farid, A. Hossain] Dalhousie Univ, Fac Agr, Dept Plant &amp; Anim Sci, POB 550, Truro, NS B2N 5E3, Canada; [Fenton, Heather] Univ Prince Edward Isl, Atlantic Vet Coll, Canadian Wildlife Hlth Cooperat, 550 Univ Ave, Charlottetown, PE C1A 4P3, Canada; [Klutsch, Cornelya F. C.] Trent Univ, Biol Dept, Peterborough, ON K9L 0G2, Canada; [Schulte-Hostedde, Albrecht I.] Laurentian Univ, Dept Biol, 935 Ramsey Lake Rd, Sudbury, ON P3E 2C6, Canada</t>
  </si>
  <si>
    <t>Ministry of Natural Resources &amp; Forestry; Trent University; Dalhousie University; University of Prince Edward Island; Trent University; Laurentian University</t>
  </si>
  <si>
    <t>Bowman, J (corresponding author), Trent Univ, Ontario Minist Nat Resources &amp; Forestry, Wildlife Res &amp; Monitoring Sect, 2140 East Bank Dr,DNA Bldg, Peterborough, ON K9L 0G2, Canada.</t>
  </si>
  <si>
    <t>Schulte-Hostedde, Albrecht/C-2007-2009; Klutsch, Cornelya/G-8944-2019; Bowman, Jeff/B-4147-2009</t>
  </si>
  <si>
    <t>Schulte-Hostedde, Albrecht/0000-0001-7263-4764; Fenton, Heather/0000-0002-0190-8921; Klutsch, Cornelya/0000-0001-8238-2484; Bowman, Jeff/0000-0002-1892-4469</t>
  </si>
  <si>
    <t>Natural Sciences and Engineering Research Council of Canada (NSERC) Strategic Projects; NSERC Discovery Grants; Prince Edward Island Wildlife Conservation Fund; Ontario Ministry of Natural Resources and Forestry</t>
  </si>
  <si>
    <t>Natural Sciences and Engineering Research Council of Canada (NSERC) Strategic Projects; NSERC Discovery Grants(Natural Sciences and Engineering Research Council of Canada (NSERC)); Prince Edward Island Wildlife Conservation Fund; Ontario Ministry of Natural Resources and Forestry</t>
  </si>
  <si>
    <t>Funding was provided by Natural Sciences and Engineering Research Council of Canada (NSERC) Strategic Projects grant to A.I.S.-H. and J.B., NSERC Discovery Grants to A.I.S.-H. and J.B., Prince Edward Island Wildlife Conservation Fund, and the Ontario Ministry of Natural Resources and Forestry. We thank the New Brunswick Museum, the Acadia University Museum, the Nova Scotia Museum, and the Canadian Museum of Nature for providing samples. Finally, we thank the Canadian Wildlife Health Cooperative and the many trappers and mink farmers who assisted us in the study.</t>
  </si>
  <si>
    <t>CANADIAN SCIENCE PUBLISHING, NRC RESEARCH PRESS</t>
  </si>
  <si>
    <t>10.1139/cjz-2016-0171</t>
  </si>
  <si>
    <t>EX6LW</t>
  </si>
  <si>
    <t>WOS:000403354800009</t>
  </si>
  <si>
    <t>Lempp, C; Jungwirth, N; Grilo, ML; Reckendorf, A; Ulrich, A; van Neer, A; Bodewes, R; Pfankuche, VM; Bauer, C; Osterhaus, ADME; Baumgärtner, W; Siebertf, U</t>
  </si>
  <si>
    <t>Lempp, Charlotte; Jungwirth, Nicole; Grilo, Miguel L.; Reckendorf, Anja; Ulrich, Arlene; van Neer, Abbo; Bodewes, Rogier; Pfankuche, Vanessa M.; Bauer, Christian; Osterhaus, Albert D. M. E.; Baumgaertner, Wolfgang; Siebertf, Ursula</t>
  </si>
  <si>
    <t>CANINE-DISTEMPER VIRUS; FELINE LEUKEMIA-VIRUS; TOXOPLASMA-GONDII; NEOSPORA-CANINUM; HUMAN ANELLOVIRUSES; WILD CARNIVORES; VIRAL-PROTEINS; DOMESTIC DOGS; SAXONY-ANHALT; EXPRESSION</t>
  </si>
  <si>
    <t>Anthropogenic landscape changes contributed to the reduction of availability of habitats to wild animals. Hence, the presence of wild terrestrial carnivores in urban and peri-urban sites has increased considerably over the years implying an increased risk of interspecies spill-over of infectious diseases and the transmission of zoonoses. The present study provides a detailed characterisation of the health status of the red fox (Vulpes vulpes), stone marten (Martes foina) and raccoon dog (Nyctereutes procyonoides) in their natural rural and peri-urban habitats in Schleswig-Holstein, Germany between November 2013 and January 2016 with focus on zoonoses and infectious diseases that are potentially threatening to other wildlife or domestic animal species. 79 red foxes, 17 stone martens and 10 raccoon dogs were collected from traps or hunts. In order to detect morphological changes and potential infectious diseases, necropsy and pathohistological work-up was performed. Additionally, in selected animals immunohistochemistry (influenza A virus, parvovirus, feline leukemia virus, Borna disease virus, tick-borne encephalitis, canine adenovirus, Neospora caninum, Toxoplasma gondii and Listeria monocytogenes), next-generation sequencing, polymerase chain reaction (fox circovirus) and serum-neutralisation analysis (canine distemper virus) were performed. Furthermore, all animals were screened for fox rabies virus (immunofluorescence), canine distemper virus (immunohistochemistry) and Aujeszky's disease (virus cultivation). The most important findings included encephalitis (n = 16) and pneumonia (n = 20). None of the investigations revealed a specific cause for the observed morphological alterations except for one animal with an elevated serum titer of 1:160 for canine distemper. Animals displayed macroscopically and/or histopathologically detectable infections with parasites, including Taenia sp., Toxocara sp. and Alaria alata. In summary, wildlife predators carry zoonotic parasitic disease and suffer from inflammatory diseases of yet unknown etiology, possibly bearing infectious potential for other animal species and humans. This study highlights the value of monitoring terrestrial wildlife following the One Health notion, to estimate the incidence and the possible spread of zoonotic pathogens and to avoid animal to animal spillover as well as transmission to humans.</t>
  </si>
  <si>
    <t>[Lempp, Charlotte; Jungwirth, Nicole; Pfankuche, Vanessa M.; Baumgaertner, Wolfgang] Univ Vet Med Hannover, Dept Pathol, Hannover, Lower Saxony, Germany; [Jungwirth, Nicole; Pfankuche, Vanessa M.; Baumgaertner, Wolfgang] Ctr Syst Neurosci, Hannover, Germany; [Grilo, Miguel L.; Reckendorf, Anja; Ulrich, Arlene; van Neer, Abbo; Siebertf, Ursula] Univ Vet Med Hannover, Inst Terr &amp; Aquat Wildlife Res, Busum, Schleswig Holst, Germany; [Bodewes, Rogier] Erasmus Univ, Med Ctr, Dept Virosci, Rotterdam, Netherlands; [Bauer, Christian] Justus Liebig Univ, Inst Parasitol, Giessen, Germany; [Osterhaus, Albert D. M. E.] Univ Vet Med Hannover, Res Ctr Emerging Infect &amp; Zoonoses, Hannover, Lower Saxony, Germany; [Bodewes, Rogier] Univ Utrecht, Fac Vet Med, Dept Farm Anim Hlth, Utrecht, Netherlands</t>
  </si>
  <si>
    <t>University of Veterinary Medicine Hannover; University of Veterinary Medicine Hannover; Erasmus University Rotterdam; Erasmus MC; Justus Liebig University Giessen; University of Veterinary Medicine Hannover; Utrecht University</t>
  </si>
  <si>
    <t>Baumgärtner, W (corresponding author), Univ Vet Med Hannover, Dept Pathol, Hannover, Lower Saxony, Germany.;Baumgärtner, W (corresponding author), Ctr Syst Neurosci, Hannover, Germany.</t>
  </si>
  <si>
    <t>wolfgang.baumgaertner@tiho-hannover.de</t>
  </si>
  <si>
    <t>; Christian, Bauer/P-7293-2017; Bauer, Christian/P-7293-2017</t>
  </si>
  <si>
    <t>Baumgärtner, Wolfgang/0000-0001-8151-5644; Grilo, Miguel/0000-0001-7364-821X; Reckendorf, Anja/0000-0002-2428-6280; van Neer, Abbo/0000-0002-3519-0356; Bodewes, Rogier/0000-0002-0689-7889; Bauer, Christian/0000-0002-6671-2102</t>
  </si>
  <si>
    <t>Ministry of Energy, Agriculture, the Environment and Rural Affairs of Schleswig-Holstein; German Hunting Union; Niedersachsen-Research Network on Neuroinfectiology (N-RENNT) of the Ministry of Science and Culture of Lower Saxony, Germany; COMPARE project; European Union's Horizon research and innovation program COMPARE [643476]</t>
  </si>
  <si>
    <t>Ministry of Energy, Agriculture, the Environment and Rural Affairs of Schleswig-Holstein; German Hunting Union; Niedersachsen-Research Network on Neuroinfectiology (N-RENNT) of the Ministry of Science and Culture of Lower Saxony, Germany; COMPARE project; European Union's Horizon research and innovation program COMPARE</t>
  </si>
  <si>
    <t>The investigation was funded by the Ministry of Energy, Agriculture, the Environment and Rural Affairs of Schleswig-Holstein and the German Hunting Union and partly supported by the Niedersachsen-Research Network on Neuroinfectiology (N-RENNT) of the Ministry of Science and Culture of Lower Saxony, Germany, and by the COMPARE project and received funding from the European Union's Horizon 2020 research and innovation program COMPARE (grant agreement no. 643476). The funders had no role in study design, data collection and analysis, decision to publish, or preparation of the manuscript. The investigation was funded by the Ministry of Energy, Agriculture, the Environment and Rural Affairs of Schleswig-Holstein and the German Hunting Union and partly supported by the Niedersachsen-Research Network on Neuroinfectiology (N-RENNT) of the Ministry of Science and Culture of Lower Saxony, Germany and by the COMPARE project. Funding was also received from the European Union's Horizon 2020 research and innovation program COMPARE (grant agreement no. 643476). The authors wish to thank Bettina Buck, Petra Grunig, Caroline Schutz and Danuta Waschke for their excellent technical assistance. Furthermore, the authors would like to thank the local hunters for their cooperation in handing over animals, as well as Jorg Driver, Neele Gundlach, Eva Ludes-Wehrmeister, Steffen Mumme, Emilie Ulrikka Andersen-Ranberg, Peter Wohlsein, Frauke Seehusen, Christina Puff, Ingo Gerhauser, Kathrin Becker, Iris Volker, Stefanie Lapp, Aimara Bello, Barbara Raddatz and Malgorzata Ciurkiewicz for sampling and examining animals and for their scientific advice and assistance.</t>
  </si>
  <si>
    <t>APR 11</t>
  </si>
  <si>
    <t>e0175469</t>
  </si>
  <si>
    <t>10.1371/journal.pone.0175469</t>
  </si>
  <si>
    <t>ET0JS</t>
  </si>
  <si>
    <t>WOS:000399949000042</t>
  </si>
  <si>
    <t>Miller, MA; Burgess, TL; Dodd, EM; Rhyan, JC; Jang, SS; Byrne, BA; Gulland, FMD; Murray, MJ; Toy-Choutka, S; Conrad, PA; Field, CL; Sidor, IF; Smith, WA</t>
  </si>
  <si>
    <t>Miller, Melissa A.; Burgess, Tristan L.; Dodd, Erin M.; Rhyan, Jack C.; Jang, Spencer S.; Byrne, Barbara A.; Gulland, Frances M. D.; Murray, Michael J.; Toy-Choutka, Sharon; Conrad, Patricia A.; Field, Cara L.; Sidor, Inga F.; Smith, Woutrina A.</t>
  </si>
  <si>
    <t>bp26; Brucella; Enhydra lutris nereis; multilocus sequence typing; omp2; osteoarthritis; southern sea otter</t>
  </si>
  <si>
    <t>TOXOPLASMA-GONDII; MOLECULAR CHARACTERIZATION; CLINICAL PATHOLOGY; PATHOGEN EXPOSURE; INFECTION; STRAINS; NEUROBRUCELLOSIS; DOLPHINS; MAMMALS; MENINGOENCEPHALITIS</t>
  </si>
  <si>
    <t>We characterize Brucella infection in a wild southern sea otter (Enhydra lutris nereis) with osteolytic lesions similar to those reported in other marine mammals and humans. This otter stranded twice along the central California coast, US over a 1-yr period and was handled extensively at two wildlife rehabilitation facilities, undergoing multiple surgeries and months of postsurgical care. Ultimately the otter was euthanized due to severe, progressive neurologic disease. Necropsy and postmortem radiographs revealed chronic, severe osteoarthritis spanning the proximal interphalangeal joint of the left hind fifth digit. Numerous coccobacilli within the joint were strongly positive on Brucella immunohistochemical labelling, and Brucella sp. was isolated in pure culture from this lesion. Sparse Brucella-immunopositive bacteria were also observed in the cytoplasm of a pulmonary vascular monocyte, and multifocal granulomas were observed in the spinal cord and liver on histopathology. Findings from biochemical characterization, 16S ribosomal DNA, and bp26 gene sequencing of the bacterial isolate were identical to those from marine-origin brucellae isolated from cetaceans and phocids. Although omp2a gene sequencing revealed 100% homology with marine Brucella spp. infecting pinnipeds, whales, and humans, omp2b gene sequences were identical only to pinniped-origin isolates. Multilocus sequence typing classified the sea otter isolate as ST26, a sequence type previously associated only with cetaceans. Our data suggest that the sea otter Brucella strain represents a novel marine lineage that is distinct from both Brucella pinnipedialis and Brucella ceti. Prior reports document the zoonotic potential of the marine brucellae. Isolation of Brucella sp. from a stranded sea otter highlights the importance of wearing personal protective equipment when handling sea otters and other marine mammals as part of wildlife conservation and rehabilitation efforts.</t>
  </si>
  <si>
    <t>[Miller, Melissa A.; Dodd, Erin M.; Toy-Choutka, Sharon] Calif Dept Fish &amp; Wildlife, Marine Wildlife Vet Care &amp; Res Ctr, Off Spill Prevent &amp; Response, 151 McAllister Way, Santa Cruz, CA 95060 USA; [Miller, Melissa A.; Burgess, Tristan L.; Conrad, Patricia A.; Smith, Woutrina A.] Univ Calif Davis, Karen C Drayer Wildlife Hlth Ctr, Sch Vet Med, One Shields Ave, Davis, CA 95616 USA; [Rhyan, Jack C.] Vet Serv, USDA, Anim &amp; Plant Hlth Inspect Serv, Ft Collins, CO 80521 USA; [Jang, Spencer S.; Byrne, Barbara A.] Univ Calif Davis, Dept Pathol Microbiol &amp; Immunol, One Shields Ave, Davis, CA 95616 USA; [Gulland, Frances M. D.; Field, Cara L.] Marine Mammal Ctr, 2000 Bunker Rd, Sausalito, CA 94965 USA; [Murray, Michael J.] Monterey Bay Aquarium, 886 Cannery Row, Monterey, CA 93940 USA; [Sidor, Inga F.] Univ New Hampshire, New Hampshire Vet Diagnost Lab, 21 Bot Lane, Durham, NH 03824 USA</t>
  </si>
  <si>
    <t>University of California System; University of California Davis; United States Department of Agriculture (USDA); University of California System; University of California Davis; Monterey Bay Aquarium Research Institute; University System Of New Hampshire; University of New Hampshire</t>
  </si>
  <si>
    <t>Miller, MA (corresponding author), Calif Dept Fish &amp; Wildlife, Marine Wildlife Vet Care &amp; Res Ctr, Off Spill Prevent &amp; Response, 151 McAllister Way, Santa Cruz, CA 95060 USA.;Miller, MA (corresponding author), Univ Calif Davis, Karen C Drayer Wildlife Hlth Ctr, Sch Vet Med, One Shields Ave, Davis, CA 95616 USA.</t>
  </si>
  <si>
    <t>melissa.miller@wildlife.ca.gov</t>
  </si>
  <si>
    <t>; Dodd, Erin/AAQ-3335-2020; Field, Cara/MIP-6589-2025</t>
  </si>
  <si>
    <t>Sidor, Inga/0000-0001-5169-6704;</t>
  </si>
  <si>
    <t>California Department of Fish and Wildlife (CDFW) - multilocus sequence typing; Oceans and Human Health Initiative</t>
  </si>
  <si>
    <t>This research was supported in part through funding from the California Department of Fish and Wildlife (CDFW). The Oceans and Human Health Initiative provided funding for the multilocus sequence typing. We acknowledge the assistance of staff and volunteers from CDFW, The Marine Mammal Center (TMMC), the Monterey Bay Aquarium (MBA), and US Geological Survey-Biological Resources Division (USGS-BRD) for sea otter carcass recovery, sample collection, and data processing. Additional technical support was provided by Klaus Nielsen, Debbie Brownstein, Andrea Packham, Darla Ewalt, and Ann Melli.</t>
  </si>
  <si>
    <t>10.7589/2015-12-326</t>
  </si>
  <si>
    <t>ER9OT</t>
  </si>
  <si>
    <t>WOS:000399156700002</t>
  </si>
  <si>
    <t>Cano-Terriza, D; Guerra, R; Mozos, E; Rodríguez-Sánchez, B; Borge, C; García-Bocanegra, I</t>
  </si>
  <si>
    <t>Cano-Terriza, David; Guerra, Rafael; Mozos, Elena; Rodriguez-Sanchez, Belen; Borge, Carmen; Garcia-Bocanegra, Ignacio</t>
  </si>
  <si>
    <t>Acinetobacter baumannii; European mink; Mustela lutreola; pneumonia; public health</t>
  </si>
  <si>
    <t>IDENTIFICATION; HORSES</t>
  </si>
  <si>
    <t>The present study reports the first case of fatal Acinetobacter baumannii infection in the critically endangered European mink (Mustela lutreola). Gross examination revealed a severe, diffuse hemorrhagic pneumonia and generalized congestion as main features. Microscopically, the main lesions were an acute, severe fibrinous-hemorrhagic pneumonia associated with proliferation of coccobacilli and generalized acute-subacute congestion. Cultures yielded A. baumannii; the species was confirmed by matrix-assisted laser desorption/ ionization time-of-flight mass spectrometry and the strain presented a multidrug-resistant pattern. The results are not only of conservation concern but also of public health concern given A. baumannii is one of the most important pathogens implicated in nosocomial infections in humans.</t>
  </si>
  <si>
    <t>[Cano-Terriza, David; Borge, Carmen; Garcia-Bocanegra, Ignacio] Univ Cordoba, Fac Vet, Dept Anim Hlth, Campus Univ Rabanales, E-14071 Cordoba, Spain; [Mozos, Elena] Univ Cordoba, Fac Vet, Dept Anat &amp; Comparat Pathol Anat, Campus Univ Rabanales, E-14071 Cordoba, Spain; [Guerra, Rafael] Cordoba Municipal Zoo Pk, Ave Lineo S-N, Cordoba 14071, Spain; [Rodriguez-Sanchez, Belen] Hosp Gen Univ Gregorio Maranon, Dept Clin Microbiol &amp; Infect Dis, Inst Invest Sanitaria, Dr Esquerdo 46, Madrid 28007, Spain</t>
  </si>
  <si>
    <t>Universidad de Cordoba; Universidad de Cordoba; General University Gregorio Maranon Hospital</t>
  </si>
  <si>
    <t>Cano-Terriza, D (corresponding author), Univ Cordoba, Fac Vet, Dept Anim Hlth, Campus Univ Rabanales, E-14071 Cordoba, Spain.</t>
  </si>
  <si>
    <t>davidcanovet@gmail.com</t>
  </si>
  <si>
    <t>Mozos Mora, Elena/H-9982-2015; Roiguez-Sanchez, Belen/AAF-4046-2021; García-Bocanegra, Ignacio/G-1443-2016; Cano-Terriza, David/AAG-4117-2021</t>
  </si>
  <si>
    <t>Mozos Mora, Elena/0000-0003-0826-2171; Roiguez-Sanchez, Belen/0000-0002-9625-427X; Guerra, Rafa/0000-0003-0882-5042; García-Bocanegra, Ignacio/0000-0003-3388-2604; Cano-Terriza, David/0000-0001-5657-2567; Borge Rodríguez, M del Carmen/0000-0001-9096-4222</t>
  </si>
  <si>
    <t>10.1638/2016-0082.1</t>
  </si>
  <si>
    <t>ET5UO</t>
  </si>
  <si>
    <t>WOS:000400353900031</t>
  </si>
  <si>
    <t>Moretti, B; Al-Sheikhly, OF; Guerrini, M; Theng, M; Gupta, BK; Haba, MK; Khan, WA; Khan, AA; Barbanera, F</t>
  </si>
  <si>
    <t>Moretti, Beatrice; Al-Sheikhly, Omar F.; Guerrini, Monica; Theng, Meryl; Gupta, Brij K.; Haba, Mukhtar K.; Khan, Waseem A.; Khan, Aleem A.; Barbanera, Filippo</t>
  </si>
  <si>
    <t>SCIENTIFIC REPORTS</t>
  </si>
  <si>
    <t>CYTOCHROME-B GENE; MITOCHONDRIAL-DNA; POPULATION-STRUCTURE; MAXIMUM-LIKELIHOOD; NEUTRALITY TESTS; NATURAL-HISTORY; LUTRA-LUTRA; MUSTELIDAE; SOFTWARE; INTROGRESSION</t>
  </si>
  <si>
    <t>We investigated the phylogeography of the smooth-coated otter (Lutrogale perspicillata) to determine its spatial genetic structure for aiding an adaptive conservation management of the species. Fifty-eight modern and 11 archival (dated 1882-1970) otters sampled from Iraq to Malaysian Borneo were genotyped (mtDNA Cytochrome-b, 10 microsatellite DNA loci). Moreover, 16 Aonyx cinereus (Asian small-clawed otter) and seven Lutra lutra (Eurasian otter) were sequenced to increase information available for phylogenetic reconstructions. As reported in previous studies, we found that L. perspicillata, A. cinereus and A. capensis (African clawless otter) grouped in a clade sister to the genus Lutra, with L. perspicillata and A. cinereus being reciprocally monophyletic. Within L. perspicillata, we uncovered three Evolutionarily Significant Units and proved that L. p. maxwelli is not only endemic to Iraq but also the most recent subspecies. We suggest a revision of the distribution range limits of easternmost L. perspicillata subspecies. We show that smooth-coated otters in Singapore are L. perspicillata x A. cinereus hybrids with A. cinereus mtDNA, the first reported case of hybridization in the wild among otters. This result also provides evidence supporting the inclusion of L. perspicillata and A. cinereus in the genus Amblonyx, thus avoiding the paraphyly of the genus Aonyx.</t>
  </si>
  <si>
    <t>[Moretti, Beatrice; Guerrini, Monica; Barbanera, Filippo] Zool Anthropol Unit, Dept Biol, Via A Volta 4, I-56126 Pisa, Italy; [Al-Sheikhly, Omar F.; Haba, Mukhtar K.] Univ Baghdad, Dept Biol, Baghdad 10071, Iraq; [Theng, Meryl] TRAFF Southeast Asia, Unit 3-2,1st Floor,Jalan SS23-11, Petaling Jaya 47400, Selangor, Malaysia; [Gupta, Brij K.] Minist Environm Forest &amp; Climate Change, Cent Zoo Author, New Delhi 110003, India; [Khan, Waseem A.] Univ Vet &amp; Anim Sci, Dept Wildlife &amp; Ecol, Lahore, Pakistan; [Khan, Aleem A.] Ghazi Univ, Dept Zool, Dera Ghazi Khan, Pakistan</t>
  </si>
  <si>
    <t>University of Baghdad; Central Zoo Authority, Government of India; University of Veterinary &amp; Animal Science - Pakistan</t>
  </si>
  <si>
    <t>Barbanera, F (corresponding author), Zool Anthropol Unit, Dept Biol, Via A Volta 4, I-56126 Pisa, Italy.</t>
  </si>
  <si>
    <t>filippo.barbanera@unipi.it</t>
  </si>
  <si>
    <t>Khan, Aleem/D-1722-2011; Theng, Meryl/ABE-8498-2021</t>
  </si>
  <si>
    <t>Theng, Meryl/0000-0002-1016-1487</t>
  </si>
  <si>
    <t>National Geographic Society Conservation Trust (USA) [C261-13]; University of Pisa (Italy) [PRA_2016_1]</t>
  </si>
  <si>
    <t>National Geographic Society Conservation Trust (USA)(National Geographic Society); University of Pisa (Italy)</t>
  </si>
  <si>
    <t>For modern samples, we are grateful to: T.M. Ansari (Institutional Research Ethical Committee of Bahauddin Zakariya University, Multan, Pakistan); D. Bennett and D. Brown (The Royal Zoological Society of Scotland Edinburgh Zoo, Edinburgh, UK); C. Cooper, C. Lawrence and P. Smith (Perth Zoo, South Perth, Western Australia); R. Fusillo (Lutria Wildlife Research and Consulting, Rome) with (i) Ente Parco Nazionale del Cilento, Vallo di Diano e Alburni, (ii) CRAS Provincia di Matera, and (iii) Riserva Naturale di San Giuliano (Italy); S. Hoby, F. von Houwald and C. Wenker (Basel Zoo, Switzerland); Lao Zoo/Wildlife Sanctuary and Acres NGO (Laos); N. Marx (Wildlife Alliance NGO) and R. Nhek (Phnom Tamao Zoological Park and Wildlife Rescue Center, Phnom Penh) in Cambodia; R. Perry (Colchester Zoo, Colchester, UK); J. Pluhacek and A. Obracajova (Ostrava Zoo, Ostrava, Czech Republic); S. Rahman (Department of Animal Breeding and Genetics, Bangladesh Agricultural University, Mymensingh, Bangladesh); T. Ruby (Department of Life Sciences, Islamic University, Bahawalpur, Pakistan); M. Wilder (Wingham Wildlife Park, Wingham, UK). For archival samples, we thank: R. Banasiak, L. Heaney, J. Phelps and W. Stanley (Field Museum of Natural History, Chicago); A. Bibl and F. Zachos (Natural History Museum, Vienna); K.M. Helgen, E.M. Langan and D. Lunde (Smithsonian Institution National Museum of Natural History, Washington D.C.); D. K. Johansson (Natural History Museum of Denmark, University of Copenhagen, Denmark); G. Veron and A. Jennings (National Museum of Natural History, Paris). We thank K.-P. Koepfli (Smithsonian Conservation Biology Institute, National Zoological Park, Washington D.C., USA) for sharing three mtDNA sequences. The careful revisions done by three anonymous referees greatly aided us to improve an early version of this paper. This research was funded by the National Geographic Society Conservation Trust (USA) with grant #C261-13 to F.B., and by the University of Pisa (Italy) with Progetto di Ricerca di Ateneo grant #PRA_2016_1.</t>
  </si>
  <si>
    <t>NATURE PORTFOLIO</t>
  </si>
  <si>
    <t>HEIDELBERGER PLATZ 3, BERLIN, 14197, GERMANY</t>
  </si>
  <si>
    <t>2045-2322</t>
  </si>
  <si>
    <t>SCI REP-UK</t>
  </si>
  <si>
    <t>Sci Rep</t>
  </si>
  <si>
    <t>JAN 27</t>
  </si>
  <si>
    <t>10.1038/srep41611</t>
  </si>
  <si>
    <t>EJ0PR</t>
  </si>
  <si>
    <t>WOS:000392913100001</t>
  </si>
  <si>
    <t>Martino, PE; Samartino, LE; Stanchi, NO; Radman, NE; Parrado, EJ</t>
  </si>
  <si>
    <t>Eduardo Martino, Pablo; Ernesto Samartino, Luis; Oscar Stanchi, Nestor; Esther Radman, Nilda; Joaquin Parrado, Eduardo</t>
  </si>
  <si>
    <t>VETERINARY QUARTERLY</t>
  </si>
  <si>
    <t>Mink; Neovison vison; serology; wildlife</t>
  </si>
  <si>
    <t>MUSTELA-LUTREOLA; SOUTHERN ENGLAND; WILD CARNIVORES; ANTIBODIES; DIAGNOSIS; EPIDEMIOLOGY; TUBERCULOSIS; PARVOVIRUS; DISEASES; VIRUS</t>
  </si>
  <si>
    <t>Background: Basic pathologic characteristics for farmed minks were previously reported worldwide. However, its status in the wild has not been studied in detail. Objective: Serology and electrophoresis were carried out for evidence of exposure to 12 mink pathogens on two different locations. Animals and methods: Serology was done in 87 wild minks by reference techniques against Toxoplasma gondii, Encephalitozoon cuniculi, Neospora caninum, Brucella abortus, Mycobacterium bovis, Leptospira interrogans, canine distemper virus (CDV), canine adenovirus (CAV), canine parvovirus (CPV), rabies virus (RV), Influenza A virus (FLUAV) and Aleutian disease virus (ADV). Hypergammaglobulinemia, the ADV main clinical feature, was determined by conventional electrophoresis. Results: Seventy-one percent of the 87 sera had antibodies against one or more pathogens. ADV accounted for the highest seroprevalence (29%), followed by T. gondii (26%), L. interrogans (14%), M. bovis (12%), B. abortus (9%), N. caninum (3%), CPV (3%) and CDV (2%). Seroprevalence was influenced by location but not sex or age. Additionally, 16% of the seropositive samples for ADV had gammaglobulin levels &gt;40.0 g/L. Antibody titers for CDV and CPV were low and difficult to interpret as almost all these cases had borderline concentrations. Conclusion: A cautious interpretation of the results is urged as the epidemiological role of the wild mink is largely unexplored for most of these agents. Nevertheless, the information may be clinically relevant..</t>
  </si>
  <si>
    <t>[Eduardo Martino, Pablo; Oscar Stanchi, Nestor; Esther Radman, Nilda] Univ La Plata, Vet Coll, Dept Parasitol &amp; Microbiol CIC, La Plata, Buenos Aires, Argentina; [Ernesto Samartino, Luis] Natl Inst Technol INTA, Pathobiol Dept, Buenos Aires, DF, Argentina; [Joaquin Parrado, Eduardo] Natl Anim Sanit Serv SENASA, Dept Fowl &amp; Furbearing Anim, Buenos Aires, DF, Argentina</t>
  </si>
  <si>
    <t>National University of La Plata; Instituto Nacional de Tecnologia Agropecuaria (INTA)</t>
  </si>
  <si>
    <t>Martino, PE (corresponding author), Univ La Plata, Vet Coll, Dept Parasitol &amp; Microbiol CIC, La Plata, Buenos Aires, Argentina.</t>
  </si>
  <si>
    <t>pemartino@fcv.unlp.edu.ar</t>
  </si>
  <si>
    <t>Stanchi, Nestor Oscar/0000-0001-7191-7383; Martino, Pablo/0000-0003-3827-777X</t>
  </si>
  <si>
    <t>Buenos Aires Province Research Council (CIC) [243/13, 1266/14]; Swedish National Space Agency (SNSA) [243/13] Funding Source: Swedish National Space Agency (SNSA)</t>
  </si>
  <si>
    <t>Buenos Aires Province Research Council (CIC); Swedish National Space Agency (SNSA)(Swedish National Space Agency (SNSA))</t>
  </si>
  <si>
    <t>This work was supported by the Buenos Aires Province Research Council (CIC) with Research Projects [number 243/13], [number 1266/14].</t>
  </si>
  <si>
    <t>0165-2176</t>
  </si>
  <si>
    <t>1875-5941</t>
  </si>
  <si>
    <t>VET QUART</t>
  </si>
  <si>
    <t>Vet. Q.</t>
  </si>
  <si>
    <t>10.1080/01652176.2017.1336810</t>
  </si>
  <si>
    <t>FT2PQ</t>
  </si>
  <si>
    <t>Green Submitted, Green Published, gold</t>
  </si>
  <si>
    <t>WOS:000422988100009</t>
  </si>
  <si>
    <t>Ethier, DM; Sayers, JB; Kyle, CJ; Nocera, JJ; Ojkic, D; Campbell, D</t>
  </si>
  <si>
    <t>Ethier, Danielle M.; Sayers, Joshua B.; Kyle, Christopher J.; Nocera, Joseph J.; Ojkic, Davor; Campbell, Douglas</t>
  </si>
  <si>
    <t>American badgers; canine adenovirus; canine distemper virus; canine parvovirus; leptospirosis; species at risk</t>
  </si>
  <si>
    <t>CANINE-DISTEMPER VIRUS; PARVOVIRUS; ANTIBODY; WILDLIFE; MINK</t>
  </si>
  <si>
    <t>American badgers (Taxidea taxus jacksoni) at the periphery of the species' range in Ontario, Canada, are listed as endangered because of an estimated population size of &lt;200 mature individuals. The main threats faced by this population include habitat loss and road mortality. However, on 18 November 2013, a radio-implanted badger was found nonresponsive in an agricultural field with signs consistent with canine distemper virus infection, which was subsequently confirmed. This prompted our investigation into the occurrence of pathogens in this endangered carnivore to better quantify the level of risk infectious disease poses to population persistence. We examined serum samples from nine live-trapped individuals and 27 whole badger specimens submitted for postmortem examination. We found evidence of exposure to canine distemper virus, canine parvovirus, and leptospires. However, infection associated with disease was not the leading cause of mortality. Future research into the effects of disease on kit survival and a comprehensive understanding of disease severity and spread from reservoir populations (e.g., raccoons [Procyon lotor] and striped skunks [Mephitis mephitis]) to badgers will be of particular importance to the conservation of this endangered population.</t>
  </si>
  <si>
    <t>[Ethier, Danielle M.; Sayers, Joshua B.] Trent Univ, Ontario Badger Project, 1600 W Bank Dr, Peterborough, ON K9J 0G2, Canada; [Ethier, Danielle M.] Univ Guelph, Dept Integrat Biol, 50 Stone Rd E, Guelph, ON N1G 2W1, Canada; [Kyle, Christopher J.] Trent Univ, Dept Forens Sci, 1600 W Bank Dr, Peterborough, ON K9J 0G2, Canada; [Nocera, Joseph J.] Minist Nat Resources &amp; Forestry, Sci &amp; Res Branch, Wildlife Res &amp; Monitoring Sect, 1600 W Bank Dr, Peterborough, ON K9J 0G2, Canada; [Ojkic, Davor] Univ Guelph, Hlth Anim Lab, 419 Gordon St, Guelph, ON N1G 2W1, Canada; [Campbell, Douglas] Univ Guelph, Canadian Wildlife Hlth Cooperat, 50 Stone Rd E, Guelph, ON N1G 2W1, Canada</t>
  </si>
  <si>
    <t>Trent University; University of Guelph; Trent University; Ministry of Natural Resources &amp; Forestry; University of Guelph; University of Guelph</t>
  </si>
  <si>
    <t>Ethier, DM (corresponding author), Trent Univ, Ontario Badger Project, 1600 W Bank Dr, Peterborough, ON K9J 0G2, Canada.;Ethier, DM (corresponding author), Univ Guelph, Dept Integrat Biol, 50 Stone Rd E, Guelph, ON N1G 2W1, Canada.</t>
  </si>
  <si>
    <t>ethier.danielle@gmail.com</t>
  </si>
  <si>
    <t>Nocera, Joseph/0000-0002-5913-8851</t>
  </si>
  <si>
    <t>Ontario Ministry of Natural Resource and Forestry; Environment Canada; World Wildlife Fund</t>
  </si>
  <si>
    <t>Ontario Ministry of Natural Resource and Forestry; Environment Canada(CGIAR); World Wildlife Fund</t>
  </si>
  <si>
    <t>We thank the Ontario Badger Recovery Team and Ontario Ministry of Natural Resources and Forestry for their collection of badger specimens. Ron Gould, Mary Gartshore, Carrie Sadowski, Valerie Von Zuben, Larissa Nituch, Laura Bruce, and Jenna Siu assisted with postmortem examinations. Hower Blair, Emily Reuber, Shawn Sullivan, and Jenna Siu assisted with live trapping. Sue Wilkinson and the staff at the Big Creek Veterinary Hospital performed the radio implant surgeries and blood collection from live-trapped badgers. Immunohistochemistry was performed by Josepha Delay at the Animal Health Laboratory, University of Guelph. Funding for the Ontario Badger Project was provided in part by the Ontario Ministry of Natural Resource and Forestry Species-at-Risk Stewardship Fund and Species-at-Risk Research Fund, Environment Canada's Habitat Stewardship Program for Species-at-Risk, Earth Rangers, World Wildlife Fund, and Norfolk Field Naturalists. Without the ongoing cooperation and participation of farmers and other landowners in southern Ontario, the Ontario Badger Project would not be possible.</t>
  </si>
  <si>
    <t>10.7589/2016-02-040</t>
  </si>
  <si>
    <t>EI3HL</t>
  </si>
  <si>
    <t>WOS:000392380700009</t>
  </si>
  <si>
    <t>van de Velde, N; Devleesschauwer, B; Leopold, M; Begeman, L; Usseldijk, L; Hiemstra, S; Ijzer, J; Brownlow, A; Davison, N; Haelters, J; Jauniaux, T; Siebert, U; Dorny, P; De Craeye, S</t>
  </si>
  <si>
    <t>van de Velde, Norbert; Devleesschauwer, Brecht; Leopold, Mardik; Begeman, Lineke; Usseldijk, Lonneke; Hiemstra, Sjoukje; Ijzer, Jooske; Brownlow, Andrew; Davison, Nicholas; Haelters, Jan; Jauniaux, Thierry; Siebert, Ursula; Dorny, Pierre; De Craeye, Stephane</t>
  </si>
  <si>
    <t>VETERINARY PARASITOLOGY</t>
  </si>
  <si>
    <t>Toxoplasma gondii; Marine mammals; Seroprevalence; PCR; MAT; IFA; ELISA</t>
  </si>
  <si>
    <t>AGGLUTINATION-TEST; ANTIBODIES; INFECTION; TRANSMISSION; PREVALENCE; SENTINELS; DOLPHIN; OTTERS; SEROPREVALENCE; COINFECTION</t>
  </si>
  <si>
    <t>The occurrence of the zoonotic protozoan parasite Toxoplasma gondii in marine mammals remains a poorly understood phenomenon. In this study, samples from 589 marine mammal species and 34 European otters (Lutra lutra), stranded on the coasts of Scotland, Belgium, France, The Netherlands and Germany, were tested for the presence of T. gondii. Brain samples were analysed by polymerase chain reaction (PCR) for detection of parasite DNA. Blood and muscle fluid samples were tested for specific antibodies using a modified agglutination test (MAT), a commercial multi-species enzyme-linked immunosorbent assay (ELISA) and an immunofluorescence assay (IFA). Out of 193 animals tested by PCR, only two harbour porpoise (Phocoena phocoena) cerebrum samples, obtained from animals stranded on the Dutch coast, tested positive. The serological results showed a wide variation depending on the test used. Using a cut-off value of 1/40 dilution in MAT, 141 out of 292 animals (41%) were positive. Using IFA, 30 out of 244 tested samples (12%) were positive at a 1/50 dilution. The commercial ELISA yielded 7% positives with a cut-off of the sample-to-positive (SAP) ratio &gt; 50; and 12% when the cut-off was set at SAP ratio &gt; 20. The high number of positives in MAT may be an overestimation due to the high degree of haemolysis of the samples and/or the presence of lipids. The ELISA results could be an underestimation due to the use of a multispecies conjugate. Our results confirm the presence of T. gondii in marine mammals in The Netherlands and show exposure to the parasite in both the North Sea and the Eastern Atlantic Ocean. We also highlight the limitations of the tests used to diagnose T. gondii in stranded marine mammals. (C) 2016 Elsevier B.V. All rights reserved.</t>
  </si>
  <si>
    <t>[van de Velde, Norbert] Univ Ghent, Dept Pathol Bacteriol &amp; Avian Dis, Fac Vet Med, Merelbeke, Belgium; [Devleesschauwer, Brecht; Dorny, Pierre] Univ Ghent, Fac Vet Med, Dept Virol Parasitol &amp; Immunol, Merelbeke, Belgium; [Devleesschauwer, Brecht] Sci Inst Publ Hlth WIV ISP, Dept Publ Hlth &amp; Surveillance, Rue Juliette Wytsmanstr 14, B-1050 Brussels, Belgium; [Leopold, Mardik] Wageningen IMARES Inst Marine Resources &amp; Ecosyst, Den Helder, Netherlands; [Begeman, Lineke] Erasmus MC, Virosci, Rotterdam, Netherlands; [Usseldijk, Lonneke; Hiemstra, Sjoukje; Ijzer, Jooske] Univ Utrecht, Fac Veterinchy Med, Dept Pathobiol, NL-3508 TC Utrecht, Netherlands; [Brownlow, Andrew; Davison, Nicholas] SAC Consulting, Scottish Marine Anim Stranding Scheme, Vet Serv, Drummondhill, Inverness IV2 4JZ, Scotland; [Haelters, Jan] Royal Belgian Inst Nat Sci, Oostende, Belgium; [Jauniaux, Thierry] Univ Liege, Dept Morphol &amp; Pathol, Fac Vet Med, Liege, Belgium; [Siebert, Ursula] Univ Vet Med Hannover, Inst Terr &amp; Aquat Wildlife Res, Busum, Germany; [Dorny, Pierre] Inst Trop Med, Dept Biomed Sci, Antwerp, Belgium; [De Craeye, Stephane] Sci Inst Publ Hlth WIV ISP, Dept Communicable &amp; Infect Dis, Natl Reference Lab Toxoplasmosis, Brussels, Belgium; [Begeman, Lineke] Univ Utrecht, Fac Vet Med, NL-3508 TC Utrecht, Netherlands</t>
  </si>
  <si>
    <t>Ghent University; Ghent University; Wageningen University &amp; Research; Erasmus University Rotterdam; Erasmus MC; Utrecht University; Scottish Agricultural College; Royal Belgian Institute of Natural Sciences; University of Liege; University of Veterinary Medicine Hannover; Institute of Tropical Medicine (ITM); Utrecht University</t>
  </si>
  <si>
    <t>Devleesschauwer, B (corresponding author), Sci Inst Publ Hlth WIV ISP, Dept Publ Hlth &amp; Surveillance, Rue Juliette Wytsmanstr 14, B-1050 Brussels, Belgium.</t>
  </si>
  <si>
    <t>brechtdv@gmail.com</t>
  </si>
  <si>
    <t>Devleesschauwer, Brecht/G-9895-2018; Brownlow, Anew/P-6593-2018; Dorny, Pierre/B-8590-2008; Davison, Nicholas/C-9522-2011; Leopold, Mardik/AAE-4679-2020</t>
  </si>
  <si>
    <t>Brownlow, Anew/0000-0001-9885-7480; Dorny, Pierre/0000-0001-5381-7987; Davison, Nicholas/0000-0001-7286-1836; van de Velde, Norbert/0000-0003-3832-6754; IJzer, Jooske/0000-0003-0731-1015;</t>
  </si>
  <si>
    <t>Dutch Ministry of Economic Affairs [140000353]; ministry in charge of the environment; Communaute d'Agglomeration de la Ville de La Rochelle; Region Poitou-Charentes; European Union</t>
  </si>
  <si>
    <t>Dutch Ministry of Economic Affairs(Ministry of Economic Affairs, Netherlands); ministry in charge of the environment; Communaute d'Agglomeration de la Ville de La Rochelle; Region Poitou-Charentes(Region Nouvelle-Aquitaine); European Union(European Union (EU))</t>
  </si>
  <si>
    <t>We would like to thank Zehra Yildirimer, Nabila El Moussaoui, Mariel ten Doeschate, Kornelia Schmidt, Miriam Hillmann, Jurgen Willems and Laurie Flament for their kind cooperation during this project. Samples gained from Utrecht University were possible through a grant from the Dutch Ministry of Economic Affairs (140000353). We are greatly indebted to all volunteers spending their time and effort to collect the stranded animals. Without their dedication, this project would not have been possible. The marine mammals washed ashore in Belgium were collected by the Royal Belgian Institute of Natural Sciences (RBINS). We would like to thank and acknowledge all members of the French stranding networks for their continuous effort in collecting stranding data. We specifically would like to thank the following nature protection associations of Northern France: OCEAMM (Observatoire pour la Conservation et l'Etude des Animaux et Milieux Marins), LPA (Animal Protection League) and CMNF (Coordination Mammalogique du Nord de la France) and the Observatoire PELAGIS in charge of the national stranding network. The Observatoire PELAGIS is funded by the ministry in charge of the environment, and by the Communaute d'Agglomeration de la Ville de La Rochelle, with support from the Region Poitou-Charentes and the European Union.</t>
  </si>
  <si>
    <t>0304-4017</t>
  </si>
  <si>
    <t>1873-2550</t>
  </si>
  <si>
    <t>VET PARASITOL</t>
  </si>
  <si>
    <t>Vet. Parasitol.</t>
  </si>
  <si>
    <t>OCT 30</t>
  </si>
  <si>
    <t>10.1016/j.vetpar.2016.10.021</t>
  </si>
  <si>
    <t>Parasitology; Veterinary Sciences</t>
  </si>
  <si>
    <t>EE6OV</t>
  </si>
  <si>
    <t>WOS:000389733000006</t>
  </si>
  <si>
    <t>Alvarado-Rybak, M; Solano-Gallego, L; Millan, J</t>
  </si>
  <si>
    <t>Alvarado-Rybak, Mario; Solano-Gallego, Laia; Millan, Javier</t>
  </si>
  <si>
    <t>Piroplasmids; Babesia; Theileria; Cytauxzoon; Rangelia; Wild carnivores; Dog and cat</t>
  </si>
  <si>
    <t>FOXES VULPES-VULPES; RACCOONS PROCYON-LOTOR; INTRAERYTHROCYTIC SMALL PIROPLASM; CYTAUXZOON-FELIS INFECTION; FATAL ACUTE BABESIOSIS; MICROTI-LIKE INFECTION; MOLECULAR-DETECTION; THEILERIA-ANNAE; RANGELIA-VITALII; 1ST REPORT</t>
  </si>
  <si>
    <t>Piroplasmids are tick-borne protozoan parasites that infect blood cells (erythrocytes, lymphocytes or other leukocytes) or endothelial cells of numerous wild and domestic vertebrates worldwide. They cause severe disease in livestock, dogs, cats, wild mammals and, occasionally, in humans. Piroplasmid infections are prevalent in wild carnivores worldwide although there is limited information about their clinical and epidemiological importance. There are currently nine recognized species of Babesia, two of Theileria, two of Cytauxzoon and one of Rangelia infecting captive and wild carnivores, including members of Canidae, Felidae, Mustelidae, Procyonidae, Ursidae, Viverridae, Hyaenidae and Herpestidae in the Americas, Eurasia and Africa. However, the number of piroplasmid species is likely higher than currently accepted due to the reported existence of DNA sequences that may correspond to new species and the lack of studies on many host species and biogeographical areas. Indeed, many species have been recognized in the last few years with the advancement of molecular analyses. Disease and mortality have been documented in some wild carnivores, whereas other species appear to act as natural, subclinical reservoirs. Various factors (e.g. unnatural hosts, stress due to captivity, habitat degradation, climate fluctuation or immunosuppression) have been associated with disease susceptibility to piroplasmid infections in some species in captivity. We aimed to review the current knowledge on the epidemiology of piroplasmid infections in wild carnivores and associated tick vectors. Emphasis is given to the role of wild carnivores as reservoirs of clinical piroplasmosis for domestic dogs and cats, and to the importance of piroplasmids as disease agents for endangered carnivores.</t>
  </si>
  <si>
    <t>[Alvarado-Rybak, Mario] Univ Andres Bello, Fac Ecol &amp; Recursos Nat, PhD Program Conservat Med, Republ 252, Santiago, Chile; [Alvarado-Rybak, Mario] Univ Andres Bello, Fac Ecol &amp; Recursos Nat, Ctr Invest Sustentabilidad, Republ 252, Santiago, Chile; [Solano-Gallego, Laia] Univ Autonoma Barcelona, Fac Vet, Dept Med &amp; Cirurgia Anim, Barcelona, Spain; [Millan, Javier] Univ Andres Bello, Fac Ecol &amp; Recursos Nat, Republ 252, Santiago, Chile</t>
  </si>
  <si>
    <t>Universidad Andres Bello; Universidad Andres Bello; Autonomous University of Barcelona; Universidad Andres Bello</t>
  </si>
  <si>
    <t>Alvarado-Rybak, M (corresponding author), Univ Andres Bello, Fac Ecol &amp; Recursos Nat, PhD Program Conservat Med, Republ 252, Santiago, Chile.;Millan, J (corresponding author), Univ Andres Bello, Fac Ecol &amp; Recursos Nat, Republ 252, Santiago, Chile.</t>
  </si>
  <si>
    <t>maalry@gmail.com; syngamustrachea@hotmail.com</t>
  </si>
  <si>
    <t>Millán, Javier/B-5399-2008; Solano-Gallego, Laia/H-6470-2015</t>
  </si>
  <si>
    <t>Millán, Javier/0000-0001-5608-781X; Solano-Gallego, Laia/0000-0001-8479-4896</t>
  </si>
  <si>
    <t>Fondecyt [1161593]; Proyecto [UNAB DI-778-15/R]</t>
  </si>
  <si>
    <t>Fondecyt(Comision Nacional de Investigacion Cientifica y Tecnologica (CONICYT)CONICYT FONDECYT); Proyecto</t>
  </si>
  <si>
    <t>This work was supported by Fondecyt Regular 1161593 and Proyecto Regular UNAB DI-778-15/R.</t>
  </si>
  <si>
    <t>OCT 10</t>
  </si>
  <si>
    <t>10.1186/s13071-016-1808-7</t>
  </si>
  <si>
    <t>DY1ID</t>
  </si>
  <si>
    <t>WOS:000384847200003</t>
  </si>
  <si>
    <t>Zuberogoitia, I; Podra, M; Palazón, S; Gómez, A; Zabala, N; Zabala, J</t>
  </si>
  <si>
    <t>Zuberogoitia, Inigo; Podra, Madis; Palazon, Santiago; Gomez, Asun; Zabala, Nestor; Zabala, Jabi</t>
  </si>
  <si>
    <t>European mink; Genetic bottleneck; Human introduction; Natural colonization; Scientific debate</t>
  </si>
  <si>
    <t>MUSTELA-LUTREOLA; AMERICAN MINK; POPULATION; PRIORITIES</t>
  </si>
  <si>
    <t>The European mink is a critically endangered mustelid with only three declining and isolated populations. Based on particular interpretation of genetic studies, the origin of SW population (France and Spain) and its conservation measures were recently questioned, and considered an example of managed relocation. The four published genetic studies show similar results, revealing a bottleneck structure. The SW population was probably established by very few individuals, which can be explained by dispersal of some-long distance migrants or by human introduction. The historical records evidence a long-distance dispersal capacity of the species and the temporal trend expansion in SW Europe is spatially collated with the idea of an expanding population. On contrast, most support for the introduction hypothesis comes from critics to other hypotheses, while it lacks of structure to stand on its own as hypothesis: no ecological barrier preventing natural expansion identified, no reports or reasons for captivity breeding or translocation programs, and lacks of supporting documents among others. Arguing shifting baseline syndrome in European mink conservation has weak basis and can result perilously misleading for a species in the brink of extinction.</t>
  </si>
  <si>
    <t>[Zuberogoitia, Inigo] Estudios Medioambientales Icarus SL, C San Vicente 8 6a Planta Dept 8 Edificio Albia 1, Bilbao 48001, Bizkaia, Spain; [Podra, Madis; Palazon, Santiago] European Mink Assoc, Ave Diagonal 643,2a Planta, Barcelona 08028, Spain; [Palazon, Santiago] Univ Barcelona, Dept Biol Anim, Fac Biol, Ave Diagonal 643,2a Planta, E-08028 Barcelona, Spain; [Gomez, Asun] TRAGSATEC, Area Vida Silvestre, C Julian Camarillo 6A 4a Planta,Sect B, Madrid 28037, Spain; [Zabala, Nestor] Diputac Foral Bizkaia, Dept Medio Ambiente, Serv Patrimonio Nat &amp; Biodiversidad, Alameda Rekalde 30,4, Bilbao 48009, Spain; [Zabala, Jabi] Univ Aberdeen, Sch Biol Sci, Aberdeen AB24 2TZ, Scotland</t>
  </si>
  <si>
    <t>University of Barcelona; University of Aberdeen</t>
  </si>
  <si>
    <t>Zuberogoitia, I (corresponding author), Estudios Medioambientales Icarus SL, C San Vicente 8 6a Planta Dept 8 Edificio Albia 1, Bilbao 48001, Bizkaia, Spain.</t>
  </si>
  <si>
    <t>zuberogoitia@icarus.es</t>
  </si>
  <si>
    <t>; Iñigo, Zuberogoitia/H-5062-2019; Zabala, Jabi/B-8157-2009</t>
  </si>
  <si>
    <t>Zabala, Jabi/0000-0002-1425-1594; Zuberogoitia, Iñigo/0000-0002-8945-7386</t>
  </si>
  <si>
    <t>10.1007/s10531-016-1156-0</t>
  </si>
  <si>
    <t>DR4EC</t>
  </si>
  <si>
    <t>WOS:000379853300011</t>
  </si>
  <si>
    <t>Torres, J; Miquel, J; Fournier-Chambrillon, C; André, A; Maya, FU; Carrera, GG; Fournier, P</t>
  </si>
  <si>
    <t>Torres, Jordi; Miquel, Jordi; Fournier-Chambrillon, Christine; Andre, Adrien; Urra Maya, Fermin; Giralda Carrera, Gloria; Fournier, Pascal</t>
  </si>
  <si>
    <t>Filaria martis; Mustela lutreola; Spain; New host record</t>
  </si>
  <si>
    <t>SMALL CARNIVORES; PUTORIUS; VISON</t>
  </si>
  <si>
    <t>The riparian European mink (Mustela lutreola), currently surviving in only three unconnected sites in Europe, is now listed as a critically endangered species according to the IUCN. Habitat loss and degradation, anthropic mortality, interaction with the feral American mink (Neovison vison), and infectious diseases are among the principal causes of its decline. Surveys of helminth parasites of this host that also include focus on subcutaneous potentially pathogenic helminths such as those belonging to the genus Filaria are very scarce. We report here the presence of specimens of Filaria martis in the subcutaneous connective tissues of three M. lutreola individuals from Spain. This is the first finding of a subcutaneous nematode in a representative of the genus Mustela. The report also enlarges the known range of the definitive hosts of this nematode. These worms were mainly located in the dorsal region of mink and more rarely in the knees, elbows, and hips. Skin sloughing was only observed in one M. lutreola with both septicaemia and an associated high burden of F. martis. Therefore, more attention should be paid to potentially pathogenic helminths when designing conservation programs dedicated to M. lutreola.</t>
  </si>
  <si>
    <t>[Torres, Jordi; Miquel, Jordi] Univ Barcelona, Dept Biol Sanitat &amp; Medi Ambient, Fac Farm &amp; Ciencies Alimentacio, Av Joan 23 SN, E-08028 Barcelona, Spain; [Torres, Jordi; Miquel, Jordi] Univ Barcelona, Inst Recerca Biodiversitat IRBio, Av Diagonal 645, E-08028 Barcelona, Spain; [Fournier-Chambrillon, Christine; Fournier, Pascal] GREGE, Route Prechac, F-33730 Villandraut, France; [Andre, Adrien] Univ Liege, Lab Biol Evolut, Inst Bot B22, Unite Genet Conservat, Quartier Vallee 1,Chemin Vallee 4, B-4000 Liege, Belgium; [Urra Maya, Fermin] Gest Ambiental Navarra SA, 219 Bajo, Pamplona 31015, Spain; [Giralda Carrera, Gloria] Serv Conservac Biodiversidad Gobierno Navarra, C Gonzalez Tablas 9, Pamplona 31005, Spain</t>
  </si>
  <si>
    <t>Torres, J (corresponding author), Univ Barcelona, Dept Biol Sanitat &amp; Medi Ambient, Fac Farm &amp; Ciencies Alimentacio, Av Joan 23 SN, E-08028 Barcelona, Spain.;Torres, J (corresponding author), Univ Barcelona, Inst Recerca Biodiversitat IRBio, Av Diagonal 645, E-08028 Barcelona, Spain.</t>
  </si>
  <si>
    <t>jtorres@ub.edu</t>
  </si>
  <si>
    <t>Miquel, Jordi/J-7186-2017; Torres, Jordi/AAA-4315-2019</t>
  </si>
  <si>
    <t>Miquel, Jordi/0000-0003-1132-3772;</t>
  </si>
  <si>
    <t>Spanish grant from the Agencia de Gestio d'Ajuts Universitaris i de Recerca-AGAUR [2014 SGR 1241]; Departamento de Desarrollo Rural, Medio Ambiente y Administracion Local del Gobierno de Navarra</t>
  </si>
  <si>
    <t>Spanish grant from the Agencia de Gestio d'Ajuts Universitaris i de Recerca-AGAUR; Departamento de Desarrollo Rural, Medio Ambiente y Administracion Local del Gobierno de Navarra</t>
  </si>
  <si>
    <t>The present study was partly supported by a Spanish grant from the Agencia de Gestio d'Ajuts Universitaris i de Recerca-AGAUR (no. 2014 SGR 1241). The necropsies program was funded by the Departamento de Desarrollo Rural, Medio Ambiente y Administracion Local del Gobierno de Navarra, and the carcasses were collected by the Seccion de Habitats y Seccion de Guarderio del Gobierno de Navarra, Equipo de Biodiversidad de Gestion Ambiental de Navarra S.A.</t>
  </si>
  <si>
    <t>10.1007/s00436-016-5021-6</t>
  </si>
  <si>
    <t>DM1JH</t>
  </si>
  <si>
    <t>WOS:000376101000041</t>
  </si>
  <si>
    <t>Shapiro, K; Miller, MA; Packham, AE; Aguilar, B; Conrad, PA; Vanwormer, E; Murray, MJ</t>
  </si>
  <si>
    <t>Shapiro, Karen; Miller, Melissa A.; Packham, Andrea E.; Aguilar, Beatriz; Conrad, Patricia A.; Vanwormer, Elizabeth; Murray, Michael J.</t>
  </si>
  <si>
    <t>PARASITOLOGY</t>
  </si>
  <si>
    <t>Toxoplasma gondii; Sarcocystis neurona; sea otter; congenital transmission; transmammary transmission; abortion</t>
  </si>
  <si>
    <t>VERTICAL TRANSMISSION; TRANSPLACENTAL TRANSMISSION; MATERNAL REINFECTION; GENETIC DIVERSITY; NEOSPORA-HUGHESI; MARINE; PROTOZOAN; STRAINS; MENINGOENCEPHALITIS; IDENTIFICATION</t>
  </si>
  <si>
    <t>Toxoplasma gondii and Sarcocystis neurona are protozoan parasites with terrestrial definitive hosts, and both pathogens can cause fatal disease in a wide range of marine animals. Close monitoring of threatened southern sea otters (Enhydra lutris nereis) in California allowed for the diagnosis of dual transplacental transmission of T. gondii and S. neurona in a wild female otter that was chronically infected with both parasites. Congenital infection resulted in late-term abortion due to disseminated toxoplasmosis. Toxoplasma gondii and S. neurona DNA was amplified from placental tissue culture, as well as from fetal lung tissue. Molecular characterization of T. gondii revealed a Type X genotype in isolates derived from placenta and fetal brain, as well as in all tested fetal organs (brain, lung, spleen, liver and thymus). This report provides the first evidence for transplacental transmission of T. gondii in a chronically infected wild sea otter, and the first molecular and immunohistochemical confirmation of concurrent transplacental transmission of T. gondii and S. neurona in any species. Repeated fetal and/or neonatal losses in the sea otter dam also suggested that T. gondii has the potential to reduce fecundity in chronically infected marine mammals through parasite recrudescence and repeated fetal infection.</t>
  </si>
  <si>
    <t>[Shapiro, Karen; Packham, Andrea E.; Aguilar, Beatriz; Conrad, Patricia A.] Univ Calif Davis, Sch Vet Med, Pathol Microbiol &amp; Immunol, 4206 VM3A,One Shields Ave, Davis, CA 95616 USA; [Miller, Melissa A.; Conrad, Patricia A.; Vanwormer, Elizabeth] Univ Calif Davis, Hlth Inst 1, One Shields Ave, Davis, CA 95616 USA; [Miller, Melissa A.] Marine Wildlife Vet Care &amp; Res Ctr, Calif Dept Fish &amp; Wildlife, 1451 Shaffer Rd, Santa Cruz, CA 95060 USA; [Murray, Michael J.] Monterey Bay Aquarium, 886 Cannery Row, Monterey, CA 93940 USA</t>
  </si>
  <si>
    <t>University of California System; University of California Davis; University of California System; University of California Davis; Monterey Bay Aquarium Research Institute</t>
  </si>
  <si>
    <t>Shapiro, K (corresponding author), Univ Calif Davis, Sch Vet Med, Pathol Microbiol &amp; Immunol, 4206 VM3A,One Shields Ave, Davis, CA 95616 USA.</t>
  </si>
  <si>
    <t>Shapiro, Karen/0000-0003-2678-3851; VanWormer, Elizabeth/0000-0002-7598-8493</t>
  </si>
  <si>
    <t>Monterey Bay Aquarium; National Science Foundation (NSF) Ecology of Infectious Disease program [OCE-1065990]</t>
  </si>
  <si>
    <t>Monterey Bay Aquarium; National Science Foundation (NSF) Ecology of Infectious Disease program(National Science Foundation (NSF))</t>
  </si>
  <si>
    <t>Funding support was provided through the Monterey Bay Aquarium (Mike Murray), and by the National Science Foundation (NSF) Ecology of Infectious Disease program (OCE-1065990) (Karen Shapiro and Patricia Conrad).</t>
  </si>
  <si>
    <t>0031-1820</t>
  </si>
  <si>
    <t>1469-8161</t>
  </si>
  <si>
    <t>10.1017/S0031182015001377</t>
  </si>
  <si>
    <t>DH5HD</t>
  </si>
  <si>
    <t>WOS:000372816200003</t>
  </si>
  <si>
    <t>Mañas, S; Gómez, A; Asensio, V; Palazón, S; Podra, M; Alarcia, OE; Ruiz-Olmo, J; Casal, J</t>
  </si>
  <si>
    <t>Manas, Sisco; Gomez, Asuncion; Asensio, Victoria; Palazon, Santiago; Podra, Madis; Esther Alarcia, Olga; Ruiz-Olmo, Jordi; Casal, Jordi</t>
  </si>
  <si>
    <t>Aleutian mink disease virus; American mink; epidemiology; European mink; Mustela lutreola; Neovison vison</t>
  </si>
  <si>
    <t>EXPERIMENTAL TRANSMISSION; MOLECULAR EPIDEMIOLOGY; SOUTHERN ENGLAND; INFECTED MINK; PARVOVIRUS; PATHOGENESIS; ERADICATION; CARNIVORES; FRANCE; KITS</t>
  </si>
  <si>
    <t>The European mink (Mustela lutreola) has undergone a dramatic decline and is one of the most endangered mammals in the world. The invasive American mink (Neovison vison) is considered the main factor for this decline. However, the American mink's introduction and the subsequent ecological concurrence of the two species cannot solely explain the decline or disappearance of the European mink. Aleutian mink disease virus (AMDV) is the main health problem in fur farming worldwide, causing varied clinical syndromes that depend on the viral strain and host factors. Infection with AMDV has been speculated to contribute to the decline of the European mink, but a detailed study has not been performed. To assess the potential effects of AMDV infection on the conservation of the European mink, we surveyed AMDV antibody in samples from 492 native European mink and 1,735 feral American mink collected over 16 yr. The antibody prevalence in European mink was 32%. There were no statistically significant differences in antibody prevalence between sexes, among years, or among weight classes. For recaptured European mink, incidence of seroconversion (negative to positive) was 0.46 cases per animal-year at risk. For positive animals, the incidence of conversion from positive to negative was 0.18 cases per animal-year at risk. In 1,735 feral American minks, the overall prevalence was 32.4% and varied among the six wild populations studied. Infection with AMDV appears to be endemic, distributed across the entire ranges of both species, and no effects on the population dynamics of either species were observed.</t>
  </si>
  <si>
    <t>[Manas, Sisco; Palazon, Santiago; Ruiz-Olmo, Jordi] Govt Catalonia, Dept Agr Livestock Fisheries &amp; Food, Gen Direct Environm &amp; Biodivers, Barcelona 08017, Spain; [Gomez, Asuncion] Tragsatec, Div Environm Serv, Madrid 28037, Spain; [Asensio, Victoria] Tragsatec, Ctr Cria Lince Iberico Zarza Granadilla, Zarza De Granadilla 10710, Spain; [Palazon, Santiago] Univ Barcelona, Dept Anim Biol Vertebrates, E-08028 Barcelona, Spain; [Podra, Madis] Tallinn Univ, Inst Math &amp; Nat Sci, EE-10120 Tallinn, Estonia; [Esther Alarcia, Olga] Junta Castilla &amp; Leon, Gen Direct Environm, Valladolid 47014, Spain; [Casal, Jordi] Univ Autonoma Barcelona, Dept Sanitat &amp; Anat Anim, E-08193 Barcelona, Spain; [Casal, Jordi] Ctr Recerca Sanitat Anim CReSA IRTA, Barcelona 08193, Spain</t>
  </si>
  <si>
    <t>University of Barcelona; Tallinn University; Autonomous University of Barcelona; IRTA</t>
  </si>
  <si>
    <t>Mañas, S (corresponding author), Govt Catalonia, Dept Agr Livestock Fisheries &amp; Food, Gen Direct Environm &amp; Biodivers, Dr Roux 80, Barcelona 08017, Spain.</t>
  </si>
  <si>
    <t>francesc.manas@gencat.cat</t>
  </si>
  <si>
    <t>Casal, Jordi/F-3020-2016</t>
  </si>
  <si>
    <t>Generalitat de Catalunya; Spanish Environment Department; Gobierno de La Rioja; Diputacion Foral de Alava; Junta de Castilla y Leon; Gobierno de Aragon; Generalitat Valenciana; European LIFE programs [LIFE 00/NAT/E 7335, LIFE 00/NAT/E 7299, LIFE 00/NAT/E 7331, LIFE 02/NAT/E 8604, LIFE CO-OP 2003/NAT/CP/E/000002]; Ayuntamiento de Vitoria-Gasteiz</t>
  </si>
  <si>
    <t>Generalitat de Catalunya(Generalitat de Catalunya); Spanish Environment Department; Gobierno de La Rioja; Diputacion Foral de Alava; Junta de Castilla y Leon(Junta de Castilla y Leon); Gobierno de Aragon(Gobierno de Aragon); Generalitat Valenciana(Center for Forestry Research &amp; Experimentation (CIEF)); European LIFE programs; Ayuntamiento de Vitoria-Gasteiz</t>
  </si>
  <si>
    <t>Special thanks to D. Camps, J. M. Lopez-Martin, C. Fernadez, M. Ferrer, M. Perez-Haro, S. Oreca, C. Aguilar, J. Lopez de Luzuriaga, J. Pinedo, J. Gonzalez-Esteban, B. Minobis, P. Lizarraga, Y. Melero, L. Lopo, J. Carreras, C. Temino, S. Brizuela, I. Molina, J. M. Meneses, M. Alcantara, J. M. Gonzalez, L. Lobo, G. Belamentia, E. Castien, L. M. Gonzalez and all of the rehabilitation centers in Spain, Kopenhagen Fur, and Matson's Laboratory. Funding for the field research, the control of American mink, and this study was provided by Generalitat de Catalunya, the Spanish Environment Department, Gobierno de La Rioja, Diputacion Foral de Alava, Junta de Castilla y Leon, Gobierno de Aragon, Generalitat Valenciana, Ayuntamiento de Vitoria-Gasteiz and European LIFE programs; LIFE 00/NAT/E 7335, LIFE 00/NAT/E 7299, LIFE 00/NAT/E 7331, LIFE 02/NAT/E 8604, LIFE CO-OP 2003/NAT/CP/E/000002. We are grateful to M. Bloom for revising the manuscript and for making useful comments.</t>
  </si>
  <si>
    <t>10.7589/2015-04-082</t>
  </si>
  <si>
    <t>DA6GX</t>
  </si>
  <si>
    <t>WOS:000367901800003</t>
  </si>
  <si>
    <t>Rico, Y; Morris-Pocock, J; Zigouris, J; Nocera, JJ; Kyle, CJ</t>
  </si>
  <si>
    <t>Rico, Yessica; Morris-Pocock, James; Zigouris, Joanna; Nocera, Joseph J.; Kyle, Christopher J.</t>
  </si>
  <si>
    <t>MAJOR HISTOCOMPATIBILITY COMPLEX; MHC CLASS-I; COPY NUMBER VARIATION; GENETIC DIVERSITY; NATURAL-SELECTION; CLIMATE-CHANGE; MICROSATELLITE LOCI; CODING DNA; DRB LOCI; VARIABILITY</t>
  </si>
  <si>
    <t>Elucidating the adaptive genetic potential of wildlife populations to environmental selective pressures is fundamental for species conservation. Genes of the major histocompatibility complex (MHC) are highly polymorphic, and play a key role in the adaptive immune response against pathogens. MHC polymorphism has been linked to balancing selection or heterogeneous selection promoting local adaptation. However, spatial patterns of MHC polymorphism are also influenced by gene flow and drift. Wolverines are highly vagile, inhabiting varied ecoregions that include boreal forest, taiga, tundra, and high alpine ecosystems. Here, we investigated the immunogenetic variation of wolverines in Canada as a surrogate for identifying local adaptation by contrasting the genetic structure at MHC relative to the structure at 11 neutral microsatellites to account for gene flow and drift. Evidence of historical positive selection was detected at MHC using maximum likelihood codonbased methods. Bayesian and multivariate cluster analyses revealed weaker population genetic differentiation at MHC relative to the increasing microsatellite genetic structure towards the eastern wolverine distribution. Mantel correlations of MHC against geographical distances showed no pattern of isolation by distance (IBD: r = -0.03, p = 0.9), whereas for microsatellites we found a relatively strong and significant IBD (r = 0.54, p = 0.01). Moreover, we found a significant correlation between microsatellite allelic richness and the mean number of MHC alleles, but we did not observe low MHC diversity in small populations. Overall these results suggest that MHC polymorphism has been influenced primarily by balancing selection and to a lesser extent by neutral processes such as genetic drift, with no clear evidence for local adaptation. This study contributes to our understanding of how vulnerable populations of wolverines may respond to selective pressures across their range.</t>
  </si>
  <si>
    <t>[Rico, Yessica; Morris-Pocock, James; Kyle, Christopher J.] Trent Univ, Dept Forens Sci, Peterborough, ON K9J 7B8, Canada; [Rico, Yessica; Morris-Pocock, James; Kyle, Christopher J.] Trent Univ, Nat Resources DNA Profiling &amp; Forens Ctr, Peterborough, ON K9J 7B8, Canada; [Zigouris, Joanna] Trent Univ, Environm &amp; Life Sci Grad Program, Peterborough, ON K9J 7B8, Canada; [Nocera, Joseph J.] Minist Nat Resources, Wildlife Res Dev Sect, Appl Res Dev Branch, Peterborough, ON, Canada</t>
  </si>
  <si>
    <t>Trent University; Trent University; Trent University; Ministry of Natural Resources &amp; Forestry; Natural Resources Canada</t>
  </si>
  <si>
    <t>Rico, Y (corresponding author), Trent Univ, Dept Forens Sci, Peterborough, ON K9J 7B8, Canada.</t>
  </si>
  <si>
    <t>yessica.ricom@gmail.com</t>
  </si>
  <si>
    <t>; Rico, Yessica/S-1541-2017</t>
  </si>
  <si>
    <t>Nocera, Joseph/0000-0002-5913-8851; Rico, Yessica/0000-0002-0468-8928</t>
  </si>
  <si>
    <t>Ontario Ministry of Natural Resources, Species at Risk Research for Ontario [SARRFO40-13]; Natural Sciences and Engineering Research Council of Canada; Consejo Nacional de Ciencia y Tecnologia of Mexico [232411]</t>
  </si>
  <si>
    <t>Ontario Ministry of Natural Resources, Species at Risk Research for Ontario; Natural Sciences and Engineering Research Council of Canada(Natural Sciences and Engineering Research Council of Canada (NSERC)CGIAR); Consejo Nacional de Ciencia y Tecnologia of Mexico(Consejo Nacional de Ciencia y Tecnologia (CONACyT))</t>
  </si>
  <si>
    <t>This research was funded by the Ontario Ministry of Natural Resources, Species at Risk Research for Ontario (SARRFO40-13 TRENTU6; http://wwf.panda.org/who_we_are/wwf_offices/canada/index.cfm?uProjectID=CA0091) and Discovery Grants from the Natural Sciences and Engineering Research Council of Canada (http://www.nserc-crsng.gc.ca/index_eng.asp) to C.J.K, and Consejo Nacional de Ciencia y Tecnologia of Mexico (232411; http://www.conacyt.gob.mx) to Y.R. The funders had no role in the study design, data collection and analysis, decision to publish or preparation of the manuscript.</t>
  </si>
  <si>
    <t>OCT 8</t>
  </si>
  <si>
    <t>e0140170</t>
  </si>
  <si>
    <t>10.1371/journal.pone.0140170</t>
  </si>
  <si>
    <t>CT0TW</t>
  </si>
  <si>
    <t>WOS:000362511000101</t>
  </si>
  <si>
    <t>Barrientos, R</t>
  </si>
  <si>
    <t>Barrientos, Rafael</t>
  </si>
  <si>
    <t>Adult sex-ratio; Non-native species; Mustelids; Population decline; Sexual size dimorphism; Tertiary sex-ratio</t>
  </si>
  <si>
    <t>MUSTELA-PUTORIUS; HABITAT USE; MALE-AGGRESSION; POPULATION; CONSEQUENCES; SEGREGATION; EVOLUTION; PATTERNS; IMPACTS; LEADS</t>
  </si>
  <si>
    <t>Biological invasions represent a threat to worldwide diversity, but large scale patterns of their impacts are rarely reported. The population sex-ratio influences many other population parameters such as the effective population size, the mating system or the population persistence in the long run. At a local scale, the presence of American mink (Neovison vison), a successful invader, has been shown to distort the adult sex-ratio (ASR) in the native European polecat (Mustela putorius). The aim of the current work is to determine whether this process is generalized across the entire native species range, by studying 71 datasets and 10,847 polecats with a meta-analytic approach. Datasets were male-biased when these included adult individuals. The different sampling methods (trapping/hunting, live trapping or road-kills) did not affect the sample sex-ratio (SSR). The polecat ASR is more skewed toward males in the presence of American mink, representing a conservation concern due to the reduction of reproductive females. The potential repercussions of ASR distortion on the effective population size, the mating system or the population persistence are discussed. This is the first time that ASR distortion across the entire range of a native species is linked to competition with an invasive species. (C) 2015 Elsevier Ltd. All rights reserved.</t>
  </si>
  <si>
    <t>Univ Castilla La Mancha, Fac Media Ambiente, Dept Ciencias Ambient, E-45071 Toledo, Spain</t>
  </si>
  <si>
    <t>Universidad de Castilla-La Mancha</t>
  </si>
  <si>
    <t>Barrientos, R (corresponding author), Univ Castilla La Mancha, Fac Media Ambiente, Dept Ciencias Ambient, Ave Carlos 3 S-N, E-45071 Toledo, Spain.</t>
  </si>
  <si>
    <t>rafael.barrientos@uclm.es</t>
  </si>
  <si>
    <t>Barrientos, Rafael/I-2102-2015</t>
  </si>
  <si>
    <t>Barrientos, Rafael/0000-0002-1677-3214</t>
  </si>
  <si>
    <t>Juan de la Cierva [JCI-2011-10945]</t>
  </si>
  <si>
    <t>Juan de la Cierva(Instituto de Salud Carlos IIISpanish Government)</t>
  </si>
  <si>
    <t>I extend special thanks to C. Fournier-Chambrillon, R. Fusillo, M. Marcelli, D. Weber, J. Zabala, A. Abramov, F. Muller, A. Baghli, I. Zuberogoitia, V. Sidorovich, L. Lapini, J.B. Kiss, A.B. Madsen, L. Volud, S. Palazon, G. Manghi, A. Mira, C. Grilo, K. Van Den Berge, C. Rondinini, P. Tryjanowski, K. Bevanger, M. Costa, R. Vaclav and E. Virgos for providing valuable information. J. Cabot and M. Sempere provided data from EBD-CSIC collection, P. Agnelli from NHM-University of Florence, B. Herzig from MNH of Wien, E. Garcia from MCNC of Barcelona, S. Couto from IPE-CSIC, M. Hilden from Finnish MNH, G. Lenglet from MNS of Brussels and C.W. Moeliker from NHM of Rotterdam. M. Plaza, J.A. Fargallo, R. Veclav, E. Virgos and two anonymous reviewers improved a first draft, J.M. Alvarez helped with figure editing and S. Young checked the English. The author benefits from a Juan de la Cierva postdoctoral contract (JCI-2011-10945).</t>
  </si>
  <si>
    <t>10.1016/j.biocon.2015.02.030</t>
  </si>
  <si>
    <t>CI8ZX</t>
  </si>
  <si>
    <t>WOS:000355061300004</t>
  </si>
  <si>
    <t>Ng, TFF; Miller, MA; Kondov, NO; Dodd, EM; Batac, F; Manzer, M; Ives, S; Saliki, JT; Deng, XT; Delwart, E</t>
  </si>
  <si>
    <t>Terry Fei Fan Ng; Miller, Melissa A.; Kondov, Nikola O.; Dodd, Erin M.; Batac, Francesca; Manzer, Mike; Ives, Sarah; Saliki, Jeremiah T.; Deng, Xutao; Delwart, Eric</t>
  </si>
  <si>
    <t>Enhydra lutris; Enhydra lutris papillomavirus 1 (ElPV-1); next-generation sequencing; oral papillomatosis; papillomavirus; papillomaviral immunohistochemistry; sea otter; viral metagenomics</t>
  </si>
  <si>
    <t>CARCINOMA IN-SITU; CETACEAN PAPILLOMAVIRUSES; CANINE PAPILLOMAVIRUS; BOWENS-DISEASE; INFECTION; NORTHERN; RECOMBINATION; METASTASIS; TYPE-16; ALASKA</t>
  </si>
  <si>
    <t>The southern sea otter (Enhydralutris nereis) is a threatened marine sentinel. During postmortem investigations of stranded sea otters from 2004 to 2013 in California, US, papillomas were detected in the oral cavity of at least seven otters via necropsy and histopathology. Next-generation sequencing of viral particles purified from a single papilloma revealed a novel papillomavirus, Enhydra lutris papillomavirus 1 (ElPV-1). The genome of ElPV-1 was obtained, representing the first fully sequenced viral genome from southern sea otters. Phylogenetic analysis of the entire L1 gene, as well as a concatenated protein identities plot of all papillomaviral genes revealed that ElPV-1 is a X-papillomavirus, related to a raccoon papillomavirus (Procyon lotor papillomavirus type 1) and a canine oral papillomavirus. Immunohistochemical staining, using a cross-reactive bovine papillomavirus antibody, suggested that ElPV-1 is present in intranuclear inclusions and intracytoplasmic keratin granules. Virus-infected cells were scattered throughout the stratum granulosum and stratum spinosum of the gingival and buccal papillomas. Using ElPV-1 specific PCR, we confirmed viral DNA in oral papillomas from all seven stranded sea otters, with identical Li sequences. This virus is associated with the development of oral papillomatosis in southern sea otters.</t>
  </si>
  <si>
    <t>[Terry Fei Fan Ng; Kondov, Nikola O.; Ives, Sarah; Deng, Xutao; Delwart, Eric] Blood Syst Res Inst, San Francisco, CA 94118 USA; [Terry Fei Fan Ng; Deng, Xutao; Delwart, Eric] Univ Calif San Francisco, Dept Lab Med, San Francisco, CA 94143 USA; [Miller, Melissa A.; Dodd, Erin M.; Batac, Francesca] Calif Dept Fish &amp; Wildlife, Marine Wildlife Vet Care &amp; Res Ctr, Santa Cruz, CA 95060 USA; [Miller, Melissa A.; Manzer, Mike] Univ Calif Davis, Vet Med Teaching Hosp, Davis, CA 95616 USA; [Saliki, Jeremiah T.] Univ Georgia, Coll Vet Med, Athens Vet Diagnost Lab, Athens, GA 30602 USA</t>
  </si>
  <si>
    <t>Vitalant; Vitalant Research Institute; University of California System; University of California San Francisco; University of California System; University of California Davis; University System of Georgia; University of Georgia</t>
  </si>
  <si>
    <t>Ng, TFF (corresponding author), Ctr Dis Control &amp; Prevent, NCIRD, 1600 Clifton Rd, Atlanta, GA 30333 USA.</t>
  </si>
  <si>
    <t>terryfeifan@gmail.com; delwarte@medicine.ucsf.edu</t>
  </si>
  <si>
    <t>; Dodd, Erin/AAQ-3335-2020; Delwart, Eric/AFQ-8298-2022; Ng, Terry Fei Fan/H-5305-2019</t>
  </si>
  <si>
    <t>Saliki, Jeremiah/0000-0003-0050-4324; Batac, Francesca/0000-0002-3187-059X; Delwart, Eric/0000-0002-6296-4484; Ng, Terry Fei Fan/0000-0002-4815-8697</t>
  </si>
  <si>
    <t>10.7589/2014-06-152</t>
  </si>
  <si>
    <t>CF9XT</t>
  </si>
  <si>
    <t>WOS:000352921800015</t>
  </si>
  <si>
    <t>Carrasco, SE; Chomel, BB; Gill, VA; Doroff, AM; Miller, MA; Burek-Huntington, KA; Kasten, RW; Byrne, BA; Goldstein, T; Mazet, JAK</t>
  </si>
  <si>
    <t>Carrasco, Sebastian E.; Chomel, Bruno B.; Gill, Verena A.; Doroff, Angela M.; Miller, Melissa A.; Burek-Huntington, Kathleen A.; Kasten, Rickie W.; Byrne, Barbara A.; Goldstein, Tracey; Mazet, Jonna A. K.</t>
  </si>
  <si>
    <t>VECTOR-BORNE AND ZOONOTIC DISEASES</t>
  </si>
  <si>
    <t>Northern sea otter; Antibodies; Southern sea otter; Alaska; Bartonella washoensis; Bartonella spp</t>
  </si>
  <si>
    <t>ENHYDRA-LUTRIS-NEREIS; SUBSP BERKHOFFII INFECTION; RISK-FACTORS; COASTAL CALIFORNIA; HENSELAE; ENDOCARDITIS; PREVALENCE; RESERVOIR; VINSONII; DOGS</t>
  </si>
  <si>
    <t>Since 2002, an increased number of northern sea otters (Enhydra lutris kenyoni) from southcentral Alaska have been reported to be dying due to endocarditis and/or septicemia with infection by Streptococcus infantarius subsp. coli. Bartonella spp. DNA was also detected in northern sea otters as part of mortality investigations during this unusual mortality event (UME) in Kachemak Bay, Alaska. To evaluate the extent of exposure to Bartonella spp. in sea otters, sera collected from necropsied and live-captured northern sea otters, as well as necropsied southern sea otters (Enhydra lutris nereis) unaffected by the UME, were analyzed using an immunofluorescent antibody assay. Antibodies against Bartonella spp. were detected in sera from 50% of necropsied and 34% of presumed healthy, live-captured northern sea otters and in 16% of necropsied southern sea otters. The majority of sea otters with reactive sera were seropositive for B. washoensis, with antibody titers ranging from 1:64 to 1:256. Bartonella spp. antibodies were especially common in adult northern sea otters, both free-living (49%) and necropsied (62%). Adult stranded northern sea otters that died from infectious causes, such as opportunistic bacterial infections, were 27 times more likely to be Bartonella seropositive than adult stranded northern sea otters that died from noninfectious causes (p&lt;0.001; 95% confidence interval 2.62-269.4). Because Bartonella spp. antibodies were detected in necropsied northern sea otters from southcentral (44%) and southwestern (86%) stocks of Alaska, as well as in necropsied southern sea otters (16%) in southcentral California, we concluded that Bartonella spp. exposure is widely distributed among sea otter populations in the Eastern Pacific, providing context for investigating future disease outbreaks and monitoring of Bartonella infections for sea otter management and conservation.</t>
  </si>
  <si>
    <t>[Carrasco, Sebastian E.; Chomel, Bruno B.; Miller, Melissa A.; Byrne, Barbara A.; Goldstein, Tracey; Mazet, Jonna A. K.] Univ Calif Davis, Sch Vet Med, Wildlife Hlth Ctr, Hlth Inst 1, Davis, CA 95616 USA; [Chomel, Bruno B.; Kasten, Rickie W.] Univ Calif Davis, Sch Vet Med, Dept Populat Hlth &amp; Reprod, Davis, CA 95616 USA; [Gill, Verena A.] US Fish &amp; Wildlife Serv, Anchorage, AK USA; [Doroff, Angela M.] Kachemak Bay Res Reserve, Homer, AK USA; [Miller, Melissa A.] Marine Wildlife Vet Care &amp; Res Ctr, Calif Dept Fish &amp; Wildlife, Santa Cruz, CA USA; [Burek-Huntington, Kathleen A.] Alaska Vet Pathol Serv, Eagle River, AK USA</t>
  </si>
  <si>
    <t>University of California System; University of California Davis; University of California System; University of California Davis; United States Department of the Interior; US Fish &amp; Wildlife Service</t>
  </si>
  <si>
    <t>Carrasco, SE (corresponding author), Univ Calif Davis, Sch Vet Med, Wildlife Hlth Ctr, Hlth Inst 1, Davis, CA 95616 USA.</t>
  </si>
  <si>
    <t>secarrasco@ucdavis.edu</t>
  </si>
  <si>
    <t>; Mazet, Jonna/B-4811-2012</t>
  </si>
  <si>
    <t>Mazet, Jonna/0000-0002-8712-5951;</t>
  </si>
  <si>
    <t>Morris Animal Foundation [D08ZO-046]; Karen C. Drayer Wildlife Health Center graduate student fellowship, University of California, Davis; National Oceanic and Atmospheric Administration (NOAA) [NA06OAR4310119]; National Institutes of Health National Research Service Award [T32 AI 060519]; National Institute of Allergy and Infectious Diseases [T32AI060519] Funding Source: NIH RePORTER</t>
  </si>
  <si>
    <t>Morris Animal Foundation; Karen C. Drayer Wildlife Health Center graduate student fellowship, University of California, Davis; National Oceanic and Atmospheric Administration (NOAA)(National Oceanic Atmospheric Admin (NOAA) - USA); National Institutes of Health National Research Service Award(United States Department of Health &amp; Human ServicesNational Institutes of Health (NIH) - USA); National Institute of Allergy and Infectious Diseases(United States Department of Health &amp; Human ServicesNational Institutes of Health (NIH) - USANIH National Institute of Allergy &amp; Infectious Diseases (NIAID))</t>
  </si>
  <si>
    <t>The authors thank the personnel from the US Fish and Wildlife Service (USFWS), Anchorage, Alaska; Alaska SeaLife Center, Seward, Alaska; and the Marine Wildlife Veterinary Care and Research Center, California Department of Fish and Wildlife (CDFW), Santa Cruz, California; as well as the Homer stranding network for assistance with animal captures, necropsies, and sample collection. We also thank Kate Thomas for helping to illustrate sampling areas and Dana Jenski (USFWS) and Erin Dodd and Eva Berberich (CDFW) for their assistance on demographic and spatial information of sea otters and logistics for collection and shipping samples. Field sample collections in Alaska were conducted under authority of a Marine Mammal Protection Act permit issued by the Division of Management Authority, USFWS (MA041309-4 permit number) and under an Insitutional Animal Care and Use Committee (IACUC) review by the University of Alaska. This research was supported by grant no. D08ZO-046 from the Morris Animal Foundation; the Karen C. Drayer Wildlife Health Center graduate student fellowship, University of California, Davis; and an Oceans and Human Health training grant no. NA06OAR4310119 (Training Tomorrow's Ecosystem and Public Health Leaders Using Marine Mammals as Sentinels of Oceanic Change) from the National Oceanic and Atmospheric Administration (NOAA). S.E.C. was also supported by grant no. NA06OAR4310119 and National Institutes of Health National Research Service Award T32 AI 060519.</t>
  </si>
  <si>
    <t>MARY ANN LIEBERT, INC</t>
  </si>
  <si>
    <t>NEW ROCHELLE</t>
  </si>
  <si>
    <t>140 HUGUENOT STREET, 3RD FL, NEW ROCHELLE, NY 10801 USA</t>
  </si>
  <si>
    <t>1530-3667</t>
  </si>
  <si>
    <t>1557-7759</t>
  </si>
  <si>
    <t>VECTOR-BORNE ZOONOT</t>
  </si>
  <si>
    <t>Vector-Borne Zoonotic Dis.</t>
  </si>
  <si>
    <t>10.1089/vbz.2014.1612</t>
  </si>
  <si>
    <t>Public, Environmental &amp; Occupational Health; Infectious Diseases</t>
  </si>
  <si>
    <t>AW6AJ</t>
  </si>
  <si>
    <t>WOS:000346351600001</t>
  </si>
  <si>
    <t>Poo-Muñoz, DA; Escobar, LE; Peterson, AT; Astorga, F; Organ, JF; Medina-Vogel, G</t>
  </si>
  <si>
    <t>Poo-Munoz, Daniela A.; Escobar, Luis E.; Peterson, A. Townsend; Astorga, Francisca; Organ, John F.; Medina-Vogel, Gonzalo</t>
  </si>
  <si>
    <t>Biodiversity conservation; Mustelidae; Neotropics; distribution; ecological niche modeling</t>
  </si>
  <si>
    <t>CANINE-DISTEMPER VIRUS; LESSER GRISON; ATLANTIC FOREST; 1782 CARNIVORA; HABITAT USE; MOLINA; DIET; CONSERVATION; MUSTELIDAE</t>
  </si>
  <si>
    <t>The lesser grison (Galictis cuja) is one of the least-known mustelids in the Neotropics, despite its broad range across South America. This study aimed to explore current knowledge of the distribution of the species to identify gaps in knowledge and anticipate its full geographic distribution. Eighty-nine articles have mentioned G. cuja since 1969, but only 13 focused on the species. We generated a detailed model of the species' potential distribution that validated previous maps, but with improved detail, supporting previous southernmost records, and providing a means of identifying priority sites for conservation and management of the species.</t>
  </si>
  <si>
    <t>[Poo-Munoz, Daniela A.; Escobar, Luis E.; Astorga, Francisca; Medina-Vogel, Gonzalo] Univ Andres Bello, Fac Ecol &amp; Recursos Nat, Santiago, Chile; [Escobar, Luis E.] SUNY Syracuse, Upstate Med Univ, Dept Immunol &amp; Microbiol, Ctr Global Hlth &amp; Translat Sci, Syracuse, NY USA; [Peterson, A. Townsend] Univ Kansas, Biodivers Inst, Lawrence, KS 66045 USA; [Organ, John F.] Univ Massachusetts, Holdsworth Nat Resources Ctr, US Fish &amp; Wildlife Serv, Dept Environm Conservat, Amherst, MA 01003 USA</t>
  </si>
  <si>
    <t>Universidad Andres Bello; State University of New York (SUNY) System; SUNY Upstate Medical University; University of Kansas; United States Department of the Interior; US Fish &amp; Wildlife Service; University of Massachusetts System; University of Massachusetts Amherst</t>
  </si>
  <si>
    <t>Medina-Vogel, G (corresponding author), Univ Andres Bello, Fac Ecol &amp; Recursos Nat, Av Republ 252, Santiago, Chile.</t>
  </si>
  <si>
    <t>dapoom@gmail.com; ecoguate2003@gmail.com; town@ku.edu; fran.astorga@gmail.com; john_organ@fws.gov; gmedina@unab.cl</t>
  </si>
  <si>
    <t>; Peterson, A. Townsend/I-5697-2013; Astorga, Francisca/AAJ-9983-2020; Escobar, Luis E/I-2204-2019</t>
  </si>
  <si>
    <t>Medina-Vogel, Gonzalo/0000-0002-1579-9463; Astorga, Francisca/0000-0002-7108-6919; Escobar, Luis E/0000-0001-5735-2750</t>
  </si>
  <si>
    <t>Universidad Andres Bello [DI-04-11/I, DI-49-11/R]; Fondo de Proteccion Ambiental [RMI-001-2012]</t>
  </si>
  <si>
    <t>Universidad Andres Bello; Fondo de Proteccion Ambiental</t>
  </si>
  <si>
    <t>Occurrence data were obtained from Administracion de Parques Nacionales, Argentina; Museo Argentino de Ciencias Naturales Bernardino Rivadavia, Argentina; American Museum of Natural History, USA; Los Angeles County Museum of Natural History, USA; Louisiana State University Museum of Natural Science, USA; Michigan State University Museum, USA; Museum of Vertebrate Zoology, USA; University of Michigan Museum of Zoology, USA; Field Museum of Natural History, USA; Yale University Peabody Museum, USA; and Royal Belgian Institute of Natural Sciences, Belgium. Universidad Andres Bello provided an Initiation Grant (DI-04-11/I) and a Regular Grant (DI-49-11/R); Ministerio del Medio Ambiente de Chile provided a grant from the Fondo de Proteccion Ambiental (RMI-001-2012).</t>
  </si>
  <si>
    <t>SEP 30</t>
  </si>
  <si>
    <t>10.1590/1678-476620141043341346</t>
  </si>
  <si>
    <t>AT9IL</t>
  </si>
  <si>
    <t>WOS:000345241300010</t>
  </si>
  <si>
    <t>Peper, ST; Peper, RL; Kollias, GV; Brooks, RP; Stevens, SS; Serfass, TL</t>
  </si>
  <si>
    <t>Peper, Steven T.; Peper, Randall L.; Kollias, George V.; Brooks, Robert P.; Stevens, Sadie S.; Serfass, Thomas L.</t>
  </si>
  <si>
    <t>Canine distemper; Lontra canadensis; Pennsylvania; river otters; serum neutralization; vaccines</t>
  </si>
  <si>
    <t>VIRUS-INFECTION; VACCINATION; FERRETS</t>
  </si>
  <si>
    <t>Canine distemper virus (CDV), a contagious morbillivirus, infects families in the order Carnivora, including Nearctic river otters (Lontra canadensis). As a preventative measure, vaccinations against CDV are frequently given to mustelids in captive environments. The Pennsylvania River Otter Reintroduction Project (PRORP) used wild-caught river otters to evaluate the efficacy and need for vaccinations against CDV as part of any reintroduction project. The objectives of this study were to: 1) evaluate the prevalence of exposure to CDV in wild river otters, 2) determine the immunologic response of river otters (i.e., seroconversion) after vaccination with a single (primary) vaccine dose compared to a second (booster) dose of Galaxy-D (R), a modified live-virus canine distemper (CD) vaccine (MLV CDV), and 3) determine the immunologic response after being vaccinated with a primary vaccination compared to a booster dose of Fervac-D (R), an MLV CDV. River otters were injected subcutaneously in the nape of the neck with their designated vaccine. Timeframes for collection of blood samples and/or injection of booster vaccines varied depending on the parameters of PRORP. Ten of the 22 river otters had positive prevaccination titer levels to CD. Both vaccines, Galaxy-D (R) and Fervac-D (R), produced sufficient seroconversion or rise of titer levels (86% and 57%, respectively) to recommend the use of vaccines in wild river otters. Future studies are recommended to evaluate currently produced CD vaccines. Future research should also focus on the number of days required between administration of primary and booster vaccines to achieve sufficient immune response. If only a primary dose is required, then hard-release reintroduction projects for river otters could be recommended. If primary and booster vaccines are required then soft-release reintroduction projects should be recommended. Soft-release projects should include captive management periods that allow for appropriate vaccination intervals and boosters needed to maximize the probability of protection against CDV.</t>
  </si>
  <si>
    <t>[Peper, Steven T.; Stevens, Sadie S.; Serfass, Thomas L.] Frostburg State Univ, Frostburg, MD 21532 USA; [Peper, Randall L.] Indiana Univ, Bloomington, IN 47405 USA; [Kollias, George V.] Cornell Univ, Coll Vet Med, Ithaca, NY 14853 USA; [Brooks, Robert P.] Penn State Univ, University Pk, PA 16802 USA; [Stevens, Sadie S.; Serfass, Thomas L.] Univ Maryland, Marine Estuarine Environm Sci Grad Program, College Pk, MD 20742 USA</t>
  </si>
  <si>
    <t>University System of Maryland; Frostburg State University; Indiana University System; Indiana University Bloomington; Cornell University; Pennsylvania Commonwealth System of Higher Education (PCSHE); Pennsylvania State University; Pennsylvania State University - University Park; University System of Maryland; University of Maryland College Park</t>
  </si>
  <si>
    <t>Serfass, TL (corresponding author), Frostburg State Univ, 101 Braddock Rd, Frostburg, MD 21532 USA.</t>
  </si>
  <si>
    <t>Pennsylvania Wild Resource Conservation Fund; School of Forest Resources at the Pennsylvania State University; U.S. Department of Agriculture Allegheny National Forest; Pennsylvania Game Commission</t>
  </si>
  <si>
    <t>Pennsylvania Wild Resource Conservation Fund; School of Forest Resources at the Pennsylvania State University(Pennsylvania State University); U.S. Department of Agriculture Allegheny National Forest; Pennsylvania Game Commission</t>
  </si>
  <si>
    <t>Funds and support for this project were provided by the Pennsylvania Wild Resource Conservation Fund, the School of Forest Resources at the Pennsylvania State University, the U.S. Department of Agriculture Allegheny National Forest, and Pennsylvania Game Commission.</t>
  </si>
  <si>
    <t>10.1638/2013-0145R1.1</t>
  </si>
  <si>
    <t>AR2GG</t>
  </si>
  <si>
    <t>WOS:000343401200007</t>
  </si>
  <si>
    <t>Sepúlveda, MA; Singer, RS; Silva-Rodríguez, EA; Eguren, A; Stowhas, P; Pelican, K</t>
  </si>
  <si>
    <t>Sepulveda, Maximiliano A.; Singer, Randall S.; Silva-Rodriguez, Eduardo A.; Eguren, Antonieta; Stowhas, Paulina; Pelican, Katherine</t>
  </si>
  <si>
    <t>bridge host; Neovison vison; Lontra provocax; Canis familiaris; interactions; distemper</t>
  </si>
  <si>
    <t>CANINE-DISTEMPER VIRUS; EMERGING INFECTIOUS-DISEASES; RIVER OTTERS; BOVINE TUBERCULOSIS; MUSTELA-LUTREOLA; LONTRA-PROVOCAX; DOGS; SOUTHERN; WILDLIFE; CONSERVATION</t>
  </si>
  <si>
    <t>Infectious diseases, in particular canine distemper virus (CDV), are an important threat to the viability of wild carnivore populations. CDV is thought to be transmitted by direct contact between individuals; therefore, the study of species interactions plays a pivotal role in understanding CDV transmission dynamics. However, CDV often appears to move between populations that are ecologically isolated, possibly through bridge hosts that interact with both species. This study investigated how an introduced species could alter multihost interactions and act as a bridge host in a novel carnivore assemblage of domestic dogs (Canis familiaris), invasive American mink (Neovison vison), and threatened river otters (Lontra provocax) in southern Chile. We found that rural dogs interact with mink near farms whereas in riparian habitats, minks and river otters shared the same latrines with both species visiting sites frequently within time intervals well within CDV environmental persistence. No interactions were observed between dogs and otters at either location. Both dog and mink populations were serologically positive for CDV, making the pathogen transfer risk to otters a conservation concern. Altogether, introduced mink in this ecosystem have the potential to act as bridge hosts between domestic dogs and endangered carnivores.</t>
  </si>
  <si>
    <t>[Sepulveda, Maximiliano A.; Singer, Randall S.; Pelican, Katherine] Univ Minnesota, Coll Vet Med, St Paul, MN 55108 USA; [Singer, Randall S.] Univ Austral Chile, Inst Med Prevent Vet, Fac Ciencias Vet, Valdivia, Chile; [Silva-Rodriguez, Eduardo A.] Univ Andres Bello, Fac Ecol &amp; Recursos Nat, Dept Ecol &amp; Biodiversidad, Santiago, Chile; [Eguren, Antonieta] Univ Florida, Ctr African Studies, Gainesville, FL USA; [Eguren, Antonieta] Univ Florida, Ctr Latin Amer Studies, Gainesville, FL USA; [Stowhas, Paulina] Univ Mayor, Fac Ciencias Vet &amp; Pecuarias, Santiago, Chile; [Sepulveda, Maximiliano A.] Pontificia Univ Catolica Chile, Fac Ciencias Biol, Dept Ecol, Santiago, Chile</t>
  </si>
  <si>
    <t>University of Minnesota System; University of Minnesota Twin Cities; Universidad Austral de Chile; Universidad Andres Bello; State University System of Florida; University of Florida; State University System of Florida; University of Florida; Universidad Mayor; Pontificia Universidad Catolica de Chile</t>
  </si>
  <si>
    <t>Sepúlveda, MA (corresponding author), Univ Minnesota, Coll Vet Med, St Paul, MN 55108 USA.</t>
  </si>
  <si>
    <t>maximiliano.sepulveda@gmail.com</t>
  </si>
  <si>
    <t>; Silva-Roiguez, Eduardo A/B-1854-2010</t>
  </si>
  <si>
    <t>Sepulveda, Maximiliano/0000-0003-4295-7890; Silva-Roiguez, Eduardo A/0000-0001-9416-8653</t>
  </si>
  <si>
    <t>Morris Animal Foundation [D10ZO-057]; University of Minnesota; Panthera Foundation; Wildlife Without Borders program of the U.S. Fish AMP; Wildlife Service; Comite Pro-Defensa de la Fauna y Flora; Fulbright-CONICYT</t>
  </si>
  <si>
    <t>Morris Animal Foundation; University of Minnesota(University of Minnesota System); Panthera Foundation; Wildlife Without Borders program of the U.S. Fish AMP; Wildlife Service; Comite Pro-Defensa de la Fauna y Flora; Fulbright-CONICYT</t>
  </si>
  <si>
    <t>Financial support for this study was provided by a grant from the Morris Animal Foundation (Award Number D10ZO-057), the University of Minnesota Grant-in-Aid program, Panthera Foundation, the Wildlife Without Borders program of the U.S. Fish &amp; Wildlife Service. The authors wish to thank O. Aleuy, A. Espinoza, E. Garde, G. Perez, R. Jara, M. Paredes, M. Rojas, C. Sanchez, and all the volunteers for their work during field data collection. Thanks to P. Contreras for collaboration in Fig. 1 creation. We thank The Nature Conservancy for their logistical support supplied by their park rangers as well as the administrative support provided by the Comite Pro-Defensa de la Fauna y Flora. M. A. S and E. A. S were funded by a Fulbright-CONICYT grant. This study was approved by the Bioethical Committee of the University of Minnesota (Code Number: 0906A67145) and by the Institutional Review Board at the University of Minnesota (1304E31141). Mink capture and sampling were authorized by Servicio Agricola y Ganadero (9 de Octubre 2009, Permit No. 6171).</t>
  </si>
  <si>
    <t>10.1007/s10393-014-0917-z</t>
  </si>
  <si>
    <t>AM2ZM</t>
  </si>
  <si>
    <t>WOS:000339720200020</t>
  </si>
  <si>
    <t>Santulli, G; Palazón, S; Melero, Y; Gosálbez, J; Lambin, X</t>
  </si>
  <si>
    <t>Santulli, Giulia; Palazon, Santiago; Melero, Yolanda; Gosalbez, Joaquim; Lambin, Xavier</t>
  </si>
  <si>
    <t>Competitive exclusion; Invasive species; Mustela lutreola; Neovison vison; Two-species multi-season occupancy model</t>
  </si>
  <si>
    <t>MUSTELA-LUTREOLA; GENE FLOW; VISON; POPULATIONS; DISPLACEMENT; REPLACEMENT; WATERFOWL; PATTERNS; DIET</t>
  </si>
  <si>
    <t>Understanding changes over time in the distribution of interacting native and invasive species that may be symptomatic of competitive exclusion is critical to identify the need for and effectiveness of management interventions. Occupancy models greatly increase the robustness of inference that can be made from presence/absence data when species are imperfectly detected, and recent novel developments allow for the quantification of the strength of interaction between pairs of species. We used a two-species multi-season occupancy model to quantify the impact of the invasive American mink on the native European mink in Spain through the analysis of their co-occurrence pattern over twelve years (2000-2011) in the entire Spanish range of European mink distribution, where both species were detected by live trapping but American mink were culled. We detected a negative temporal trend in the rate of occupancy of European mink and a simultaneous positive trend in the occupancy of American mink. The species co-occurred less often than expected and the native mink was more likely to become extinct from sites occupied by the invasive species. Removal of American mink resulted in a high probability of local extinction where it co-occurred with the endemic mink, but the overall increase in the probability of occupancy over the last decade indicates that the ongoing management is failing to halt its spread. More intensive culling effort where both species co-exist as well as in adjacent areas where the invasive American mink is found at high densities is required in order to stop the decline of European mink. (C) 2014 Elsevier Ltd. All rights reserved.</t>
  </si>
  <si>
    <t>[Santulli, Giulia; Palazon, Santiago; Gosalbez, Joaquim] Univ Barcelona, Dept Anim Biol Vertebrates, E-08028 Barcelona, Spain; [Melero, Yolanda; Lambin, Xavier] Univ Aberdeen, Sch Biol Sci, Aberdeen AB24 2TZ, Scotland; [Palazon, Santiago] Catalonia Govt, Gen Direct Environm &amp; Biodivers, Biodivers &amp; Anim Protect Serv, Barcelona 08017, Spain</t>
  </si>
  <si>
    <t>Santulli, G (corresponding author), Univ Barcelona, Dept Anim Biol Vertebrates, Av Diagonal 645, E-08028 Barcelona, Spain.</t>
  </si>
  <si>
    <t>giulia.santullisanzo@gmail.com; santiago.palazon@gencat.cat; y.melero@abdn.ac.uk; jgosalbez@ub.edu; x.lambin@abdn.ac.uk</t>
  </si>
  <si>
    <t>Lambin, Xavier/E-8284-2011; Melero, Yolanda/H-4687-2015; Santulli, Giulia/I-9203-2016</t>
  </si>
  <si>
    <t>Lambin, Xavier/0000-0003-4643-2653; Melero, Yolanda/0000-0002-4337-1448; Santulli, Giulia/0000-0003-0405-4930</t>
  </si>
  <si>
    <t>Spanish Ministry of Education, Culture and Sports [AP2008-01894]; European LIFE programs; Spanish Environment Department, Tragsatec, Alava Regional Government [LIFE 00/NAT/E/7335]; La Rioja Regional Government [LIFE 00/NAT/E/7331]; Castilla and Leon Government [LIFE 00/NAT/E/7299]; Regional Governments of Aragon; Bizkaia; Burgos; Cantabria; Gipuzkoa; Navarra; Soria and Zaragoza</t>
  </si>
  <si>
    <t>Spanish Ministry of Education, Culture and Sports(Spanish Government); European LIFE programs; Spanish Environment Department, Tragsatec, Alava Regional Government; La Rioja Regional Government; Castilla and Leon Government; Regional Governments of Aragon(Gobierno de Aragon); Bizkaia; Burgos; Cantabria; Gipuzkoa; Navarra; Soria and Zaragoza</t>
  </si>
  <si>
    <t>G.S. was supported by a FPU fellowship grated by the Spanish Ministry of Education, Culture and Sports (AP2008-01894). This study was supported by European LIFE programs, the Spanish Environment Department, Tragsatec, Alava Regional Government (LIFE 00/NAT/E/7335), La Rioja Regional Government (LIFE 00/NAT/E/7331), Castilla and Leon Government (LIFE 00/NAT/E/7299) and the Regional Governments of Aragon, Bizkaia, Burgos, Cantabria, Gipuzkoa, Navarra, Soria and Zaragoza. We thank all technicians and forest rangers of the administrations listed above and all the people that have participated in the trapping sessions and/or have contributed with original data. We wish to thank Christopher Sutherland for the help in improving our work and Asun Gomez and Madis Podra for the useful comments and the contribution in collecting and providing the original data.</t>
  </si>
  <si>
    <t>10.1016/j.biocon.2014.05.002</t>
  </si>
  <si>
    <t>AM9TI</t>
  </si>
  <si>
    <t>WOS:000340223500003</t>
  </si>
  <si>
    <t>Malatesta, D; Simpson, VR; Fusillo, R; Marcelli, M; Bongiovanni, L; Romanucci, M; Palmieri, C; Della Salda, L</t>
  </si>
  <si>
    <t>Malatesta, Daniela; Simpson, Vic R.; Fusillo, Romina; Marcelli, Manlio; Bongiovanni, Laura; Romanucci, Mariarita; Palmieri, Chiara; Della Salda, Leonardo</t>
  </si>
  <si>
    <t>VETERINARIA ITALIANA</t>
  </si>
  <si>
    <t>Adiaspiromycosis; Cholesterol granuloma; Lung; Otter; RECAL</t>
  </si>
  <si>
    <t>PULMONARY ADIASPIROMYCOSIS; EMMONSIA</t>
  </si>
  <si>
    <t>Adiaspiromycosis is a pulmonary disease caused by the inhalation of the ubiquitous fungus Emmonsia spp., a common soil inhabitant. Information about the replication and dissemination of the fungus from the primary site is lacking. Members of the Family Mustelidae seem to be highly susceptible to this infection, which has been previously reported in otters (Lutra lutra) in Czech Republic/Slovakia, Finland and in the UK. In many cases, Emmonsia-associated lesions have also been reported as incidental findings during necropsies of otherwise healthy animals. A road-killed male Eurasian otter was submitted for the post-mortem examination on 21st December 2009 at the Veterinary Pathology Unit of the Faculty of Veterinary Medicine of Teramo, as part of the RECAL [RECovery and post-mortem Analysis of Eurasian otters (Lutra lutra) in the National Park of Cilento, Vallo di Diano and Alburni (Salerno, Italy), and surrounding areas] project. Histologically, multifocal round structures with a PAS-positive thick tri-laminar wall and a central basophilic granular mass were observed within the alveoli. The adiaspores were surrounded by a severe granulomatous reaction with high number of macrophages, multinucleated giant cells, eosinophils, neutrophils and fibroblasts. Numerous multifocal cholesterol granulomas were observed close to those fungal-induced. To the best of our knowledge, this is the first description of adiaspiromycosis in an Eurasian otter in Italy.</t>
  </si>
  <si>
    <t>[Malatesta, Daniela; Bongiovanni, Laura; Romanucci, Mariarita; Palmieri, Chiara; Della Salda, Leonardo] Univ Teramo, Fac Vet Med, I-64100 Teramo, Italy; [Simpson, Vic R.] Wildlife Vet Invest Ctr, Penryn, Cornwall, England; [Fusillo, Romina; Marcelli, Manlio] LUTRIA Snc Wildlife Res &amp; Consulting, Rome, Italy</t>
  </si>
  <si>
    <t>University of Teramo</t>
  </si>
  <si>
    <t>Malatesta, D (corresponding author), Univ Teramo, Fac Vet Med, Piazza A Moro 45, I-64100 Teramo, Italy.</t>
  </si>
  <si>
    <t>dmalatesta@unite.it</t>
  </si>
  <si>
    <t>Palmieri, Chiara/J-4003-2013; Malatesta, Daniela/E-6097-2016; Bongiovanni, Laura/R-4056-2019; Della Salda, Leonardo/P-9290-2018</t>
  </si>
  <si>
    <t>Palmieri, Chiara/0000-0002-5791-6066; Fusillo, Romina/0000-0003-2590-5773; Malatesta, Daniela/0000-0002-9794-0933; Della Salda, Leonardo/0000-0002-6796-8206</t>
  </si>
  <si>
    <t>IST ZOOPROFILATTICO SPERIMENTALE ABRUZZO &amp; MOLISE G CAPORALE-IZS A&amp;M</t>
  </si>
  <si>
    <t>TERAMO</t>
  </si>
  <si>
    <t>CAMPO BOARIO, TERAMO, 64100, ITALY</t>
  </si>
  <si>
    <t>0505-401X</t>
  </si>
  <si>
    <t>1828-1427</t>
  </si>
  <si>
    <t>VET ITAL</t>
  </si>
  <si>
    <t>Vet. Ital.</t>
  </si>
  <si>
    <t>JUL-SEP</t>
  </si>
  <si>
    <t>AR7GW</t>
  </si>
  <si>
    <t>WOS:000343748400005</t>
  </si>
  <si>
    <t>Carrasco, SE; Chomel, BB; Gill, VA; Kasten, RW; Maggi, RG; Breitschwerdt, EB; Byrne, BA; Burek-Huntington, KA; Miller, MA; Goldstein, T; Mazet, JAK</t>
  </si>
  <si>
    <t>Carrasco, Sebastian E.; Chomel, Bruno B.; Gill, Verena A.; Kasten, Rickie W.; Maggi, Ricardo G.; Breitschwerdt, Edward B.; Byrne, Barbara A.; Burek-Huntington, Kathleen A.; Miller, Melissa A.; Goldstein, Tracey; Mazet, Jonna A. K.</t>
  </si>
  <si>
    <t>VETERINARY MICROBIOLOGY</t>
  </si>
  <si>
    <t>Bartonella; Streptococcus bovis/equinus; Vegetative valvular endocarditis; Northern sea otter; Southern sea otter; Enhydra lutris</t>
  </si>
  <si>
    <t>CAT-SCRATCH DISEASE; STREPTOCOCCUS-BOVIS; LYMPH-NODES; ENDOCARDITIS; HENSELAE; IDENTIFICATION; PATHOGENESIS; POPULATION; PREVALENCE; PATHOLOGY</t>
  </si>
  <si>
    <t>Since 2002, vegetative valvular endocarditis (VVE), septicemia and meningoencephalitis have contributed to an Unusual Mortality Event (UME) of northern sea otters in southcentral Alaska. Streptococcal organisms were commonly isolated from vegetative lesions and organs from these sea otters. Bartonella infection has also been associated with bacteremia and VVE in terrestrial mammals, but little is known regarding its pathogenic significance in marine mammals. Our study evaluated whether Streptococcus bovis/equinus (SB/E) and Bartonella infections were associated with UME-related disease characterized by WE and septicemia in Alaskan sea otter carcasses recovered 2004-2008. These bacteria were also evaluated in southern sea otters in California. Streptococcus bovis/equinus were cultured from 45% (23/51) of northern sea otter heart valves, and biochemical testing and sequencing identified these isolates as Streptococcus infantarius subsp. coil. One-third of sea otter hearts were co-infected with Bartonella spp. Our analysis demonstrated that SB/E was strongly associated with UME-related disease in northern sea otters (P &lt; 0.001). While Bartonella infection was also detected in 45% (23/51) and 10% (3/30) of heart valves of northern and southern sea otters examined, respectively, it was not associated with disease. Phylogenetic analysis of the Bartonella ITS region allowed detection of two Bartonella species, one novel species closely related to Bartonella spp. JM-1, B. washoensis and Candidatus B. volans and another molecularly identical to B. henselae. Our findings help to elucidate the role of pathogens in northern sea otter mortalities during this UME and suggested that Bartonella spp. is common in sea otters from Alaska and California. (C) 2014 Elsevier B.V. All rights reserved.</t>
  </si>
  <si>
    <t>[Chomel, Bruno B.; Miller, Melissa A.; Goldstein, Tracey; Mazet, Jonna A. K.] Univ Calif Davis, Sch Vet Med, Wildlife Hlth Ctr, Hlth Inst 1, Davis, CA 95616 USA; [Chomel, Bruno B.; Kasten, Rickie W.] Univ Calif Davis, Sch Vet Med, Dept Populat Hlth &amp; Reprod, Davis, CA 95616 USA; [Gill, Verena A.] US Fish &amp; Wildlife Serv, Marine Mammals Management, Anchorage, AK 99503 USA; [Maggi, Ricardo G.; Breitschwerdt, Edward B.] N Carolina State Univ, Coll Vet Med, Ctr Comparat Med &amp; Transit Res, Raleigh, NC 27606 USA; [Byrne, Barbara A.] Univ Calif Davis, Sch Vet Med, Dept Pathol Microbiol &amp; Immunol, Davis, CA 95616 USA; [Burek-Huntington, Kathleen A.] Alaska Vet Pathol Serv, Eagle River, AK 99577 USA; [Miller, Melissa A.] Calif Dept Fish &amp; Wildlife, Marine Wildlife Vet Care &amp; Res Ctr, Santa Cruz, CA 95060 USA</t>
  </si>
  <si>
    <t>University of California System; University of California Davis; University of California System; University of California Davis; United States Department of the Interior; US Fish &amp; Wildlife Service; North Carolina State University; University of California System; University of California Davis</t>
  </si>
  <si>
    <t>Carrasco, SE (corresponding author), Indiana Univ, Dept Microbiol &amp; Immunol, 635 Barnhill Dr, Indianapolis, IN 46202 USA.</t>
  </si>
  <si>
    <t>scarrasc@iupui.edu</t>
  </si>
  <si>
    <t>Mazet, Jonna/0000-0002-8712-5951; Maggi, Ricardo/0000-0001-7428-0138; Breitschwerdt, Edward/0000-0002-3506-0279</t>
  </si>
  <si>
    <t>CDC; National Oceanic and Atmospheric Administration (NOAA) [NA06OAR4310119]; Morris Animal Foundation [D08ZO-046]; Karen C. Drayer Wildlife Health Center graduate student fellowship; University of California Davis; NIH [NRSA T32 AI 060519]; Immunology and Infectious Disease Program at IUSM</t>
  </si>
  <si>
    <t>CDC(United States Department of Health &amp; Human ServicesCenters for Disease Control &amp; Prevention - USA); National Oceanic and Atmospheric Administration (NOAA)(National Oceanic Atmospheric Admin (NOAA) - USA); Morris Animal Foundation; Karen C. Drayer Wildlife Health Center graduate student fellowship; University of California Davis(University of California System); NIH(United States Department of Health &amp; Human ServicesNational Institutes of Health (NIH) - USA); Immunology and Infectious Disease Program at IUSM</t>
  </si>
  <si>
    <t>We wish to acknowledge the personnel from the US Fish and Wildlife Service (USFWS), Anchorage, Alaska; Alaska SeaLife Center, Seward, Alaska; and the Marine Wildlife Veterinary Care and Research Center, California Department of Fish and Wildlife (CDFW), Santa Cruz, California for assistance with sample collection. Carcass collection and necropsies for northern sea otters were conducted by the USFWS under MMPA permit # MA041309-1. A special thanks also to Angela Doroff for helpful information on sea otter biology, Alison Kent (WHC-UC Davis) for her assistance on mapping locations and Spencer Jang (VMTH-UC Davis) for microbiological testing and logistics. We also gratefully acknowledge support from the CDC for the identification of Streptococcus infantarius subsp. coli isolates. This study was supported under Grant No. NA06OAR4310119 (Training Tomorrow's Ecosystem and Public Health Leaders Using Marine Mammals as Sentinels of Oceanic Change) from the National Oceanic and Atmospheric Administration (NOAA), Grant No. D08ZO-046 from Morris Animal Foundation and the Karen C. Drayer Wildlife Health Center graduate student fellowship, University of California, Davis. Sebastian Carrasco was supported by Grant No. NA06OAR4310119 and NIH, NRSA T32 AI 060519, Immunology and Infectious Disease Program at IUSM. The findings and conclusions in this article are those of the authors(s) and do not necessarily represent the views of the U.S. Fish and Wildlife Service.</t>
  </si>
  <si>
    <t>0378-1135</t>
  </si>
  <si>
    <t>1873-2542</t>
  </si>
  <si>
    <t>VET MICROBIOL</t>
  </si>
  <si>
    <t>Vet. Microbiol.</t>
  </si>
  <si>
    <t>JUN 4</t>
  </si>
  <si>
    <t>10.1016/j.vetmic.2014.02.021</t>
  </si>
  <si>
    <t>Microbiology; Veterinary Sciences</t>
  </si>
  <si>
    <t>AG7UP</t>
  </si>
  <si>
    <t>WOS:000335624600016</t>
  </si>
  <si>
    <t>Shoemaker, KT; Lacy, RC; Verant, ML; Brook, BW; Livieri, TM; Miller, PS; Fordham, DA; Akçakaya, HR</t>
  </si>
  <si>
    <t>Shoemaker, Kevin T.; Lacy, Robert C.; Verant, Michelle L.; Brook, Barry W.; Livieri, Travis M.; Miller, Philip S.; Fordham, Damien A.; Akcakaya, H. Resit</t>
  </si>
  <si>
    <t>sensitivity analysis; oscillatory population dynamics; connectivity; spatial structure; disease spread; predator-prey interactions</t>
  </si>
  <si>
    <t>PRAIRIE DOG; POPULATION VIABILITY; RESOURCE SELECTION; CONATA BASIN; DISEASE; SURVIVAL; CYNOMYS</t>
  </si>
  <si>
    <t>Species interactions have been largely ignored in extinction risk assessment. However, the black-footed ferret Mustela nigripes exemplifies a class of endangered species for which strong species interactions cannot be ignored. This species is an obligate predator of prairie dogs Cynomys spp., and sylvatic plague Yersinia pestis epizootics threaten to undermine recovery efforts by functionally eliminating the prey base. Multispecies 'metamodelling' techniques offer new opportunities for exploring population dynamics under strong species interdependencies and disease. To investigate ferret extinction risk in plague-affected landscapes, we simultaneously modelled plague epidemiological processes, prairie dog metapopulation dynamics and ferret demographic responses. Ferret population dynamics were investigated at an important release site (Conata Basin in South Dakota) and for 500 artificial prey landscapes spanning a wide range of realistic colony configurations (e.g. total area, # colonies, spatial clustering) and demographic characteristics. Our simulation models indicate that ferrets are unlikely to persist through episodes of plague at Conata Basin unless they can access prey resources from a wider region or unless management actions can otherwise substantially reduce plague transmission. We show that large, diffuse prairie dog metapopulations (those with colonies spread over a region &gt;2500km(2)) are most likely to support ferret populations in plague-affected landscapes. Our results also highlight the potential importance of metapopulation connectivity in fuelling plague epizootics and thereby imperilling black-footed ferret conservation efforts. We describe a cycle (c. 5- to 25-year period) of plague-driven population crashes that is an emergent property of our models, and which can destabilize ferret populations. Synthesis and applications. On the basis of our models, we conclude that few North American prairie dog complexes cover sufficient land area to sustain black-footed ferret populations through plague-driven crashes in prey abundance. Consequently, our results underscore the importance of working with many constituents to conserve large prairie dog landscapes in addition to continued development of plague mitigation tools. In addition, the strong relationship between plague-induced oscillatory prey cycles and predator population persistence highlights the potential conservation benefits of imposing strategic barriers to connectivity in areas over which plague outbreak cycles are strongly synchronous.</t>
  </si>
  <si>
    <t>[Shoemaker, Kevin T.; Akcakaya, H. Resit] SUNY Stony Brook, Dept Ecol &amp; Evolut, Stony Brook, NY 11794 USA; [Lacy, Robert C.] Chicago Zool Soc, Brookfield, IL 60513 USA; [Verant, Michelle L.] USGS Natl Wildlife Hlth Ctr, Madison, WI 53711 USA; [Brook, Barry W.; Fordham, Damien A.] Univ Adelaide, Inst Environm, Adelaide, SA 5000, Australia; [Brook, Barry W.; Fordham, Damien A.] Univ Adelaide, Sch Earth &amp; Environm Sci, Adelaide, SA 5000, Australia; [Livieri, Travis M.] Prairie Wildlife Res, Wellington, CO 80549 USA; [Miller, Philip S.] IUCN SSC Conservat Breeding Specialist Grp, Apple Valley, MN 55124 USA</t>
  </si>
  <si>
    <t>State University of New York (SUNY) System; Stony Brook University; United States Department of the Interior; United States Geological Survey; Adelaide University; University of Adelaide; Adelaide University; University of Adelaide</t>
  </si>
  <si>
    <t>Akçakaya, HR (corresponding author), SUNY Stony Brook, Dept Ecol &amp; Evolut, Stony Brook, NY 11794 USA.</t>
  </si>
  <si>
    <t>Resit.Akcakaya@stonybrook.edu</t>
  </si>
  <si>
    <t>Akcakaya, H./A-7830-2008; Shoemaker, Kevin/IZD-8166-2023; Brook, Barry/G-2686-2011; Fordham, Damien/E-9255-2013</t>
  </si>
  <si>
    <t>Shoemaker, Kevin/0000-0002-3789-3856; Brook, Barry/0000-0002-2491-1517; Verant, Michelle/0000-0001-6994-6257; Fordham, Damien/0000-0003-2137-5592</t>
  </si>
  <si>
    <t>NSF [DEB-1146198]; Australian Research Council (ARC) [DP120101019, FT100100200]; ARC [DP1096427, FS110200051]; Direct For Biological Sciences; Division Of Environmental Biology [1146198] Funding Source: National Science Foundation; Australian Research Council [FT100100200] Funding Source: Australian Research Council</t>
  </si>
  <si>
    <t>NSF(National Science Foundation (NSF)); Australian Research Council (ARC)(Australian Research Council); ARC(Australian Research Council); Direct For Biological Sciences; Division Of Environmental Biology(National Science Foundation (NSF)NSF - Directorate for Biological Sciences (BIO)); Australian Research Council(Australian Research Council)</t>
  </si>
  <si>
    <t>This study was supported by NSF grant DEB-1146198. BWB was supported by Australian Research Council (ARC) grants DP120101019 and FT100100200. DAF was supported by ARC grant DP1096427 and ARC fellowship FS110200051. M. Aiello-Lammens wrote the R scripts for data exchange between R and RAMAS. Thanks to D.E. Biggins, M.R. Matchett and three anonymous reviewers for helpful comments and discussion.</t>
  </si>
  <si>
    <t>10.1111/1365-2664.12223</t>
  </si>
  <si>
    <t>AH2PA</t>
  </si>
  <si>
    <t>WOS:000335962200020</t>
  </si>
  <si>
    <t>Niemuth, JN; Sanders, CW; Mooney, CB; Olfenbuttel, C; DePerno, CS; Stoskopf, MK</t>
  </si>
  <si>
    <t>Niemuth, Jennifer N.; Sanders, Charles W.; Mooney, Charles B.; Olfenbuttel, Colleen; DePerno, Christopher S.; Stoskopf, Michael K.</t>
  </si>
  <si>
    <t>Calcium phosphate; computed tomography; energy-dispersive X-ray spectroscopy; Lontra canadensis; nephrolith; North American river otter; uric acid</t>
  </si>
  <si>
    <t>IDIOPATHIC CALCIUM-PHOSPHATE; KIDNEY-STONES; URIC-ACID; GEOGRAPHIC VARIABILITY; DIETARY CALCIUM; OXALATE STONES; RENAL-FUNCTION; IN-VITRO; RISK; UROLITHIASIS</t>
  </si>
  <si>
    <t>The North American river otter (Lontra canadensis) serves as an indicator species for environmental monitoring, is prized as a valuable furbearer, and is a popular display animal in zoologic collections. Nephrolithiasis has been reported as a frequent problem in other free-ranging and captive otter species but is rarely reported in North American river otters. In this study, we compared the prevalence of nephrolithiasis diagnosed using routine gross pathologic examination techniques with the use of computed tomography (CT) of excised kidneys. We also evaluated whether otter nephroliths could be accurately classified by their CT densities, and we examined the renal tissue uric acid concentrations in free-ranging otters in North Carolina, USA. Kidneys were collected from carcasses of legally trapped, free-ranging animals. Nephroliths were observed in 16.2% of the individuals (n = 229). Associations were found between age and nephrolith status and between capture location and nephrolith status (P = 0.026 and &lt; 0.001, respectively). Computed tomography Hounsfield unit density measurements were not useful in determining nephrolith chemical composition in this study. Renal tissue uric acid concentrations were similar across genders, age groups, and stone status. The chemical composition of the nephroliths was determined by scanning electron microscopy-energy dispersive X-ray spectroscopy to be calcium phosphate in the carbonate form.</t>
  </si>
  <si>
    <t>[Niemuth, Jennifer N.; Stoskopf, Michael K.] N Carolina State Univ, Coll Vet Med, Environm Med Consortium, Raleigh, NC 27607 USA; [Niemuth, Jennifer N.; Stoskopf, Michael K.] N Carolina State Univ, Coll Vet Med, Dept Clin Sci, Raleigh, NC 27607 USA; [Niemuth, Jennifer N.; Sanders, Charles W.; DePerno, Christopher S.; Stoskopf, Michael K.] N Carolina State Univ, Fisheries Wildlife &amp; Conservat Biol Program, Raleigh, NC 27695 USA; [Mooney, Charles B.] N Carolina State Univ, Analyt Instrumentat Facil, Raleigh, NC 27695 USA; [Olfenbuttel, Colleen] North Carolina Wildlife Resources Commiss, Div Wildlife Management, Surveys &amp; Res Program, Pittsboro, NC 27312 USA</t>
  </si>
  <si>
    <t>North Carolina State University; North Carolina State University; North Carolina State University; North Carolina State University</t>
  </si>
  <si>
    <t>Niemuth, JN (corresponding author), N Carolina State Univ, Coll Vet Med, Environm Med Consortium, Raleigh, NC 27607 USA.</t>
  </si>
  <si>
    <t>jennifer_niemuth@ncsu.edu</t>
  </si>
  <si>
    <t>; Niemuth, Jennifer/AAJ-6051-2020</t>
  </si>
  <si>
    <t>Sanders, Charles/0000-0002-5711-2324; Niemuth, Jennifer/0000-0003-3412-475X; DePerno, Chris/0000-0002-2147-8607</t>
  </si>
  <si>
    <t>North Carolina Aquariums; Environmental Medicine Consortium</t>
  </si>
  <si>
    <t>The authors gratefully acknowledge research funding from the North Carolina Aquariums and the Environmental Medicine Consortium. The authors thank the North Carolina Trappers Association members for their assistance in sample collection; Scarlett Robinson for her expertise in diagnostic imaging; Dr. Kenneth Adler's laboratory for the use of their microplate reader; and Nathan Whitehurst, Sandra Horton, and Dr. Rattapan Pattanarangsan for their help with sample processing.</t>
  </si>
  <si>
    <t>10.1638/2013-0135R2.1</t>
  </si>
  <si>
    <t>AM2AA</t>
  </si>
  <si>
    <t>WOS:000339649200014</t>
  </si>
  <si>
    <t>Brand, CJ</t>
  </si>
  <si>
    <t>Brand, Christopher J.</t>
  </si>
  <si>
    <t>endangered species; disease; mortality; management; recovery; emerging diseases; diagnostic; vaccination</t>
  </si>
  <si>
    <t>AVIAN VACUOLAR MYELINOPATHY; WHITE-NOSE SYNDROME; FERRETS MUSTELA-NIGRIPES; DUCKS ANAS-LAYSANENSIS; PRAIRIE DOGS CYNOMYS; F1-V FUSION PROTEIN; WEST-NILE-VIRUS; INFECTIOUS-DISEASES; EXTINCTION; PLAGUE</t>
  </si>
  <si>
    <t>The U. S. Geological Survey-National Wildlife Health Center (NWHC) provides diagnostic services, technical assistance, applied research, and training to federal, state, territorial, and local government agencies and Native American tribes on wildlife diseases and wildlife health issues throughout the United States and its territories, commonwealth, and freely associated states. Since 1975, &gt; 16,000 carcasses and specimens from vertebrate species listed under the Endangered Species Act have been submitted to NWHC for determination of causes of morbidity or mortality or assessment of health/disease status. Results from diagnostic investigations, analyses of the diagnostic database, technical assistance and consultation, field investigation of epizootics, and wildlife disease research by NWHC wildlife disease specialists have contributed importantly to the management and recovery of listed species.</t>
  </si>
  <si>
    <t>US Geol Survey, Natl Wildlife Hlth Ctr, 6006 Schroeder Rd, Madison, WI 53711 USA</t>
  </si>
  <si>
    <t>Brand, CJ (corresponding author), US Geol Survey, Natl Wildlife Hlth Ctr, 6006 Schroeder Rd, Madison, WI 53711 USA.</t>
  </si>
  <si>
    <t>cbrand@usgs.gov</t>
  </si>
  <si>
    <t>10.1007/s10393-013-0897-4</t>
  </si>
  <si>
    <t>AC2VT</t>
  </si>
  <si>
    <t>WOS:000332375100014</t>
  </si>
  <si>
    <t>Chadwick, EA; Cable, J; Chinchen, A; Francis, J; Guy, E; Kean, EF; Paul, SC; Perkins, SE; Sherrard-Smith, E; Wilkinson, C; Forman, DW</t>
  </si>
  <si>
    <t>Chadwick, Elizabeth A.; Cable, Joanne; Chinchen, Alex; Francis, Janet; Guy, Edward; Kean, Eleanor F.; Paul, Sarah C.; Perkins, Sarah E.; Sherrard-Smith, Ellie; Wilkinson, Clare; Forman, Dan W.</t>
  </si>
  <si>
    <t>Wildlife disease; Spatial distribution; Sabin Feldman; Surveillance; Zoonosis</t>
  </si>
  <si>
    <t>ANTIBODIES; PREVALENCE; RIVER</t>
  </si>
  <si>
    <t>Background: Toxoplasma gondii is found on all continents and can infect all endothermic vertebrates. Toxoplasmosis is a globally important zoonosis with potentially devastating health impacts both for humans and a range of domestic and wild species. The World Health Organisation have repeatedly recommended the collection of accurate epidemiological data for T. gondii, yet despite recognised links between infection of wildlife, domestic animals and humans, seroprevalence in wild species is rarely monitored. Here, serological investigation using the Gold Standard Sabin-Feldman Dye Test was used to test for T. gondii in Eurasian otters (Lutra lutra) found dead, mainly as road-kill, in England and Wales. This is the first spatially widespread study of T. gondii in UK wildlife, and the first extensive survey of T. gondii in Eurasian otters, a sentinel species of fresh waters. Findings: Infection was both common (39.5% prevalence, n = 271) and widespread, with significantly more infection in the east than the west of the UK. There was an increase in seroprevalence with age, but no sex bias. Conclusions: The relatively high prevalence of T. gondii in a predominantly piscivorous freshwater mammal suggests widespread faecal contamination of freshwater ecosystems with oocysts. Continued surveillance of the Eurasian otter for T. gondii is valuable because of conservation concerns due to the otter's 'near threatened' status on the IUCN Red List and because of the host's role as a sentinel for freshwater health.</t>
  </si>
  <si>
    <t>[Chadwick, Elizabeth A.; Cable, Joanne; Chinchen, Alex; Kean, Eleanor F.; Paul, Sarah C.; Perkins, Sarah E.; Sherrard-Smith, Ellie; Wilkinson, Clare] Cardiff Univ, Sch Biosci, Cardiff CF10 3AX, S Glam, Wales; [Francis, Janet; Guy, Edward] Singleton Hosp, Toxoplasma Reference Unit, Swansea SA2 8QA, W Glam, Wales; [Forman, Dan W.] Swansea Univ, Sch Environm &amp; Soc, Swansea SA2 8PP, W Glam, Wales</t>
  </si>
  <si>
    <t>Cardiff University; Singleton Hospital; Swansea University</t>
  </si>
  <si>
    <t>Chadwick, EA (corresponding author), Cardiff Univ, Sch Biosci, Sir Martin Evans Bldg, Cardiff CF10 3AX, S Glam, Wales.</t>
  </si>
  <si>
    <t>ChadwickEA@cardiff.ac.uk</t>
  </si>
  <si>
    <t>Cable, Joanne/A-4360-2010; Kean, Eleanor/H-9434-2017; Perkins, Sarah/B-1817-2010; Chadwick, Elizabeth/G-1793-2010</t>
  </si>
  <si>
    <t>Cable, Joanne/0000-0002-8510-7055; Kean, Eleanor/0000-0002-0380-7032; Perkins, Sarah/0000-0002-7457-2699; Chadwick, Elizabeth/0000-0002-6662-6343; Sherrard-Smith, Ellie/0000-0001-8317-7992</t>
  </si>
  <si>
    <t>EA; FP7 Marie Curie Intra-European Fellowship; NERC studentship [NER/0329013]; Somerset Otter Group</t>
  </si>
  <si>
    <t>EA; FP7 Marie Curie Intra-European Fellowship; NERC studentship(UK Research &amp; Innovation (UKRI)Natural Environment Research Council (NERC)); Somerset Otter Group</t>
  </si>
  <si>
    <t>Otter carcasses are reported by members of the public, and collection coordinated by the UK Environment Agency (EA). Cardiff University Otter Project is funded by the EA, with additional contributions made by the Somerset Otter Group. SEP is supported by an FP7 Marie Curie Intra-European Fellowship; ESS by a NERC studentship (NER/0329013) and Somerset Otter Group. Funders had no role in study design or in preparing the manuscript.</t>
  </si>
  <si>
    <t>MAR 19</t>
  </si>
  <si>
    <t>10.1186/1756-3305-6-75</t>
  </si>
  <si>
    <t>127GR</t>
  </si>
  <si>
    <t>WOS:000317686400001</t>
  </si>
  <si>
    <t>Megid, J; Teixeira, CR; Cortez, A; Heinemann, MB; Antunes, JMAP; Fornazari, F; Rassy, FB; Richtzenhain, LJ</t>
  </si>
  <si>
    <t>Megid, Jane; Teixeira, Carlos R.; Cortez, Adriana; Heinemann, Marcos B.; Antunes, Joao M. A. P.; Fornazari, Felipe; Rassy, Fabricio B.; Richtzenhain, Leonardo J.</t>
  </si>
  <si>
    <t>Canine distemper virus; Galictis cuja; Lesser grison; nucleoprotein; phylogeny</t>
  </si>
  <si>
    <t>Megid J., Teixeira C.R., Cortez A., Heinemann M.B., Antunes J.M.A.P., Fornazari F., Rassy F.B. &amp; Richtzenhaim L.J. 2013. Canine distemper virus infection in a lesser grison (Galictis cuja): first report and virus phylogeny. Pesquisa Veterinaria Brasileira 33(2):247-250. Departamento de Higiene Veterinaria e Saude Publica, Faculdade de Medicina Veterinariae Zootecnia, Universidade Estadual Paulista, Distrito de Rubiao Jr s/n, Botucatu, SP 18618-970, Brazil. E-mail: jane@fmvz.unesp.br Infectious diseases in wild animals have been increasing as a result of their habitat alterations and closer contact with domestic animals. Canine distemper virus (CDV) has been reported in several species of wild carnivores, presenting a threat to wildlife conservation. We described the first case of canine distemper virus infection in lesser grison (Galictis cuja). A free-ranging individual, with no visible clinical sigs, presented sudden death after one day in captivity. Molecular diagnosis for CDV infection was performed using whole blood collected by postmortem intracardiac puncture, which resulted positive. The virus phylogeny indicated that domestic dogs were the probable source of infection.</t>
  </si>
  <si>
    <t>[Megid, Jane; Teixeira, Carlos R.; Antunes, Joao M. A. P.; Fornazari, Felipe] Univ Estadual Paulista Unesp, FMVZ, Dept Higiene Vet &amp; Saude Publ, BR-18618970 Botucatu, SP, Brazil; [Cortez, Adriana; Richtzenhain, Leonardo J.] Univ Sao Paulo, FMVZ, Dept Med Vet Prevent &amp; Saude Anim, BR-05508000 Sao Paulo, Brazil; [Heinemann, Marcos B.] Univ Fed Minas Gerais, Escola Vet, Dept Vet Prevent Med, BR-30123970 Belo Horizonte, MG, Brazil; [Rassy, Fabricio B.] Zool Quinzinho de Barros, BR-18020268 Sorocaba, SP, Brazil</t>
  </si>
  <si>
    <t>Universidade Estadual Paulista; Universidade de Sao Paulo; Universidade Federal de Minas Gerais</t>
  </si>
  <si>
    <t>Megid, J (corresponding author), Univ Estadual Paulista Unesp, FMVZ, Dept Higiene Vet &amp; Saude Publ, Dist Rubiao Jr S-N, BR-18618970 Botucatu, SP, Brazil.</t>
  </si>
  <si>
    <t>jane@fmvz.unesp.br; teixeiracr@fmvz.unesp.br; adcortez@usp.br; mabryan@vet.ufmg.br; joaomarceloufes@hot-mail.com; ff_vet@yahoo.com.br; fabriciorassy@hotmail.com; leonardo@usp.br</t>
  </si>
  <si>
    <t>Richtzenhain, Leonardo/U-1026-2017; Fornazari, Felipe/J-5166-2014; Heinemann, Marcos Bryan/G-2780-2015; Cortez, Adriana/ODN-2055-2025; Antunes, João/D-2467-2012; Megid, Jane/C-3413-2012</t>
  </si>
  <si>
    <t>Heinemann, Marcos Bryan/0000-0001-6444-9788; Megid, Jane/0000-0002-6540-7157</t>
  </si>
  <si>
    <t>10.1590/S0100-736X2013000200018</t>
  </si>
  <si>
    <t>127BW</t>
  </si>
  <si>
    <t>Green Published, Green Submitted, gold</t>
  </si>
  <si>
    <t>WOS:000317670900018</t>
  </si>
  <si>
    <t>Gherman, CM; Sándor, AD; Kalmár, Z; Marinov, M; Mihalca, AD</t>
  </si>
  <si>
    <t>Gherman, Calin M.; Sandor, Attila D.; Kalmar, Zsuzsa; Marinov, Mihai; Mihalca, Andrei D.</t>
  </si>
  <si>
    <t>BMC VETERINARY RESEARCH</t>
  </si>
  <si>
    <t>Borrelia burgdorferi s.s; First report; Mustela lutreola; Vormela peregusna; Romania</t>
  </si>
  <si>
    <t>LYME BORRELIOSIS; HOST ASSOCIATIONS; IXODID TICKS; ACARI; ECTOPARASITES; SWITZERLAND; TRANSMISSION; CONNECTICUT; SCAPULARIS; HEXAGONUS</t>
  </si>
  <si>
    <t>Background: Lyme disease is a widespread cosmopolitan zoonosis caused by species belonging to the genus Borrelia. It is transmitted from animal reservoir hosts to humans through hard - ticks of genus Ixodes which are vectors of the disease. Case presentation: Borrelia burgdorferi sensu lato infection was identified in a marbled polecat, Vormela peregusna, and two European minks, Mustela lutreola, from Romania, by PCR. RFLP revealed the presence of a single genospecies, Borrelia burgdorferi sensu stricto. Conclusions: This is the first report of the Lyme disease spirochetes in the two mentioned hosts.</t>
  </si>
  <si>
    <t>[Gherman, Calin M.; Sandor, Attila D.; Kalmar, Zsuzsa; Mihalca, Andrei D.] Univ Agr Sci &amp; Vet Med, Fac Vet Med, Dept Parasitol &amp; Parasit Dis, Cluj Napoca 400372, Romania; [Sandor, Attila D.] Univ Babes Bolyai, Fac Biol, Dept Taxon &amp; Ecol, Cluj Napoca 400006, Romania; [Marinov, Mihai] Danube Delta Natl Inst Res &amp; Dev, Tulcea 820112, Romania</t>
  </si>
  <si>
    <t>University of Agricultural Sciences &amp; Veterinary Medicine Cluj Napoca; Babes Bolyai University from Cluj</t>
  </si>
  <si>
    <t>Sándor, AD (corresponding author), Univ Agr Sci &amp; Vet Med, Fac Vet Med, Dept Parasitol &amp; Parasit Dis, Calea Manastur 3-5, Cluj Napoca 400372, Romania.</t>
  </si>
  <si>
    <t>adsandor@gmail.com</t>
  </si>
  <si>
    <t>Mihalca, Andrei/A-1561-2008; Mihalca, Anei/A-1561-2008; Sándor, Attila/A-4782-2009; Kalmar, Zsuzsa/AAD-7178-2021; gherman, calin/P-5823-2016; Marinov, Mihai/GOG-8469-2022</t>
  </si>
  <si>
    <t>Marinov, Mihai/0000-0002-7058-3059; Mihalca, Anei/0000-0001-6076-7914; Sándor, Attila/0000-0001-8852-8341; gherman, calin/0000-0002-5936-2538;</t>
  </si>
  <si>
    <t>[IDEI-PCCE CNCSIS 84]; [7/2010]; [POSDRU/88/1.5/S/60185]</t>
  </si>
  <si>
    <t>; ;</t>
  </si>
  <si>
    <t>This study was funded from grant IDEI-PCCE CNCSIS 84, 7/2010, while ADS was supported by a research grant POSDRU/88/1.5/S/60185.</t>
  </si>
  <si>
    <t>BIOMED CENTRAL LTD</t>
  </si>
  <si>
    <t>236 GRAYS INN RD, FLOOR 6, LONDON WC1X 8HL, ENGLAND</t>
  </si>
  <si>
    <t>1746-6148</t>
  </si>
  <si>
    <t>BMC VET RES</t>
  </si>
  <si>
    <t>BMC Vet. Res.</t>
  </si>
  <si>
    <t>10.1186/1746-6148-8-137</t>
  </si>
  <si>
    <t>052SY</t>
  </si>
  <si>
    <t>WOS:000312220000001</t>
  </si>
  <si>
    <t>Fernandez, JRR; Thomas, NJ; Dubielzig, RR; Drees, R</t>
  </si>
  <si>
    <t>Fernandez, J. Rodriguez-Ramos; Thomas, N. J.; Dubielzig, R. R.; Drees, R.</t>
  </si>
  <si>
    <t>JOURNAL OF COMPARATIVE PATHOLOGY</t>
  </si>
  <si>
    <t>Enhydra lutris nereis; maxilla; osteoma; osteosarcoma; southern sea otter</t>
  </si>
  <si>
    <t>OSTEOGENIC-SARCOMA; MORTALITY; FERRET; SKULL</t>
  </si>
  <si>
    <t>Southern sea otters (Enhydra lutris nereis) are threatened marine mammals that belong to the family Mustelidae and are native to the coast of Central California. Neoplasia is reported infrequently in sea otters. An adult female free-ranging southern sea otter was found alive at Pebble Beach, Monterey County, California, on January 1st, 1994 and died soon after capture. The carcass was submitted to the US Geological Survey - National Wildlife Health Center for necropsy examination. Grossly, a mass with rubbery texture was firmly attached to the left maxillary region of the skull and the nasopharynx was occluded by soft neoplastic tissue. Post-mortem skull radiographs showed an oval, smoothly marginated mineralized opaque mass centered on the left maxilla, extending from the canine tooth to caudal to the molar and replacing portions of the zygomatic arch and palatine and temporal bones. The majority of the mass protruded laterally from the maxilla and was characterized by central homogeneous mineral opacity. Microscopically, the mass was characterized by fully differentiated lamellar non-osteonal bone that expanded beyond the margins of the adjacent normal osteonal bone. Sections of the nasopharyngeal mass were comprised of moderately pleomorphic cells with bony stroma. Gross, microscopical and radiological findings were compatible with maxillary osteosarcoma with concurrent osteoma. (C) 2012 Elsevier Ltd. All rights reserved.</t>
  </si>
  <si>
    <t>[Thomas, N. J.] US Geol Survey, Natl Wildlife Hlth Ctr, Madison, WI 53711 USA; [Fernandez, J. Rodriguez-Ramos; Dubielzig, R. R.] Univ Wisconsin, Sch Vet Med, Dept Pathobiol Sci, Madison, WI 53706 USA; [Drees, R.] Univ Wisconsin, Sch Vet Med, Dept Surg Sci, Madison, WI 53706 USA</t>
  </si>
  <si>
    <t>United States Department of the Interior; United States Geological Survey; University of Wisconsin System; University of Wisconsin Madison; University of Wisconsin System; University of Wisconsin Madison</t>
  </si>
  <si>
    <t>Thomas, NJ (corresponding author), US Geol Survey, Natl Wildlife Hlth Ctr, 6006 Schroeder Rd, Madison, WI 53711 USA.</t>
  </si>
  <si>
    <t>nthomas@usgs.gov</t>
  </si>
  <si>
    <t>US Geological Survey</t>
  </si>
  <si>
    <t>US Geological Survey(United States Geological Survey)</t>
  </si>
  <si>
    <t>Any use of trade, product or firm names is for descriptive purposes only and does not imply endorsement by the US Government. This project was funded by the US Geological Survey. We thank M. Pinkerton and V. Shearn-Bochsler for their comments.</t>
  </si>
  <si>
    <t>0021-9975</t>
  </si>
  <si>
    <t>J COMP PATHOL</t>
  </si>
  <si>
    <t>J. Comp. Pathol.</t>
  </si>
  <si>
    <t>AUG-OCT</t>
  </si>
  <si>
    <t>10.1016/j.jcpa.2012.01.017</t>
  </si>
  <si>
    <t>Pathology; Veterinary Sciences</t>
  </si>
  <si>
    <t>992RD</t>
  </si>
  <si>
    <t>WOS:000307796500040</t>
  </si>
  <si>
    <t>Tavernier, P; Baert, K; van de Bildt, M; Kuiken, T; Cay, A; Maes, S; Roels, S; Gouwy, J; Van den Berge, K</t>
  </si>
  <si>
    <t>Tavernier, P.; Baert, K.; van de Bildt, M.; Kuiken, T.; Cay, A.; Maes, S.; Roels, S.; Gouwy, J.; Van den Berge, K.</t>
  </si>
  <si>
    <t>VLAAMS DIERGENEESKUNDIG TIJDSCHRIFT</t>
  </si>
  <si>
    <t>FOXES VULPES-VULPES; CANINE-DISTEMPER; MUSTELA-LUTREOLA; SEROLOGIC SURVEY; VIRAL PATHOGENS; WILD CARNIVORES; EUROPEAN MINK; VIRUS-STRAINS; RED FOXES; PREVALENCE</t>
  </si>
  <si>
    <t>An outbreak of distemper was observed in beech martens (Martes foina) in the eastern part of Flanders (Belgium) for the first time. The clinical and pathological findings were consistent with other outbreaks described in mustelids in Europe. Using reverse transcriptase polymerase chain reaction, morbillivirus RNA was detected in an organ homogenate inoculated on Vero.dogSLAM cells. The virus was sequenced and was identified as a canine distemper virus (CDV) strain, hundred percent identical to an earlier isolate from a marten from Germany. After a period of nearly complete absence of beech martens in Flanders due to intensive prosecution, their population density has increased substantially in the last decennia. Although the exact mechanisms behind the observed population changes stay unclear, spread of CDV from central Europe following dispersion of beech martens is indicated by our findings. Further CDV spread could negatively impact on the highly threatened pine marten (Mantes martes) and the decreasing polecat (Mustela putorius) populations in Flanders.</t>
  </si>
  <si>
    <t>[Tavernier, P.] WILDPAD, Polbroek 17, B-9250 St Lievens Houtem, Belgium; [Baert, K.; Gouwy, J.; Van den Berge, K.] Inst Nat &amp; Forest INBO, B-9500 Geraardsbergen, Belgium; [van de Bildt, M.; Kuiken, T.] Erasmus MC, Dept Virol, NL-3000 CA Rotterdam, Netherlands; [Cay, A.] Vet &amp; Agrochem Res Ctr, Dept Virol, B-1180 Brussels, Belgium; [Maes, S.] Univ Ghent, Fac Vet, Dept Pathol, B-9820 Merelbeke, Belgium; [Roels, S.] Vet &amp; Agrochem Res Ctr, Unit Surveillance Orientat &amp; Vet Support, B-1180 Brussels, Belgium</t>
  </si>
  <si>
    <t>Research Institute for Nature &amp; Forest; Erasmus University Rotterdam; Erasmus MC; Ghent University</t>
  </si>
  <si>
    <t>Tavernier, P (corresponding author), WILDPAD, Polbroek 17, B-9250 St Lievens Houtem, Belgium.</t>
  </si>
  <si>
    <t>paul_tavernier@skynet.be</t>
  </si>
  <si>
    <t>; Baert, Kristof/I-9245-2012</t>
  </si>
  <si>
    <t>Kuiken, Thijs/0000-0001-5501-9049; Baert, Kristof/0000-0002-1910-1114; Van Den Berge, Koen/0000-0003-2214-0947; Gouwy, Jan/0000-0003-1531-8962</t>
  </si>
  <si>
    <t>UNIV GHENT</t>
  </si>
  <si>
    <t>GHENT</t>
  </si>
  <si>
    <t>FACULTY VETERINARY MEDICINE, B-9000 GHENT, BELGIUM</t>
  </si>
  <si>
    <t>0303-9021</t>
  </si>
  <si>
    <t>VLAAMS DIERGEN TIJDS</t>
  </si>
  <si>
    <t>Vlaams Diergeneeskd. Tijdschr.</t>
  </si>
  <si>
    <t>10.21825/vdt.v81i2.18362</t>
  </si>
  <si>
    <t>937VS</t>
  </si>
  <si>
    <t>WOS:000303691700003</t>
  </si>
  <si>
    <t>Biggins, DE; Livieri, TM; Breck, SW</t>
  </si>
  <si>
    <t>Biggins, Dean E.; Livieri, Travis M.; Breck, Stewart W.</t>
  </si>
  <si>
    <t>adaptive management; attitudes; captive breeding; communication; Cynomys; endangered species; Mustela nigripes; plague; prairie dog; reintroduction</t>
  </si>
  <si>
    <t>PRAIRIE DOGS CYNOMYS; SIBERIAN POLECATS; MUSTELA-NIGRIPES; POPULATION; MEETEETSE; SURVIVAL; AREAS</t>
  </si>
  <si>
    <t>Questions and problems that emerged during operational conservation of black-footed ferrets (Mustela nigripes) have been addressed by a wide variety of studies. Early results from such studies often were communicated orally during meetings of recovery groups and in written form using memoranda, unpublished reports, and theses. Typically, implementation of results preceded their publication in widely distributed journals. Many of these studies eventually were published in journals, and we briefly summarize the contents of 8 volumes and special features of journals that have been dedicated to the biology of ferrets and issues in ferret recovery. This year marks the 30th anniversary of rediscovery of the black-footed ferret, and the 7 papers of the following Special Feature summarize data collected over nearly that span of time.</t>
  </si>
  <si>
    <t>[Biggins, Dean E.] US Geol Survey, Ft Collins Sci Ctr, Ft Collins, CO 80526 USA; [Livieri, Travis M.] Prairie Wildlife Res, Wellington, CO 80549 USA; [Breck, Stewart W.] Wildlife Serv, USDA, Natl Wildlife Res Ctr, Ft Collins, CO 80521 USA</t>
  </si>
  <si>
    <t>United States Department of the Interior; United States Geological Survey; United States Department of Agriculture (USDA)</t>
  </si>
  <si>
    <t>Breck, Stewart/GWC-5825-2022</t>
  </si>
  <si>
    <t>10.1644/11-MAMM-S-086.1</t>
  </si>
  <si>
    <t>WOS:000294314900001</t>
  </si>
  <si>
    <t>Nituch, LA; Bowman, J; Beauclerc, KB; Schulte-Hostedde, AI</t>
  </si>
  <si>
    <t>Nituch, Larissa A.; Bowman, Jeff; Beauclerc, Kaela B.; Schulte-Hostedde, Albrecht I.</t>
  </si>
  <si>
    <t>MUSTELA-VISON; PARVOVIRUS; ANTIBODIES; CARNIVORES; IMPACTS; VIRUS</t>
  </si>
  <si>
    <t>Background: Infectious diseases can often be of conservation importance for wildlife. Spillover, when infectious disease is transmitted from a reservoir population to sympatric wildlife, is a particular threat. American mink (Neovison vison) populations across Canada appear to be declining, but factors thus far explored have not fully explained this population trend. Recent research has shown, however, that domestic mink are escaping from mink farms and hybridizing with wild mink. Domestic mink may also be spreading Aleutian disease (AD), a highly pathogenic parvovirus prevalent in mink farms, to wild mink populations. AD could reduce fitness in wild mink by reducing both the productivity of adult females and survivorship of juveniles and adults. Methods: To assess the seroprevalence and geographic distribution of AD infection in free-ranging mink in relation to the presence of mink farms, we conducted both a large-scale serological survey, across the province of Ontario, and a smaller-scale survey, at the interface between a mink farm and wild mink. Conclusions/Significance: Antibodies to AD were detected in 29% of mink (60 of 208 mink sampled); however, seroprevalence was significantly higher in areas closer to mink farms than in areas farther from farms, at both large and small spatial scales. Our results indicate that mink farms act as sources of AD transmission to the wild. As such, it is likely that wild mink across North America may be experiencing increased exposure to AD, via disease transmission from mink farms, which may be affecting wild mink demographics across their range. In light of declining mink populations, high AD seroprevalence within some mink farms, and the large number of mink farms situated across North America, improved biosecurity measures on farms are warranted to prevent continued disease transmission at the interface between mink farms and wild mink populations.</t>
  </si>
  <si>
    <t>[Nituch, Larissa A.; Bowman, Jeff] Trent Univ, Ontario Minist Nat Resources, Peterborough, ON K9J 7B8, Canada; [Beauclerc, Kaela B.; Schulte-Hostedde, Albrecht I.] Laurentian Univ, Dept Biol, Sudbury, ON P3E 2C6, Canada</t>
  </si>
  <si>
    <t>Trent University; Ministry of Natural Resources &amp; Forestry; Laurentian University</t>
  </si>
  <si>
    <t>Nituch, LA (corresponding author), Trent Univ, Ontario Minist Nat Resources, DNA Bldg, Peterborough, ON K9J 7B8, Canada.</t>
  </si>
  <si>
    <t>larissanituch@trentu.ca</t>
  </si>
  <si>
    <t>Schulte-Hostedde, Albrecht/C-2007-2009; Bowman, Jeff/B-4147-2009</t>
  </si>
  <si>
    <t>Schulte-Hostedde, Albrecht/0000-0001-7263-4764; Bowman, Jeff/0000-0002-1892-4469</t>
  </si>
  <si>
    <t>Natural Sciences and Engineering Research Council of Canada; Wildlife Research and Development Section of the Ontario Ministry of Natural Resources</t>
  </si>
  <si>
    <t>Natural Sciences and Engineering Research Council of Canada(Natural Sciences and Engineering Research Council of Canada (NSERC)CGIAR); Wildlife Research and Development Section of the Ontario Ministry of Natural Resources</t>
  </si>
  <si>
    <t>Support for this research was provided by the Natural Sciences and Engineering Research Council of Canada (www.nserc.ca), the Wildlife Research and Development Section of the Ontario Ministry of Natural Resources (http://www.mnr.gov.on.ca/en/Business/Wildlife). The funders had no role in study design, data collection and analysis, decision to publish, or preparation of the manuscript.</t>
  </si>
  <si>
    <t>JUL 18</t>
  </si>
  <si>
    <t>e21693</t>
  </si>
  <si>
    <t>10.1371/journal.pone.0021693</t>
  </si>
  <si>
    <t>793HY</t>
  </si>
  <si>
    <t>WOS:000292812400013</t>
  </si>
  <si>
    <t>Goldstein, T; Gill, VA; Tuomi, P; Monson, D; Burdin, A; Conrad, PA; Dunn, JL; Field, C; Johnson, C; Jessup, DA; Bodkin, J; Doroff, AM</t>
  </si>
  <si>
    <t>Goldstein, Tracey; Gill, Verena A.; Tuomi, Pam; Monson, Daniel; Burdin, Alexander; Conrad, Patricia A.; Dunn, J. Lawrence; Field, Cara; Johnson, Christine; Jessup, David A.; Bodkin, James; Doroff, Angela M.</t>
  </si>
  <si>
    <t>Alaska; Brucella; Enhydra lutris; phocine distemper; Russia; sea otter; serosurvey</t>
  </si>
  <si>
    <t>PHOCINE DISTEMPER VIRUS; BRUCELLA SP INFECTION; HARBOR SEALS; EUMETOPIAS-JUBATUS; MARINE MAMMALS; LEPTOSPIROSIS; VITULINA; SOUTHERN; LIONS; HERPESVIRUS-1</t>
  </si>
  <si>
    <t>Northern sea otter (Enhydra lutris kenyoni) abundance has decreased dramatically over portions of southwest Alaska, USA, since the mid-1980s, and this stock is currently listed as threatened under the Endangered Species Act. In contrast, adjacent populations in south central Alaska, USA, and Russia have been stable to increasing during the same period. Sea otters bordering the area classified in the recent decline were live-captured during 2004-2006 at Bering Island, Russia, and the Kodiak Archipelago, Alaska, USA, to evaluate differences in general health and current exposure status to marine and terrestrial pathogens. Although body condition was lower in animals captured at Bering Island, Russia, than it was at Kodiak, USA, clinical pathology values did not reveal differences in general health between the two regions. Low prevalences of antibodies (&lt; 5%) were found in Kodiak, USA, and on Bering Island, Russia, to Toxoplasma Sarcocystis neurona, and Leptospira interrogans. Exposure to phocine herpesvirus-1 was found in both Kodiak, USA (15.2%), and Bering Island, Russia (2.3%). Antibodies to Brucella spp. were found in 28% of the otters tested on Bering Island, Russia, compared with only 2.7% of the samples from Kodiak, USA. Prevalence of exposure to Phocine distemper virus (PDV) was 41% in Kodiak, USA, but 0% on Bering Island, Russia. Archived sera from southwest and south-central Alaska dating back to 1989 were negative for PDV, indicating exposure occurred in sea otters in Kodiak, USA, in recent years. Because PDV can be highly pathogenic in naive and susceptible marine mammal populations, tissues should be examined to explore the contribution of this virus to otter deaths. Our results reveal an increase in exposure to pathogens in sea otters in Kodiak, Alaska, USA, since the 1990s.</t>
  </si>
  <si>
    <t>[Gill, Verena A.; Doroff, Angela M.] US Fish &amp; Wildlife Serv, Anchorage, AK 99503 USA; [Monson, Daniel; Bodkin, James] US Geol Survey, Alaska Sci Ctr, Anchorage, AK 99508 USA; [Burdin, Alexander] Russian Acad Sci, Pacific Inst Geog, Kamchatka Branch, Petropavlovsk Kamchatski 683000, Russia; [Conrad, Patricia A.] Univ Calif Davis, Sch Vet Med, Dept Pathol Microbiol &amp; Immunol, Davis, CA 95616 USA; [Dunn, J. Lawrence; Field, Cara] Mystic Aquarium, Mystic, CT 06355 USA; [Dunn, J. Lawrence; Field, Cara] Inst Explorat, Mystic, CT 06355 USA; [Jessup, David A.] Calif Dept Fish &amp; Game, Marine Wildlife Vet Care &amp; Res Ctr, Santa Cruz, CA 95060 USA; [Goldstein, Tracey; Tuomi, Pam; Burdin, Alexander] Alaska SeaLife Ctr, Seward, AK 99664 USA; [Johnson, Christine] Univ Calif Davis, Sch Vet Med, Wildlife Hlth Ctr, Davis, CA 95616 USA</t>
  </si>
  <si>
    <t>United States Department of the Interior; US Fish &amp; Wildlife Service; United States Department of the Interior; United States Geological Survey; Russian Academy of Sciences; Pacific Geographical Institute of the Far Eastern Branch of the Russian Academy of Sciences; University of California System; University of California Davis; University of California System; University of California Davis</t>
  </si>
  <si>
    <t>Goldstein, T (corresponding author), Univ Calif Davis, Sch Vet Med, Wildlife Hlth Ctr, Old Davis Rd, Davis, CA 95616 USA.</t>
  </si>
  <si>
    <t>tgoldstein@ucdavis.edu</t>
  </si>
  <si>
    <t>Burdin, Alexander/G-8528-2014; Monson, Daniel/N-4469-2013; Field, Cara/MIP-6589-2025</t>
  </si>
  <si>
    <t>Burdin, Alexander/0000-0001-5701-1008; Monson, Daniel/0000-0002-4593-5673;</t>
  </si>
  <si>
    <t>US Fish and Wildlife Service; Alaska Sea Life Center; US Geological Survey; National Marine Mammal Laboratory; California Department of Fish and Game</t>
  </si>
  <si>
    <t>US Fish and Wildlife Service(US Fish &amp; Wildlife Service); Alaska Sea Life Center; US Geological Survey(United States Geological Survey); National Marine Mammal Laboratory; California Department of Fish and Game</t>
  </si>
  <si>
    <t>This work was funded by the US Fish and Wildlife Service, Alaska Sea Life Center, US Geological Survey, National Marine Mammal Laboratory, and the California Department of Fish and Game and was conducted under the DMA permits MA041309-2 and MA740507-2. Thanks to personnel from the US Fish and Wildlife Service, US Geological Survey, Alaska Sea Life Center, Marine Mammal Protection Division, Sevvostrybvod, 'Komandorsky' Reserve, Monterey Bay Aquarium, Oklahoma Animal Disease Diagnostic Laboratory, and University of California at Davis, especially: D. Jenski, H. Coletti, M. Yourkowski, J. de In Bruere, T. Fischbach, K. Kloecker, J. Estes, T. Tinker, M. Terwilliger, B. Hatfield, J. Ames, M. Harris, G. Benthal, V. Nikulin, S. Zagrebelny, V. Fomin, D. Utkin, E. Dubovi, A. Melli, A. Packham, L. Rea, P. Rivera, J. Saliki. A special thanks also to P. Boveng and J. Richmond for their generous help in testing of the harbor seal samples. We also thank J. Mazet and M. Murray for thoughtful review of this manuscript.</t>
  </si>
  <si>
    <t>10.7589/0090-3558-47.3.579</t>
  </si>
  <si>
    <t>793CR</t>
  </si>
  <si>
    <t>WOS:000292798500010</t>
  </si>
  <si>
    <t>Jachowski, DS; Millspaugh, JJ; Biggins, DE; Livieri, TM; Matchett, MR; Rittenhouse, CD</t>
  </si>
  <si>
    <t>Jachowski, David S.; Millspaugh, Joshua J.; Biggins, Dean E.; Livieri, Travis M.; Matchett, Marc R.; Rittenhouse, Chadwick D.</t>
  </si>
  <si>
    <t>black-footed ferret; black-tailed prairie dogs; Conata Basin; reintroduction; UL Bend</t>
  </si>
  <si>
    <t>PRAIRIE DOGS CYNOMYS; MUSTELA-NIGRIPES; HOME-RANGE; SPATIAL-ORGANIZATION; REINTRODUCTION; SIZE; TRANSLOCATIONS; POPULATIONS; MEETEETSE; DENSITIES</t>
  </si>
  <si>
    <t>The black-footed ferret (Mustela nigripes), once extinct in the wild, remains one of the most critically endangered mammals in North America despite 18 years of reintroduction attempts. Because black-footed ferrets are specialized predators of prairie dogs (Cynomys sp.), a better understanding of how black-footed ferrets select resources might provide insight into how best to identify and manage reintroduction sites. We monitored ferret resource selection at two reintroduction sites with different densities of prairie dog populations one that contained a high density of prairie dogs (Conata Basin, South Dakota) and one that was lower (UL Bend, Montana). We evaluated support for hypotheses about ferret resource selection as related to the distribution of active burrows used by black-tailed prairie dogs (Cynomys ludovicianus), interactions between ferrets, and habitat edge effects. We found support for all three factors within both populations; however, they affected ferret resource selection differently at each site. Ferrets at Conata Basin tended to select areas with high prairie dog burrow density, closer to the colony edge, and that overlapped other ferret ranges. In contrast, ferrets at UL Bend tended not to select areas of high active prairie dog burrow density, avoided areas close to edge habitat, and females avoided areas occupied by other ferrets. The differences observed between the two sites might be best explained by prairie dog densities, which were higher at Conata Basin (119.3 active burrows per ha) than at UL Bend (44.4 active burrows per ha). Given the positive growth of ferret populations at Conata Basin, management that increases the density of prairie dogs might enhance ferret success within natural areas. To achieve long-term recovery of ferrets in the wild, conservationists should increasingly work across and outside natural area boundaries to increase prairie dog populations.</t>
  </si>
  <si>
    <t>[Jachowski, David S.; Millspaugh, Joshua J.] Univ Missouri, Dept Fisheries &amp; Wildlife Sci, Columbia, MO 65211 USA; [Biggins, Dean E.] US Geol Survey, Ft Collins Sci Ctr, Ft Collins, CO 80526 USA; [Livieri, Travis M.] Prairie Wildlife Res, Wellington, CO 80549 USA; [Matchett, Marc R.] US Fish &amp; Wildlife Serv, Lewistown, MT 59457 USA; [Rittenhouse, Chadwick D.] Univ Connecticut, Dept Nat Resources &amp; Environm, Storrs, CT 06269 USA</t>
  </si>
  <si>
    <t>University of Missouri System; University of Missouri Columbia; United States Department of the Interior; United States Geological Survey; United States Department of the Interior; US Fish &amp; Wildlife Service; University of Connecticut</t>
  </si>
  <si>
    <t>Jachowski, DS (corresponding author), Univ Missouri, Dept Fisheries &amp; Wildlife Sci, 302 Nat Resources Bldg, Columbia, MO 65211 USA.</t>
  </si>
  <si>
    <t>DavidJachowski@mail.mizzou.edu</t>
  </si>
  <si>
    <t>Rittenhouse, Chadwick/G-7169-2012</t>
  </si>
  <si>
    <t>U.S. Fish and Wildlife Service; U.S. Forest Service; National Fish and Wildlife Foundation [2006-0058-0000]; South Dakota Department of Game, Fish and Parks; Disney Centennial Refuge Scholarship; Missouri Chapter of the Wildlife Society; University of Missouri; State Wildlife Grant [T-35-R, 2435]</t>
  </si>
  <si>
    <t>U.S. Fish and Wildlife Service(US Fish &amp; Wildlife Service); U.S. Forest Service(United States Department of Agriculture (USDA)United States Forest Service); National Fish and Wildlife Foundation; South Dakota Department of Game, Fish and Parks; Disney Centennial Refuge Scholarship; Missouri Chapter of the Wildlife Society; University of Missouri; State Wildlife Grant</t>
  </si>
  <si>
    <t>Funding and logistical support for this project was provided by the U.S. Fish and Wildlife Service, U.S. Forest Service, National Fish and Wildlife Foundation (Grant number 2006-0058-0000), South Dakota Department of Game, Fish and Parks Small Grants Program, South Dakota Department of Game, Fish and Parks Competitive Grants Program, Disney Centennial Refuge Scholarship, Missouri Chapter of the Wildlife Society, and the University of Missouri. This study was funded in part by federal funding through State Wildlife Grant T-35-R, Study #2435, administered through the U.S. Fish and Wildlife Service. R. Jachowski, J. McRoberts, D. Hanson, T. Brown, and over a dozen volunteers assisted with fieldwork. K. Atchley and D. Sargent provided valuable assistance in support of this project in South Dakota, and we appreciate the commitment of the Charles M. Russell National Wildlife Refuge staff to ferret recovery and research. R. Jachowski, M. Gompper, D. Eads, and H. He provided comments that improved the manuscript. Any use of trade, product, or firm names is for descriptive purposes only and does not imply endorsement by the U.S. Government.</t>
  </si>
  <si>
    <t>NATURAL AREAS ASSOC</t>
  </si>
  <si>
    <t>320 SOUTH THIRD ST, ROCKFORD, IL 61104 USA</t>
  </si>
  <si>
    <t>2162-4399</t>
  </si>
  <si>
    <t>10.3375/043.031.0304</t>
  </si>
  <si>
    <t>799TN</t>
  </si>
  <si>
    <t>WOS:000293309100002</t>
  </si>
  <si>
    <t>Mangel, JC; Whitty, T; Medina-Vogel, G; Alfaro-Shigueto, J; Caceres, C; Godley, BJ</t>
  </si>
  <si>
    <t>Mangel, J. C.; Whitty, T.; Medina-Vogel, G.; Alfaro-Shigueto, J.; Caceres, C.; Godley, B. J.</t>
  </si>
  <si>
    <t>Lontra felina; marine otter; human interaction; latitudinal variation; Peru; Chile</t>
  </si>
  <si>
    <t>SOUTHERN RIVER OTTER; LUTRA-LUTRA; HABITAT USE; SEA OTTER; TOXOPLASMA-GONDII; RESTING SITES; LONTRA-FELINA; CONSERVATION; LANDSCAPE; MONTEREY</t>
  </si>
  <si>
    <t>P&gt;The marine otter (Lontra felina) inhabits patches of rocky coastline from central Peru to southern Chile and is classified as Endangered by the IUCN. Given the limited information available about the species, we set out to assess marine otter diet with a view to detecting latitudinal differences, and to assess marine otter activity budgets and interspecific interactions (including anthropogenic) at Peruvian fishing villages and to compare results with similar Chilean studies. Nine study sites from central Chile to southern Peru were sampled for otter spraints to assess relative frequency of prey types and two fishing ports in southern Peru were monitored through focal and scan observations to assess activity patterns, interspecific interactions, habitat use patterns, and dive durations. Results indicate that toward the northern part of its range, crustaceans become less important and fish more important in the diet. Interactions were observed between marine otters and other species, including stray dogs and cats. The strong dependence of marine otters on the availability of safe rocky shelters, and the species' apparent tolerance to living alongside humans raise conservation concerns about vulnerability to anthropogenic threats. These factors, if not correctly managed, could turn some of these rocky seashore patches into population sinks.</t>
  </si>
  <si>
    <t>[Mangel, J. C.; Alfaro-Shigueto, J.; Caceres, C.] Pro Delphinus, Lima 11, Peru; [Mangel, J. C.; Alfaro-Shigueto, J.; Godley, B. J.] Univ Exeter, Sch Biosci, Ctr Ecol &amp; Conservat, Penryn TR10 9EZ, Cornwall, England; [Whitty, T.] Univ Calif San Diego, Scripps Inst Oceanog, San Diego, CA 92093 USA; [Medina-Vogel, G.] Univ Andres Bello, Fac Ecol &amp; Recursos Nat, Santiago, Chile</t>
  </si>
  <si>
    <t>Delphi; University of Exeter; University of California System; University of California San Diego; Scripps Institution of Oceanography; Universidad Andres Bello</t>
  </si>
  <si>
    <t>Mangel, JC (corresponding author), Pro Delphinus, 572-5, Lima 11, Peru.</t>
  </si>
  <si>
    <t>jeffrey_mangel@yahoo.com</t>
  </si>
  <si>
    <t>; godley, brendan/A-6139-2009; Godley, Brendan/A-6139-2009</t>
  </si>
  <si>
    <t>Alfaro Shigueto, Joanna/0000-0002-5148-7686; Mangel, Jeffrey/0000-0002-9371-8606; godley, brendan/0000-0003-3845-0034; Medina-Vogel, Gonzalo/0000-0002-1579-9463</t>
  </si>
  <si>
    <t>Columbus Zoo and Aquarium; Darwin Initiative; Fulbright Commission; Societe D'Encouragement pour la Conservation des Animaux Sauvages; People's Trust for Endangered Species; Rufford Small Grants for Nature Conservation; Universidad Andres Bello [DI-01-09/R]; INRENA [084-2004-IFFS-DCB]</t>
  </si>
  <si>
    <t>Columbus Zoo and Aquarium; Darwin Initiative; Fulbright Commission; Societe D'Encouragement pour la Conservation des Animaux Sauvages; People's Trust for Endangered Species; Rufford Small Grants for Nature Conservation; Universidad Andres Bello; INRENA</t>
  </si>
  <si>
    <t>We warmly thank all the volunteers that participated in this project: M. Pajuelo, J. Valqui, G. Biffi, P. Melly, and D. Apaza. We also thank Dr. Rick Ostfeld for his helpful advice regarding project design in Peru. Helpful comments and suggestions on the manuscript were provided by the editor and two anonymous reviewers as well as by Dr. Lisa Ballance and Luke Gibson. Support and funding for this work was provided by Columbus Zoo and Aquarium, Darwin Initiative, Fulbright Commission, Societe D'Encouragement pour la Conservation des Animaux Sauvages, and People's Trust for Endangered Species. The marine otter project in Peru is a World Association of Zoos and Aquariums (WAZA) branded project. JCM and JAS are Overseas Research and Students Awards Scheme and University of Exeter scholarship awardees, respectively. Studies in Chile were funded by Rufford Small Grants for Nature Conservation and Project DI-01-09/R Universidad Andres Bello. Permits for this study were provided by INRENA (No. 084-2004-IFFS-DCB).</t>
  </si>
  <si>
    <t>E14</t>
  </si>
  <si>
    <t>E25</t>
  </si>
  <si>
    <t>10.1111/j.1748-7692.2010.00414.x</t>
  </si>
  <si>
    <t>749KU</t>
  </si>
  <si>
    <t>WOS:000289465900002</t>
  </si>
  <si>
    <t>Cabria, MT; Michaux, JR; Gómez-Moliner, BJ; Skumatov, D; Maran, T; Fournier, P; de Luzuriaga, JL; Zardoya, R</t>
  </si>
  <si>
    <t>Cabria, M. T.; Michaux, J. R.; Gomez-Moliner, B. J.; Skumatov, D.; Maran, T.; Fournier, P.; Lopez de Luzuriaga, J.; Zardoya, R.</t>
  </si>
  <si>
    <t>Bayesian methods; hybridization; introgression; microsatellites; mtDNA; Y chromosome</t>
  </si>
  <si>
    <t>MULTILOCUS GENOTYPE DATA; POPULATION-STRUCTURE; LINKAGE DISEQUILIBRIUM; MICROSATELLITE MARKERS; HYBRID INDIVIDUALS; NULL ALLELES; CONSERVATION; INFERENCE; DNA; IDENTIFICATION</t>
  </si>
  <si>
    <t>Human-mediated global change will probably increase the rates of natural hybridization and genetic introgression between closely related species, and this will have major implications for conservation of the taxa involved. In this study, we analyse both mitochondrial and nuclear data to characterize ongoing hybridization and genetic introgression between two sympatric sister species of mustelids, the endangered European mink (Mustela lutreola) and the more abundant polecat (M. putorius). A total of 317 European mink, 114 polecats and 15 putative hybrid individuals were collected from different localities in Europe and genotyped with 13 microsatellite nuclear markers. Recently developed Bayesian methods for assigning individuals to populations and identifying admixture proportions were applied to the genetic data. To identify the direction of hybridization, we additionally sequenced mtDNA and Y chromosomes from 78 individuals and 29 males respectively. We found that both hybridization and genetic introgression occurred at low levels (3% and 0.9% respectively) and indicated that hybridization is asymmetric, as only pure polecat males mate with pure European mink females. Furthermore, backcrossing and genetic introgression was detected only from female first-generation (F1) hybrids of European mink to polecats. This latter result implies that Haldane's rule may apply. Our results suggest that hybridization and genetic introgression between the two species should be considered a rather uncommon event. However, the current low densities of European mink might be changing this trend.</t>
  </si>
  <si>
    <t>[Cabria, M. T.; Gomez-Moliner, B. J.] Univ Pais Vasco UPV EHU, Fac Farm, Dept Zool &amp; BCA, Vitoria 01006, Spain; [Cabria, M. T.; Michaux, J. R.] Univ Liege Sart Tilman, Inst Bot, Lab Genet Microorganismes, B-4000 Liege, Belgium; [Michaux, J. R.] CBGP, F-34988 Montferrier Sur Lez, France; [Skumatov, D.] Russian Res Inst Game Management &amp; Farming, Kirov, Russia; [Maran, T.] Tallinn Zool Gardens, Species Conservat Lab, EE-13522 Tallinn, Estonia; [Maran, T.] Tallinn Univ, Inst Math &amp; Nat Sci, EE-10120 Tallinn, Estonia; [Fournier, P.] GREGE, F-33730 Villandraut, France; [Zardoya, R.] CSIC, Museo Nacl Ciencias Nat, Dept Biodiversidad &amp; Biol Evolut, E-28006 Madrid, Spain</t>
  </si>
  <si>
    <t>University of Basque Country; University of Liege; Institut de Recherche pour le Developpement (IRD); Russian Institute of Game Management &amp; Fur Farming; Tallinn University; Consejo Superior de Investigaciones Cientificas (CSIC); CSIC - Museo Nacional de Ciencias Naturales (MNCN)</t>
  </si>
  <si>
    <t>Cabria, MT (corresponding author), Univ Pais Vasco UPV EHU, Fac Farm, Dept Zool &amp; BCA, Paseo Univ 7, Vitoria 01006, Spain.</t>
  </si>
  <si>
    <t>maitec79@yahoo.es</t>
  </si>
  <si>
    <t>GOMEZ MOLINER, BENJAMIN JUAN/AAA-4119-2019; Zardoya, Rafael/B-2291-2012; Cabria, Maria/C-2293-2012</t>
  </si>
  <si>
    <t>GOMEZ MOLINER, BENJAMIN JUAN/0000-0002-3054-8806; Zardoya, Rafael/0000-0001-6212-9502;</t>
  </si>
  <si>
    <t>LIFE projects [LIFE 00/NAT/E7229]; La Rioja' LIFE [00/NAT/E7331]; 'Alava' LIFE [00/NAT/E7335]; Basque Government (Departamento de Educacion, Universidad e Investigacion del Gobierno Vasco [IT317-10]; Diputacion Foral de Alava (Departamento de Urbanismo y Medio Ambiente); Biodiversity Foundation ('Ministerio de Medio Ambiente y Medio Rural y Marino'); Diputacion Foral de Alava; Centre of Environmental Studies ('Centro de Estudios Ambientales-CEA'); Basque Government</t>
  </si>
  <si>
    <t>LIFE projects; La Rioja' LIFE; 'Alava' LIFE; Basque Government (Departamento de Educacion, Universidad e Investigacion del Gobierno Vasco(Basque Government); Diputacion Foral de Alava (Departamento de Urbanismo y Medio Ambiente); Biodiversity Foundation ('Ministerio de Medio Ambiente y Medio Rural y Marino'); Diputacion Foral de Alava; Centre of Environmental Studies ('Centro de Estudios Ambientales-CEA'); Basque Government(Basque Government)</t>
  </si>
  <si>
    <t>We are most grateful to Gorka Belamendia, Juan Carlos Cena, Angus Davison, Asuncion Gomez, Vladimir Katchanovsky, Andreas Kranz, Sisco Manas, Santiago Palazon and Madis Podra for providing us with different mustelid samples. This work received partial financial support from three LIFE projects ('Conservacion del vison europeo (Mustela lutreola) en Castilla Leon'' LIFE 00/NAT/E7229, La Rioja' LIFE 00/NAT/E7331 and 'Alava' LIFE 00/NAT/E7335). It was also financed by the Basque Government (Departamento de Educacion, Universidad e Investigacion del Gobierno Vasco; IT317-10) and by the Diputacion Foral de Alava (Departamento de Urbanismo y Medio Ambiente). JLL participated in the project 'Proyecto piloto de refuerzo poblacional de vison europeo en los humedales de Salburua, Alava' carried out by the European mink Foundation and financed by Biodiversity Foundation ('Ministerio de Medio Ambiente y Medio Rural y Marino'), Diputacion Foral de Alava and the Centre of Environmental Studies ('Centro de Estudios Ambientales-CEA'). MTC was sponsored by a predoctoral fellowship of the Basque Government.</t>
  </si>
  <si>
    <t>10.1111/j.1365-294X.2010.04988.x</t>
  </si>
  <si>
    <t>730YX</t>
  </si>
  <si>
    <t>WOS:000288074600011</t>
  </si>
  <si>
    <t>Kauhala, K; Kowalczyk, R</t>
  </si>
  <si>
    <t>Kauhala, Kaarina; Kowalczyk, Rafal</t>
  </si>
  <si>
    <t>CURRENT ZOOLOGY</t>
  </si>
  <si>
    <t>Nyctereutes procyonoides; Competition; Introduction; Predation; Vector of diseases and parasites</t>
  </si>
  <si>
    <t>MEDIUM-SIZED CARNIVORES; FOXES VULPES-VULPES; BIALOWIEZA PRIMEVAL FOREST; HOME-RANGE SIZE; ECHINOCOCCUS-MULTILOCULARIS; RED FOX; CANINE-DISTEMPER; SOUTHERN FINLAND; SARCOPTIC MANGE; RABIES SPREAD</t>
  </si>
  <si>
    <t>We aimed to review the history of the introduction and colonization of the raccoon dog Nyctereutes procyonoides in Europe, the features behind its successful expansion and its impact on native fauna. The raccoon dog quickly colonized new areas after being introduced to the European part of the former Soviet Union. Today it is widespread in Northern and Eastern Europe and is still spreading in Central Europe. Features behind its success include its adaptability, high reproductive potential, omnivory, hibernation in northern areas, multiple introductions with &gt; 9000 individuals from different localities, and tendency to wander enabling gene flow between populations. Firm evidence of the raccoon dog's negative impact on native fauna, such as a reduction in bird populations, is still scarce. Raccoon dogs may destroy waterfowl nests, although a nest predation study in Latvia did not confirm this. Predator removal studies in Finland suggested that the raccoon dog's impact on game birds is smaller than expected. However, raccoon dogs may have caused local extinction of frog populations, especially on islands. Raccoon dogs may compete with other carnivores for food, for example for carrion in winter, or for the best habitat patches. In northern Europe potential competitors include the red fox Vulpes vulpes and the badger Meles meles, but studies of their diets or habitat preferences do not indicate severe competition. The raccoon dog is an important vector of diseases and parasites, such as rabies, Echinococcus multilocularis and Trichinella spp. and this is no doubt the most severe consequence arising from the spread of this alien species in Europe [Current Zoology 57 (5): 584-598, 2011].</t>
  </si>
  <si>
    <t>[Kauhala, Kaarina] Finnish Game &amp; Fisheries Res Inst, FI-20520 Turku, Finland; [Kowalczyk, Rafal] Polish Acad Sci, Mammal Res Inst, PL-17230 Bialowieza, Poland</t>
  </si>
  <si>
    <t>Natural Resources Institute Finland (Luke); Polish Academy of Sciences; Mammal Research Institute of the Polish Academy of Sciences</t>
  </si>
  <si>
    <t>Kauhala, K (corresponding author), Finnish Game &amp; Fisheries Res Inst, Itainen Pitkakatu 3A, FI-20520 Turku, Finland.</t>
  </si>
  <si>
    <t>kaarina.kauhala@rktl.fi</t>
  </si>
  <si>
    <t>Kowalczyk, Rafał/0000-0001-7264-2158</t>
  </si>
  <si>
    <t>BEIJING</t>
  </si>
  <si>
    <t>CHINESE ACAD SCIENCES, INST ZOOLOGY, BEICHEN XILU, CHAOYANG DISTRICT, BEIJING, 100101, PEOPLES R CHINA</t>
  </si>
  <si>
    <t>1674-5507</t>
  </si>
  <si>
    <t>CURR ZOOL</t>
  </si>
  <si>
    <t>Curr. Zool.</t>
  </si>
  <si>
    <t>10.1093/czoolo/57.5.584</t>
  </si>
  <si>
    <t>800EX</t>
  </si>
  <si>
    <t>WOS:000293343700004</t>
  </si>
  <si>
    <t>Meli, ML; Simmler, P; Cattori, V; Martínez, F; Vargas, A; Palomares, F; López-Bao, JV; Simón, MA; López, G; León-Vizcaino, L; Hofmann-Lehmann, R; Lutz, H</t>
  </si>
  <si>
    <t>Meli, Marina L.; Simmler, Pascale; Cattori, Valentino; Martinez, Fernando; Vargas, Astrid; Palomares, Francisco; Lopez-Bao, Jose V.; Simon, Miguel A.; Lopez, Guillermo; Leon-Vizcaino, Luis; Hofmann-Lehmann, Regina; Lutz, Hans</t>
  </si>
  <si>
    <t>Feline pathogens; Lynx pardinus; Canine distemper virus; Real-time RT-PCR; Phylogenetic analysis; Serosurvey</t>
  </si>
  <si>
    <t>HEMAGGLUTININ GENES; SEROLOGIC SURVEY; WILD CARNIVORES; VIRAL-ANTIGEN; DOGS; SEROPREVALENCE; FOXES; ENCEPHALITIS; PARVOVIRUS; DISEASE</t>
  </si>
  <si>
    <t>Canine distemper virus (CDV) is a morbillivirus that is the etiological agent of one of the most important viral diseases affecting canids and an expanding range of other carnivores. Using real-time RT-PCR, CDV RNA was detected in organs of an Iberian lynx (Lynx pardinus) found dead in the Dofiana National Park, Southwestern Andalusia, Spain. This finding may be of great importance for the conservation of the species; at present the Iberian lynx is the most critically endangered wild felid. The aim of the present study was to elucidate the significance of CDV for the Iberian lynx population. High viral loads were evident in the dead lynx, suggesting an etiological involvement of CDV in its death. When carnivores from the same region were analyzed by CDV RT-PCR, a stone marten (Martes foina) was positive. Phylogenetic analyses demonstrated high identity of the two detected CDVs and a close relationship to the European dog lineage of CDV. Antibodies to CDV were detected in 14.8% of 88 tested free-ranging Iberian lynxes. The sample seroprevalence was significantly higher in lynxes from the Dofiana Natural Space (22.9%) than Sierra Morena (5%). The stone marten and a red fox (Vulpes vulpes) also tested seropositive. In conclusion, CDV is present in the Iberian lynx population, especially in the Dofiana region, with sporadic cases of disease. To reduce the infectious pressure of CDV on this endangered population, a mass dog vaccination should be considered. (C) 2010 Elsevier B.V. All rights reserved.</t>
  </si>
  <si>
    <t>[Meli, Marina L.; Simmler, Pascale; Cattori, Valentino; Hofmann-Lehmann, Regina; Lutz, Hans] Univ Zurich, Vetsuisse Fac, Clin Lab, CH-8057 Zurich, Switzerland; [Martinez, Fernando; Vargas, Astrid] Espacio Nat Donana, Programa Conservac Ex Situ Lince Iber, Matalascanas, Spain; [Palomares, Francisco; Lopez-Bao, Jose V.] CSIC, Estn Biol Donana, Dept Conservat Biol, E-41080 Seville, Spain; [Simon, Miguel A.] Consejeria Medio Ambiente, Jaen, Spain; [Lopez, Guillermo] Consejeria Medio Ambiente, EGMASA, Cordoba, Spain; [Leon-Vizcaino, Luis] Univ Murcia, Fac Vet Med, Dept Anim Hlth, Infect Dis Area, Murcia, Spain</t>
  </si>
  <si>
    <t>University of Zurich; Consejo Superior de Investigaciones Cientificas (CSIC); CSIC - Estacion Biologica de Donana (EBD); University of Murcia</t>
  </si>
  <si>
    <t>Meli, ML (corresponding author), Univ Zurich, Vetsuisse Fac, Clin Lab, Winterthurerstr 260, CH-8057 Zurich, Switzerland.</t>
  </si>
  <si>
    <t>mmeli@vetclinics.uzh.ch</t>
  </si>
  <si>
    <t>Cattori, Valentino/OAJ-2963-2025; Palomares, Francisco/F-5327-2016; Hofmann-Lehmann, Regina/C-6528-2009</t>
  </si>
  <si>
    <t>Cattori, Valentino/0000-0001-6856-1347; López-Bao, José Vicente/0000-0001-9213-998X; Palomares, Francisco/0000-0002-4655-7205; Hofmann-Lehmann, Regina/0000-0001-9750-4296</t>
  </si>
  <si>
    <t>Iberian Lynx Life Project [LIFENAT 02/E/8609]; Life Project [2006-2011, LIFENAT 06/E/0209]; Donana National Park; Spanish Ministry of Education and Science [CGL2004-00346/BOS]; Spanish Ministry of the Environment [1712005]</t>
  </si>
  <si>
    <t>Iberian Lynx Life Project; Life Project; Donana National Park; Spanish Ministry of Education and Science(Spanish Government); Spanish Ministry of the Environment(Spanish Government)</t>
  </si>
  <si>
    <t>The authors thank Y. Gahler, E. Gonczi, T. Meili Prodan, B. Pineroli, E. Rogg, E. Schuler and B. Weibel for excellent laboratory assistance, and the Environmental Council of the government of Andalusia for providing Iberian lynx samples. We thank our collaborators in the Iberian Lynx Life Project 2002-2005 (LIFENAT 02/E/8609), Life Project 2006-2011 (LIFENAT 06/E/0209) (especially M. Lopez-Parra and L. Fernandez), the Donana National Park, and the Ex Situ breeding program for sampling the free-ranging Iberian lynxes, and to L. Pena for her expertise in pathology. Some of the lynxes were trapped under research projects CGL2004-00346/BOS of the Spanish Ministry of Education and Science, and 1712005 of the Spanish Ministry of the Environment under the National Parks research program, with the collaboration of Land Rover Espana S.A. JVLB is an FPU fellow (Ministry of Education). Laboratory work was performed using the logistics of the Center for Clinical Studies, Vetsuisse Faculty, University of Zurich. RHL is the recipient of a professorship by the Swiss National Science Foundation (PP00P3-119136).</t>
  </si>
  <si>
    <t>NOV 20</t>
  </si>
  <si>
    <t>10.1016/j.vetmic.2010.04.024</t>
  </si>
  <si>
    <t>685YU</t>
  </si>
  <si>
    <t>Green Submitted, Green Accepted</t>
  </si>
  <si>
    <t>WOS:000284664800018</t>
  </si>
  <si>
    <t>Moinet, M; Fournier-Chambrillon, C; André-Fontaine, G; Aulagnier, S; Mesplède, A; Blanchard, B; Descarsin, V; Dumas, P; Dumas, Y; Coïc, C; Couzi, L; Fournier, P</t>
  </si>
  <si>
    <t>Moinet, Marie; Fournier-Chambrillon, Christine; Andre-Fontaine, Genevieve; Aulagnier, Stephane; Mesplede, Alain; Blanchard, Beatrice; Descarsin, Veronique; Dumas, Philippe; Dumas, Yann; Coic, Christophe; Couzi, Laurent; Fournier, Pascal</t>
  </si>
  <si>
    <t>France; Genetta; Leptospira interrogans sensu lato; Martes; Mustela; renal carriage; serology</t>
  </si>
  <si>
    <t>STRIPED SKUNKS; DISEASE; TRANSMISSION; CONSERVATION; EXPOSURE; PUTORIUS; RODENTS</t>
  </si>
  <si>
    <t>To study the possible role of disease in the decline of endangered European mink (Mustela lutreola), we conducted a survey of antibody prevalence and renal carriage of pathogenic leptospira (Leptospira interrogans sensu lato) using serum and kidney samples collected from 1990 to 2007 from several free-ranging small carnivores and farmed American mink (Mustela vison) in southwestern France. An indirect microscopic agglutination test using a panel of 16 serovars belonging to 6 serogroups (Australis, Autumnalis, Icterohaemorrhagiae, Grippotyphosa, Panama, Sejroe) revealed antibodies in all species, with significant differences in antibody prevalences: 74% in European mink (n=99), 65.4% in European polecats (Mustela putorius, n=133), 86% in American mink (n=74), 89% in stone martens (Martes foina, n=19), 74% in pine martens (Martes martes, n=19), 35% in corn moo genets (Genetta genetta, n=79), and 31.% in farmed American mink (n=51). Serogroups Australis and Icterohaemorragiae were dominant in most free-ranging species; serogroup Grippotyphosa had high prevalences in European mink. Such high antibody prevalences have never been reported. They are probably related to the large number of known reservoirs, rats (Rattus spp.), muskrat (Ondatra zibethicus), and coypu (Myocastor coypu), in the study area. The polymerase chain reaction test specific for pathogenic leptospiral DNA detected renal carriage in 23% of 34 European mink, 22% of 18 polecats, and 15% of 33 free-ranging American mink, with no significant differences. Renal carriage shows that mustelids may shed leptospira for short periods, but their epidemiologic role is probably limited. High antibody prevalences suggest that the disease is unlikely to be highly pathogenic for these species; however, chronic forms of the disease (abortions, renal lesions) could reduce the reproductive success or life span of infected animals. Further studies on the pathogenicity of leptospirosis in these populations are needed to measure its impact on the population dynamics of these rodent predators.</t>
  </si>
  <si>
    <t>[Moinet, Marie; Fournier-Chambrillon, Christine; Fournier, Pascal] Grp Rech &amp; Etud Gest Environm, Route Prechac, F-33730 Villandraut, France; [Moinet, Marie; Andre-Fontaine, Genevieve] Ecole Natl Vet Nantes, F-44307 Nantes, France; [Andre-Fontaine, Genevieve] Lab Bacteriol Med &amp; Mol Leptospires, F-44307 Nantes, France; [Aulagnier, Stephane] INRA, Comportement &amp; Ecol Faune Sauvage, F-31326 Castanet Tolosan, France; [Mesplede, Alain] Lab Dept Landes, F-40004 Mont De Marsan, France; [Blanchard, Beatrice] Adiagene, F-22000 St Brieuc, France; [Descarsin, Veronique] AES Lab, F-35172 Bruz, France; [Dumas, Philippe] Serv Dept Charente, Off Natl Chasse &amp; Faune Sauvage, F-16440 Nersac, France; [Dumas, Yann] Federat Dept Chasseurs Dordogne, F-24052 Perigueux 9, France; [Coic, Christophe] Cistude Nat, F-33185 Le Haillan, France; [Couzi, Laurent] Ligue Protect Oiseaux Aquitaine, F-33130 Begles, France; [Fournier, Pascal] Museum Natl Hist Nat, Soc Francaise Etud &amp; Protect Mammiferes, F-75231 Paris 05, France</t>
  </si>
  <si>
    <t>Ecole Nationale Veterinaire, Agroalimentaire et de l'Alimentation Nantes-Atlantique; INRAE; Museum National d'Histoire Naturelle (MNHN)</t>
  </si>
  <si>
    <t>Moinet, Marie/AAH-9523-2021</t>
  </si>
  <si>
    <t>Moinet, Marie/0000-0002-8833-2717</t>
  </si>
  <si>
    <t>Conseil General des Landes; Conseil Regional d'Aquitaine; Groupe de Recherche et d'Etude pour la Gestion de l'Environnement; Laboratoire de Bacteriologic Medicale et Moleculaire des Leptospires; Ministere de l'Ecologie et du Developpement Durable</t>
  </si>
  <si>
    <t>Conseil General des Landes(Region Nouvelle-Aquitaine); Conseil Regional d'Aquitaine(Region Nouvelle-Aquitaine); Groupe de Recherche et d'Etude pour la Gestion de l'Environnement; Laboratoire de Bacteriologic Medicale et Moleculaire des Leptospires; Ministere de l'Ecologie et du Developpement Durable</t>
  </si>
  <si>
    <t>This study was funded by the Conseil General des Landes, Conseil Regional d'Aquitaine, Groupe de Recherche et d'Etude pour la Gestion de l'Environnement, Laboratoire de Bacteriologic Medicale et Moleculaire des Leptospires, and Ministere de l'Ecologie et du Developpement Durable. We thank E. Faure, M. Liabeuf, E. Mazzola-Rossi and A. Perrot for their contribution to the handling of the animals, T. Agrafel, S. Goujon and A. Granel who allowed us to sample American mink in their farms, B. Bedel for its contribution to the data capture, arid E. Mathieu from Pfizer Sante Animale who kindly provided Domitor (R) and Antisedan (R) for the anesthesia of the animals. Special acknowledgement goes to all members of the Reseau Vison d'Europe, the large trapping network which captured the animals.</t>
  </si>
  <si>
    <t>10.7589/0090-3558-46.4.1141</t>
  </si>
  <si>
    <t>676FP</t>
  </si>
  <si>
    <t>WOS:000283896600009</t>
  </si>
  <si>
    <t>Miller, MA; Conrad, PA; Harris, M; Hatfield, B; Langlois, G; Jessup, DA; Magargal, SL; Packham, AE; Toy-Choutka, S; Melli, AC; Murray, MA; Gulland, FM; Grigg, ME</t>
  </si>
  <si>
    <t>Miller, Melissa A.; Conrad, Patricia A.; Harris, Michael; Hatfield, Brian; Langlois, Gregg; Jessup, David A.; Magargal, Spencer L.; Packham, Andrea E.; Toy-Choutka, Sharon; Melli, Ann C.; Murray, Michael A.; Gulland, Frances M.; Grigg, Michael E.</t>
  </si>
  <si>
    <t>Sea otter; Enhydra lutris; Sarcocystis neurona; 18S rDNA; ITS-1; Epizootic</t>
  </si>
  <si>
    <t>TOXOPLASMA-GONDII; COASTAL CALIFORNIA; WATER; MUSSELS; MENINGOENCEPHALITIS; OUTBREAK; DISEASES; RUNOFF; SPP.</t>
  </si>
  <si>
    <t>During April 2004,40 sick and dead southern sea otters (Enhydra lutris nereis) were recovered over 18 km of coastline near Morro Bay, California. This event represented the single largest monthly spike in mortality ever recorded during 30 years of southern sea otter stranding data collection. Because of the point-source nature of the event and clinical signs consistent with severe, acute neurological disease, exposure to a chemical or marine toxin was initially considered. However, detailed postmortem examinations revealed lesions consistent with an infectious etiology, and further investigation confirmed the protozoan parasite Sarcocystis neurona as the underlying cause. Tissues from 94% of examined otters were PCR-positive for S. neurona, based on DNA amplification and sequencing at the ITS-1 locus, and 100% of tested animals (n = 14) had elevated IgM and IgG titers to S. neurona. Evidence to support the point-source character of this event include the striking spatial and temporal clustering of cases and detection of high concentrations of anti-S. neurona IgM in serum of stranded animals. Concurrent exposure to the marine biotoxin domoic acid may have enhanced susceptibility of affected otters to S. neurona and exacerbated the neurological signs exhibited by stranded animals. Other factors that may have contributed to the severity of this epizootic include a large rainstorm that preceded the event and an abundance of razor clams near local beaches, attracting numerous otters close to shore within the affected area. This is the first report of a localized epizootic in marine wildlife caused by apicomplexan protozoa. (C) 2010 Elsevier B.V. All rights reserved.</t>
  </si>
  <si>
    <t>[Miller, Melissa A.; Harris, Michael; Jessup, David A.; Toy-Choutka, Sharon] CDFG OSPR, Marine Wildlife Vet Care &amp; Res Ctr, Santa Cruz, CA 95060 USA; [Conrad, Patricia A.; Packham, Andrea E.; Melli, Ann C.] Univ Calif Davis, Dept Pathol Microbiol &amp; Immunol, Sch Vet Med, Davis, CA 95616 USA; [Hatfield, Brian] US Geol Survey, San Simeon, CA 93452 USA; [Langlois, Gregg] Calif Dept Hlth Serv, Environm Management Branch, Richmond, CA 94804 USA; [Magargal, Spencer L.; Grigg, Michael E.] NIAID, Mol Parasitol Unit, Parasit Dis Lab, NIH, Bethesda, MD 20892 USA; [Murray, Michael A.] Monterey Bay Aquarium, Monterey, CA 93940 USA; [Gulland, Frances M.] Marine Mammal Ctr, Sausalito, CA 94965 USA</t>
  </si>
  <si>
    <t>University of California System; University of California Davis; United States Department of the Interior; United States Geological Survey; California Department of Health Care Services; National Institutes of Health (NIH) - USA; NIH National Institute of Allergy &amp; Infectious Diseases (NIAID); Monterey Bay Aquarium Research Institute</t>
  </si>
  <si>
    <t>Miller, MA (corresponding author), CDFG OSPR, Marine Wildlife Vet Care &amp; Res Ctr, Santa Cruz, CA 95060 USA.</t>
  </si>
  <si>
    <t>mmiller@ospr.dfg.ca.gov</t>
  </si>
  <si>
    <t>NIH; NIAID; CDFG-OSPR; USGS; Monterey Bay Aquarium; United States Fish and Wildlife Service; National Institute of Allergy and Infectious Diseases [ZIAAI001018] Funding Source: NIH RePORTER</t>
  </si>
  <si>
    <t>NIH(United States Department of Health &amp; Human ServicesNational Institutes of Health (NIH) - USA); NIAID(United States Department of Health &amp; Human ServicesNational Institutes of Health (NIH) - USANIH National Institute of Allergy &amp; Infectious Diseases (NIAID)); CDFG-OSPR; USGS(United States Geological Survey); Monterey Bay Aquarium; United States Fish and Wildlife Service(US Fish &amp; Wildlife Service); National Institute of Allergy and Infectious Diseases(United States Department of Health &amp; Human ServicesNational Institutes of Health (NIH) - USANIH National Institute of Allergy &amp; Infectious Diseases (NIAID))</t>
  </si>
  <si>
    <t>We thank J. Ames, E. Berberich, D. Brownstein, E. Dodd, E. Dorfmeier, J. Mazet and W. Miller for assistance. The Microbial Diseases Laboratory and the Food and Drug Laboratory, CDPH, for DA analyses. This research was supported in part by the Intramural Research Program of the NIH and NIAID (MEG), CDFG-OSPR, USGS, Monterey Bay Aquarium and the United States Fish and Wildlife Service. This manuscript is dedicated to Dr Peter Kennedy, an outstanding pathologist, mentor and lifelong student who believed in doing good things for sea otters.</t>
  </si>
  <si>
    <t>10.1016/j.vetpar.2010.05.019</t>
  </si>
  <si>
    <t>652FY</t>
  </si>
  <si>
    <t>WOS:000281989700002</t>
  </si>
  <si>
    <t>Rejmanek, D; Miller, MA; Grigg, ME; Crosbie, PR; Conrad, PA</t>
  </si>
  <si>
    <t>Rejmanek, Daniel; Miller, Melissa A.; Grigg, Michael E.; Crosbie, Paul R.; Conrad, Patricia A.</t>
  </si>
  <si>
    <t>Sarcocystis neurona; Opossum (Didelphis virginiana); Sea otter (Enhydra lutris); Surface antigen genes (SAGs); Microsatellite; Genetic marker</t>
  </si>
  <si>
    <t>EQUINE PROTOZOAL MYELOENCEPHALITIS; POLYMERASE-CHAIN-REACTION; OTTERS ENHYDRA-LUTRIS; CATS FELIS-DOMESTICUS; DUBEY ET-AL.; TOXOPLASMA-GONDII; SURFACE-ANTIGEN; SEQUENCE-ANALYSIS; RISK-FACTORS; APICOMPLEXA</t>
  </si>
  <si>
    <t>Sarcocystis neurona is a significant cause of neurological disease in horses and other animals, including the threatened Southern sea otter (Enhydra lutris nereis). Opossums (Didelphis virginiana), the only known definitive hosts for S. neurona in North America, are an introduced species in California. S. neurona DNA isolated from sporocysts and/or infected tissues of 10 opossums, 6 horses, 1 cat, 23 Southern sea otters, and 1 harbor porpoise (Phocoena phocoena) with natural infections was analyzed based on 15 genetic markers, including the first internal transcribed spacer (ITS-1) region; the 25/396 marker; S. neurona surface antigen genes (snSAGs) 2, 3, and 4; and 10 different microsatellites. Based on phylogenetic analysis, most of the S. neurona strains segregated into three genetically distinct groups. Additionally, fifteen S. neurona samples from opossums and several intermediate hosts, including sea otters and horses, were found to be genetically identical across all 15 genetic markers, indicating that fatal encephalitis in Southern sea otters and equine protozoal myeloencephalitis (EPM) in horses is strongly linked to S. neurona sporocysts shed by opossums. (C) 2010 Published by Elsevier B.V.</t>
  </si>
  <si>
    <t>[Rejmanek, Daniel; Conrad, Patricia A.] Univ Calif Davis, Dept Pathol Microbiol &amp; Immunol, Sch Vet Med, Davis, CA 95616 USA; [Miller, Melissa A.] Marine Wildlife Vet Care &amp; Res Ctr, Calif Dept Fish &amp; Game, Santa Cruz, CA 95060 USA; [Grigg, Michael E.] NIAID, Mol Parasitol Unit, Parasit Dis Lab, NIH, Bethesda, MD 20892 USA; [Crosbie, Paul R.] Calif State Univ Fresno, Dept Biol, Fresno, CA 93740 USA</t>
  </si>
  <si>
    <t>University of California System; University of California Davis; National Institutes of Health (NIH) - USA; NIH National Institute of Allergy &amp; Infectious Diseases (NIAID); California State University System; California State University Fresno</t>
  </si>
  <si>
    <t>Rejmanek, D (corresponding author), Univ Calif Davis, Dept Pathol Microbiol &amp; Immunol, Sch Vet Med, 1 Shields Ave, Davis, CA 95616 USA.</t>
  </si>
  <si>
    <t>drejmanek@ucdavis.edu; paconrad@ucdavis.edu</t>
  </si>
  <si>
    <t>Moss Foundation; Morris Animal Foundation; UC Davis Center for Equine Health; UC Davis Wildlife Health Center; Prescott Fund; NIH; NIAID (MEG); Canadian Institute for Advanced Research (CIFAR); National Institute of Allergy and Infectious Diseases [ZIAAI001018, ZIAAI001017] Funding Source: NIH RePORTER</t>
  </si>
  <si>
    <t>Moss Foundation; Morris Animal Foundation; UC Davis Center for Equine Health; UC Davis Wildlife Health Center; Prescott Fund; NIH(United States Department of Health &amp; Human ServicesNational Institutes of Health (NIH) - USA); NIAID (MEG)(United States Department of Health &amp; Human ServicesNational Institutes of Health (NIH) - USANIH National Institute of Allergy &amp; Infectious Diseases (NIAID)); Canadian Institute for Advanced Research (CIFAR)(Canadian Institute for Advanced Research (CIFAR)); National Institute of Allergy and Infectious Diseases(United States Department of Health &amp; Human ServicesNational Institutes of Health (NIH) - USANIH National Institute of Allergy &amp; Infectious Diseases (NIAID))</t>
  </si>
  <si>
    <t>This research was supported in part through funding from the Moss Foundation, Morris Animal Foundation, UC Davis Center for Equine Health, the UC Davis Wildlife Health Center, the Prescott Fund and by the Intramural Research Program of the NIH and NIAID (MEG). MEG is a scholar of the Canadian Institute for Advanced Research (CIFAR) Program for Integrated Microbial Biodiversity. We would like to thank the staff of the California Department of Fish and Game Marine Wildlife Veterinary Care and Research Center for their assistance in obtaining sea otter and opossum samples, Antoinette Marsh for providing several S. neurona isolates, Frances Gulland, David Casper, and Elizabeth Wheeler for providing harbor porpoise tissues, Kevin Keel and the Brookfield Zoo for providing multiple opossum intestinal samples, Amandeep Nandra and Jered Wendte for sharing unpublished data and primer designs, and Jonna Mazet for intellectual feedback on the manuscript.</t>
  </si>
  <si>
    <t>MAY 28</t>
  </si>
  <si>
    <t>10.1016/j.vetpar.2009.12.045</t>
  </si>
  <si>
    <t>609SX</t>
  </si>
  <si>
    <t>WOS:000278678500004</t>
  </si>
  <si>
    <t>Dandár, E; Szabó, L; Heltai, M; Doszpoly, A</t>
  </si>
  <si>
    <t>Dandar Eszter; Szabo Laszlo; Heltai Miklos; Doszpoly Andor</t>
  </si>
  <si>
    <t>MAGYAR ALLATORVOSOK LAPJA</t>
  </si>
  <si>
    <t>Hungarian</t>
  </si>
  <si>
    <t>SEROLOGIC SURVEY; INFECTION; CANINE; SEQUENCE; DISEASE; TYPE-1; ALASKA; MELES</t>
  </si>
  <si>
    <t>The purpose of this study was to conduct a survey on the occurrence of adenoviruses and herpesviruses in different mammalian predators in Hungary. To this end, samples were collected from 75 individuals including native free living and zoo animals. For the presence of adenovirus, only two samples of golden jackals (Canis aureus) were found to be positive. According to the sequence analysis of the PCR products, both samples contained a virus identical with canine adenovirus type 2 (CAdV-2). For herpesviruses, merely one sample was positive. This was the single sample originating from a European badger (Meles meles). The nucleotide sequence of the PCR product was almost identical with the corresponding sequence of the Mustelid herpesvirus 1 (MuHV-1) that has been recently isolated in Great Britain. To increase the sample number, the carnivorous source was the only selection criterion during the collection, and excretes of apparently healthy zoo animals as well as internal organs from animals shot during hunting were also included. Thus, the majority of the examined samples were from clinically healthy individuals. In the case of both viruses, a very sensitive, nested PCR method was used. The chances to detect these viruses, which are prone to establish persistent infection, are probably limited to animals that are in active viraemic status. One major finding is the first demonstration of the presence of MuHV-1 in Hungary and also in the European continent. Moreover, this is the first report on the molecular detection of CAdV-2 in European golden jackals.</t>
  </si>
  <si>
    <t>[Dandar Eszter; Doszpoly Andor] Hungarian Acad Sci, Allatorvos Tud Kutatoint, H-1143 Budapest, Hungary</t>
  </si>
  <si>
    <t>HUN-REN; HUN-REN Centre for Agricultural Research; Hungarian Academy of Sciences</t>
  </si>
  <si>
    <t>Dandár, E (corresponding author), Hungarian Acad Sci, Allatorvos Tud Kutatoint, Hungaria Krt 21, H-1143 Budapest, Hungary.</t>
  </si>
  <si>
    <t>adoszpoly@vmri.hu</t>
  </si>
  <si>
    <t>MEZOGAZDA KIADO KFT</t>
  </si>
  <si>
    <t>BUDAPEST</t>
  </si>
  <si>
    <t>PO BOX 16, 1631 BUDAPEST, HUNGARY</t>
  </si>
  <si>
    <t>0025-004X</t>
  </si>
  <si>
    <t>MAGY ALLATORVOSOK</t>
  </si>
  <si>
    <t>Magy. Allatorv. Lapja</t>
  </si>
  <si>
    <t>598UG</t>
  </si>
  <si>
    <t>WOS:000277863700007</t>
  </si>
  <si>
    <t>Wendte, JM; Miller, MA; Nandra, AK; Peat, SM; Crosbie, PR; Conrad, PA; Grigg, ME</t>
  </si>
  <si>
    <t>Wendte, J. M.; Miller, M. A.; Nandra, A. K.; Peat, S. M.; Crosbie, P. R.; Conrad, P. A.; Grigg, M. E.</t>
  </si>
  <si>
    <t>Sarcocystis neurona; Sea otter (Enhydra lutris); SnSAG; Genotyping; Population genetics</t>
  </si>
  <si>
    <t>ENHYDRA-LUTRIS-NEREIS; EQUINE PROTOZOAL MYELOENCEPHALITIS; PHOCA-VITULINA-RICHARDSI; TOXOPLASMA-GONDII; SURFACE-ANTIGEN; MENINGOENCEPHALITIS; DIFFERENTIATION; POPULATION; CALIFORNIA; MORTALITY</t>
  </si>
  <si>
    <t>Sarcocystis neurona is an apicomplexan parasite identified as a cause of fatal neurological disease in the threatened southern sea otter (Enhydra lutris nereis). In an effort to characterize virulent S. neurona strains circulating in the marine ecosystem, this study developed a range of markers relevant for molecular genotyping. Highly conserved sequences within the 18S ribosomal gene array, the plastid-encoded RNA polymerase (RPOb) and the cytochrome c oxidase subunit 1 mitochondrial gene (CO1) were assessed for their ability to distinguish isolates at the genus and species level. For within-species comparisons, five surface antigens (SnSAG1-SnSAG5) and one high resolution microsatellite marker (Sn9) were developed as genotyping markers to evaluate intra-strain diversity. Molecular analysis at multiple loci revealed insufficient genetic diversity to distinguish terrestrial isolates from strains infecting marine mammals. Furthermore, SnSAG specific primers applied against DNA from the closely related species, Sarcocystis falcatula, lead to the discovery of highly similar orthologs to SnSAG2, 3, and 4, calling into question the specificity of diagnostic tests based on these antigens. The results of this study suggest a population genetic structure for S. neurona similar to that reported for the related parasite, Toxoplasma gondii, dominated by a limited number of successful genotypes. Published by Elsevier B.V.</t>
  </si>
  <si>
    <t>[Wendte, J. M.; Nandra, A. K.; Grigg, M. E.] NIAID, Mol Parasitol Unit, Parasit Dis Lab, NIH, Bethesda, MD 20892 USA; [Wendte, J. M.] Oklahoma State Univ, Ctr Vet Hlth Sci, Dept Vet Pathobiol, Stillwater, OK 74074 USA; [Wendte, J. M.] NIH, Howard Hughes Med Inst, Res Scholars Program, Bethesda, MD 20814 USA; [Miller, M. A.] Marine Wildlife Vet Care &amp; Res Ctr, Calif Dept Fish &amp; Game, Santa Cruz, CA 95060 USA; [Peat, S. M.; Crosbie, P. R.] Calif State Univ Fresno, Dept Biol, Fresno, CA 93740 USA; [Peat, S. M.] Brigham Young Univ, Dept Biol, Provo, UT 84602 USA; [Conrad, P. A.] Univ Calif Davis, Sch Vet Med, Dept Pathol Microbiol &amp; Immunol, Davis, CA 95616 USA</t>
  </si>
  <si>
    <t>National Institutes of Health (NIH) - USA; NIH National Institute of Allergy &amp; Infectious Diseases (NIAID); Oklahoma State University System; Oklahoma State University - Stillwater; Howard Hughes Medical Institute; National Institutes of Health (NIH) - USA; California State University System; California State University Fresno; Brigham Young University; University of California System; University of California Davis</t>
  </si>
  <si>
    <t>Grigg, ME (corresponding author), NIAID, Mol Parasitol Unit, Parasit Dis Lab, NIH, Bethesda, MD 20892 USA.</t>
  </si>
  <si>
    <t>griggm@niaid.nih.gov</t>
  </si>
  <si>
    <t>Wendte, Jered Michael/0009-0005-9894-5276</t>
  </si>
  <si>
    <t>NIH; NIAID; College of Science and Mathematics; Division of Graduate Studies, and Associated Students at California State University, Fresno (SMP); National Institute of Allergy and Infectious Diseases [ZIAAI001018] Funding Source: NIH RePORTER</t>
  </si>
  <si>
    <t>NIH(United States Department of Health &amp; Human ServicesNational Institutes of Health (NIH) - USA); NIAID(United States Department of Health &amp; Human ServicesNational Institutes of Health (NIH) - USANIH National Institute of Allergy &amp; Infectious Diseases (NIAID)); College of Science and Mathematics; Division of Graduate Studies, and Associated Students at California State University, Fresno (SMP); National Institute of Allergy and Infectious Diseases(United States Department of Health &amp; Human ServicesNational Institutes of Health (NIH) - USANIH National Institute of Allergy &amp; Infectious Diseases (NIAID))</t>
  </si>
  <si>
    <t>This work was supported by the Intramural Research Program of the NIH and NIAID (MEG) and by the College of Science and Mathematics. Division of Graduate Studies, and Associated Students at California State University, Fresno (SMP). MEG is a scholar of the Canadian Institute for Advanced Research (CIFAR) Program for Integrated Microbial Biodiversity. JMW is an HHMI-NIH Research Scholar. We would like to thank the staff of the California Department of Fish and Game Marine Wildlife Veterinary Care and Research Center and Dr. Frances Gulland at the Marine Mammal Center for their assistance in obtaining samples from sea otters and harbor seals, respectively, Ann Melli and Andrea Packham for their assistance in cultivating the parasite isolates for this study, Spencer Magargal for initial molecular characterization, and Jose Soto for assistance in sequence generation. Thanks to J.P. Dubey and Stephen Raverty for kindly providing S. neurona and S. cruzi, S. campestris isolates, respectively.</t>
  </si>
  <si>
    <t>APR 19</t>
  </si>
  <si>
    <t>10.1016/j.vetpar.2009.12.020</t>
  </si>
  <si>
    <t>585CE</t>
  </si>
  <si>
    <t>WOS:000276801100006</t>
  </si>
  <si>
    <t>Matchett, MR; Biggins, DE; Carlson, V; Powell, B; Rocke, T</t>
  </si>
  <si>
    <t>Matchett, Marc R.; Biggins, Dean E.; Carlson, Valerie; Powell, Bradford; Rocke, Tonie</t>
  </si>
  <si>
    <t>Black-footed ferrets; Black-tailed prairie dogs; Cynomys ludoviscianus; Deltamethrin; Enzootic; F1-V fusion protein plague vaccine; Mustela nigripes; Plague; Yersinia pestis</t>
  </si>
  <si>
    <t>F1-V FUSION PROTEIN; PRAIRIE DOG COLONIES; YERSINIA-PESTIS; FLEAS; DYNAMICS; TRANSMISSION</t>
  </si>
  <si>
    <t>Black-footed ferrets ( Mustela nigripes) require extensive prairie dog colonies (Cynomys spp.) to provide habitat and prey. Epizootic plague kills both prairie dogs and ferrets and is a major factor limiting recovery of the highly endangered ferret. In addition to epizootics, we hypothesized that enzootic plague, that is, presence of disease-causing Yersinia pestis without any noticeable prairie dog die off, may also affect ferret survival. We reduced risk of plague on portions of two ferret reintroduction areas by conducting flea control for 3 years. Beginning in 2004, about half of the ferrets residing on dusted and nondusted colonies were vaccinated against plague with an experimental vaccine (F1-V fusion protein). We evaluated 6-month reencounter rates ( percentage of animals observed at the end of an interval that were known alive at the beginning of the interval), an index to survival, for ferrets in four treatment groups involving all combinations of vaccination and flea control. For captive-reared ferrets ( 115 individuals observed across 156 time intervals), reencounter rates were higher for vaccinates (0.44) than for nonvaccinates (0.23, p = 0.044) on colonies without flea control, but vaccination had no detectable effect on colonies with flea control ( vaccinates 0.41, nonvaccinates 0.42, p = 0.754). Flea control resulted in higher reencounter rates for nonvaccinates (p = 0.026), but not for vaccinates (p = 0.508). The enhancement of survival due to vaccination or flea control supports the hypothesis that enzootic plague reduces ferret survival, even when there was no noticeable decline in prairie dog abundance. The collective effects of vaccination and flea control compel a conclusion that fleas are required for maintenance, and probably transmission, of plague at enzootic levels. Other studies have demonstrated similar effects of flea control on several species of prairie dogs and, when combined with this study, suggest that the effects of enzootic plague are widespread. Finally, we demonstrated that the experimental F1-V fusion protein vaccine provides protection to ferrets in the wild.</t>
  </si>
  <si>
    <t>[Matchett, Marc R.] US Fish &amp; Wildlife Serv, Lewistown, MT 59457 USA; [Biggins, Dean E.] US Geol Survey, Ft Collins Sci Ctr, Ft Collins, CO USA; [Carlson, Valerie] Bur Land Management, Malta, MT USA; [Powell, Bradford] USA, Med Res Inst Infect Dis, Bacteriol Div, Frederick, MD USA; [Rocke, Tonie] US Geol Survey, Natl Wildlife Hlth Ctr, Madison, WI USA</t>
  </si>
  <si>
    <t>Matchett, MR (corresponding author), US Fish &amp; Wildlife Serv, POB 110,333 Airport Rd, Lewistown, MT 59457 USA.</t>
  </si>
  <si>
    <t>randy_matchett@fws.gov</t>
  </si>
  <si>
    <t>10.1089/vbz.2009.0053</t>
  </si>
  <si>
    <t>555PS</t>
  </si>
  <si>
    <t>WOS:000274526200005</t>
  </si>
  <si>
    <t>Miller, MA; Byrne, BA; Jang, SS; Dodd, EM; Dorfmeier, E; Harris, MD; Ames, J; Paradies, D; Worcester, K; Jessup, DA; Miller, WA</t>
  </si>
  <si>
    <t>Miller, Melissa A.; Byrne, Barbara A.; Jang, Spencer S.; Dodd, Erin M.; Dorfmeier, Elene; Harris, Michael D.; Ames, Jack; Paradies, David; Worcester, Karen; Jessup, David A.; Miller, Woutrina A.</t>
  </si>
  <si>
    <t>VETERINARY RESEARCH</t>
  </si>
  <si>
    <t>Campylobacter; Clostridium; sea otter; Salmonella; Vibrio</t>
  </si>
  <si>
    <t>NORTHERN ELEPHANT SEALS; VIBRIO-CHOLERAE NON-O1; CLOSTRIDIUM-PERFRINGENS; PLESIOMONAS-SHIGELLOIDES; REHABILITATION CENTERS; MCMURDO STATION; CALIFORNIA; MARINE; SALMONELLA; SPP.</t>
  </si>
  <si>
    <t>Although protected for nearly a century, California's sea otters have been slow to recover, in part due to exposure to fecally-associated protozoal pathogens like Toxoplasma gondii and Sarcocystis neurona. However, potential impacts from exposure to fecal bacteria have not been systematically explored. Using selective media, we examined feces from live and dead sea otters from California for specific enteric bacterial pathogens (Campylobacter, Salmonella, Clostridium perfringens, C. difficile and Escherichia coli O157:H7), and pathogens endemic to the marine environment (Vibrio cholerae, V. parahaemolyticus and Plesiomonas shigelloides). We evaluated statistical associations between detection of these pathogens in otter feces and demographic or environmental risk factors for otter exposure, and found that dead otters were more likely to test positive for C. perfringens, Campylobacter and V. parahaemolyticus than were live otters. Otters from more urbanized coastlines and areas with high freshwater runoff (near outflows of rivers or streams) were more likely to test positive for one or more of these bacterial pathogens. Other risk factors for bacterial detection in otters included male gender and fecal samples collected during the rainy season when surface runoff is maximal. Similar risk factors were reported in prior studies of pathogen exposure for California otters and their invertebrate prey, suggesting that land-sea transfer and/or facilitation of pathogen survival in degraded coastal marine habitat may be impacting sea otter recovery. Because otters and humans share many of the same foods, our findings may also have implications for human health.</t>
  </si>
  <si>
    <t>[Miller, Melissa A.; Dodd, Erin M.; Dorfmeier, Elene; Harris, Michael D.; Ames, Jack; Jessup, David A.] Marine Wildlife Vet Care &amp; Res Ctr, Calif Dept Fish &amp; Game, Santa Cruz, CA 95060 USA; [Byrne, Barbara A.; Miller, Woutrina A.] Univ Calif Davis, Dept Pathol Microbiol &amp; Immunol, Sch Vet Med, Davis, CA 95616 USA; [Byrne, Barbara A.; Jang, Spencer S.] Univ Calif Davis, Microbiol Lab, Vet Med Teaching Hosp, Davis, CA 95616 USA; [Paradies, David] Bay Fdn Morro Bay, Morro Bay, CA 93442 USA; [Worcester, Karen] Cent Coast Reg Water Qual Control Board, San Luis Obispo, CA 93401 USA</t>
  </si>
  <si>
    <t>Miller, MA (corresponding author), Marine Wildlife Vet Care &amp; Res Ctr, Calif Dept Fish &amp; Game, 1451 Shaffer Rd, Santa Cruz, CA 95060 USA.</t>
  </si>
  <si>
    <t>Trujillo, Elene/0000-0003-3721-9113;</t>
  </si>
  <si>
    <t>California Department of Fish and Game; Central Coast Regional Water Quality Control Board; US Fish and Wildlife Service; Duke Power and the City of Pacific Grove</t>
  </si>
  <si>
    <t>California Department of Fish and Game; Central Coast Regional Water Quality Control Board; US Fish and Wildlife Service(US Fish &amp; Wildlife Service); Duke Power and the City of Pacific Grove</t>
  </si>
  <si>
    <t>We thank E. Berberich, D. Brownstein, L. Carswell, A. Fisher, H. Harris, B. Hatfield, M. Kenner, M. Murray, A. Schneider, M. Staedler, K. Starzel, T. Tinker and S. Toy- Choutka for sample collection. Financial support was provided by the California Department of Fish and Game, the Central Coast Regional Water Quality Control Board, the US Fish and Wildlife Service, Duke Power and the City of Pacific Grove. We acknowledge the Monterey Bay Aquarium, the Marine Mammal Center, USGSBRD, the United States Fish and Wildlife Service and CDFG for their efforts to recover and care for sick, stranded marine animals.</t>
  </si>
  <si>
    <t>0928-4249</t>
  </si>
  <si>
    <t>1297-9716</t>
  </si>
  <si>
    <t>VET RES</t>
  </si>
  <si>
    <t>Vet. Res.</t>
  </si>
  <si>
    <t>10.1051/vetres/2009049</t>
  </si>
  <si>
    <t>522ZY</t>
  </si>
  <si>
    <t>WOS:000272040500001</t>
  </si>
  <si>
    <t>Torracca, B; Macchioni, F; Masetti, M; Gabrielli, S; Guardone, L; Prati, MC; Magi, M</t>
  </si>
  <si>
    <t>Torracca, Beatrice; Macchioni, Fabio; Masetti, Massimo; Gabrielli, Simone; Guardone, Lisa; Prati, Maria Cristina; Magi, Marta</t>
  </si>
  <si>
    <t>RACCOONS PROCYON-LOTOR; JAPAN</t>
  </si>
  <si>
    <t>[Torracca, Beatrice; Macchioni, Fabio; Guardone, Lisa; Magi, Marta] Univ Pisa, Dipartimento Patol Anim Profilassi &amp; Igiene Alime, I-56124 Pisa, Italy; [Masetti, Massimo; Gabrielli, Simone] Univ Pisa, Dipartimento Biol, I-56126 Pisa, Italy; [Prati, Maria Cristina] Scuola Normale Super Pisa, Pisa, Italy; [Prati, Maria Cristina] Ist Nazl Fis Nucl, Sez Pisa, Pisa, Italy</t>
  </si>
  <si>
    <t>University of Pisa; University of Pisa; Scuola Normale Superiore di Pisa; Istituto Nazionale di Fisica Nucleare (INFN)</t>
  </si>
  <si>
    <t>Macchioni, F (corresponding author), Univ Pisa, Dipartimento Patol Anim Profilassi &amp; Igiene Alime, Viale Piagge 2, I-56124 Pisa, Italy.</t>
  </si>
  <si>
    <t>fmacchion@vet.unipi.it</t>
  </si>
  <si>
    <t>; Guardone, Lisa/AAC-1178-2022</t>
  </si>
  <si>
    <t>Macchioni, Fabio/0000-0002-7664-7252; Magi, Marta/0000-0003-2378-5368; Torracca, Beatrice/0000-0001-9233-4136</t>
  </si>
  <si>
    <t>10.4404/Hystrix-21.2-4474</t>
  </si>
  <si>
    <t>721EF</t>
  </si>
  <si>
    <t>WOS:000287335700011</t>
  </si>
  <si>
    <t>Cunningham, MW; Shindle, DB; Allison, AB; Terrell, SP; Mead, DG; Owen, M</t>
  </si>
  <si>
    <t>Cunningham, M. W.; Shindle, D. B.; Allison, A. B.; Terrell, S. P.; Mead, D. G.; Owen, M.</t>
  </si>
  <si>
    <t>Canine distemper virus; Everglades mink; morbillivirus; Mustela; Neovison vison evergladensis; southern Florida</t>
  </si>
  <si>
    <t>EUROPEAN MINK; VIRUS; TOXOPLASMOSIS; CARNIVORES; DOGS</t>
  </si>
  <si>
    <t>Four free-ranging mink, Neovison vison, collected between June and September 2004 in the Fakahatchee Strand Preserve State Park (FSPSP, Florida, USA), were examined for canine distemper virus (CDV) infection. Microscopic lesions and viral inclusions consistent with CDV infection were observed in three mink. Virus isolation and reverse transcription-polymerase chain reaction performed on all mink were positive for CDV. Anecdotal records of mink observations in FSPSP suggest a postepizootic decline in the mink population followed by an apparent recovery. We recommend further research to assess the status of the Everglades mink and the impact of CDV on this and other American mink populations in Florida.</t>
  </si>
  <si>
    <t>[Cunningham, M. W.] Florida Fish &amp; Wildlife Conservat Commiss, Gainesville, FL 32601 USA; [Shindle, D. B.] Conservancy SW Florida, Div Environm Sci, Naples, FL 34102 USA; [Allison, A. B.; Mead, D. G.] Univ Georgia, Coll Vet Med, Dept Populat Heath, SE Cooperat Wildlife Dis Study, Athens, GA 30602 USA; [Terrell, S. P.] Disneys Anim Kingdom, Bay Lake, FL 32830 USA; [Owen, M.] Fakahatchee Strand Preserve State Pk, Copeland, FL 34137 USA</t>
  </si>
  <si>
    <t>Florida Fish &amp; Wildlife Conservation Commission; University System of Georgia; University of Georgia; Walt Disney Company</t>
  </si>
  <si>
    <t>Cunningham, MW (corresponding author), Florida Fish &amp; Wildlife Conservat Commiss, 1105 SW Williston Rd, Gainesville, FL 32601 USA.</t>
  </si>
  <si>
    <t>mark.cunningham@myfwc.com</t>
  </si>
  <si>
    <t>; Mead, Daniel/F-7501-2013</t>
  </si>
  <si>
    <t>Allison, Anew B/0000-0003-0971-1215;</t>
  </si>
  <si>
    <t>10.7589/0090-3558-45.4.1150</t>
  </si>
  <si>
    <t>520VN</t>
  </si>
  <si>
    <t>WOS:000271877700023</t>
  </si>
  <si>
    <t>Miller, MA; Barr, BC; Nordhausen, R; James, ER; Magargal, SL; Murray, M; Conrad, PA; Toy-Choutka, S; Jessup, DA; Grigg, ME</t>
  </si>
  <si>
    <t>Miller, M. A.; Barr, B. C.; Nordhausen, R.; James, E. R.; Magargal, S. L.; Murray, M.; Conrad, P. A.; Toy-Choutka, S.; Jessup, D. A.; Grigg, M. E.</t>
  </si>
  <si>
    <t>INTERNATIONAL JOURNAL FOR PARASITOLOGY</t>
  </si>
  <si>
    <t>Sea otter; Sarcocystis neurona; Tissue cyst; Central nervous system; Brain; Ultrastructure; 18S rDNA; ITS1</t>
  </si>
  <si>
    <t>OPOSSUMS DIDELPHIS-VIRGINIANA; EQUINE PROTOZOAL MYELOENCEPHALITIS; TOXOPLASMA-GONDII INFECTION; PHOCA-VITULINA-RICHARDSI; N-SP PROTOZOA; INTERMEDIATE HOST; MEPHITIS-MEPHITIS; PROCYON-LOTOR; LIFE-CYCLE; MENINGOENCEPHALITIS</t>
  </si>
  <si>
    <t>In 2004, three wild sea otters were diagnosed with putative Sarcocystis neurona-associated meningoencephalitis by histopathology and immunohistochemistry. Schizonts, free merozoites and tissue cysts were observed in the brains of all three infected animals. Tissue cysts walls from sea otter I (SO1) stained positively using anti-S. neurona polyclonal antiserum. However, positive staining does not preclude infection by closely related or cross-reactive tissue cyst-forming coccidian parasites. Two immature tissue cysts in the brain of SO1 were examined using transmission electron microscopy. Ultrastructural features included cyst walls with thin villous projections up to I pm long with tapered ends and a distinctive, electron-dense outer lining layer composed of linearly-arranged, semi-circular structures with a hob-nailed surface contour. Small numbers of microtubules extended down through the villi into the underlying granular layer. Metrocytes were short and plump with an anterior apical complex, 22 sub-pellicular microtubules, numerous free ribosomes and no rhoptries. Some metrocytes appeared to be dividing, with two adjacent nuclear profiles. Collectively these ultrastructural features were compatible with developing protozoal cysts and were similar to prior descriptions of S. neurona tissue cysts. Panspecific 18S rDNA primers were utilized to identify protozoa infecting the brains of these otters and DNA amplification and additional sequencing at the ITS1 locus confirmed that all three otters were infected with S. neurona. No other Sarcocystis spp. were detected in the brains or skeletal muscles of these animals by immunohistochemistry or PCR. We believe this is the first ultrastructural and molecular confirmation of the development of S. neurona tissue cysts in the CNS of any animal. Published by Elsevier Ltd. on behalf of Australian Society for Parasitology Inc.</t>
  </si>
  <si>
    <t>[Miller, M. A.; Toy-Choutka, S.; Jessup, D. A.] Calif Dept Fish &amp; Game, Marine Wildlife Vet Care &amp; Res Ctr, Santa Cruz, CA 95060 USA; [Barr, B. C.; Nordhausen, R.] Univ Calif Davis, Calif Anim Hlth &amp; Food Safety Serv Lab, Davis, CA 95617 USA; [James, E. R.] Univ British Columbia, Dept Med, Vancouver, BC V5Z 3J5, Canada; [Magargal, S. L.; Grigg, M. E.] NIAID, Mol Parasitol Unit, Parasit Dis Lab, NIH, Bethesda, MD 20892 USA; [Murray, M.] Monterey Bay Aquarium, Monterey, CA 93940 USA; [Conrad, P. A.] Univ Calif Davis, Sch Vet Med, Dept Pathol Microbiol &amp; Immunol, Davis, CA 95616 USA</t>
  </si>
  <si>
    <t>University of California System; University of California Davis; University of British Columbia; National Institutes of Health (NIH) - USA; NIH National Institute of Allergy &amp; Infectious Diseases (NIAID); Monterey Bay Aquarium Research Institute; University of California System; University of California Davis</t>
  </si>
  <si>
    <t>Miller, MA (corresponding author), Calif Dept Fish &amp; Game, Marine Wildlife Vet Care &amp; Res Ctr, 1451 Shaffer Rd, Santa Cruz, CA 95060 USA.</t>
  </si>
  <si>
    <t>MMiller@ospr.dfg.ca.gov; grggm@niaid.nih.gov</t>
  </si>
  <si>
    <t>James, Erick/D-4725-2012</t>
  </si>
  <si>
    <t>California Department of Fish and Game-Department of Oil Spill Prevention and Response (CDFG); NIH; NIAID; National Institute of Allergy and Infectious Diseases [ZIAAI001018] Funding Source: NIH RePORTER</t>
  </si>
  <si>
    <t>California Department of Fish and Game-Department of Oil Spill Prevention and Response (CDFG); NIH(United States Department of Health &amp; Human ServicesNational Institutes of Health (NIH) - USA); NIAID(United States Department of Health &amp; Human ServicesNational Institutes of Health (NIH) - USANIH National Institute of Allergy &amp; Infectious Diseases (NIAID)); National Institute of Allergy and Infectious Diseases(United States Department of Health &amp; Human ServicesNational Institutes of Health (NIH) - USANIH National Institute of Allergy &amp; Infectious Diseases (NIAID))</t>
  </si>
  <si>
    <t>This project was funded and completed by the California Department of Fish and Game-Department of Oil Spill Prevention and Response (CDFG) and by the Intramural Research Program of the NIH and NIAID (MEG). Staff and volunteers of CDFG, Monterey Bay Aquarium, the Marine Mammal Center, United States Geological Survey and the United States Fish and Wildlife Service helped recover and transport live and dead sea otters along the central California coast. We appreciate the assistance of the CDFG Petroleum Chemistry Laboratory, especially Dr. Susan Sugarman for completing the petroleum fingerprint testing on otter #3. Technical staff from CDFG assisted with otter necropsy, specimen collection and storage and data collection. Bacterial and protozoal cultures and protozoal serology were completed at the UC Davis School of Veterinary Medicine. Immunohistochemical stains for S. neurona and T. gondii and domoic acid testing were prepared at the California Animal Health and Food Safety (CAHFS) Laboratory.</t>
  </si>
  <si>
    <t>0020-7519</t>
  </si>
  <si>
    <t>1879-0135</t>
  </si>
  <si>
    <t>INT J PARASITOL</t>
  </si>
  <si>
    <t>Int. J. Parasit.</t>
  </si>
  <si>
    <t>10.1016/j.ijpara.2009.04.014</t>
  </si>
  <si>
    <t>491RW</t>
  </si>
  <si>
    <t>WOS:000269598100007</t>
  </si>
  <si>
    <t>Sherrard-Smith, E; Cable, J; Chadwick, EA</t>
  </si>
  <si>
    <t>Sherrard-Smith, E.; Cable, J.; Chadwick, E. A.</t>
  </si>
  <si>
    <t>Opisthorchiid; Pseudamphistomum truncatum; Metorchis albidus; Lutra lutra; UK</t>
  </si>
  <si>
    <t>FOXES VULPES-VULPES; LUTRA-LUTRA; SUNBLEAK</t>
  </si>
  <si>
    <t>Gall bladders from 273 otter carcasses, collected through England and Wales, were screened to assess the status of gall bladder parasites in the Eurasian otter, Lutra lutra. The digenean Pseudamphistomum truncatum had previously been found in UK otters collected between 2000 and 2007. The parasite was established in Somerset and Dorset but its distribution elsewhere in the UK was largely unknown. In the current study, P. truncatum was also found to be abundant in south Wales, with occasional cases elsewhere, but appears to be absent from the north of England. Overall, 11.7% of otters were infected with 1-238 P. truncatum. A second digenean, Metorchis albidus, previously unreported in British otters, was found in the biliary system of 6.6% of otters. M. albidus appears well established in Suffolk, Norfolk and north Essex but was recorded elsewhere rarely. Both parasites are associated with pathological damage to the otter gall bladder. The recent discover of these two non-native parasites provides a unique opportunity to assess their impact on native British fauna.</t>
  </si>
  <si>
    <t>[Sherrard-Smith, E.; Cable, J.; Chadwick, E. A.] Cardiff Univ, Sch Biosci, Cardiff CF10 3AX, S Glam, Wales</t>
  </si>
  <si>
    <t>Cardiff University</t>
  </si>
  <si>
    <t>Sherrard-Smith, E (corresponding author), Cardiff Univ, Sch Biosci, Cardiff CF10 3AX, S Glam, Wales.</t>
  </si>
  <si>
    <t>sherrardsmithE@cardiff.ac.uk</t>
  </si>
  <si>
    <t>; Chadwick, Elizabeth/G-1793-2010; Cable, Joanne/A-4360-2010</t>
  </si>
  <si>
    <t>Sherrard-Smith, Ellie/0000-0001-8317-7992; Chadwick, Elizabeth/0000-0002-6662-6343; Cable, Joanne/0000-0002-8510-7055</t>
  </si>
  <si>
    <t>Environment Agency, UK; Natural Environment Research Council, UK [NER/J/S/2002/00706]; Natural Environment Research Council [NER/J/S/2002/00706] Funding Source: researchfish</t>
  </si>
  <si>
    <t>Environment Agency, UK; Natural Environment Research Council, UK(UK Research &amp; Innovation (UKRI)Natural Environment Research Council (NERC)); Natural Environment Research Council(UK Research &amp; Innovation (UKRI)Natural Environment Research Council (NERC))</t>
  </si>
  <si>
    <t>The project was funded by the Environment Agency, UK, and J.C. was supported by a Natural Environment Research Council, UK, Advanced Research Fellowship (NER/J/S/2002/00706).</t>
  </si>
  <si>
    <t>10.1017/S0031182009006362</t>
  </si>
  <si>
    <t>484JB</t>
  </si>
  <si>
    <t>WOS:000269039400008</t>
  </si>
  <si>
    <t>Larson, S; Monson, D; Ballachey, B; Jameson, R; Wasser, SK</t>
  </si>
  <si>
    <t>Larson, Shawn; Monson, Daniel; Ballachey, Brenda; Jameson, Ron; Wasser, Samuel K.</t>
  </si>
  <si>
    <t>sea otter; Enhydra lutris; glucocorticoids; corticosterone; cortisol; testosterone; genetic diversity; heterozygosity; inbreeding</t>
  </si>
  <si>
    <t>MITOCHONDRIAL-DNA VARIATION; MINK MUSTELA-VISON; INBREEDING DEPRESSION; PATHOLOGICAL RESPONSES; TOXOPLASMA-GONDII; ALLELIC RICHNESS; RED FOXES; CORTICOSTERONE; POPULATION; WILD</t>
  </si>
  <si>
    <t>Sea otters (Enhydra lutris) once ranged throughout the coastal regions of the north Pacific, but were extirpated throughout their range during the fur trade of the 18th and 19th centuries, leaving only small, widely scattered, remnant populations. All extant sea otter populations are believed to have experienced a population bottleneck and thus have lost genetic variation. Populations that undergo severe population reduction and associated inbreeding may suffer from a general reduction in fitness termed inbreeding depression. Inbreeding depression may result in decreased testosterone levels in males, and reduced ability to respond to stressful stimuli associated with an increase in the stress-related adrenal glucocorticoid hormones, cortisol and corticosterone. We investigated correlations of testosterone, cortisol, and corticosterone with genetic diversity in sea otters from five populations. We found a significant negative correlation between genetic diversity and both mean population-level (r(2) = 0.27, P &lt; 0.001) and individual-level (r(2) = 0.54, P &lt; 0.001) corticosterone values, as well as a negative correlation between genetic diversity and cortisol at the individual level (r(2) = 0.17, P = 0.04). No relationship was found between genetic diversity and testosterone (P = 0.57). The strength of the correlations, especially with corticosterone, suggests potential negative consequences for overall population health, particularly for populations with the lowest genetic diversity.</t>
  </si>
  <si>
    <t>[Larson, Shawn] Seattle Aquarium, Seattle, WA 98101 USA; [Monson, Daniel; Ballachey, Brenda] US Geol Survey, Alaska Sci Ctr, Anchorage, AK 99503 USA; [Jameson, Ron] Western Ecol Res Ctr, Philomath, OR 97370 USA; [Wasser, Samuel K.] Univ Washington, Ctr Conservat Biol, Dept Zool, Seattle, WA 98195 USA</t>
  </si>
  <si>
    <t>United States Department of the Interior; United States Geological Survey; University of Washington; University of Washington Seattle</t>
  </si>
  <si>
    <t>shawn.larson@seattle.gov</t>
  </si>
  <si>
    <t>Wasser, Samuel/I-5542-2015; Monson, Daniel/N-4469-2013</t>
  </si>
  <si>
    <t>Monson, Daniel/0000-0002-4593-5673</t>
  </si>
  <si>
    <t>Seattle Aquarium; The University of Washington School of Aquatic and Fishery Sciences; Immunex Corporation; Foley/Frischkorn Conservation Fund</t>
  </si>
  <si>
    <t>Seattle Aquarium; The University of Washington School of Aquatic and Fishery Sciences(University of Washington); Immunex Corporation; Foley/Frischkorn Conservation Fund</t>
  </si>
  <si>
    <t>The Seattle Aquarium, The University of Washington School of Aquatic and Fishery Sciences, Immunex Corporation, and the Foley/Frischkorn Conservation Fund sponsored this research. Thanks to M. Staedler, D. Jessup, and J. Bodkin for kindly supplying wild sea otter samples for analysis, and to K. Kloecker for assistance with samples and data. Thanks to J. Estes and J. Bodkin for thoughtful reviews. Special thanks to C. J. Casson, P. McMahon, A. Smith, J. Heylen, and P. Larson for ongoing support and assistance with this research.</t>
  </si>
  <si>
    <t>10.1111/j.1748-7692.2008.00260.x</t>
  </si>
  <si>
    <t>433TM</t>
  </si>
  <si>
    <t>WOS:000265228700006</t>
  </si>
  <si>
    <t>Simpson, VR; Tomlinson, AJ; Molenaar, FM</t>
  </si>
  <si>
    <t>Simpson, V. R.; Tomlinson, A. J.; Molenaar, F. M.</t>
  </si>
  <si>
    <t>VETERINARY RECORD</t>
  </si>
  <si>
    <t>SOUTH-WEST ENGLAND; LINNAEUS</t>
  </si>
  <si>
    <t>Postmortem examinations on 160 otters found dead in Great Britain from 2005 to 2007 showed a high prevalence of infection with the bile fluke Pseudamphistomum truncatum in otters from Somerset and Dorset but no infection in otters from other areas, including Cornwall, the western half of Devon, northeast England and Scotland. Cases were also recorded for the first time in Gloucestershire and East Anglia. Eighteen of the 28 infected otters were male and no cubs were infected, but there was no significant correlation between infection status and sex or age. There was a strong positive correlation between bile fluke infection and gall bladder pathology. Thirty otters had thickened gall bladders resulting from hyperplasia of the epithelial and smooth muscle layers, fibrosis and infiltration by inflammatory cells and 19 of these were infected. No flukes were detected in the other II otters with abnormal gall bladders, possibly as a result of a successful immune response. The majority of otters with thickened gall bladders were in good physical condition but a positive association was not confirmed statistically. Fluke infection was also detected in nine of the 130 otters with apparently normal gall bladders. Liver pathology ranged from mild bile duct hyperplasia and periportal fibrosis to severe sclerosing cholangitis, hepatocyte necrosis and bile stasis. No otters were found to have died as a result of fluke infection, but there was a negative association, approaching significance, between infection and body condition.</t>
  </si>
  <si>
    <t>[Simpson, V. R.] Wildlife Vet Invest Ctr, Truro TR4 8PB, Cornwall, England; [Tomlinson, A. J.] Cent Sci Lab, York YO41 1LZ, N Yorkshire, England; [Molenaar, F. M.] Zool Soc London, Inst Zool, London NW1 4RY, England</t>
  </si>
  <si>
    <t>Food &amp; Environment Research Agency; Zoological Society of London</t>
  </si>
  <si>
    <t>Simpson, VR (corresponding author), Wildlife Vet Invest Ctr, Truro TR4 8PB, Cornwall, England.</t>
  </si>
  <si>
    <t>wildlife.vic@rmplc.co.uk</t>
  </si>
  <si>
    <t>Molenaar, Fieke/AGN-3794-2022</t>
  </si>
  <si>
    <t>Molenaar, Fieke/0000-0001-9943-7381</t>
  </si>
  <si>
    <t>Environment Agency</t>
  </si>
  <si>
    <t>The authors are grateful to the many people in the Environment Agency, too numerous to name individually, who organised the collection and transport of the otters in England and Wales. Similarly, they thank those in the county wildlife trusts and otter groups, the RSPCA and wildlife rehabilitation centres for submitting carcases, in particular K. Stokes, J. Williams and D. Couper. The authors also thank G. Yoxon and P. Yoxon of IOSF and J. Conroy for submitting cases from Scotland; Abbey Veterinary Services and IZVG for providing histological Support; R. Wood for producing the otter distribution maps; and J. Simpson, J. Loveridge, A. Howie and I. Ahern for assisting with postinortern examinations and data recording. The Environment Agency is thanked for providing financial support for most of this project.</t>
  </si>
  <si>
    <t>BMJ PUBLISHING GROUP</t>
  </si>
  <si>
    <t>BRITISH MED ASSOC HOUSE, TAVISTOCK SQUARE, LONDON WC1H 9JR, ENGLAND</t>
  </si>
  <si>
    <t>0042-4900</t>
  </si>
  <si>
    <t>2042-7670</t>
  </si>
  <si>
    <t>VET REC</t>
  </si>
  <si>
    <t>Vet. Rec.</t>
  </si>
  <si>
    <t>MAR 28</t>
  </si>
  <si>
    <t>10.1136/vr.164.13.397</t>
  </si>
  <si>
    <t>433AE</t>
  </si>
  <si>
    <t>WOS:000265174900010</t>
  </si>
  <si>
    <t>Kidd, AG; Bowman, J; Lesbarrères, D; Schulte-Hostedde, AI</t>
  </si>
  <si>
    <t>Kidd, A. G.; Bowman, J.; Lesbarreres, D.; Schulte-Hostedde, A. I.</t>
  </si>
  <si>
    <t>domestic; farm; microsatellite; mink; mink ranch; Neovison vison</t>
  </si>
  <si>
    <t>DETECTING INTROGRESSIVE HYBRIDIZATION; BAYESIAN ADMIXTURE ANALYSES; CATS FELIS-SILVESTRIS; MUSTELA-VISON; MOLECULAR MARKERS; ALEUTIAN DISEASE; ATLANTIC SALMON; CANIS-LUPUS; POPULATIONS; IDENTIFICATION</t>
  </si>
  <si>
    <t>The release of domesticated organisms into natural populations may adversely affect these populations through predation, resource competition, and the introduction of disease. Additionally, the potential for hybridization between wild and domestic conspecifics is of great concern because it can alter the evolutionary integrity of the affected populations. Wild American mink (Neovison vison) populations may be threatened not only by competition for resources with domestic mink originating from farms, but by breeding with such escapees. Using 10 microsatellite loci, we genotyped mink from Ontario, Canada, sampled from two farms, two putatively mixed populations in regions surrounding the mink farms, and two wild populations with no recent history of mink farming. Using individual-based Bayesian population assignment, we identified four population clusters, including one wild, and three domestic populations. The latter were not clustered by farm but rather by distinct line-bred colour phases. Population clustering also identified domestic and hybrid mink in the free-ranging populations. Nearly two-thirds of the mink sampled in the two putatively mixed populations (78% and 43%) were either farm escapees or descendants of escapees. Principal components analysis of allele frequencies supported our Bayesian assignment results. The power of our assignment test was assessed using simulated hybrid genotypes which suggested that our overall correct classification rate was 96.2%. The overwhelming presence of domestic animals and their hybridization with mink in natural populations is of great concern for the future sustainability of wild mink populations.</t>
  </si>
  <si>
    <t>[Kidd, A. G.; Lesbarreres, D.; Schulte-Hostedde, A. I.] Laurentian Univ, Dept Biol, Sudbury, ON P3E 2C6, Canada; [Bowman, J.] Trent Univ, Ontario Minist Nat Resources, Peterborough, ON K9J 7B8, Canada</t>
  </si>
  <si>
    <t>Laurentian University; Trent University; Ministry of Natural Resources &amp; Forestry</t>
  </si>
  <si>
    <t>Kidd, AG (corresponding author), Laurentian Univ, Dept Biol, 935 Ramsey Lake Rd, Sudbury, ON P3E 2C6, Canada.</t>
  </si>
  <si>
    <t>ag_kidd@laurentian.ca</t>
  </si>
  <si>
    <t>Bowman, Jeff/B-4147-2009; Schulte-Hostedde, Albrecht/C-2007-2009</t>
  </si>
  <si>
    <t>Bowman, Jeff/0000-0002-1892-4469; Lesbarreres, David/0000-0002-5505-1935; Schulte-Hostedde, Albrecht/0000-0001-7263-4764</t>
  </si>
  <si>
    <t>10.1111/j.1365-294X.2009.04100.x</t>
  </si>
  <si>
    <t>414HD</t>
  </si>
  <si>
    <t>WOS:000263853600014</t>
  </si>
  <si>
    <t>Johnson, CK; Tinker, MT; Estes, JA; Conrad, PA; Staedler, M; Miller, MA; Jessup, DA; Mazet, JAK</t>
  </si>
  <si>
    <t>Johnson, Christine K.; Tinker, Martin T.; Estes, James A.; Conrad, Patricia A.; Staedler, Michelle; Miller, Melissa A.; Jessup, David A.; Mazet, Jonna A. K.</t>
  </si>
  <si>
    <t>PROCEEDINGS OF THE NATIONAL ACADEMY OF SCIENCES OF THE UNITED STATES OF AMERICA</t>
  </si>
  <si>
    <t>Enhydra lutris nereis; Sarcocystis neurona; Toxoplasma gondii; diet specialization; wildlife disease</t>
  </si>
  <si>
    <t>ENHYDRA-LUTRIS-NEREIS; TOXOPLASMA-GONDII OOCYSTS; SARCOCYSTIS-NEURONA; CALIFORNIA; ABUNDANCE; PATTERNS; RUNOFF; RISK</t>
  </si>
  <si>
    <t>The processes promoting disease in wild animal populations are highly complex, yet identifying these processes is critically important for conservation when disease is limiting a population. By combining field studies with epidemiologic tools, we evaluated the relationship between key factors impeding southern sea otter (Enhydra lutris nereis) population growth: disease and resource limitation. This threatened population has struggled to recover despite protection, so we followed radio-tagged sea otters and evaluated infection with 2 disease-causing protozoal pathogens, Toxoplasma gondii and Sarcocystis neurona, to reveal risks that increased the likelihood of pathogen exposure. We identified patterns of pathogen infection that are linked to individual animal behavior, prey choice, and habitat use. We detected a high-risk spatial cluster of S. neurona infections in otters with home ranges in southern Monterey Bay and a coastal segment near San Simeon and Cambria where otters had high levels of infection with T. gondii. We found that otters feeding on abalone, which is the preferred prey in a resource-abundant marine ecosystem, had a very low risk of infection with either pathogen, whereas otters consuming small marine snails were more likely to be infected with T. gondii. Individual dietary specialization in sea otters is an adaptive mechanism for coping with limited food resources along central coastal California. High levels of infection with protozoal pathogens may be an adverse consequence of dietary specialization in this threatened species, with both depleted resources and disease working synergistically to limit recovery.</t>
  </si>
  <si>
    <t>[Johnson, Christine K.; Conrad, Patricia A.; Mazet, Jonna A. K.] Univ Calif Davis, Wildlife Hlth Ctr, Sch Vet Med, Davis, CA 95616 USA; [Tinker, Martin T.] US Geol Survey, Western Ecol Res Ctr, Long Marine Lab, Santa Cruz, CA 95060 USA; [Estes, James A.] Univ Calif Santa Cruz, Ctr Ocean Hlth, Dept Ecol &amp; Evolutionary Biol, Santa Cruz, CA 95060 USA; [Staedler, Michelle] Monterey Bay Aquarium, Sea Otter Res &amp; Conservat, Monterey, CA 93940 USA; [Miller, Melissa A.; Jessup, David A.] Calif Dept Fish &amp; Game, Marine Wildlife Vet Care &amp; Res Ctr, Santa Cruz, CA 95060 USA</t>
  </si>
  <si>
    <t>University of California System; University of California Davis; United States Department of the Interior; United States Geological Survey; University of California System; University of California Santa Cruz; Monterey Bay Aquarium Research Institute</t>
  </si>
  <si>
    <t>Johnson, CK (corresponding author), Univ Calif Davis, Wildlife Hlth Ctr, Sch Vet Med, Davis, CA 95616 USA.</t>
  </si>
  <si>
    <t>ckjohnson@ucdavis.edu; tinker@biology.ucsc.edu</t>
  </si>
  <si>
    <t>Tinker, Martin/D-3249-2018; Mazet, Jonna/B-4811-2012</t>
  </si>
  <si>
    <t>Tinker, Martin/0000-0002-3314-839X; Mazet, Jonna/0000-0002-8712-5951</t>
  </si>
  <si>
    <t>U. S. Geological Survey's Western Ecological Research Center; California Department of Fish and Game's Marine Wildlife Veterinary Care and Research Center and Resource Assessment Program; Monterey Bay Aquarium; National Science Foundation [0525765]; Minerals Management Agency Grant; Division Of Ocean Sciences; Directorate For Geosciences [0525765] Funding Source: National Science Foundation</t>
  </si>
  <si>
    <t>U. S. Geological Survey's Western Ecological Research Center(United States Geological Survey); California Department of Fish and Game's Marine Wildlife Veterinary Care and Research Center and Resource Assessment Program; Monterey Bay Aquarium; National Science Foundation(National Science Foundation (NSF)); Minerals Management Agency Grant; Division Of Ocean Sciences; Directorate For Geosciences(National Science Foundation (NSF)NSF - Directorate for Geosciences (GEO))</t>
  </si>
  <si>
    <t>This work was supported by the U. S. Geological Survey's Western Ecological Research Center, California Department of Fish and Game's Marine Wildlife Veterinary Care and Research Center and Resource Assessment Program, Monterey Bay Aquarium, Minerals Management Agency Grant, and National Science Foundation Grant 0525765.</t>
  </si>
  <si>
    <t>NATL ACAD SCIENCES</t>
  </si>
  <si>
    <t>WASHINGTON</t>
  </si>
  <si>
    <t>2101 CONSTITUTION AVE NW, WASHINGTON, DC 20418 USA</t>
  </si>
  <si>
    <t>0027-8424</t>
  </si>
  <si>
    <t>P NATL ACAD SCI USA</t>
  </si>
  <si>
    <t>Proc. Natl. Acad. Sci. U. S. A.</t>
  </si>
  <si>
    <t>FEB 17</t>
  </si>
  <si>
    <t>10.1073/pnas.0806449106</t>
  </si>
  <si>
    <t>409OQ</t>
  </si>
  <si>
    <t>WOS:000263516100031</t>
  </si>
  <si>
    <t>Philippa, J; Fournier-Chambrillon, C; Fournier, P; Schaftenaar, W; van de Bildt, M; van Herweijnen, R; Kuiken, T; Liabeuf, M; Ditcharry, S; Joubert, L; Bégnier, M; Osterhaus, A</t>
  </si>
  <si>
    <t>Philippa, Joost; Fournier-Chambrillon, Christine; Fournier, Pascal; Schaftenaar, Willem; van de Bildt, Marco; van Herweijnen, Rob; Kuiken, Thijs; Liabeuf, Marie; Ditcharry, Sebastien; Joubert, Laurent; Begnier, Michel; Osterhaus, Ab</t>
  </si>
  <si>
    <t>Canine adenovirus; Canine distemper virus; canine parainfluenza virus; Martes; Mustela; Rabies virus; serologic survey</t>
  </si>
  <si>
    <t>CANINE-DISTEMPER; DISEASE PARVOVIRUS; PUTORIUS-FURO; ANTIBODIES; CARNIVORES; VIRUS; MORBILLIVIRUSES; EVOLUTION; INFECTION; RABIES</t>
  </si>
  <si>
    <t>To investigate the possible role of selected pathogens in the decline of endangered European mink (Mustela lutreola) populations and the potential for these pathogens to affect mink survival, a serologic survey was conducted using serum samples collected from March 1996 to March 2003 in eight departments of south-western France. In total, 481 free-ranging individuals of five mustelid species (including the European mink) were tested. Sympatric mustelids can serve as sentinels to determine the presence of antibodies to viruses in the study area that could potentially infect mink. Antibodies to Canine distemper virus (CDV) were detected in all species; 9% of 1.27 European mink, 20% of 210 polecats (Mustela putorius), 5% of 112 American mink (Mustela vison), 33% of 21 stone marten (Martes foina) and 5% of 20 pine marten (Martes martes). Antibody prevalence was significantly higher in stone marten and polecats, possibly because their ranges overlap more closely with that of domestic species than that of the other species tested. Antibodies to Canine adenovirus were detected in all species but the pine marten; antibody prevalence estimates ranging from 2% to 10%. Antibodies to canine parainfluenza virus were detected in 1% of European mink, 1% of American mink and 5% of tested polecats but were not detected in Martes species. Antibodies to Rabies virus (RV) were detected in three animals, possibly because of interspecies transmission of bat lyssaviruses as the sampling area is considered to be free of RV, or to a lack of test specificity, as antibody titers were low. The high antibody prevalence to potentially lethal CDV suggests that this pathogen could have significant effects on the free-ranging populations and has implications for the conservation efforts for the endangered European mink.</t>
  </si>
  <si>
    <t>[Philippa, Joost; van de Bildt, Marco; Kuiken, Thijs; Osterhaus, Ab] Erasmus MC, Dept Virol, NL-3000 CA Rotterdam, Netherlands; [Philippa, Joost; Schaftenaar, Willem] Rotterdam Zoo, NL-3000 AM Rotterdam, Netherlands; [Fournier-Chambrillon, Christine; Fournier, Pascal] Grp Rech &amp; Etud Gest Environm, F-33730 Villandraut, France; [Fournier, Pascal] Museum Natl Hist Nat, Soc Francaise Etud &amp; Protect Mammiferes, F-75231 Paris 05, France; [van Herweijnen, Rob] European Vet Lab, NL-3440 AD Woerden, Netherlands; [Liabeuf, Marie] Ecole Natl Vet, F-44307 Nantes, France; [Ditcharry, Sebastien] Conseil Gen Landes, F-40011 Mont De Marsan, France; [Joubert, Laurent] Soc Etud Protect &amp; Amenagement Nat Lot Et Garonne, F-47400 Villeton, France; [Begnier, Michel] Federat Departementale Chasseurs Charente, F-16400 Puymoyen, France; [Begnier, Michel] Assoc Piegeurs Agrees Charente, F-16000 Angouleme, France</t>
  </si>
  <si>
    <t>Erasmus University Rotterdam; Erasmus MC; Museum National d'Histoire Naturelle (MNHN); Ecole Nationale Veterinaire, Agroalimentaire et de l'Alimentation Nantes-Atlantique</t>
  </si>
  <si>
    <t>Philippa, J (corresponding author), Erasmus MC, Dept Virol, POB 2040, NL-3000 CA Rotterdam, Netherlands.</t>
  </si>
  <si>
    <t>joost.philippa@gmail.com</t>
  </si>
  <si>
    <t>Kuiken, Thijs/0000-0001-5501-9049</t>
  </si>
  <si>
    <t>10.7589/0090-3558-44.4.791</t>
  </si>
  <si>
    <t>370ZL</t>
  </si>
  <si>
    <t>WOS:000260801500001</t>
  </si>
  <si>
    <t>Sidorovich, VE; Sidorovich, AA; Ivanovskij, VV; Pikulik, MM; Shinkevich, EP</t>
  </si>
  <si>
    <t>Sidorovich, Vadim E.; Sidorovich, Anna A.; Ivanovskij, Vladimir V.; Pikulik, Mihail M.; Shinkevich, Elena P.</t>
  </si>
  <si>
    <t>predator species richness; predator weight; predator density and biomass; introduced predators</t>
  </si>
  <si>
    <t>BODY-SIZE; MUSTELA-LUTREOLA; POPULATION-DENSITY; FEEDING-HABITS; EUROPEAN MINK; PINE MARTEN; DIET; ABUNDANCE; NUMBERS; FOREST</t>
  </si>
  <si>
    <t>The structure of the vertebrate predator community in north-eastern Belarus has been examined before and after naturalization of the American mink and raccoon dog. Species composition of the community, population density and biomass, portion of each species in the pooled community density and biomass, species body mass and size structure of the community were investigated. The community consisted of 36 native predator species, and I I other predator species were sporadically registered in the area in both periods before the American mink and raccoon dog expansion and after the introduced species have reached a high population density. Separating predator species into four size groups, we found that in terms of total density the largest portion of the community belonged to small predators, while large predators formed the smallest portion. In terms of total biomass, the larger medium-sized predator group predominated over other size groups. Despite decline in the populations of ten native predator species, the total community density and biomass as well as portions of different size groups appeared to be very similar before and after naturalization of the introduced predator species.</t>
  </si>
  <si>
    <t>[Sidorovich, Vadim E.; Sidorovich, Anna A.; Ivanovskij, Vladimir V.; Pikulik, Mihail M.; Shinkevich, Elena P.] Natl Acad Sci Belarus, Inst Zool, Vertebrate Predat Res Grp, Minsk 220072, BELARUS</t>
  </si>
  <si>
    <t>Sidorovich, VE (corresponding author), Natl Acad Sci Belarus, Inst Zool, Vertebrate Predat Res Grp, Akad Skaya Str 27, Minsk 220072, BELARUS.</t>
  </si>
  <si>
    <t>vadim.sidorovich@gmail.com</t>
  </si>
  <si>
    <t>Ivanowsky, Vladimir/0000-0003-1030-7113; Sidorovich, Anna/0000-0001-7523-5048</t>
  </si>
  <si>
    <t>Institute of Zoology of the National Academy of Sciences of Belarus</t>
  </si>
  <si>
    <t>The studies were financially supported by the Institute of Zoology of the National Academy of Sciences of Belarus. We are grateful to Sylvia Jay for correcting English in the text.</t>
  </si>
  <si>
    <t>383JY</t>
  </si>
  <si>
    <t>WOS:000261671100004</t>
  </si>
  <si>
    <t>Wisely, SM; Howard, J; Williams, SA; Bain, O; Santymire, RM; Bardsley, KD; Williams, ES</t>
  </si>
  <si>
    <t>Wisely, Samantha M.; Howard, JoGayle; Williams, Steven A.; Bain, Odile; Santymire, Rachel M.; Bardsley, Katherine D.; Williams, Elizabeth S.</t>
  </si>
  <si>
    <t>black-footed ferret; cross-reactivity; Dirofilaria immitis; heartworm antigen; microfilaria; molecular characterization; Mustela nigripes; seroprevalence</t>
  </si>
  <si>
    <t>HEARTWORM DIROFILARIA-IMMITIS; SP-N NEMATODA; DISEASES; ONCHOCERCIDAE; FILARIOIDEA; SQUIRREL; ISLAND</t>
  </si>
  <si>
    <t>Disease can threaten the restoration of endangered species directly by substantially decreasing host survival or indirectly via incremental decreases in survival and reproduction. During a biomedical survey of reintroduced populations of the highly endangered black-footed ferret from 2002 to 2005, microfilariae discovered in the blood were putatively identified as Dirofilaria immitis, and widespread screening was initiated using a commercially available antigen-based ELISA test. A subset of animals (n = 16) was screened for D. immitis using a highly sensitive PCR-based assay. Microfilariae were also molecularly and morphologically characterized. Of 198 animals at six reintroduction sites, 12% bad positive results using the ELISA test. No antigen-positive animals which were screened via PCR (n=11) had positive PCR results, and all antigen-positive animals (n=24) were asymptomatic. No significant differences were found in body mass of antigen-positive (male: 1223 +/- 82 g [mean +/- SD], female: 726 +/- 75 g) vs. antigen-negative (male: 1,198 +/- 19 g, female: 710 +/- 53 g) individuals (P=0.4). Antigen prevalence was lower in juveniles (3%) than adults (12%; P=0.03), and higher in in situ, captive-reared individuals (33%) than wild-born individuals (10%; P=0.005). Morphologic analysis of microfilariae revealed they were neither D. immitis nor any other previously characterized North American species. PC R amplification of die 5S spacer region of rDNA revealed that the filarial sequence shared only 76% identity with D. immitis. This previously unidentified filarial sequence was present in all antigen positive animals (11 of 11 tested). It appears that black-footed ferrets were infected with a previously undescribed species of filaria whose antigen cross-reacted with the ELISA assay, although further analysis is needed to make a conclusive statement. Nonetheless, this previously undescribed filaria does not appear to threaten recovery for this highly endangered mammal.</t>
  </si>
  <si>
    <t>[Wisely, Samantha M.] Kansas State Univ, Div Biol, Manhattan, KS 66506 USA; [Howard, JoGayle; Santymire, Rachel M.] Smithsonian Inst, Natl Zool Pk, Dept Reprod Sci, Washington, DC 20008 USA; [Williams, Steven A.] Smith Coll, NIH, NIAID, Filarial Res Resource Repository Ctr,Clark Sci Ct, Northampton, MA 01063 USA; [Williams, Steven A.] Smith Coll, Clark Sci Ctr, Dept Biol Sci, Northampton, MA 01063 USA; [Bain, Odile] Museum Natl Hist Nat, USM Parasitol Comparee &amp; Modeles Expt 307, F-75231 Paris, France; [Santymire, Rachel M.] Davee Ctr Epidemiol &amp; Endocrinol, Chicago, IL 60614 USA; [Bardsley, Katherine D.; Williams, Elizabeth S.] Univ Wyoming, Wyoming State Vet Lab, Laramie, WY 82071 USA</t>
  </si>
  <si>
    <t>Kansas State University; Smithsonian Institution; Smithsonian National Zoological Park &amp; Conservation Biology Institute; Smith College; National Institutes of Health (NIH) - USA; NIH National Institute of Allergy &amp; Infectious Diseases (NIAID); Smith College; Museum National d'Histoire Naturelle (MNHN); University of Wyoming</t>
  </si>
  <si>
    <t>Wisely, SM (corresponding author), Kansas State Univ, Div Biol, Ackert Hall, Manhattan, KS 66506 USA.</t>
  </si>
  <si>
    <t>wisely@ksu.edu</t>
  </si>
  <si>
    <t>Willia, Steven/0000-0002-4881-7496</t>
  </si>
  <si>
    <t>10.7589/0090-3558-44.1.53</t>
  </si>
  <si>
    <t>262VW</t>
  </si>
  <si>
    <t>WOS:000253177100006</t>
  </si>
  <si>
    <t>Bowman, J; Kidd, AG; Gorman, RM; Schulte-Hostedde, AI</t>
  </si>
  <si>
    <t>Bowman, Jeff; Kidd, Anne G.; Gorman, Ryan M.; Schulte-Hostedde, Albrecht I.</t>
  </si>
  <si>
    <t>Aleutian disease; domestication; fur farm; hybridization local adaptation; Mustela vison; outbreeding depression</t>
  </si>
  <si>
    <t>MUSTELA-VISON; AMERICAN MINK; ATLANTIC SALMON; POPULATIONS; DOMESTICATION; DISEASE; EXTINCTION; CANADENSIS; FITNESS; ENGLAND</t>
  </si>
  <si>
    <t>Invasive feral American mink (Neovison vison) have had well-documented impacts in Europe and South America. We tested the hypotheses that escape of ranch-raised mink is also common in Canada where the species is endemic, and that declines of Canadian wild mink apparent from harvest data are related to mink ranching. Consistent with these hypotheses, we found positive relationships among Canadian provinces: between mink ranch density and mink harvest density; between ranch density and the density of ranch mink caught by trappers; and between mink harvest density and the density of trapped ranch mink. A multiple regression and variance partitioning demonstrated that the density of trapped ranch mink explained the largest component of unique variation in annual mink harvest by trappers per province. Moreover, the change in mink harvest by trappers per province estimated over a 30-year interval (lambda(harvest)) had a close, positive relationship(R-2 = 0.92) to the change in ranch density estimated over the same interval (lambda-(ranch),). our analysis suggests that the conditions exist for feral mink to contribute to wild mink declines through outbreeding depression or the introduction of disease. (c) 2007 Elsevier Ltd. All rights reserved.</t>
  </si>
  <si>
    <t>Trent Univ, Ontario Minist Nat Resources, Wildlife Res &amp; Dev Sect, Peterborough, ON K9J 7B8, Canada; Laurentian Univ, Dept Biol, Sudbury, ON P3E 2C6, Canada; Trent Univ, Watershed Ecosyst Grad Program, Peterborough, ON K9J 7B8, Canada</t>
  </si>
  <si>
    <t>Trent University; Ministry of Natural Resources &amp; Forestry; Laurentian University; Trent University</t>
  </si>
  <si>
    <t>Bowman, J (corresponding author), Trent Univ, Ontario Minist Nat Resources, Wildlife Res &amp; Dev Sect, 2140 E Bank Dr,DNA Bldg, Peterborough, ON K9J 7B8, Canada.</t>
  </si>
  <si>
    <t>10.1016/j.biocon.2007.05.020</t>
  </si>
  <si>
    <t>217GC</t>
  </si>
  <si>
    <t>WOS:000249935400002</t>
  </si>
  <si>
    <t>Potter, TM; Hanna, JA; Freer, L</t>
  </si>
  <si>
    <t>Potter, Tiffany M.; Hanna, Jill A.; Freer, Luanne</t>
  </si>
  <si>
    <t>WILDERNESS &amp; ENVIRONMENTAL MEDICINE</t>
  </si>
  <si>
    <t>Annual Meeting of the Wilderness-Medical-Society</t>
  </si>
  <si>
    <t>JUL 23-27, 2005</t>
  </si>
  <si>
    <t>Snowmass, CO</t>
  </si>
  <si>
    <t>Wilderness Med Soc</t>
  </si>
  <si>
    <t>attack; rabies; mustelidae; river otter; Lontra canadensis; human interactions</t>
  </si>
  <si>
    <t>UNITED-STATES; RABIES SURVEILLANCE</t>
  </si>
  <si>
    <t>As a result of the successful restoration and conservation programs deployed by state and federal agencies, populations of the North American river otter (Lontra canadensis) are increasing in many states. Recreational activities such as swimming, boating, and fishing increase the likelihood of human interactions with this charismatic, nonendangered mustelid. Otters tend to avoid areas of high human activity, occur at low population densities, and in some habitats in the United States have not recovered from population declines. Therefore, interactions with humans are rare, and aggressive encounters by otters are even less frequent. We report a recent, aggressive, and unprovoked attack that was followed by immediate medical treatment, including postexposure rabies prophylaxis, extensive suturing, and subsequent reconstructive surgery. We discuss river otter biology, the prevalence of diseases in wild populations of river otter, and otter attacks on humans and their treatment.</t>
  </si>
  <si>
    <t>Yale Univ, Sch Forestry &amp; Environm Studies, New Haven, CT 06511 USA; Plumas Dist Hosp, Quincy, CA USA</t>
  </si>
  <si>
    <t>Potter, TM (corresponding author), Yale Univ, Sch Forestry &amp; Environm Studies, 205 Prospect St, New Haven, CT 06511 USA.</t>
  </si>
  <si>
    <t>Tiffany.Potter@yale.edu</t>
  </si>
  <si>
    <t>ELSEVIER SCIENCE INC</t>
  </si>
  <si>
    <t>STE 800, 230 PARK AVE, NEW YORK, NY 10169 USA</t>
  </si>
  <si>
    <t>1080-6032</t>
  </si>
  <si>
    <t>1545-1534</t>
  </si>
  <si>
    <t>WILD ENVIRON MED</t>
  </si>
  <si>
    <t>Wildern. Environ. Med.</t>
  </si>
  <si>
    <t>SPR</t>
  </si>
  <si>
    <t>10.1580/1080-6032(2007)18[41:HNAROC]2.0.CO;2</t>
  </si>
  <si>
    <t>Public, Environmental &amp; Occupational Health; Sport Sciences</t>
  </si>
  <si>
    <t>153AH</t>
  </si>
  <si>
    <t>WOS:000245403500009</t>
  </si>
  <si>
    <t>Sidorovich, VE; Solovej, IA</t>
  </si>
  <si>
    <t>Sidorovich, Vadim E.; Solovej, Irina A.</t>
  </si>
  <si>
    <t>NEW ZEALAND JOURNAL OF ZOOLOGY</t>
  </si>
  <si>
    <t>weasel; stoat; competition; habitat selection; invasive mink; abundance indices; Belarus</t>
  </si>
  <si>
    <t>AMERICAN MINK; WATER VOLES; FOOD-HABITS; VISON; DIET; COEXISTENCE; PREDATION; SELECTION; BRITISH; IMPACT</t>
  </si>
  <si>
    <t>In northern Belarus, we have documented a decline in the local stoat Mustela erminea population following the naturalisation of the American mink Mustela vison. The most likely cause is the reduction in the density and distribution of the main prey of stoats, the riparian voles (the water vole Arvicola terrestris and the root vole Microtus oeconomus), due to excessive predation by mink. Since the stoat population has declined, the number of weasels Mustela nivalis in marshlands has increased and their mean body mass has increased, correlated with the higher number and mean weights of rodents available for weasels in marshland compared with forest habitats.</t>
  </si>
  <si>
    <t>Natl Acad Sci Belarus, Inst Zool, Vertebrate Predat Res Grp, Minsk 220072, BELARUS</t>
  </si>
  <si>
    <t>Sidorovich, VE (corresponding author), Natl Acad Sci Belarus, Inst Zool, Vertebrate Predat Res Grp, Akad Cheskaya Str 27, Minsk 220072, BELARUS.</t>
  </si>
  <si>
    <t>0301-4223</t>
  </si>
  <si>
    <t>1175-8821</t>
  </si>
  <si>
    <t>NEW ZEAL J ZOOL</t>
  </si>
  <si>
    <t>N. Z. J. Zool.</t>
  </si>
  <si>
    <t>10.1080/03014220709510059</t>
  </si>
  <si>
    <t>163OL</t>
  </si>
  <si>
    <t>WOS:000246169300002</t>
  </si>
  <si>
    <t>Bonesi, L; Palazon, S</t>
  </si>
  <si>
    <t>Bonesi, Laura; Palazon, Santiago</t>
  </si>
  <si>
    <t>American mink; invasive alien species; Europe; mink farming; pest management; public awareness</t>
  </si>
  <si>
    <t>OTTER LUTRA-LUTRA; VOLES ARVICOLA-TERRESTRIS; MUSTELA-VISON; WATER VOLES; DISTRIBUTIONAL HISTORY; SMALL ISLANDS; POPULATIONS; DIET; PREDATION; LUTREOLA</t>
  </si>
  <si>
    <t>We examine the distribution of American mink Mustela uison in 28 European countries, and we review the impacts of this invasive species and the efforts made so far in controlling it. Our study reveals that, although mink farms are mostly concentrated in northern countries, mink are widely distributed across Europe, and that in some countries mink are apparently declining, although in most cases the causes are unknown. Countries for which the impact of mink on native species has been studied show that mink can have a significant effect on ground-nesting birds, rodents, amphibians and mustelids. The overall economic impact of feral mink seems to be relatively small but can be significant in specific regions. Recently, a number of eradication and local control projects have been carried out throughout Europe, indicating that these actions could be effective to protect native species. A consistent body of knowledge is starting to accumulate on issues concerning the American mink as an invasive alien species, but, as this review highlights, for most European countries there is currently a limited knowledge about its distribution or impacts. Taking all these observations together, we present some of the actions that have recently emerged as effective for dealing with this species and discuss which considerations may further encourage competent European authorities to take action to prevent and mitigate impacts of American mink. (c) 2006 Elsevier Ltd. All rights reserved.</t>
  </si>
  <si>
    <t>Univ Trieste, Dept Biol, I-34127 Trieste, Italy; Generalitat Catalonia, Dept Environm, Fauna Protect Serv, Barcelona 08017, Spain</t>
  </si>
  <si>
    <t>University of Trieste</t>
  </si>
  <si>
    <t>Bonesi, L (corresponding author), Univ Trieste, Dept Biol, Via Weiss 2, I-34127 Trieste, Italy.</t>
  </si>
  <si>
    <t>laura.bonesi@units.it; santiago.palazon@gencat.net</t>
  </si>
  <si>
    <t>Bonesi, Laura/0000-0003-3351-3892</t>
  </si>
  <si>
    <t>10.1016/j.biocon.2006.09.006</t>
  </si>
  <si>
    <t>144BJ</t>
  </si>
  <si>
    <t>WOS:000244769800002</t>
  </si>
  <si>
    <t>Gaydos, JK; Conrad, PA; Gilardi, KVK; Blundell, GM; Ben-David, M</t>
  </si>
  <si>
    <t>Gaydos, Joseph K.; Conrad, Patricia A.; Gilardi, Kirsten V. K.; Blundell, Gail M.; Ben-David, Merav</t>
  </si>
  <si>
    <t>disease; human population; Leptospirosa; Lontra canadensis; marine; river otter; Toxoplasma gondii</t>
  </si>
  <si>
    <t>TOXOPLASMA-GONDII; SEROLOGIC SURVEY; SEA OTTERS; LEPTOSPIROSIS; CALIFORNIA; INFECTION; EXPOSURE; SOUTHERN; BEHAVIOR; DISEASE</t>
  </si>
  <si>
    <t>The investigation of diseases of free-ranging river otters (Lontra canadensis) is a primary conservation priority for this species; however, very little is known about diseases of river otters that forage in marine environments. To identify and better understand pathogens that could be important to marine-foraging river otters, other wildlife species, domestic animals, mid humans and to determine if proximity to human population could be a Factor in disease exposure, serum samples from 55 free-ranging marine-foraging river otters were tested for antibodies to selected pathogens. Thirty-five animals were captured in Prince William Sound, Alaska (USA), an area of low human density, and 20 were captured in the San Juan Islands, Washington State (USA), an area characterized by higher human density. Of 40 river otters tested by indirect immunofluoresent antibody test, 17.5% were seropositive (titer &gt;= 320) for Toxoplasma gondii. All positive annuals came from Washington. Of 35 river otters tested for antibodies to Leptospira, interrogans using the microscopic agglutination test, 10 of 20 (50%) from Washington were seropositive (titer &gt;= 200). None of the 15 tested animals from Alaska were positive. Antibodies to Neospora caninum, (n=40), Sarcocystis neurona (n=40), Bntcella abortus (n=55), avian influenza (n=40), canine distemper virus (n=55), phocine disteruper virus (n=55), dolphin morbillivirus (n=55), porpoise morbillivirus (n=55), and Aleutian disease parvovirus (n=46) were not detected. identifying exposure to T gondii and L. interrogans in otters from Washington State but not in otters from Alaska suggests that living proximal to higher human density and its associated agricultural activities, domestic animals, and rodent populations could enhance river otter exposure to these pathogens.</t>
  </si>
  <si>
    <t>Univ Calif Davis, Sch Vet Med, Wildlife Hlth Ctr, Orcas Isl Off, Eastsound, WA 98245 USA; Univ Calif Davis, Sch Vet Med, Wildlife Hlth Ctr, Davis, CA 95616 USA; Alaska Dept Fish &amp; Game, Dept Wildlife Conservat, Douglas, AK 99824 USA; Univ Wyoming, Dept Zool &amp; Physiol, Laramie, WY 82071 USA</t>
  </si>
  <si>
    <t>University of California System; University of California Davis; University of California System; University of California Davis; Alaska Department of Fish &amp; Game; University of Wyoming</t>
  </si>
  <si>
    <t>Gaydos, JK (corresponding author), Univ Calif Davis, Sch Vet Med, Wildlife Hlth Ctr, Orcas Isl Off, 1016 Deer Harbor Rd, Eastsound, WA 98245 USA.</t>
  </si>
  <si>
    <t>jkgaydos@ucdavis.edu</t>
  </si>
  <si>
    <t>Gaydos, Joseph/0000-0001-6599-8797</t>
  </si>
  <si>
    <t>10.7589/0090-3558-43.1.116</t>
  </si>
  <si>
    <t>149IM</t>
  </si>
  <si>
    <t>WOS:000245140600014</t>
  </si>
  <si>
    <t>Crait, JR; Ben-David, M</t>
  </si>
  <si>
    <t>Crait, Jamie R.; Ben-David, Merav</t>
  </si>
  <si>
    <t>activity; cutthroat trout; diet; introduced species; lake trout; Lontra canadensis; Oncorhynchus clarki bouvieri; river otter; spawning; Yellowstone</t>
  </si>
  <si>
    <t>ONCORHYNCHUS-CLARKI-BOUVIERI; LUTRA-LUTRA; FOOD-HABITS; BEHAVIOR; CONSUMPTION; PELICANS; BEARS; FISH; DIET</t>
  </si>
  <si>
    <t>Introduced lake trout (Salvelinus namaycush) threaten the native cutthroat trout (Oncorhynchus clarki bouvieri) population in Yellowstone Lake, Yellowstone National Park, Wyoming. A reduction in availability of cutthroat trout may affect fish predators negatively, especially during spawning season. In this study we examined the importance of spawning cutthroat trout to a fish specialist-the North American river otter (Lontra canadensis), We measured scent-marking rates at 87 otter latrine sites on Yellowstone Lake and its tributary streams throughout the cutthroat trout spawning period and identified prey in scats collected at these sites. Based on fecal deposition rates. otters were more active on spawning streams and less active on Yellowstone Lake during the height of cutthroat trout spawning, with a return to elevated activity on the lake after spawning had ended. Cutthroat trout appeared to be the most common prey item in otter scats throughout the study, based on 5 15 samples identified to the family level and 110 samples analyzed to the species level. Overall, trout occurred in 72% and longnose suckers (Catostomus catostomus) in 43% of otter feces. Suckers were more prevalent than trout in otter scats only on tributary streams, toward the end of cutthroat trout spawning. Introduced lake trout, which inhabit deep water and are largely inaccessible to otters, occurred in less than 5% of otter scats. River otters in the Yellowstone Lake ecosystem appear to be relatively restricted in their diet and are heavily dependent on cutthroat trout. Our findings sua-est that continued declines in the cutthroat trout population could negatively impact otters, potentially disrupting their role in linking aquatic and terrestrial ecosystems in and around Yellowstone Lake.</t>
  </si>
  <si>
    <t>Crait, JR (corresponding author), Univ Wyoming, Dept Zool &amp; Physiol, Laramie, WY 82071 USA.</t>
  </si>
  <si>
    <t>craitj@uwyo.edu</t>
  </si>
  <si>
    <t>10.1644/05-MAMM-A-205R1.1</t>
  </si>
  <si>
    <t>051OU</t>
  </si>
  <si>
    <t>WOS:000238171200009</t>
  </si>
  <si>
    <t>Conrad, PA; Miller, MA; Kreuder, C; James, ER; Mazet, J; Dabritz, H; Jessup, DA; Gulland, F; Grigg, ME</t>
  </si>
  <si>
    <t>Toxoplasma gondii; Type X; sea otter; Enhydra lutris; RAPD; genotype</t>
  </si>
  <si>
    <t>ENHYDRA-LUTRIS-NEREIS; CRYPTOSPORIDIUM-PARVUM OOCYSTS; OYSTERS CRASSOSTREA-VIRGINICA; LINKED IMMUNOSORBENT-ASSAY; FLUORESCENT-ANTIBODY TEST; FRESH-WATER CLAMS; INFECTIOUS-DISEASES; LIFE-CYCLE; EPIDEMIOLOGIC OBSERVATIONS; FELINE TOXOPLASMOSIS</t>
  </si>
  <si>
    <t>Toxoplasma gondii affects a wide variety of hosts including threatened southern sea otters (Enhydra lutris nereis) which serve as sentinels for the detection of the parasite's transmission into marine ecosystems. Toxoplasmosis is a major cause of mortality and contributor to the slow rate of population recovery for southern sea otters in California. An updated seroprevalence analysis showed that 52% of 305 freshly dead, beachcast sea otters and 38% of 257 live sea otters sampled along the California coast from 1998 to 2004 were infected with T. gondii. Areas with high T gondii exposure were predominantly sandy bays near urban centres with freshwater runoff. Genotypic characterisation of 15 new T. gondii isolates obtained from otters in 2004 identified only X alleles at B1 and SAG1. A total of 38/50 or 72% of all otter isolates so far examined have been infected with a Type X strain. Type X isolates were also obtained from a Pacific harbor seal (Phoca vitulina) and California sea lion (Zalophus californianus). Molecular analysis using the C8 RAPD marker showed that the X isolates were more genetically heterogeneous than archetypal Type I, II and III genotypes of T gondii. The origin and transmission of the Type X T gondii genotype are not yet clear. Sea otters do not prey on known intermediate hosts for T gondii and vertical transmission appears to play a minor role in maintaining infection in the populations. Therefore, the most likely source of infection is by infectious, environmentally resistant oocysts that are shed in the feces of felids and transported via freshwater runoff into the marine ecosystem. As nearshore predators, otters serve as sentinels of protozoal pathogen flow into the marine environment since they share the same environment and consume some of the same foods as humans. Investigation into the processes promoting T gondii infections in sea otters will provide a better understanding of terrestrial parasite flow and the emergence of disease at the interface between wildlife, domestic animals and humans. (c) 2005 Australian Society for Parasitology Inc. Published by Elsevier Ltd. All rights reserved.</t>
  </si>
  <si>
    <t>Univ Calif Davis, Sch Vet Med, Wildlife Hlth Ctr, Davis, CA 95616 USA; Marine Wildlife Vet Care &amp; Res Ctr, Calif Dept Fish &amp; Game, Santa Cruz, CA 95060 USA; Marine Mammal Ctr, Sausalito, CA 94965 USA; Univ British Columbia, Dept Med, Vancouver, BC V5Z 3J5, Canada; Univ British Columbia, Dept Microbiol &amp; Immunol, Vancouver, BC V5Z 3J5, Canada</t>
  </si>
  <si>
    <t>University of California System; University of California Davis; University of British Columbia; University of British Columbia</t>
  </si>
  <si>
    <t>Conrad, PA (corresponding author), Univ Calif Davis, Sch Vet Med, Wildlife Hlth Ctr, Old Davis Rd, Davis, CA 95616 USA.</t>
  </si>
  <si>
    <t>paconrad@ucdavis.edu</t>
  </si>
  <si>
    <t>Mazet, Jonna/B-4811-2012; James, Erick/D-4725-2012</t>
  </si>
  <si>
    <t>11-12</t>
  </si>
  <si>
    <t>10.1016/j.ijpara.2005.07.002</t>
  </si>
  <si>
    <t>978VN</t>
  </si>
  <si>
    <t>WOS:000232901200002</t>
  </si>
  <si>
    <t>Suzán, G; Ceballos, G</t>
  </si>
  <si>
    <t>feral; mammals; Mexico; parvovirus; rabies; Toxoplasma</t>
  </si>
  <si>
    <t>BLACK-FOOTED FERRETS; TOXOPLASMA-GONDII; FRAGMENTATION; ANTIBODIES; ECOLOGY; HABITAT; VIRUS; DOGS</t>
  </si>
  <si>
    <t>Wild and feral medium-sized mammals were live trapped at two natural protected areas within the Mexico City limits to determine antibody prevalence for the most common infectious diseases (rabies, toxoplasmosis, and canine parvovirus) in dogs and cats. Mammals were trapped during the dry (March-April) and rainy seasons (July-August) of 1996 and 1997. A total of 68 individuals were captured, representing 8 species: opossums (Didelphis virginiana), ringtails (Bassariscus astutus), spotted skunks (Spilogale gracilis), weasels (Mustela frenata), rock squirrels (Spermophilus variegatus), Mexican gray squirrels (Sciurus aureogaster), feral cats (Felis catus), and feral dogs (Canis familiaris). There was marked seroprevalence for parvovirus (86.6%) and lower seroprevalences for both toxoplasma (23.9%) and rabies (17.9%). There were no significant prevalence differences among mammals in both protected areas, which were of contrasting size and isolation (i.e., small and isolated versus large and nonisolated). We suggest that high seroprevalence of these three infectious agents in wild mammals is a result of the high densities of feral dogs and cats in the two areas sampled. Feral dogs are able to maintain the infectious agents in these localities regardless of the protected area size and isolation. However, the native mammals of the small and isolated reserve are more vulnerable to infectious diseases because of small population size and genetic bottlenecks. Our results indicate that natural areas in and around Mexico City are a refugium for latent infectious agents, several of which are zoonotic. These findings suggest that conservation measures, such as eradication of feral mammals and vaccination programs, in the protected areas and surrounding areas could be beneficial.</t>
  </si>
  <si>
    <t>Univ New Mexico, Dept Biol, Museum SW Biol, Albuquerque, NM 87131 USA; Univ Nacl Autonoma Mexico, Inst Ecol, Mexico City 04510, DF, Mexico</t>
  </si>
  <si>
    <t>University of New Mexico; Universidad Nacional Autonoma de Mexico</t>
  </si>
  <si>
    <t>Suzán, G (corresponding author), Univ New Mexico, Dept Biol, Museum SW Biol, Albuquerque, NM 87131 USA.</t>
  </si>
  <si>
    <t>Ceballos, Gerardo/0000-0001-8374-2656; Suzán, Gerardo/0000-0003-2508-6376</t>
  </si>
  <si>
    <t>10.1638/04-078.1</t>
  </si>
  <si>
    <t>995QG</t>
  </si>
  <si>
    <t>WOS:000234118300015</t>
  </si>
  <si>
    <t>Schwartz, J; Aldridge, B; Blanchard, M; Mohr, FC; Stott, J</t>
  </si>
  <si>
    <t>Southern sea otter; immunological assays; lymphocyte function; immunophenotype</t>
  </si>
  <si>
    <t>WHALES DELPHINAPTERUS-LEUCAS; PHOCA-VITULINA-RICHARDSII; BOTTLE-NOSED-DOLPHIN; AGE-RELATED-CHANGES; PERIPHERAL-BLOOD; MONOCLONAL-ANTIBODIES; TURSIOPS-TRUNCATUS; ANTIGEN-EXPRESSION; IMMUNE-RESPONSES; T-LYMPHOCYTES</t>
  </si>
  <si>
    <t>The Southern sea otter (Enhydra lutris nereis) is listed as threatened under the Endangered Species Act. The population began a pattern of slow decline in 1995. The decline was attributed to high adult mortality rates with infectious disease being the major cause of death. Multiple pathogens were implicated in these deaths including opportunistic pathogens such as Coccidiodes immitis and Toxoplasma sp. These findings suggested that the immunological health of mature animals in this population might be compromised. The primary goal of this study was to establish techniques for assessing phenotypic and functional baseline data for peripheral blood mononuclear cells (PBMC) in free-ranging sea otters. Standard total and differential white blood cell counts were augmented by emumeration of T and B lymphocyte subsets. Lymphocyte function was determined by both mitogen-induced proliferation and expression of IL-2 receptors. In addition to establishing normal ranges for adult animals, age-related changes were identified in B lymphocyte numbers and cell-surface density of major histocompatability complex class II (MHC II) proteins. The predominant lymphocyte subpopulation in Southern sea otters is the T lymphocyte. Substantial variation among individual animals was observed within the B lymphocyte population both in cell number and density of MHC II expression. Pups had greater numbers of T and B lymphocyte, as well as, greater MHC II expression on B lymphocytes than adults. Mitogen-induced proliferation of peripheral blood mononuclear cells (PBMC) was variable among individual animals with no significant difference in cell response between age class and gender. Concanavalin (ConA) was a more effective mitogen in stimulating proliferation and interleukin (IL)-2 receptor expression than pokeweed. This data can be used to augment routine hematology profiles and aid in the identification of animals with immunologic perturbations. (C) 2004 Elsevier B.V. All rights reserved.</t>
  </si>
  <si>
    <t>Univ Calif Davis, Sch Vet Med, Dept Vet Pathol Microbiol &amp; Immunol, Davis, CA 95616 USA</t>
  </si>
  <si>
    <t>Schwartz, J (corresponding author), Univ Calif Davis, Sch Vet Med, Dept Vet Pathol Microbiol &amp; Immunol, 1 Shields Ave, Davis, CA 95616 USA.</t>
  </si>
  <si>
    <t>julieaschwartz@comcast.net</t>
  </si>
  <si>
    <t>1873-2534</t>
  </si>
  <si>
    <t>MAR 10</t>
  </si>
  <si>
    <t>10.1016/j.vetimm.2004.06.005</t>
  </si>
  <si>
    <t>896TQ</t>
  </si>
  <si>
    <t>WOS:000226957000001</t>
  </si>
  <si>
    <t>Fournier-Chambrillon, C; Aasted, B; Perrot, A; Pontier, D; Sauvage, F; Artois, M; Cassiède, JM; Chauby, X; Dal Molin, A; Simon, C; Fournier, P</t>
  </si>
  <si>
    <t>aleutian mink disease parvovirus; Genetta genetta; Martes foina; Martes martes; Mustela lutreola; Mustela putorius; Mustela vison; serologic survey</t>
  </si>
  <si>
    <t>EXPERIMENTAL TRANSMISSION; VIRUS; HYPERGAMMAGLOBULINEMIA</t>
  </si>
  <si>
    <t>Owing to the rapid decline of the European mink (Mustela lutreola) in France, a national conservation action plan has been initiated, in which scientific research to improve understanding of the causes of the decline is one of the primary objectives. In order to investigate the possible role of Aleutian disease parvovirus (ADV) in decline of the species, a serologic survey was conducted from March 1996 to March 2002 in 420 free-ranging individuals of six species of small carnivores distributed in eight departements of southwestern France. Antibodies to ADV were detected in 17 of 75 American mink (Mustela vison), 12 of 99 European mink, 16 of 145 polecats (Mustela putorius), four of 17 stone martens (Martes foina), one of 16 pine martens (Martes martes), and three of 68 common genets (Genetta genetta). Seroprevalence was significantly higher in American mink than in other species. Seropositive individuals with gamma globulin levels &gt;20% were observed in four European mink, four American mink, two stone martens, and one pine marten. Geographic distribution of positive animals indicates the virus has spread to all areas where European mink are found. Furthermore, a trend of increasing prevalence seems to appear in Mustela sp. sympatric with American mink. Although further investigations are necessary to evaluate the role of ADV in decline of European mink, evidence of the virus in the wild at the levels found in our study has implications for conservation of this species.</t>
  </si>
  <si>
    <t>Grp Rech &amp; Etude Gest Environm, F-33730 Villandraut, France; Royal Vet &amp; Agr Univ, DK-1870 Frederiksberg, Denmark; Ecole Natl Vet Toulouse, F-31300 Toulouse, France; Univ Lyon 1, F-69622 Villeurbanne, France; Agence Francaise Securite Santitaire Aliments Nan, Reseau SAGIR, F-54220 Malzeville, France; Off Natl Chasse &amp; Faune Sauvage, Serv Dept Landes, F-40990 St Paul Les Dax, France; Conseil Gen Landes, F-40000 Mont de Marsan, France; Reserve Nat Maziere, Soc Etude Protect Amenagement Nat Lot &amp; Garonne, F-47400 Villeton, France; Assoc Piegeurs Agrees Charente, F-16000 Angouleme, France</t>
  </si>
  <si>
    <t>University of Copenhagen; Universite de Toulouse; Ecole Nationale Veterinaire de Toulouse; Universite Claude Bernard Lyon 1</t>
  </si>
  <si>
    <t>Fournier-Chambrillon, C (corresponding author), Grp Rech &amp; Etude Gest Environm, Route Prechac, F-33730 Villandraut, France.</t>
  </si>
  <si>
    <t>Pontier, Dominique/0000-0003-4700-3543; Sauvage, Frank/0009-0004-5426-7867</t>
  </si>
  <si>
    <t>10.7589/0090-3558-40.3.394</t>
  </si>
  <si>
    <t>856IA</t>
  </si>
  <si>
    <t>WOS:000224037700003</t>
  </si>
  <si>
    <t>Hammer, AS; Dietz, HH; Andersen, TH; Nielsen, L; Blixenkrone-Moeller, M</t>
  </si>
  <si>
    <t>CANINE-DISTEMPER; CARNIVORES; INFECTION; MORBILLIVIRUSES; DOGS; PATHOGENESIS; CONSERVATION; OUTBREAK; ANTIGEN; LIONS</t>
  </si>
  <si>
    <t>During the summer of 2002 a distemper-like disease was observed in the free-ranging badger population in Denmark. It was characterised by grand seizures, abnormal behaviour and death; the badgers all had severe chronic pneumonia and some had non-suppurative encephalomyelitis. in this study, eight of the affected badgers were examined by gross pathological, histological, immunohistological, bacteriological, parasitological and virological methods, and were diagnosed with distemper; canine distemper virus was identified.</t>
  </si>
  <si>
    <t>Danish Inst Food &amp; Vet Res, DK-8200 Aarhus, Denmark; Royal Vet &amp; Agr Univ, Dept Vet Microbiol, Virol Lab, DK-1870 Frederiksberg, Denmark</t>
  </si>
  <si>
    <t>Technical University of Denmark; University of Copenhagen</t>
  </si>
  <si>
    <t>Hammer, AS (corresponding author), Danish Inst Food &amp; Vet Res, Hangovej 2, DK-8200 Aarhus, Denmark.</t>
  </si>
  <si>
    <t>BRITISH VETERINARY ASSOC</t>
  </si>
  <si>
    <t>7 MANSFIELD ST, LONDON W1M 0AT, ENGLAND</t>
  </si>
  <si>
    <t>APR 24</t>
  </si>
  <si>
    <t>10.1136/vr.154.17.527</t>
  </si>
  <si>
    <t>819SH</t>
  </si>
  <si>
    <t>WOS:000221334800014</t>
  </si>
  <si>
    <t>Macdonald, DW; Harrington, LA</t>
  </si>
  <si>
    <t>3rd International Wildlife Management Congress</t>
  </si>
  <si>
    <t>DEC, 2003</t>
  </si>
  <si>
    <t>CHRISTCHURCH, NEW ZEALAND</t>
  </si>
  <si>
    <t>alien species; American mink; competition; invasive species; Mustela; predation; predator removal</t>
  </si>
  <si>
    <t>VOLES ARVICOLA-TERRESTRIS; TERNS STERNA SPP.; OTTER LUTRA-LUTRA; MUSTELA-VISON; WATER VOLES; EUROPEAN MINK; CHARACTER DISPLACEMENT; SEXUAL-DIMORPHISM; HABITAT USE; LUTREOLA</t>
  </si>
  <si>
    <t>The American mink has spread widely beyond its native North America due to the activities of fur traders. The mink is an extremely adaptable, generalist predator. Over two continents, the American mink is associated with problems in the conservation of local species because of their impact on both prey and competitors. Here, we review the impact of American mink on native species, stemming from over a decade of research, and concentrate on two examples: the impact of American mink on the water vole in Britain and on the European mink in Eastern Europe. While the near extinction of the water vole in Britain and that of the European mink in Eastern Europe are largely due to predation and interspecific aggression, respectively, both may have been affected by a multitude of factors acting synergistically. Terns, and other seabirds, are impacted by mink predation; the effect on riparian bird species is less clear but may potentially be high. Emerging principles, supported by preliminary evidence, suggest that the return of the larger otter in the United Kingdom may be detrimental to mink populations. The impact of, or on, the current recovery of the polecat in the United Kingdom is unknown but evidence from Eastern Europe suggests that American mink negatively affect at least female polecats. We conclude by briefly presenting two case studies of small-scale mink removal and discuss considerations for future control projects. To mitigate mink impact on a larger scale we suggest a holistic approach, involving mink removal, habitat restoration, and recovery of native competitors.</t>
  </si>
  <si>
    <t>Univ Oxford, Dept Zool, Wildlife Conservat Res Unit, Oxford OX1 3PS, England</t>
  </si>
  <si>
    <t>Macdonald, DW (corresponding author), Univ Oxford, Dept Zool, Wildlife Conservat Res Unit, S Parks Rd, Oxford OX1 3PS, England.</t>
  </si>
  <si>
    <t>10.1080/03014223.2003.9518350</t>
  </si>
  <si>
    <t>761DA</t>
  </si>
  <si>
    <t>WOS:000187883700006</t>
  </si>
  <si>
    <t>Burns, R; Williams, ES; O'Toole, D; Dubey, JP</t>
  </si>
  <si>
    <t>black-footed ferrets; endangered species; Mustela nigripes; Toxoplasma gondii; toxoplasmosis</t>
  </si>
  <si>
    <t>TRANSMISSION; PREVALENCE; OOCYSTS; PIGS</t>
  </si>
  <si>
    <t>An epizootic of toxoplasmosis occurred among 22 adult and 30 kit black-footed ferrets (Mustela nigripes) maintained under quarantine conditions at the Louisville Zoological Garden (Louisville, Kentucky, USA) in June,1992. Black-footed ferrets appear to be highly susceptible to acute and chronic toxoplasmosis. Clinical signs were observed in 19 adults and six kits and included anorexia, lethargy, corneal edema, and ataxia. Two adults and six kits died with acute disease. High antibody titers to Toxoplasma gondii were detected by latex agglutination and modified agglutination assay in 10 black-footed ferrets. One adult and six kits that died with acute clinical signs were necropsied and T gondii-like organisms were found microscopically in multiple organs. Diagnosis of toxoplasmosis was confirmed by immunohistochemical staining with anti-T. gondii antibodies and by ultrastructural examination. Although the source of T gondii for black-footed ferrets was not identified, frozen uncooked rabbit was the most likely source. Chronic toxoplasmosis resulted in the death of an additional 13 black-footed ferrets that were adults during the epizootic. Affected animals developed chronic progressive posterior weakness and posterior ataxia 6-69 me after the epizootic began. Meningoencephalitis or meningoencephalomyelitis associated with chronic toxoplasmosis were identified at necropsy in all 13 ferrets. Precautions to prevent introduction of pathogens into the colony were insufficient to exclude T gondii. Although toxoplasmosis may cause significant mortality in mustelids, the high mortality of black-footed ferrets in this epizootic was of concern due to their endangered status. This is the first detailed report of toxoplasmosis in black-footed ferrets.</t>
  </si>
  <si>
    <t>Louisville Zool Garden, Louisville, KY 40233 USA; Univ Wyoming, Dept Vet Sci, Laramie, WY 82070 USA; USDA, ARS, ANRI, Anim Parasit Dis Lab, Beltsville, MD 20705 USA</t>
  </si>
  <si>
    <t>University of Wyoming; United States Department of Agriculture (USDA)</t>
  </si>
  <si>
    <t>Burns, R (corresponding author), Louisville Zool Garden, POB 37250, Louisville, KY 40233 USA.</t>
  </si>
  <si>
    <t>roy.burns@loukymetro.org</t>
  </si>
  <si>
    <t>10.7589/0090-3558-39.4.787</t>
  </si>
  <si>
    <t>760BX</t>
  </si>
  <si>
    <t>WOS:000187791800005</t>
  </si>
  <si>
    <t>Kreuder, C; Miller, MA; Jessup, DA; Lowenstein, LJ; Harris, MD; Ames, JA; Carpenter, TE; Conrad, PA; Mazet, JAK</t>
  </si>
  <si>
    <t>acanthocephalan; cardiac disease; Enhydra lutris nereis; Sarcocystis neurona; shark predation; southern sea otter; Toxoplasina gondii</t>
  </si>
  <si>
    <t>PHOCA-VITULINA; CALIFORNIA; TOXOPLASMOSIS; SARCOCYSTIS; POPULATION; SHARK; DISEASES; GROWTH</t>
  </si>
  <si>
    <t>Detailed postmortem examination of southern sea otters (Enhydra lutris nereis) found along the California (USA) coast has provided an exceptional opportunity to understand factors influencing survival in this threatened marine mammal species. In order to evaluate recent trends in causes of mortality, the demographic and geographic distribution of causes of death in freshly deceased beacheast sea otters necropsied from 1998-2001 were evaluated. Protozoal encephalitis, acanthocephalan-related disease, shark attack, and cardiac disease were identified as common causes of death in sea otters examined. While infection With acanthocephalan parasites was more likely to cause death in juvenile otters, Toxoplasma gondii encephalitis, shark attack, and cardiac disease were more common in prime-aged adult otters. Cardiac disease is a newly recognized cause of mortality in sea otters and T gondii encephalitis was significantly associated with this condition. Otters with fatal shark bites were over three times more likely to have preexisting T gondii encephalitis suggesting that shark attack, which is it long-recognized source of mortality in otters, may be coupled with a recently recognized disease in otters. Spatial clusters of cause-specific mortality were detected for T gondii encephalitis (in Estero Bay), acanthocephalan peritonitis (in southern Monterey Bay), and shark attack (from Santa Cruz to Point Ano Nuevo). Diseases caused by parasites, bacteria, or fungi and diseases without a specified etiology were the primary cause of death in 63.8% of otters examined. Parasitic disease alone caused death in 38.1% of otters examined. This pattern of mortality, observed predominantly in juvenile and prime-aged adult southern sea otters, has negative implications for the overall health and recovery of this population.</t>
  </si>
  <si>
    <t>Univ Calif Davis, Sch Vet Med, Hlth Res Ctr, Davis, CA 95616 USA; Calif Dept Fish &amp; Game, Marine Wildlife Vet Care &amp; Res Ctr, Santa Cruz, CA 95060 USA</t>
  </si>
  <si>
    <t>Kreuder, C (corresponding author), Univ Calif Davis, Sch Vet Med, Hlth Res Ctr, Davis, CA 95616 USA.</t>
  </si>
  <si>
    <t>wildlifehealth@ucdavis.edu</t>
  </si>
  <si>
    <t>Mazet, Jonna/0000-0002-8712-5951</t>
  </si>
  <si>
    <t>10.7589/0090-3558-39.3.495</t>
  </si>
  <si>
    <t>723YM</t>
  </si>
  <si>
    <t>WOS:000185459200002</t>
  </si>
  <si>
    <t>Lafferty, KD; Gerber, LR</t>
  </si>
  <si>
    <t>OTTERS ENHYDRA-LUTRIS; EMERGING INFECTIOUS-DISEASES; SEA OTTER; POPULATION-DYNAMICS; PARASITES; CALIFORNIA; HOST; MANAGEMENT; SERENGETI; WILDLIFE</t>
  </si>
  <si>
    <t>Infectious disease can be a concern for several aspects of conservation biology, such as determining threats to species, estimating population viability, and designing reserves, captive breeding, and recovery programs. Several measures are useful for describing infectious diseases in host populations, but it is not straightforward to determine the degree to which a particular disease may affect a host population. The most basic epidemiological theory suggests that populations should be least subject to host-specific infectious disease when they are at low abundance ( paradoxically, the state at which they are in most need of conservation action). There are important exceptions, however, such as when a reservoir host exists or when Allee or stochastic effects occur. Several of the key threats to biodiversity-habitat alteration, introduced species, pollution, resource exploitation, and climate change-can facilitate and/or impair transmission of infectious disease. Common management tools such as population viability analysis rarely address infectious disease explicitly. We suggest that such an inclusion is both possible and warranted. Considerations of infectious disease may influence the way we determine whether a species is in need of protection and how we might design reserves and captive breeding programs. Examples from the literature suggest that (1) introduced pathogens can make abundant species rare and (2) diseases of domestic animals can dramatically affect rare species. For both scenarios, conditions that cause stress or reduce genetic variation may increase susceptibility to disease, whereas crowding and cross-species contact can increase transmission. Southern sea otters ( Enhydra lutris nereis ) make an interesting case study for consideration of the intersection of epidemiology and conservation because disease may be an important factor limiting the growth of otter populations. We conclude that pathogens are of increasing concern for conservation. Because many newly emerging pathogen dynamics often do not conform to the simplifying assumptions used in classic epidemiology, a detailed understanding of pathogen life history will illuminate the intersection of epidemiology and conservation theory.</t>
  </si>
  <si>
    <t>Univ Calif Santa Barbara, US Geol Survey, Inst Marine Sci, Santa Barbara, CA 93106 USA; Univ Calif Santa Barbara, Natl Ctr Ecol Anal &amp; Synth, Santa Barbara, CA 93101 USA</t>
  </si>
  <si>
    <t>United States Department of the Interior; United States Geological Survey; University of California System; University of California Santa Barbara; University of California System; University of California Santa Barbara</t>
  </si>
  <si>
    <t>Lafferty, KD (corresponding author), Univ Calif Santa Barbara, US Geol Survey, Inst Marine Sci, Santa Barbara, CA 93106 USA.</t>
  </si>
  <si>
    <t>Lafferty, Kevin/B-3888-2009</t>
  </si>
  <si>
    <t>Gerber, Leah/0000-0002-6763-6842</t>
  </si>
  <si>
    <t>10.1046/j.1523-1739.2002.00446.x</t>
  </si>
  <si>
    <t>556CP</t>
  </si>
  <si>
    <t>WOS:000175832000008</t>
  </si>
  <si>
    <t>Miller, MA; Gardner, IA; Packham, A; Mazet, JK; Hanni, KD; Jessup, D; Estes, J; Jameson, R; Dodd, E; Barr, BC; Lowenstine, LJ; Gulland, FM; Conrad, PA</t>
  </si>
  <si>
    <t>JOURNAL OF PARASITOLOGY</t>
  </si>
  <si>
    <t>PHOCA-VITULINA RICHARDSI; DIAGNOSTIC-TESTS; SARCOCYSTIS; NEREIS; MENINGOENCEPHALITIS; ORGANISM; DOLPHIN</t>
  </si>
  <si>
    <t>An indirect fluorescent antibody test (IFAT) tor detection of Taxoplasma gondii infection wits validated using serum front 77 necropsied southern sea otters (Enhydra lutris nereis) whose T. gondii infection status was determined through immunohistochemistry and parasite isolation in cell Culture. Twenty-eight otters (36%) were positive for T. gondii by immunohistochemistry or parasite isolation or both, whereas 49 (64%) were negative by both tests. At a cutoff Of 1:320. combined values for IFAT sensitivity and specificity were maximized at 96.4 and 67.3%. respectively. The area under tire receiver-operating characteristic curve for the IFAT was 0.84. A titer of 1:320 was used IS cutoff When screening serum Collected from live-sampled sea otters from California (n = 80). Washington (n = 21). and Alaska (n = 65) for T. gondii infection. Thirty-six percent (29 Out Of 80) of Call sea otters (E. lutris nereis) and 38% (8 out of 21) of Washington sea otters (E. lutris kenyoni) were seropositive for T. gondii. compared with 0% (0 out of 65) of Alaskan sea otters (E. lutris kenyoni).</t>
  </si>
  <si>
    <t>Univ Calif Davis, Sch Vet Med, Dept Pathol Microbiol &amp; Immunol, Davis, CA 95616 USA</t>
  </si>
  <si>
    <t>Miller, MA (corresponding author), Univ Calif Davis, Sch Vet Med, Dept Pathol Microbiol &amp; Immunol, Davis, CA 95616 USA.</t>
  </si>
  <si>
    <t>AMER SOC PARASITOLOGISTS</t>
  </si>
  <si>
    <t>0022-3395</t>
  </si>
  <si>
    <t>J PARASITOL</t>
  </si>
  <si>
    <t>J. Parasitol.</t>
  </si>
  <si>
    <t>10.1645/0022-3395(2002)088[0594:EOAIFA]2.0.CO;2</t>
  </si>
  <si>
    <t>568DE</t>
  </si>
  <si>
    <t>WOS:000176526500027</t>
  </si>
  <si>
    <t>Yamaguchi, N; Macdonald, DW</t>
  </si>
  <si>
    <t>CANINE-DISTEMPER VIRUS; OTTER LUTRA-LUTRA; MUSTELA-VISON; UPPER THAMES; PARVOVIRUS; TRANSMISSION; INFECTIONS; NIGRIPES; FERRETS; IMPACT</t>
  </si>
  <si>
    <t>Fourteen of 27 American mink (Mustela vison) trapped in the upper Thames region were positive for anti-Aleutian disease antibodies. This demonstration of the occurrence of this viral disease in a feral American mink population suggests that it could threaten populations of at least two protected mustelids, the otter (Lutra lutra) and the polecat (Mustela putorius), and may also play a role in the apparent decline of local mink populations in Britain.</t>
  </si>
  <si>
    <t>Yamaguchi, N (corresponding author), Univ Oxford, Dept Zool, Wildlife Conservat Res Unit, S Parks Rd, Oxford OX1 3PS, England.</t>
  </si>
  <si>
    <t>Yamaguchi, Nobuyuki/AAN-4884-2020</t>
  </si>
  <si>
    <t>OCT 20</t>
  </si>
  <si>
    <t>10.1136/vr.149.16.485</t>
  </si>
  <si>
    <t>491DZ</t>
  </si>
  <si>
    <t>WOS:000172093900013</t>
  </si>
  <si>
    <t>Sidorovich, V; MacDonald, DW</t>
  </si>
  <si>
    <t>NETHERLANDS JOURNAL OF ZOOLOGY</t>
  </si>
  <si>
    <t>Mustela lutreola; Mustela putorius; Mustela vison; habitat use; population density; population decline; Belarus</t>
  </si>
  <si>
    <t>Changes in spatial structure of the native riparian mustelid guild including the European mink Mustela lutreola, otter Lutra lutra, polecat M. putorius and stoat M. erminea in connection with the expansion of the American mink M. vison were analysed on the basis of a radiotracking and snowtracking study in the upper reaches of the Lovat river, NE Belarus. Four main questions were investigated: (1) how does habitat selection differ between the native mustelids in the absence of American mink? (2) does habitat use change following the arrival of American mink and, if so, how? (3) does habitat selection differ between the two mink species? (4) how does European mink density before American mink arrival compare with American mink densities after the disappearance of European mink? Before American mink naturalization, European mink density was highest at small rivers and brooks, otter density was highest at larger rivers, polecats were found to inhabit all types of river banks and shores at a similar density. No changes in otter habitat use were found after the American mink expansion. Gradually, during four years of the American mink expansion, European mink became rare at small rivers. However, at brooks used less frequently by American mink there was little change in European mink density. Radiotracking data showed that American mink drive European mink away from rivers. European mink are still found at brooks, however, such small streams are used more frequently by European mink males than by females, because there is not enough food to rear a litter. Following the American mink expansion, the polecat population along the banks and shores was reduced by approximately half. In riparian habitats American mink seems to be a more competitive species than the polecat and as a result, polecat populations tend to decline there. Furthermore, as with European mink, polecat females are at an even greater competitive disadvantage due to their smaller body size. The most important difference in habitat selection of the native mink and naturalized mink is that the European mink inhabited banks and shores and usually stayed close to aquatic ecosystems, whereas the American mink fairly frequently inhabited marshes, pools and even dry forest.</t>
  </si>
  <si>
    <t>Natl Acad Sci, Inst Zool, Vertebrate Predat Res Unit, Minsk 220072, BELARUS; Univ Oxford, Dept Zool, Wildlife Conservat Res Unit, Oxford OX1 3PS, England</t>
  </si>
  <si>
    <t>National Academy of Sciences of Belarus (NASB); Scientific &amp; Practical Center for Bioresources of the National Academy of Sciences of Belarus; University of Oxford</t>
  </si>
  <si>
    <t>Sidorovich, V (corresponding author), Natl Acad Sci, Inst Zool, Vertebrate Predat Res Unit, Akademicheskaya Str 27, Minsk 220072, BELARUS.</t>
  </si>
  <si>
    <t>BRILL</t>
  </si>
  <si>
    <t>LEIDEN</t>
  </si>
  <si>
    <t>PLANTIJNSTRAAT 2, P O BOX 9000, 2300 PA LEIDEN, NETHERLANDS</t>
  </si>
  <si>
    <t>0028-2960</t>
  </si>
  <si>
    <t>NETH J ZOOL</t>
  </si>
  <si>
    <t>Neth. J. Zool.</t>
  </si>
  <si>
    <t>10.1163/156854201750210878</t>
  </si>
  <si>
    <t>449FJ</t>
  </si>
  <si>
    <t>WOS:000169673400008</t>
  </si>
  <si>
    <t>Mañas, S; Ceña, JC; Ruiz-Olmo, J; Palazón, S; Domingo, M; Wolfinbarger, JB; Bloom, ME</t>
  </si>
  <si>
    <t>Aleutian mink disease parvovirus; Lutra lutra; Mustela lutreola; Mustela putorius; Mustela vision; polymerase chain reaction; survey</t>
  </si>
  <si>
    <t>NUCLEOTIDE-SEQUENCE; IN-VIVO; ADV; TRANSMISSION; PROTEIN</t>
  </si>
  <si>
    <t>Serious declines in populations of native European mink (Mustela lutreola) have occurred in Europe. One responsible factor may be infectious diseases introduced by exotic American mink (Mustela vison). In order to investigate a possible role for Aleutian mink disease parovirus (ADV), we surveyed native riparian carnivores and feral American mink. When serum samples from 12 free-ranging European and 16 feral American mink were tested, antibodies to ADV were detected from three of nine European mink. ADV DNA was detected by polymerase chain reaction in whole cell DNA from four of seven carcasses; two American mink, one European mink and a Eurasian otter (Lutra lutra). Lesions typical of Aleutian disease were present in one of the American mink. A portion of the ADV VP2 capsid gene was sequenced and the results suggested that two sequence types of ADV were circulating in Spain, and that the Spanish ADVs differed from other described isolates from North America and Europe. Future conservation and restoration efforts should include measures to avoid introduction or spread of ADV infection to native animals.</t>
  </si>
  <si>
    <t>Fdn Cultural Caja Rioja, Logrono 26004, Spain; Serv Proteccio &amp; Gestio Fauna, Dept Med Ambient, Barcelona 08029, Spain; Univ Barcelona, Fac Biol, Dept Biol Anim, E-08028 Barcelona, Spain; Univ Autonoma Barcelona, Dept Patol &amp; Prod Anim, Unidad Histol &amp; Anat Patol, E-08193 Barcelona, Spain; NIAID, Persistent Viral Dis Lab, NIH, Rocky Mt Labs, Hamilton, MT 59840 USA</t>
  </si>
  <si>
    <t>University of Barcelona; Autonomous University of Barcelona; National Institutes of Health (NIH) - USA; NIH National Institute of Allergy &amp; Infectious Diseases (NIAID)</t>
  </si>
  <si>
    <t>Mañas, S (corresponding author), Alexandre Gali 2-1, Barcelona 08225, Spain.</t>
  </si>
  <si>
    <t>Domingo, Mariano/A-1015-2009</t>
  </si>
  <si>
    <t>Domingo, Mariano/0000-0002-9623-4826</t>
  </si>
  <si>
    <t>WILDLIFE DISEASE ASSN, INC</t>
  </si>
  <si>
    <t>10.7589/0090-3558-37.1.138</t>
  </si>
  <si>
    <t>402WR</t>
  </si>
  <si>
    <t>WOS:000167011600017</t>
  </si>
  <si>
    <t>Davison, A; Griffiths, HI; Brookes, RC; Maran, T; Macdonald, DW; Sidorovich, VE; Kitchener, AC; Irizar, I; Villate, I; González-Esteban, J; Ceña, JC; Ceña, A; Moya, I; Miñano, SP</t>
  </si>
  <si>
    <t>PHYLOGEOGRAPHY; HYBRIDIZATION; CONSERVATION; RED; CARNIVORA; EVOLUTION; TAXONOMY; WOLF</t>
  </si>
  <si>
    <t>The European mink Mustela lutreola is one of Europe's most endangered carnivores, with few vulnerable populations remaining. Surprisingly, a recent phylogeny placed a single mink specimen within the polecat (M. putorius, M. eversmannii) group, suggesting a recent speciation and/or the effects of hybridization. The analysis has now been extended to a further 51 mink and polecats. As before, phylogenetic methods failed to resolve the relationships between the species. One haplotype (C11) was found in both species, and predominated in European mink from Spain and eastern Europe. The known M. lutreola fossils are of very young date, so either mink arose recently, or else the situation is confused by hybridization and a biased fossil recovery. The study highlights the dangers of using a single genetic marker in defining Evolutionarily Significant Units (ESUs). Polecats and European mink are clearly distinct in their morphology and ecology, and should still be considered as separate ESUs, but without further data it is difficult to define Management Units. Following the precautionary principle, we recommend that for the moment European mink in eastern Europe (Belarus, Estonia and Russia) and Spain should be managed separately.</t>
  </si>
  <si>
    <t>Univ Nottingham, Queens Med Ctr, Inst Genet, Nottingham NG7 2UH, England; Vincent Wildlife Trust, London EC3R 8DT, England; Univ Hull, Dept Geog, Kingston Upon Hull HU6 7RX, N Humberside, England; Tallinn Zoo, EMCC, EE-0035 Tallinn, Estonia; Univ Oxford, Dept Zool, WildCRU, Oxford OX1 3PS, England; Natl Acad Sci Belarus, Inst Zool, Minsk 220072, BELARUS; Natl Museums Scotland, Edinburgh EH1 1JF, Midlothian, Scotland; Soc Ciencias Aranzadi, Dept Vertebrados, E-20014 San Sebastian, Spain; Univ Barcelona, Dept Biol Anim Vertebrats, E-08028 Barcelona, Spain</t>
  </si>
  <si>
    <t>University of Nottingham; University of Hull; University of Oxford; National Academy of Sciences of Belarus (NASB); Scientific &amp; Practical Center for Bioresources of the National Academy of Sciences of Belarus; University of Barcelona</t>
  </si>
  <si>
    <t>Davison, A (corresponding author), Univ Nottingham, Queens Med Ctr, Inst Genet, Nottingham NG7 2UH, England.</t>
  </si>
  <si>
    <t>a.davison@hgmp.mrc.ac.uk</t>
  </si>
  <si>
    <t>; Davison, Angus/C-3156-2009</t>
  </si>
  <si>
    <t>Kitchener, Anew/0000-0003-2594-0827; Davison, Angus/0000-0003-2554-8585; González-Esteban, Jorge/0000-0002-8867-0740</t>
  </si>
  <si>
    <t>371YA</t>
  </si>
  <si>
    <t>WOS:000165205800007</t>
  </si>
  <si>
    <t>Sidorovich, VE; Polozov, AG; Lauzhel, GO; Krasko, DA</t>
  </si>
  <si>
    <t>ZEITSCHRIFT FUR SAUGETIERKUNDE-INTERNATIONAL JOURNAL OF MAMMALIAN BIOLOGY</t>
  </si>
  <si>
    <t>carnivores; feeding ecology; Belarus</t>
  </si>
  <si>
    <t>POLECATS MUSTELA-PUTORIUS; BIALOWIEZA-NATIONAL-PARK</t>
  </si>
  <si>
    <t>Feeding habits and dietary overlap among forest generalist carnivores (brown bear Ursus arctos, red fox Vulpes vulpes, badger Meles meles, pine marten Martes martes, polecat Mustela putorius, and raccoon dog Nyctereutes procyonoides) in natural forested landscape of northern Belarus (Gorodok and Rossony districts) were studied. In the warm season (April-October), generalist carnivores were characterized by a fairly wide food spectrum. Predominant items of their diets were fruits, small mammals insects and birds. Although several pairs of species, such as brown bear-badger, raccoon dog-badger, pine marten-red fox, and pine marten-raccoon dog, had considerable dietary overlap, there was little evidence of a competition for resources in the generalist guild in the warm season. In the cold season (November-March), the food niches of active generalist predators became narrower and considerably overlapped, which coincided with a substantial decrease in food abundance and availability. In this period of poor food supply, generalists mostly consumed wild ungulate carrion, small mammals, and fruits. By inhabiting the same habitats, several pairs of species such as pine marten-red fox, polecatred fox, polecat-raccoon dog, polecat-pine marten, may compete for food. In the harshest period of late winter and early spring, in conditions of deep and/or soft snow cover in forest, it is energetically expensive to move around and the majority of food search fails. Thus, all generalists were forced to feed on carrion, the abundance of which substantially affected all generalist carnivores with the probable exception of raccoon dog. The obtained data on the predator abundance suggest that after the raccoon dog had reached a high population density, the native generalist predators began to decline.</t>
  </si>
  <si>
    <t>Natl Acad Sci Belarus, Inst Zool, Minsk 220072, BELARUS</t>
  </si>
  <si>
    <t>Sidorovich, VE (corresponding author), Natl Acad Sci Belarus, Inst Zool, Akademicheskaya Str 27, Minsk 220072, BELARUS.</t>
  </si>
  <si>
    <t>mustbel@mustbel.belpak.minsk.by</t>
  </si>
  <si>
    <t>0044-3468</t>
  </si>
  <si>
    <t>Z SAUGETIERKD</t>
  </si>
  <si>
    <t>Z. Saugetierkd.-Int. J. Mamm. Biol.</t>
  </si>
  <si>
    <t>373MF</t>
  </si>
  <si>
    <t>WOS:000165292700002</t>
  </si>
  <si>
    <t>Wilkinson, D; Smith, GC; Delahay, RJ; Rogers, LM; Cheeseman, CL; Clifton-Hadley, RS</t>
  </si>
  <si>
    <t>badger; Meles meles; mortality; bovine tuberculosis</t>
  </si>
  <si>
    <t>SOUTHWEST ENGLAND; INFECTION; DENSITY; EPIDEMIOLOGY; DYNAMICS; DISEASE; ELISA</t>
  </si>
  <si>
    <t>The mortality rates of badgers Meles meles were estimated, using data from a long-term capture-mark-recapture study of an undisturbed badger population in south-west England. Two life table methods were used: fusion and discounting. Badgers were allocated to a particular TB status for all or part of their lives according to their degree of infection with bovine tuberculosis Mycobacterium bovis. Separate life tables were created for animals with each TB status, and for males and females, and the estimated mortality rates were compared statistically. The progression of M. bovis infection, and the positions of AL bovis lesions were also analysed. The main findings are: (a) uninfected male badgers have a significantly higher mortality rate than uninfected females, (b) infected badgers which are not excreting M. bovis do not have a significantly higher mortality rate than uninfected badgers, (c) badgers which are excreting M. bovis have a much higher mortality rate than uninfected badgers, (d) male badgers appear to cope with M. bovis infection less well than females, and (e) there map be sex differences in the mode of spread of M. bovis in badgers.</t>
  </si>
  <si>
    <t>Cent Sci Lab, York YO41 1LZ, N Yorkshire, England; Vet Lab Agcy, Addlestone KT15 3NB, Surrey, England</t>
  </si>
  <si>
    <t>Food &amp; Environment Research Agency</t>
  </si>
  <si>
    <t>Smith, GC (corresponding author), Cent Sci Lab, York YO41 1LZ, N Yorkshire, England.</t>
  </si>
  <si>
    <t>g.smith@csl.gov.uk</t>
  </si>
  <si>
    <t>Delahay, Richard/J-2261-2014; Clifton-Hadley, Richard/C-2503-2011; Smith, Graham/J-2593-2013</t>
  </si>
  <si>
    <t>Smith, Graham/0000-0002-9897-6794</t>
  </si>
  <si>
    <t>10.1017/S0952836900003113</t>
  </si>
  <si>
    <t>298DP</t>
  </si>
  <si>
    <t>WOS:000086124300011</t>
  </si>
  <si>
    <t>Sidorovich, V; Kruuk, H; Macdonald, DW</t>
  </si>
  <si>
    <t>Mustela lutreola; Mustela vison; body size; interaction; character convergence</t>
  </si>
  <si>
    <t>CHARACTER DISPLACEMENT; SEXUAL DIMORPHISM; HYPOTHESES</t>
  </si>
  <si>
    <t>Body sizes of European mink (Mustela lutreola L.), polecat (M. putorius L.) and American mink (M. vison Schreber) were studied over a 10-year period in an area of north-eastern Belarus, before and after the invasion by American mink, and data are presented on interspecific interactions. On arrival in the study area American mink males were larger than males of European mink and polecat, and American mink females were larger than females of the other species. After arrival of the American mink its mean body size decreased, whilst the resident male and female European mink and female polecat increased as measured in absolute mass, length and relative mass. The observations suggest a strong character convergence most plausibly explained as a response to the invading exotic by the residents as well as in the invading species itself, whilst a divergence had been expected. There was no evidence to show whether these differences were genetically based. The body size data are consistent with the hypothesis that European mink, and to a lesser extent polecat, are responding to direct aggression from American mink (rather than merely competing for resources), with the smaller individual European mink being more likely to disappear first. We provide direct evidence for the aggressive nature of inter-specific relations from observations using radio-tracking: all observed inter-specific interactions were aggressive, significantly more so than intraspecific encounters, causing the European mink to flee, and several left the study area altogether. Implications for niche theory and for conservation management are discussed.</t>
  </si>
  <si>
    <t>Inst Terr Ecol, Banchory AB31 4BY, Kincardine, Scotland; Byelarussian Acad Sci, Inst Zool, Minsk 220072, BELARUS; Univ Oxford, Dept Zool, Wildlife Conservat Res Unit, Oxford OX1 3PS, England</t>
  </si>
  <si>
    <t>UK Centre for Ecology &amp; Hydrology (UKCEH); National Academy of Sciences of Belarus (NASB); Scientific &amp; Practical Center for Bioresources of the National Academy of Sciences of Belarus; University of Oxford</t>
  </si>
  <si>
    <t>Kruuk, H (corresponding author), Inst Terr Ecol, Banchory AB31 4BY, Kincardine, Scotland.</t>
  </si>
  <si>
    <t>H.Kruuk@ite.ac.uk</t>
  </si>
  <si>
    <t>10.1017/S0952836999008110</t>
  </si>
  <si>
    <t>227DH</t>
  </si>
  <si>
    <t>WOS:000082062700011</t>
  </si>
  <si>
    <t>Lodé, T</t>
  </si>
  <si>
    <t>heterozygosity; population genetics; mustelid; mammals; endangered species</t>
  </si>
  <si>
    <t>EXTINCTION; MAMMALS; OTTERS; MARTEN</t>
  </si>
  <si>
    <t>The western population of European mink Mustela lutreola has recently suffered a severe decline in over more than 50% of its range, probably disappearing from Brittany in 1992 and from Pays de Loire in 1997. Allozyme electrophoresis on 38 presumptive loci showed that the proportion of polymorphic loci reached only 10.5% at P &lt; 0.01 level in the European mink. Observed heterozygosity averaged H-O = 0.02 and expected hererozygosity H-E = 0.038 but the F-IS index reached 0.48, revealing a considerable deficit. The low genetic variability might be due to previous bottlenecks. Demographic depletion in Mustela lutreola resulted in a loss of genetic diversity emphasising that reproductive exchanges were altered and worsening the risk of extinction of this vulnerable population.</t>
  </si>
  <si>
    <t>Univ Angers, Lab Ecol Anim, F-49045 Angers, France</t>
  </si>
  <si>
    <t>Universite d'Angers</t>
  </si>
  <si>
    <t>Lodé, T (corresponding author), Univ Angers, Lab Ecol Anim, F-49045 Angers, France.</t>
  </si>
  <si>
    <t>thierry.lode@univ-angers.fr</t>
  </si>
  <si>
    <t>10.1080/11250009909356276</t>
  </si>
  <si>
    <t>278YZ</t>
  </si>
  <si>
    <t>WOS:000085017700008</t>
  </si>
  <si>
    <t>WILLIAMS, ES; MILLS, K; KWIATKOWSKI, DR; THORNE, ET; BOERGERFIELDS, A</t>
  </si>
  <si>
    <t>Note</t>
  </si>
  <si>
    <t>BLACK-FOOTED FERRET; MUSTELA NIGRIPES; PLAGUE; YERSINIA PESTIS; ENDANGERED SPECIES; CONSERVATION BIOLOGY; CASE REPORT</t>
  </si>
  <si>
    <t>TAILED PRAIRIE DOGS; YERSINIA-PESTIS; SYLVATIC PLAGUE; DYNAMICS</t>
  </si>
  <si>
    <t>Diagnosis of sylvatic plague in a captive black-footed ferret (Mustela nigripes) was based on gross and microscopic lesions, fluorescent antibody tests, culture of Yersinia pes tis, and immunohistochemistry. Gross lesions consisted of acute hemorrhage and necrosis associated with cervical and mesenteric lymph nodes, subcutaneous hemorrhages, and pulmonary edema. Acute edema, hemorrhage, and necrosis with numerous bacteria in blood vessels and sinusoids characterized microscopic lesions. Occurrence of fatal plague in a black-footed ferret potentially has significant implications for recovery of this endangered species due to the widespread distribution of plague in prairie dog colonies throughout historic black-footed ferret range.</t>
  </si>
  <si>
    <t>WYOMING GAME &amp; FISH DEPT,SYBILLE WILDLIFE RES &amp; CONSERVAT EDUC UNIT,WHEATLAND,WY 82201; WYOMING GAME &amp; FISH DEPT,RES LAB,LARAMIE,WY 82071</t>
  </si>
  <si>
    <t>WILLIAMS, ES (corresponding author), UNIV WYOMING,DEPT VET SCI,LARAMIE,WY 82070, USA.</t>
  </si>
  <si>
    <t>810 EAST 10TH ST, LAWRENCE, KS 66044-8897</t>
  </si>
  <si>
    <t>10.7589/0090-3558-30.4.581</t>
  </si>
  <si>
    <t>PR495</t>
  </si>
  <si>
    <t>WOS:A1994PR49500021</t>
  </si>
  <si>
    <t>KEITH, LB; CARY, JR</t>
  </si>
  <si>
    <t>GREAT HORNED OWLS; ALBERTA; DEMOGRAPHY; MOVEMENTS; DECLINE; ECOLOGY</t>
  </si>
  <si>
    <t>Rates of capture in live traps set for snowshoe hares (Lepus americanus) were used to index population trends of four mustelids (Mustela frenata, M. vision, Mephitis mephitis), three sciurids (Tamiasciurus hudsonicus, Glaucomys sabrinus, Spermophilus franklinii), and the porcupine (Erethizon dorsatum) at Rochester, Alberta, during 1965-1975. The Mustela species (weasels and mink) had a 10-year cycle synchronous with that of the snowshoe hare. About 81% of the annual variation in weasel numbers, as indexed by capture rates, was attributable to fluctuations of hares, voles (Microtus and Clethrionomys), and mice (Peromyscus). Onset of the cyclic decrease in hares was followed within 2 years by declines in sciurid, skunk (Mephitis), and porcupine populations that may have been a consequence of predator switching as hares became scarce.</t>
  </si>
  <si>
    <t>KEITH, LB (corresponding author), UNIV WISCONSIN,DEPT WILDLIFE ECOL,MADISON,WI 53706, USA.</t>
  </si>
  <si>
    <t>AMER SOC MAMMALOGISTS</t>
  </si>
  <si>
    <t>BRIGHAM YOUNG UNIV, DEPT OF ZOOLOGY, PROVO, UT 84602</t>
  </si>
  <si>
    <t>10.2307/1382109</t>
  </si>
  <si>
    <t>FN196</t>
  </si>
  <si>
    <t>WOS:A1991FN19600016</t>
  </si>
  <si>
    <t>KRUUK, H; MOORHOUSE, A; CONROY, JWH; DURBIN, L; FREARS, S</t>
  </si>
  <si>
    <t>The number of otter Lutra lutra dens (''holts'') in 100 m wide strips along the coast of Shetland was estimated in a survey of a stratified sample of 35% of the coast. The calculated total number of holts was 1185, with 95% confidence limits of 13%. Otter holts were associated especially with peaty coasts and with fresh water. The number of otters associated with these holts was estimated from a regression of number of adult females on holts, and from the proportion of adult females in the otter population, derived in a smaller, intensive study area. It is suggest that there was 700-900 adult otters in Shetland. The assumptions underlying our approximations are discussed. The population is relatively vulnerable because of its small size and its isolation.</t>
  </si>
  <si>
    <t>KRUUK, H (corresponding author), INST TERR ECOL, HILLS BRATHENS, BANCHORY AB3 4BY, KINCARDINE, SCOTLAND.</t>
  </si>
  <si>
    <t>10.1016/0006-3207(89)90046-3</t>
  </si>
  <si>
    <t>AM654</t>
  </si>
  <si>
    <t>WOS:A1989AM65400002</t>
  </si>
  <si>
    <t>Frey, JK; Calkins, MT</t>
  </si>
  <si>
    <t>Frey, Jennifer K.; Calkins, Michael T.</t>
  </si>
  <si>
    <t>climate; Mustela erminea; New Mexico; shorttailed weasel; species range</t>
  </si>
  <si>
    <t>PREDICTING SPECIES DISTRIBUTIONS; WOLVERINE GULO-GULO; OCCURRENCE RECORDS; MAMMALS; BIOGEOGRAPHY; POPULATION; PREDATION; SUCCESS; NIVALIS; ERRORS</t>
  </si>
  <si>
    <t>The short-tailed weasel (Mustela erminea) is a Holarctic boreo-montane species that has one of the largest natural geographic ranges of any mammal. At its southern range limits in arid western North America, the species is rare, and factors associated with its distribution are poorly understood. We hypothesized that the availability of voles (Microtus) as prey was a key limiting factor for the distribution of the species. Consequently, we predicted that important variables associated with the occurrence of short-tailed weasels included snow cover and riparian habitat, both of which are linked to abundant vole populations in this region. We tested these predictions in New Mexico using ecological niche models developed with a maximum entropy algorithm (MaxEnt) and based on bioclimatic and biophysical variables. Consistent with our predictions, distribution of the short-tailed weasel was primarily determined by high winter snowfall and proximity to perennial streams. Descriptive habitat data associated with specimen records supported a close association of short-tailed weasels with riparian zones, especially those characterized by the presence of sedges and ponds made by the American beaver (Castor canadensis). We conclude that the short-tailed weasel is facing conservation threats in this region due to a fragmented distribution, degradation of riparian habitats, altered small mammal prey communities, and climate change. We recommend that the short-tailed weasel be considered in conservation planning in this region and that management focus on means to enhance riparian habitat and curtailing dangers posed by climate warming.</t>
  </si>
  <si>
    <t>[Frey, Jennifer K.] Frey Biol Res, Radium Springs, NM 88054 USA; [Frey, Jennifer K.] New Mexico State Univ, Dept Fish Wildlife &amp; Conservat Ecol, Las Cruces, NM 88003 USA; [Calkins, Michael T.] New Mexico State Univ, Dept Fish Wildlife &amp; Conservat Ecol, Las Cruces, NM 88001 USA</t>
  </si>
  <si>
    <t>New Mexico State University; New Mexico State University</t>
  </si>
  <si>
    <t>Frey, JK (corresponding author), Frey Biol Res, POB 294, Radium Springs, NM 88054 USA.</t>
  </si>
  <si>
    <t>jfrey@nmsu.edu</t>
  </si>
  <si>
    <t>Frey, Jennifer/F-8945-2011</t>
  </si>
  <si>
    <t>10.1515/mammalia-2013-0036</t>
  </si>
  <si>
    <t>AA1TP</t>
  </si>
  <si>
    <t>WOS:000330878900005</t>
  </si>
  <si>
    <t>Mirzaei, R; Conroy, J; Yoxon, P</t>
  </si>
  <si>
    <t>Mirzaei, Roohallah; Conroy, Jim; Yoxon, Paul</t>
  </si>
  <si>
    <t>Lutragale perspicillata; Lutra lutra; Eurasian otter; smooth-coated otter; Mesopotamia; Iran</t>
  </si>
  <si>
    <t>Currently the Hawr Al Azim Wetland is the largest freshwater wetland in Lower Mesopotamia and represents the remaining fraction of the former Mesopotamian Marshes, whose area has declined dramatically over the past 25 years. Two species of otter, the Eurasian otter (Lutra lutra) and the smooth-coated otter (Lutragale perspicillata) have been reported for this area. The sub-species of the latter is endemic to the wetlands, and is thought to be close to extinction. Current knowledge on the distribution and status of the otters within the marshes is minimal, and attempts to obtain more information are being hampered by military operation. In order to determine the otters' status we conducted a field survey, interviewed local people who had access to the inner marsh and reviewed all available information about otters' distribution in the wetlands. Although we could find sound evidence of the presence of both species in the past, the survey failed to find any current sign of otters. In contrast, local fishermen claimed that otters are sometimes observed in the inner or upper parts of Hawr Al Azim. The distribution of the two species in the area needs to be further investigated and attempts should be made to protect and restore the best remaining parts of Mesopotamian marshlands.</t>
  </si>
  <si>
    <t>[Mirzaei, Roohallah] Tarbiat Modares Univ, Tehran, Iran; [Conroy, Jim] Celt Environm Ltd, IUCN SSC Otter Specialist Grp, Torphins AB3 4JG, Scotland; [Yoxon, Paul] Int Otter Survival Fund, Broadford IV49 9DE, Isle Of Skye, Scotland</t>
  </si>
  <si>
    <t>Tarbiat Modares University</t>
  </si>
  <si>
    <t>Mirzaei, R (corresponding author), Tarbiat Modares Univ, Tehran, Iran.</t>
  </si>
  <si>
    <t>i_mirzaei@yahoo.com</t>
  </si>
  <si>
    <t>Mirzaei, Rouhollah/0000-0002-8294-2215; Yoxon, Paul/0000-0003-3317-4640</t>
  </si>
  <si>
    <t>631LQ</t>
  </si>
  <si>
    <t>WOS:000280348900008</t>
  </si>
  <si>
    <t>Spencer, W; Rustigian-Romsos, H; Strittholt, J; Scheller, R; Zielinski, W; Truex, R</t>
  </si>
  <si>
    <t>Spencer, Wayne; Rustigian-Romsos, Heather; Strittholt, James; Scheller, Robert; Zielinski, William; Truex, Richard</t>
  </si>
  <si>
    <t>California; Fisher; Generalized additive model (GAM); Habitat model; Martes pennanti; Occupancy model; Population model; PATCH; Sierra Nevada</t>
  </si>
  <si>
    <t>FISHER MARTES-PENNANTI; DISTRIBUTIONS; CALIFORNIA; SELECTION</t>
  </si>
  <si>
    <t>An isolated population of the fisher (Martes pennanti) in the southern Sierra Nevada, California, is threatened by small size and habitat alteration from wildfires, fuels management, and other factors. We assessed the population's status and conservation options for its habitat using a spatially explicit population model coupled with a fisher probability of occurrence model. The fisher occurrence model was selected from a family of generalized additive models (GAM) generated using numerous environmental variables and fisher detection-nondetection data collected at 228 survey arrays sampled repeatedly during 2002-2006. The selected GAM accounted for 69% of the Akaike weight using total above-ground biomass of trees, latitude-adjusted elevation, and annual precipitation averaged over a 5 km(2) moving window. We estimated equilibrium population sizes (or carrying capacities) within currently occupied areas, and identified likely population source, sink, and expansion areas, by simulating population processes for 20 years using different demographic rates, dispersal distances, and territory sizes. The population model assumed that demographic parameters of fishers scale in proportion to habitat quality as indexed by the calculated probability of fisher occurrence. Based on the most defensible range of parameter values, we estimate fisher carrying capacity at similar to 125-250 adults in currently occupied areas. Population expansion into potential habitat in and north of Yosemite National Park has potential to increase population size, but this potential for expansion is predicted to be highly sensitive to mortality rates, which may be elevated in the northern portion of the occupied range by human influences, including roadkill and diseases carried by domestic cats and dogs. (C) 2010 Elsevier Ltd. All rights reserved.</t>
  </si>
  <si>
    <t>[Spencer, Wayne] Conservat Biol Inst, San Diego, CA 92116 USA; [Rustigian-Romsos, Heather; Strittholt, James; Scheller, Robert] Conservat Biol Inst, Corvallis, OR 97333 USA; [Zielinski, William] USDA Forest Serv, Pacific SW Res Stn, Arcata, CA 95521 USA; [Truex, Richard] USDA Forest Serv, Placerville, CA 95667 USA</t>
  </si>
  <si>
    <t>Spencer, W (corresponding author), Conservat Biol Inst, 815 Madison Ave, San Diego, CA 92116 USA.</t>
  </si>
  <si>
    <t>wdspencer@consbio.org; heather@consbio.org; stritt@consbio.org; rmscheller@consbio.org; bzielinski@fs.fed.us; rtruex@fs.fed.us</t>
  </si>
  <si>
    <t>; Scheller, Robert/B-3135-2009; Spencer, Wayne/KMA-4196-2024</t>
  </si>
  <si>
    <t>Spencer, Wayne/0009-0003-9859-1872; Scheller, Robert/0000-0002-7507-4499;</t>
  </si>
  <si>
    <t>USDA Forest Service Region 5</t>
  </si>
  <si>
    <t>Funding was provided by USDA Forest Service Region 5, with guidance and support from Chris Knopp, Beth Pendleton, Diane Macfarlane, and Arthur Gaffrey. Region 5's population monitoring program provided the fisher occurrence data, which were collected with funding provided by Region 5's Sierra Nevada Forest Plan Amendment's Adaptive Management Strategy. We thank the numerous field technicians who contributed to the collection of these data. This work would not have been possible without review, data, and advice supplied by numerous technical staff at Region 5, including Donald Yasuda, Bernhard Bahro, Klaus Barber, Jay Miller, Hugh Safford, and Joe Sherlock. The fisher modeling work was overseen by a number of science advisors, especially Frank Davis, Reginald Barrett, David Graber, and Keith Aubry. Nathan Schumaker provided assistance with PATCH. Sylvia Haultain, Peter Stine, and Pat Lineback assisted with acquiring and interpreting environmental data.</t>
  </si>
  <si>
    <t>10.1016/j.biocon.2010.10.027</t>
  </si>
  <si>
    <t>728TJ</t>
  </si>
  <si>
    <t>WOS:000287897100019</t>
  </si>
  <si>
    <t>Hobbs, GI; Chadwick, EA; Bruford, MW; Slater, FM</t>
  </si>
  <si>
    <t>Hobbs, Geoffrey I.; Chadwick, Elizabeth A.; Bruford, Michael W.; Slater, Fred M.</t>
  </si>
  <si>
    <t>BAPS; Geneland; GIS; landscape genetics; Lutra lutra; otter; population structure</t>
  </si>
  <si>
    <t>MULTILOCUS GENOTYPE DATA; LUTRA-LUTRA; EURASIAN OTTER; GENE FLOW; CONSERVATION; ADMIXTURE; BRITAIN; MARKERS; BOTTLENECKS; LANDSCAPE</t>
  </si>
  <si>
    <t>1. After a major decline, the UK otter Lutra lutra population is now recovering in its known strongholds (northern England, Wales and Borders and southwest England) and also in central England where the population had become small, fragmented and was reinforced with captive bred individuals. Bayesian clustering and GIS are used here to identify the genetic structure of the UK otter population and to assess expansion from strongholds and the contribution of introduced otters. Large carnivores have recently started to recolonize landscapes where they were formerly absent, especially in developed countries and understanding the expansion of these populations is essential for informing conservation management, linking fragmented populations and re-establishing gene flow. 2. Three Bayesian clustering techniques were used (STRUCTURE, GENELAND SPATIAL and BAPS4 SPATIAL) to estimate the number of otter populations (K). A novel progressive partitioning approach was tested to identify genetic substructuring at various hierarchical levels using successive partitions at K = 2. 3. Four regional populations were identified that reflect known population history. Isolated populations in southwest England and in Wales and its borders showed the lowest levels of genetic diversity. Higher diversity and private alleles in northern and central England reflect the proximity to genetically diverse Scottish populations and the positive effect of reintroductions. 4. Progressive partitioning was used to produce a more detailed analysis, by allowing comparison and combination of clusters identified by different techniques and by avoiding the subjective estimation and choice of K. 5. Synthesis and applications. Although the otter population is increasing, our data show little sign of population expansion from the stronghold regions into central England, instead reflecting the success of population reinforcement in this area. Our progressive partitioning approach allows the identification of fine-scale substructure (11 groups) that enables the prioritization of management effort including identifying barriers to dispersal within and between populations and monitoring of introduced individuals.</t>
  </si>
  <si>
    <t>[Hobbs, Geoffrey I.; Chadwick, Elizabeth A.; Bruford, Michael W.; Slater, Fred M.] Cardiff Univ, Sch Biosci, Cardiff, Wales</t>
  </si>
  <si>
    <t>Bruford, MW (corresponding author), Cardiff Univ, Sch Biosci, Cardiff, Wales.</t>
  </si>
  <si>
    <t>Brufordmw@cf.ac.uk</t>
  </si>
  <si>
    <t>Chadwick, Elizabeth/G-1793-2010; Bruford, Michael/D-3750-2009; Slater, Fred/A-4340-2010</t>
  </si>
  <si>
    <t>Chadwick, Elizabeth/0000-0002-6662-6343; Bruford, Michael/0000-0001-6357-6080; Slater, Fred/0000-0002-9504-3606</t>
  </si>
  <si>
    <t>The authors would like to thank all agencies involved in collecting otter carcasses, Vic Simpson for otter samples from southwest of England, Rosemary Green for information provided on VWT reintroductions and the Environment Agency for their funding of the Cardiff University Otter Project. The editorial team and two anonymous referees for suggesting improvements.</t>
  </si>
  <si>
    <t>COMMERCE PLACE, 350 MAIN ST, MALDEN 02148, MA USA</t>
  </si>
  <si>
    <t>10.1111/j.1365-2664.2011.02028.x</t>
  </si>
  <si>
    <t>823BA</t>
  </si>
  <si>
    <t>WOS:000295095100016</t>
  </si>
  <si>
    <t>Medina-Vogel, G; Gonzalez-Lagos, C</t>
  </si>
  <si>
    <t>Medina-Vogel, Gonzalo; Gonzalez-Lagos, Cesar</t>
  </si>
  <si>
    <t>fish; helmeted water toad; Lontra provocax; otter; swamp forest</t>
  </si>
  <si>
    <t>MINK MUSTELA-VISON; FRESH-WATER HABITATS; CAPE CLAWLESS OTTERS; LUTRA-LUTRA; SCENT-MARKING; NATIONAL-PARK; SELECTION; AFRICA; CONSERVATION; ARGENTINA</t>
  </si>
  <si>
    <t>The southern river otter Lontra provocax is an endangered species. It has a patchy distribution in southern Chile and Argentina, inhabiting both freshwater and marine habitats. While most studies of their diet and habitat use have been carried out in freshwater habitats, our study is the first one on these aspects in a predominantly palustrine wetland. In southern Chile, the Boroa wetland may be the only wetland with southern river otters and five different subsystems: palustrine open water, swamp forest, seasonal and permanent marshes, and riverine associated with open farm fields. We studied these five different subsystems during April 2003 - May 2004, and collected and analysed 194 spraints in order to assess the effect of rainfall and subsystems on the diet and sprainting behaviour of southern river otter. The river otter's diet primarily consisted of crustaceans; however, rainfall and wetland subsystems influenced the frequency of fish and especially amphibians in the spraints collected. This is the first study documenting the helmeted water toad Caudiverbera caudiverbera as a prey of southern river otter. Southern river otter visited latrines located within the swamp forest more frequently, as this subsystem may provide refuge for latrines and dens as well as an important supplementary feeding resource. Our study provides insights into the role of coastal wetlands in predation processes, and highlights the importance of ecosystem services derived from wetland for biodiversity conservation. However, it is of concern that these wetlands are increasingly affected by drainage for agriculture and other landscape changes in southern Chile.</t>
  </si>
  <si>
    <t>[Medina-Vogel, Gonzalo] Vet Univ Andres Bello, Escuela Med, Santiago, Chile; [Gonzalez-Lagos, Cesar] Univ Austral Chile, Inst Zool, Fac Ciencias, Valdivia, Chile</t>
  </si>
  <si>
    <t>Universidad Austral de Chile</t>
  </si>
  <si>
    <t>Medina-Vogel, G (corresponding author), Vet Univ Andres Bello, Escuela Med, Republ 252, Santiago, Chile.</t>
  </si>
  <si>
    <t>gmedina@unab.cl; cesar.glagos@gmal.com</t>
  </si>
  <si>
    <t>González-Lagos, César Alejano/AAJ-3382-2020</t>
  </si>
  <si>
    <t>González-Lagos, César Alejano/0000-0001-5679-4610; Medina-Vogel, Gonzalo/0000-0002-1579-9463</t>
  </si>
  <si>
    <t>10.2981/0909-6396(2008)14[211:HUADOE]2.0.CO;2</t>
  </si>
  <si>
    <t>331QK</t>
  </si>
  <si>
    <t>WOS:000258027500005</t>
  </si>
  <si>
    <t>Juhász, K; Lukács, BA; Perpék, M; Nagy, SA; Végvári, Z</t>
  </si>
  <si>
    <t>Juhasz, Krisztina; Lukacs, Balazs A.; Perpek, Monika; Nagy, Sandor Alex; Vegvari, Zsolt</t>
  </si>
  <si>
    <t>NORTH-WESTERN JOURNAL OF ZOOLOGY</t>
  </si>
  <si>
    <t>carnivore; habitat selection; Hortobagy; Hungary</t>
  </si>
  <si>
    <t>HABITAT SUITABILITY; SPRAINTING ACTIVITY; NATIONAL-PARK; RIVER; PREDATION; ABUNDANCE; DIET; AVAILABILITY; CONSERVATION; SELECTION</t>
  </si>
  <si>
    <t>Wetland losses related to human activities in the past decades have caused heavy decline in the population of the Eurasian otter (Lutra lutra Linnaeus) throughout Europe. As otters are often used as flagship species for wetland conservation programmes, the understanding of their response to human disturbance and environmental factors is essential to fine-tune conservation tools for managing artificial water bodies. In this study we estimate which wetland characteristics and human factors to what extent drive the spatial distribution of otters. We investigated factors related to the habitat selection of Eurasian otters between December 2004 and January 2007 on 31 fishponds in the Hortobagy National Park, Eastern Hungary. We have shown that otter habitat selection is primarily governed by both disturbance-related characteristics and vegetation properties of fishponds, and not by humans. Moreover, we did not find the effects of artificial fisheries inputs or hunting pressures. Fishponds far from human settlements with large reed islands and dykes with trees are the key habitats for Eurasian otters. However, the presence of adjacent forests and grazing areas negatively affect the otter sign densities in fishponds.</t>
  </si>
  <si>
    <t>[Juhasz, Krisztina; Nagy, Sandor Alex] Univ Debrecen, Dept Hydrobiol, H-4032 Debrecen, Hungary; [Vegvari, Zsolt] Univ Debrecen, Hortobagy Natl Pk Directorate, Dept Conservat Zool, H-4024 Debrecen, Hungary; [Lukacs, Balazs A.] Hungarian Acad Sci, Balaton Limnol Res Inst, Dept Tisza Res, H-4026 Debrecen, Hungary; [Perpek, Monika] Hortobagy Fishfarm Co, H-4071 Hortobagy Halasto, Hungary</t>
  </si>
  <si>
    <t>University of Debrecen; University of Debrecen; Hungarian Academy of Sciences; HUN-REN; HUN-REN Balaton Limnological Research Institute</t>
  </si>
  <si>
    <t>Juhász, K (corresponding author), Univ Debrecen, Dept Hydrobiol, Egyet Sq 1, H-4032 Debrecen, Hungary.</t>
  </si>
  <si>
    <t>levidra@freemail.hu</t>
  </si>
  <si>
    <t>Vegvari, Zsolt/AAK-1929-2020; Lukács, Balázs András/N-1702-2019</t>
  </si>
  <si>
    <t>Lukács, Balázs András/0000-0002-3163-1281</t>
  </si>
  <si>
    <t>UNIV ORADEA PUBL HOUSE</t>
  </si>
  <si>
    <t>ORADEA</t>
  </si>
  <si>
    <t>UNIVERSITATII NR 1, ORADEA, 410087, ROMANIA</t>
  </si>
  <si>
    <t>1584-9074</t>
  </si>
  <si>
    <t>1842-6441</t>
  </si>
  <si>
    <t>NORTH-WEST J ZOOL</t>
  </si>
  <si>
    <t>North-West. J. Zool.</t>
  </si>
  <si>
    <t>287HY</t>
  </si>
  <si>
    <t>WOS:000329533900001</t>
  </si>
  <si>
    <t>BEJA, PR</t>
  </si>
  <si>
    <t>HABITAT; SHETLAND; WATER; FOOD</t>
  </si>
  <si>
    <t>The availability of freshwater has been suggested to strongly influence the distribution of coastal otters Lutra lutra. The test this hypothesis, a study was undertaken on the relationships between otter distribution and freshwater availability in a coast where freshwater is a very scarce resource during the summer. In this area otters occur mostly in a few small coastal streams but feed largely in the sea. Twentynine streams were surveyed in the summer of 1990, and the presence/absence of otter signs was related to nine habitat variables. Freshwater availability was found to be the most important factor influencing the occurrence of otters in summer. It is suggested that otters favour large streams with good vegetation cover, for these are the most likely to maintain frestwater during the dry periods. The distribution of otter signs in streams was also analysed, and it was found that signs tend to concentrate particularly near the mouth of the streams. This habitat analysis has some conservation implications, indicating that the decrease of freshwater availability or quality of streams can make these unsuitable for otters, severely decreasing the areas suitable for the species in the southwest coast of Portugal.</t>
  </si>
  <si>
    <t>BEJA, PR (corresponding author), LAB MARITIMO GUIA, FORTE NA SRA GUIA, P-2750 CASCAIS, PORTUGAL.</t>
  </si>
  <si>
    <t>Beja, Pedro/A-7851-2008</t>
  </si>
  <si>
    <t>Beja, Peo/0000-0001-8164-0760</t>
  </si>
  <si>
    <t>10.1111/j.1600-0587.1992.tb00035.x</t>
  </si>
  <si>
    <t>JM788</t>
  </si>
  <si>
    <t>WOS:A1992JM78800004</t>
  </si>
  <si>
    <t>Rosenblatt, AE; Nifong, JC; Heithaus, MR; Parry, MW; Mazzotti, FJ</t>
  </si>
  <si>
    <t>Rosenblatt, Adam E.; Nifong, James C.; Heithaus, Michael R.; Parry, Mark W.; Mazzotti, Frank J.</t>
  </si>
  <si>
    <t>SOUTHEASTERN NATURALIST</t>
  </si>
  <si>
    <t>HABITAT USE; FLORIDA</t>
  </si>
  <si>
    <t>Species management and conservation strategies require accurate information about species distributions and behaviors. Neovison vison evergladensis (Everglades Mink) is listed in Florida as threatened, yet its current population status and distribution are unknown. We report the first incontrovertible evidence of the occurrence of Everglades Mink in Everglades National Park (ENP) in 15 years. Specifically, we found Everglades Mink hair in the stomach contents of a 254-cm (total length) adult male Alligator mississippiensis (American Alligator) captured in 2011 in the southwestern corner of ENP. Our finding confirms that Everglades Mink still inhabit the park, but we present a hypothesis suggesting that very few may be left there, potential causes of the decline include alterations to ENP hydrology and a recent increase in the number of large predators in ENP.</t>
  </si>
  <si>
    <t>[Rosenblatt, Adam E.; Heithaus, Michael R.] Florida Int Univ, Dept Biol Sci, Miami, FL 33174 USA; [Nifong, James C.] Univ Florida, Dept Biol, Gainesville, FL 32611 USA; [Parry, Mark W.] Everglades Natl Pk, Homestead, FL 33034 USA; [Mazzotti, Frank J.] Univ Florida, Ft Lauderdale Res &amp; Educ Ctr, Davie, FL 33314 USA</t>
  </si>
  <si>
    <t>State University System of Florida; Florida International University; State University System of Florida; University of Florida; State University System of Florida; University of Florida</t>
  </si>
  <si>
    <t>Rosenblatt, AE (corresponding author), Yale Univ, Sch Forestry &amp; Environm Studies, New Haven, CT 06520 USA.</t>
  </si>
  <si>
    <t>arose007@fiu.edu</t>
  </si>
  <si>
    <t>Nifong, James/D-4137-2015; Heithaus, Michael/AAF-9914-2020; Rosenblatt, Adam/J-1327-2014</t>
  </si>
  <si>
    <t>Nifong, James/0000-0003-3607-0441; Heithaus, Michael/0000-0002-3219-1003;</t>
  </si>
  <si>
    <t>National Science Foundation through Florida Coastal Everglades Long-Term Ecological Research program [DBI-0620409]; FIU</t>
  </si>
  <si>
    <t>National Science Foundation through Florida Coastal Everglades Long-Term Ecological Research program; FIU</t>
  </si>
  <si>
    <t>We thank the staff of ENP for their assistance in carrying out our research, all the volunteers who helped us gather American Alligator stomach content samples, the Florida Museum of Natural History, for their assistance in identifying hair samples, and Adia So vie for sharing pre-publication results of her Marsh Rabbit research. Our research was carried out under permits from ENP (EVER-2009-SCI-0024) and Florida International University's (FIU) Institutional Animal Care and Use Committee (09-013). This material is based upon work supported by the National Science Foundation through the Florida Coastal Everglades Long-Term Ecological Research program under Grant No. DBI-0620409. Additional funding was provided by FIU.</t>
  </si>
  <si>
    <t>HUMBOLDT FIELD RESEARCH INST</t>
  </si>
  <si>
    <t>STEUBEN</t>
  </si>
  <si>
    <t>PO BOX 9, STEUBEN, ME 04680-0009 USA</t>
  </si>
  <si>
    <t>1528-7092</t>
  </si>
  <si>
    <t>1938-5412</t>
  </si>
  <si>
    <t>SOUTHEAST NAT</t>
  </si>
  <si>
    <t>Southeast. Nat.</t>
  </si>
  <si>
    <t>N22</t>
  </si>
  <si>
    <t>N25</t>
  </si>
  <si>
    <t>10.1656/058.013.0303</t>
  </si>
  <si>
    <t>AQ0QK</t>
  </si>
  <si>
    <t>WOS:000342487600001</t>
  </si>
  <si>
    <t>Shapiro, K; Silver, MW; Largier, JL; Conrad, PA; Mazet, JAK</t>
  </si>
  <si>
    <t>Shapiro, Karen; Silver, Mary W.; Largier, John L.; Conrad, Patricia A.; Mazet, Jonna A. K.</t>
  </si>
  <si>
    <t>LIMNOLOGY AND OCEANOGRAPHY</t>
  </si>
  <si>
    <t>SNOW; WATER; SEA; PATHOGEN; DYNAMICS; ANIMALS; HABITAT</t>
  </si>
  <si>
    <t>The protozoan parasite Toxoplasma gondii infects a large proportion of threatened California sea otters (Enhydra lutris nereis), and is an important waterborne pathogen in humans. Contamination of coastal waters with T. gondii is thought to occur through delivery of environmentally resistant oocysts to nearshore regions via overland runoff. The objectives of this study were to evaluate whether T. gondii oocysts and surrogate microspheres attach to aggregates (&gt;= 0.5 mm), and whether the magnitude of aggregation depends on water type, specifically salinity. Laboratory aggregation studies were conducted by adding T. gondii oocysts and surrogate microspheres to riverine, estuarine, and marine waters, and quantifying the proportion of oocysts and surrogates in aggregate-rich and aggregate-free water fractions. Attachment of oocysts and surrogates to aggregates occurred in all water types, but was greater in estuarine and marine waters, with concentrations of T. gondii in aggregates enriched 3-4 orders of magnitude. Aquatic aggregates may, thus, significantly influence waterborne transport of terrestrially derived pathogens, both through enhanced settling and subsequent concentration in the benthos, as well as by facilitating ingestion by invertebrate vectors that can transmit pathogens to susceptible hosts, including sea otters and humans.</t>
  </si>
  <si>
    <t>[Shapiro, Karen; Conrad, Patricia A.] Univ Calif Davis, Sch Vet Med, Dept Pathol Microbiol &amp; Immunol, Davis, CA 95616 USA; [Shapiro, Karen; Conrad, Patricia A.; Mazet, Jonna A. K.] Univ Calif Davis, Sch Vet Med, Hlth Inst 1, Davis, CA 95616 USA; [Silver, Mary W.] Univ Calif Santa Cruz, Dept Ocean Sci, Santa Cruz, CA 95064 USA; [Largier, John L.] Univ Calif Davis, Bodega Marine Lab, Davis, CA 95616 USA; [Largier, John L.] Univ Calif Davis, Dept Environm Sci &amp; Policy, Davis, CA 95616 USA</t>
  </si>
  <si>
    <t>University of California System; University of California Davis; University of California System; University of California Davis; University of California System; University of California Santa Cruz; University of California System; University of California Davis; University of California System; University of California Davis</t>
  </si>
  <si>
    <t>Shapiro, K (corresponding author), Univ Calif Davis, Sch Vet Med, Dept Pathol Microbiol &amp; Immunol, Davis, CA 95616 USA.</t>
  </si>
  <si>
    <t>; Mazet, Jonna/B-4811-2012; Largier, John/KHZ-2681-2024</t>
  </si>
  <si>
    <t>Shapiro, Karen/0000-0003-2678-3851; Mazet, Jonna/0000-0002-8712-5951;</t>
  </si>
  <si>
    <t>National Oceanic and Atmospheric Administration, Oceans and Human Health Initiative; National Science Foundation (Division of Ocean Sciences) [OCE-1065990]; Division Of Ocean Sciences; Directorate For Geosciences [1065990] Funding Source: National Science Foundation</t>
  </si>
  <si>
    <t>National Oceanic and Atmospheric Administration, Oceans and Human Health Initiative(National Oceanic Atmospheric Admin (NOAA) - USA); National Science Foundation (Division of Ocean Sciences)(National Science Foundation (NSF)); Division Of Ocean Sciences; Directorate For Geosciences(National Science Foundation (NSF)NSF - Directorate for Geosciences (GEO))</t>
  </si>
  <si>
    <t>Funding for this research was provided by the National Oceanic and Atmospheric Administration, Oceans and Human Health Initiative training grant, and by a National Science Foundation Ecology of Infectious Disease grant (Division of Ocean Sciences OCE-1065990).</t>
  </si>
  <si>
    <t>AMER SOC LIMNOLOGY OCEANOGRAPHY</t>
  </si>
  <si>
    <t>WACO</t>
  </si>
  <si>
    <t>5400 BOSQUE BLVD, STE 680, WACO, TX 76710-4446 USA</t>
  </si>
  <si>
    <t>0024-3590</t>
  </si>
  <si>
    <t>1939-5590</t>
  </si>
  <si>
    <t>LIMNOL OCEANOGR</t>
  </si>
  <si>
    <t>Limnol. Oceanogr.</t>
  </si>
  <si>
    <t>10.4319/lo.2012.57.2.0449</t>
  </si>
  <si>
    <t>Limnology; Oceanography</t>
  </si>
  <si>
    <t>923IO</t>
  </si>
  <si>
    <t>WOS:000302613200006</t>
  </si>
  <si>
    <t>Matthews, SM; Higley, JM; Yaeger, JS; Fuller, TK</t>
  </si>
  <si>
    <t>Matthews, Sean M.; Higley, J. Mark; Yaeger, J. Scott; Fuller, Todd K.</t>
  </si>
  <si>
    <t>cameras; capture; fisher; Martes pennanti; occupancy; relative abundance index; track-plate</t>
  </si>
  <si>
    <t>PANTHERA-ONCA; CAMERA-TRAPS; PREY</t>
  </si>
  <si>
    <t>We used a mark-resight design to calculate density estimates of fisher (Martes pennanti), a candidate for listing under the United States Endangered Species Act, on the Hoopa Valley Indian Reservation in northwestern California, USA in order to determine population status in 1998 and 2005. Our density estimation results and simultaneous population-monitoring data provided a post hoc opportunity to evaluate the relative efficacy of 3 classical indexing techniques (catch-per-unit-effort, frequency of detection at camera stations, and frequency of detection at track-plate stations) and small-scale occupancy estimation to accurately detect population change. We calculated densities (and 95% CI) of 52 (43-64) and 14 (13-16) fishers/100 km(2) in 1998 and 2005, respectively. We detected a decline in the relative abundance of fishers between 1998 and 2005 using catch-per-unit-effort indices (chi(2) &gt;= 10.18, P &lt;= 0.007), but not in magnitude similar to our density estimates. We detected an increase (chi(2) = 4.23, P = 0.040) and no difference (chi(2) = 1.38, P = 0.240) in the relative abundance of fishers between surveys using frequency of detection indices at camera stations and at track-plate stations, respectively. Occupancy estimates did not differ between 1998 and 2005. We speculate changes in prey habitat, increases in predation, disease, or some combination of these potential causes, were responsible for the population decline. Our results reinforce the importance of careful thought given to the study goals and potential limitations of any technique. For populations deemed valuable (e.g., at risk or sensitive), we suggest managers consider adopting more defensible, large-scale occupancy estimation or mark-recapture methods to monitor changes in population sizes. (C) 2011 The Wildlife Society.</t>
  </si>
  <si>
    <t>[Matthews, Sean M.] Wildlife Conservat Soc, Hoopa, CA 95546 USA; [Higley, J. Mark; Yaeger, J. Scott] Hoopa Tribal Forestry, Dept Wildlife, Hoopa, CA 95546 USA; [Fuller, Todd K.] Univ Massachusetts, Dept Environm Conservat, Amherst, MA 01003 USA</t>
  </si>
  <si>
    <t>Wildlife Conservation Society; University of Massachusetts System; University of Massachusetts Amherst</t>
  </si>
  <si>
    <t>Matthews, SM (corresponding author), Univ Massachusetts, Dept Environm Conservat, 160 Holdsworth Way, Amherst, MA 01003 USA.</t>
  </si>
  <si>
    <t>smatthews@eco.umass.edu</t>
  </si>
  <si>
    <t>Higley, Mark/0000-0002-7722-3785</t>
  </si>
  <si>
    <t>U.S. Fish and Wildlife Service Tribal Wildlife Grants Program; Hoopa Valley Tribe; Wildlife Conservation Society; Integral Ecology Research Center; Unisense Foundation; Humboldt State University</t>
  </si>
  <si>
    <t>This project was funded by and in-kind donations made by the U.S. Fish and Wildlife Service Tribal Wildlife Grants Program, the Hoopa Valley Tribe, the Wildlife Conservation Society, the Integral Ecology Research Center, Humboldt State University, and the Unisense Foundation. We thank the following for field assistance: C. A. Goddard, R. E. Green, P. C. Halpin, P. Lincoln, D. V. Masters, M. D. Palumbo, and A. J. Pole. We especially thank K. T. Mellon and L. Baldy for tirelessly checking camera and track-plate stations. Thanks to R. N. Brown, M. W. Gabriel, and G. Wengert for their collaborative spirit and interest in pursuing additional questions. We thank J. C. Ray for her encouraging insights into our early thinking on this manuscript and P. R. Sievert for statistical advice. Thanks to E. Rominger and 2 anonymous reviewers for insightful comments on earlier drafts.</t>
  </si>
  <si>
    <t>2328-5540</t>
  </si>
  <si>
    <t>10.1002/wsb.19</t>
  </si>
  <si>
    <t>V38GU</t>
  </si>
  <si>
    <t>WOS:000209332700005</t>
  </si>
  <si>
    <t>Navarro-Picado, J; Spínola-Parallada, M; Madrigal-Mora, A; Fonseca-Sánchez, A</t>
  </si>
  <si>
    <t>Navarro-Picado, Jonathan; Spinola-Parallada, Manuel; Madrigal-Mora, Alexander; Fonseca-Sanchez, Alicia</t>
  </si>
  <si>
    <t>UNICIENCIA</t>
  </si>
  <si>
    <t>Biology; habitat; ecological research; animal ecology; conservation of wild fauna and flora</t>
  </si>
  <si>
    <t>NEOTROPICAL OTTER; DIET ANALYSIS; STREAM; BRAZIL; BASIN</t>
  </si>
  <si>
    <t>The changes produced by human activities on aquatic ecosystems reconfigure and reduce available habitats. Therefore, the aim of this study was to assess habitat selection of the Neotropical otter (Lontra longicaudis) in areas of influence of the hydroelectric dam of Peoas Blancas river and some of its tributaries in order to recommend actions for otter conservation. The Peoas Blancas River and three of its tributaries were sampled for signs of otters and for measuring seven environmental variables to determine the probability of occurrence and detectability. In addition, the use of prey was determined by the neotropical otter. Environmental variables showed that the river width and the forest proportion were the most influential variables on the occurrence of the species. The flow compensation of Peas Blancas river showed the highest probability of occurrence. Related to the diet of the otter, fish were the most frequent category of prey in recent years. The data obtained showed the influence of physical conditions of the river on the occurrence of the otter and the importance of fish as a food component.</t>
  </si>
  <si>
    <t>[Navarro-Picado, Jonathan; Fonseca-Sanchez, Alicia] Univ Nacl Heredia, Escuela Ciencias Biol, Heredia, Costa Rica; [Spinola-Parallada, Manuel] Univ Nacl Heredia, Inst Int Conservac &amp; Manejo Vida Silvestre, Heredia, Costa Rica; [Madrigal-Mora, Alexander] Inst Costarricense Elect, Ctr Generac Toro, Ctr Serv Ambiente &amp; Cuenca, Heredia, Costa Rica</t>
  </si>
  <si>
    <t>Universidad Nacional Costa Rica; Universidad Nacional Costa Rica</t>
  </si>
  <si>
    <t>Navarro-Picado, J (corresponding author), Univ Nacl Heredia, Escuela Ciencias Biol, Heredia, Costa Rica.</t>
  </si>
  <si>
    <t>jon90np@gmail.com; mspinola10@gmail.com; amadrigalmo@ice.go.cr; alicia.fonseca.sanchez@una.cr</t>
  </si>
  <si>
    <t>UNIV NACL, FAC CIENCIAS EXACTAS &amp; NATURALES</t>
  </si>
  <si>
    <t>HEREDIA</t>
  </si>
  <si>
    <t>APDO 86, HEREDIA, 3000, COSTA RICA</t>
  </si>
  <si>
    <t>1011-0275</t>
  </si>
  <si>
    <t>2215-3470</t>
  </si>
  <si>
    <t>Uniciencia</t>
  </si>
  <si>
    <t>JAN-JUN</t>
  </si>
  <si>
    <t>10.15359/ru.31-1.8</t>
  </si>
  <si>
    <t>EO4BE</t>
  </si>
  <si>
    <t>WOS:000396638200008</t>
  </si>
  <si>
    <t>Sweitzer, RA; Furnas, BJ; Barrett, RH; Purcell, KL; Thompson, CM</t>
  </si>
  <si>
    <t>Sweitzer, R. A.; Furnas, B. J.; Barrett, R. H.; Purcell, K. L.; Thompson, C. M.</t>
  </si>
  <si>
    <t>Fisher; Pekania pennanti; Wildfires; Logging; Fuel reduction; Mastication</t>
  </si>
  <si>
    <t>NORTHERN FLYING SQUIRRELS; YOSEMITE-NATIONAL-PARK; SMALL MAMMALS; MARTES-PENNANTI; UNITED-STATES; RIM FIRE; CALIFORNIA; POPULATION; ASSOCIATIONS; OCCUPANCY</t>
  </si>
  <si>
    <t>Fire suppression and logging have contributed to major changes in California's Sierra Nevada forests. Strategically placed landscape treatments (SPLATS) are being used to reduce density of trees, shrubs, and surface fuels to limit wildfire intensity and spread, but may negatively impact fishers (Pekania pennanti). We used camera traps to survey for fishers among 1-km(2) grid cells of forest habitat in the Sierra National Forest, California. We used single-season (n = 894 cells) and multi-season (n = 361 cells) occupancy modeling to evaluate responses of fishers to fuel reduction in the 5 years prior to camera surveys. We also assessed occupancy in relation to burn history, elevation, and an index of canopy cover. Camera traps detected fishers most often between 1380 m and 1970 m elevation, and fisher occupancy was maximized at 0.80 at 1640 m elevation. Probability of detection was higher after initial fisher detection, in habitats with high canopy cover, and when surveys were done in fall to spring. Fisher occupancy was positively linked to canopy cover, and trended lower among cells with higher levels of managed burning or forest fires within 25 years of surveys, and in cells where 5 years of cumulative disturbance from restorative fuel reduction was higher. Local persistence declined 24% in areas with more restorative fuel reduction (0-100% of a cell), but was not diminished by prior burning, or disturbance from extractive activities (tree removals for commerce or hazard mitigation). Reduced local persistence by fishers in areas with extensive restorative fuel reduction was likely temporary; evidence from other sources intimated that they would resume higher use within a few years of ecological recovery. The trend for lower occupancy in extensively burned forest cells suggested that forest fires reduced but did not eliminate foraging opportunities for fishers. We also found that wildfires increased in frequency in our study area after the 1980s, and recent fires may increasingly impinge on higher elevation forests with higher fisher occupancy. Forest fuel reduction likely imposes a more limited short term cost to fisher habitat use than previously believed, but less is known about the responses of resting or denning fishers to management disturbance. Fuel reduction treatments could be intensified below 1450 m elevation, which may reduce spread of fires into higher elevation forests where fishers are more common, and where denning is focused. (C) 2015 Elsevier B.V. All rights reserved.</t>
  </si>
  <si>
    <t>[Sweitzer, R. A.] Great Basin Inst, 16750 Mt Rose Highway, Reno, NV 89511 USA; [Furnas, B. J.] Calif Dept Fish &amp; Wildlife, 601 Locust St, Redding, CA 96001 USA; [Barrett, R. H.] Univ Calif Berkeley, Dept Environm Sci Policy &amp; Management, Berkeley, CA 94720 USA; [Purcell, K. L.; Thompson, C. M.] USDA Forest Serv, Pacific Southwest Res Stn, 2081 E Sierra Ave, Fresno, CA 93710 USA</t>
  </si>
  <si>
    <t>University of California System; University of California Berkeley; United States Department of Agriculture (USDA); United States Forest Service</t>
  </si>
  <si>
    <t>rsweitzer@thegreatbasininstitute.org; Brett.Furnas@wildlife.ca.gov; rbarrett@berkeley.edu; kpurcell@fs.fed.us; cthompson@fs.fed.us</t>
  </si>
  <si>
    <t>Barrett, Reginald/AAC-2608-2020; Purcell, Kathryn/S-2592-2016</t>
  </si>
  <si>
    <t>USDA Forest Service Region 5; University of California Agricultural Experiment Station, United States</t>
  </si>
  <si>
    <t>The field effort would not have been possible without help from a dedicated team of staff and volunteers including J. Ashling, S. Bassing, A. Beaudette J. Busiek, A. Cellar, T. Day, Z. Eads, T. Gorman, D. Hardeman, D. Jackson, W. Mitchell, C. O'Brien, M. Ratchford, J. Ruthven, J. Schneiderman, W. Sicard, T. Thein, S. Vogel, R. Wise, T. Watson, and others. A. Amacher aided with camera surveys within Yosemite NP in 2009, H. Taylor contributed important insights on the FACTS geospatial database, and D. Smith provided information on historic and current silviculture in the Sierra NF. Local support was facilitated by B. Persson, A. Otto, and A. Lombardo. Two anonymous reviews provided comments and suggestions that significantly improved the manuscript. This study was part of the Sierra Nevada Adaptive Management Project (SNAMP), a joint effort between USDA Forest Service Region 5, the University of California, USDA Forest Service Pacific Southwest Research Station, US Fish and Wildlife Service, California Department of Water Resources, California Department of Fish and Wildlife, California Department of Forestry and Fire Protection, the University of Wisconsin Madison, and the University of Minnesota. USDA Forest Service Region 5 funded the majority of the field research, and the University of California Agricultural Experiment Station, United States funded the remainder. This is publication no. 44 from the SNAMP.</t>
  </si>
  <si>
    <t>FEB 1</t>
  </si>
  <si>
    <t>10.1016/j.foreco.2015.11.026</t>
  </si>
  <si>
    <t>DB8FZ</t>
  </si>
  <si>
    <t>WOS:000368753900019</t>
  </si>
  <si>
    <t>Crait, JR; Regehr, EV; Ben-David, M</t>
  </si>
  <si>
    <t>Crait, Jamie R.; Regehr, Eric V.; Ben-David, Merav</t>
  </si>
  <si>
    <t>Aquatic-terrestrial linkages; Capture-recapture; Introduced species; Noninvasive sampling; Population size; Spawning</t>
  </si>
  <si>
    <t>POLYMORPHIC MICROSATELLITE LOCI; CAPTURE-RECAPTURE; GENETIC DIVERSITY; POPULATION-SIZE; LONTRA-CANADENSIS; GIANT OTTER; BEARS; CONSEQUENCES; MANAGEMENT; SURVIVAL</t>
  </si>
  <si>
    <t>Nonnative species threaten ecosystems throughout the world including protected reserves. In Yellowstone National Park, river otters Lontra canadensis depend on native cutthroat trout as prey. However, nonnative lake trout and whirling disease have significantly reduced the abundance of these native fish in the park's largest body of water, Yellowstone Lake. We studied the demographic and behavioral responses of otters to declining cutthroat trout on Yellowstone Lake and its tributaries. From 2002-2008, we monitored otter activity at latrine (scentmarking) sites, collected scat for prey identification, and used individual genotypes from scat and hair samples to evaluate survival and abundance with capture-recapture methods. Otter activity at latrines decreased with declines in cutthroat trout, and the prevalence of these fish in otter scat declined from 73% to 53%. Cutthroat trout numbers were the best predictor of temporal variation in apparent survival, and mean annual survival for otters was low (0.72). The density of otters in out study area (1 otter per 13.4 km of shoreline) was also low, and evidence of a recent genetic bottleneck suggests that otter abundance might have declined prior to our study. River otters in and around Yellowstone Lake appear to be responding to reductions in cutthroat trout via changes in distribution, diet, and possibly survival and abundance. Our results provide a baseline estimate for monitoring the broader outcome of management efforts to conserve native cutthroat trout and emphasize the indirect ecosystem consequences of invasive species. (C) 2015 Elsevier Ltd. All rights reserved.</t>
  </si>
  <si>
    <t>[Crait, Jamie R.; Ben-David, Merav] Univ Wyoming, Program Ecol, Dept Zool &amp; Physiol, Laramie, WY 82071 USA; [Regehr, Eric V.] US Fish &amp; Wildlife Serv, Marine Mammals Management, Anchorage, AK 99503 USA</t>
  </si>
  <si>
    <t>University of Wyoming; United States Department of the Interior; US Fish &amp; Wildlife Service</t>
  </si>
  <si>
    <t>Crait, JR (corresponding author), Univ Wyoming, Life Sci Program, 1000 E Univ Ave, Laramie, WY 82071 USA.</t>
  </si>
  <si>
    <t>EPA [R829426E01]; NSF [EPS-0447681]; University of Wyoming-National Park Service Research Center; Department of Zoology and Physiology at the University of Wyoming; EPA [R829426E01, 1099792] Funding Source: Federal RePORTER</t>
  </si>
  <si>
    <t>EPA(United States Environmental Protection Agency); NSF(National Science Foundation (NSF)); University of Wyoming-National Park Service Research Center; Department of Zoology and Physiology at the University of Wyoming; EPA(United States Environmental Protection Agency)</t>
  </si>
  <si>
    <t>We thank N. Bowersock, J. Boyd, J. Boyer, G. Campbell, J. Herreman, Z. Holden, C. Huyler, T. McClean, R. McDonald, K. Ott, S. Schaefer, C. Stansbury, and M. Trana for assistance in the field and laboratory. A. Barocas, J. DePue, M. Kauffman, R. Landis, D. McDonald, and A. Ulseth provided helpful suggestions on methodology. Two anonymous reviewers provided valuable comments on earlier versions of this manuscript. We are grateful to Yellowstone National Park, especially P. Bigelow, T. Coleman, B. Ertel, K. Gunther, C. Hendrix, T. Koel, D. Mahony, and C. Smith, for logistical support. This research was funded by EPA Grant R829426E01, NSF Grant EPS-0447681, the University of Wyoming-National Park Service Research Center, and the Department of Zoology and Physiology at the University of Wyoming. The findings and conclusions in this article are those of the authors and do not necessarily represent the views of the US Fish and Wildlife Service.</t>
  </si>
  <si>
    <t>10.1016/j.biocon.2015.07.042</t>
  </si>
  <si>
    <t>WOS:000364257100067</t>
  </si>
  <si>
    <t>Palmeirim, AF; Peres, CA; Rosas, FCW</t>
  </si>
  <si>
    <t>Palmeirim, Ana Filipa; Peres, Carlos A.; Rosas, Fernando C. W.</t>
  </si>
  <si>
    <t>Amazon; Apex-predator; Carnivore; Habitat quality; Hydroelectric dams; Pteronura brasiliensis</t>
  </si>
  <si>
    <t>PTERONURA-BRASILIENSIS CARNIVORA; GREENHOUSE-GAS EMISSIONS; ENVIRONMENT; CONSERVATION; RESERVOIR; POLICY; SITE</t>
  </si>
  <si>
    <t>Large hydroelectric dams are major drivers of habitat loss and degradation in lowland Amazonia. Hydroelectric reservoirs reduce the habitat available for terrestrial species, but create new open-water and shoreline lake habitat that can potentially boost populations of aquatic and semi-aquatic species, such as the threatened giant otter (Pteronura brasiliensis). To assess the impacts of mega-dams on this apex-predator, we surveyed the giant otter population across the 443,772-hectare Balbina Hydroelectric Reservoir of central Brazilian Amazonia between 14 and 25 years after this reservoir creation. We compared changes in habitat area and estimated giant otter population size between the reservoir pre- and post-filling stages. The Balbina dam created 3525 islands and increased the open-water surface and total reservoir perimeter available to otters by a factor of 62.7 and 8.9, respectively. Some 25 years after damming, however, the estimated post-filling giant otter population size was only twice greater than that estimated before filling and 4.5 times smaller than would be predicted given the total available habitat area and density of dens quantified at a neighbouring undisturbed area used as a surrogate of the pre-filling phase. The observed mismatch between the proportional increase in otter population size and the much greater newly available reservoir habitat area is likely due to low habitat quality in terms of low fish prey productivity and scarcity of suitable sites for denning and territory demarcation. This should be considered in strategic environmental impact assessments of planned hydroelectric dams and in managing existing and future hydropower development in lowland tropical forests. (c) 2014 Elsevier Ltd. All rights reserved.</t>
  </si>
  <si>
    <t>[Palmeirim, Ana Filipa; Peres, Carlos A.] Univ E Anglia, Sch Environm Sci, Norwich NR4 7TJ, Norfolk, England; [Rosas, Fernando C. W.] INPA, Manaus, AM, Brazil</t>
  </si>
  <si>
    <t>University of East Anglia; Institute Nacional de Pesquisas da Amazonia</t>
  </si>
  <si>
    <t>Palmeirim, AF (corresponding author), Univ Fed Rio de Janeiro, Lab Vertebrados, Dept Ecol, CP 68020, BR-21941590 Rio De Janeiro, RJ, Brazil.</t>
  </si>
  <si>
    <t>anafilipapalmeirim@gmail.com</t>
  </si>
  <si>
    <t>; Peres, Carlos/B-1276-2013; Peres, Carlos/B-1276-2013</t>
  </si>
  <si>
    <t>Palmeirim, Ana Filipa/0000-0003-3931-0578; Peres, Carlos/0000-0002-1588-8765; Weber Rosas, Fernando Cesar/0000-0001-6715-5689</t>
  </si>
  <si>
    <t>EU Leonardo Da Vinci Program; Philadelphia Zoo/USA; Fundacao Grupo Boticario de Protecao Natureza; Associacao Amigos do Peixe-Boi da Amazonia (AMPA) via the Projeto Mamiferos Aquaticos da Amazonia; CAPES-funded visiting fellowship in Brazil [PVE 004/2012]; NERC [NE/J01401X/1]; Natural Environment Research Council [NE/J01401X/1] Funding Source: researchfish; NERC [NE/J01401X/1] Funding Source: UKRI</t>
  </si>
  <si>
    <t>EU Leonardo Da Vinci Program; Philadelphia Zoo/USA; Fundacao Grupo Boticario de Protecao Natureza; Associacao Amigos do Peixe-Boi da Amazonia (AMPA) via the Projeto Mamiferos Aquaticos da Amazonia; CAPES-funded visiting fellowship in Brazil; NERC(UK Research &amp; Innovation (UKRI)Natural Environment Research Council (NERC)); Natural Environment Research Council(UK Research &amp; Innovation (UKRI)Natural Environment Research Council (NERC)); NERC(UK Research &amp; Innovation (UKRI)Natural Environment Research Council (NERC))</t>
  </si>
  <si>
    <t>A.F.P. was supported by a Grant from the EU Leonardo Da Vinci Program. We thank the Uatuma Biological Reserve, the Brazilian Ministry of the Environment's Protected Areas in Amazonia (ARPA) and the Brazilian state company Electrobras/Amazonas Energia for providing critical logistic support during fieldwork, including 450 h of boat travel, and facilitating access to GIS data. We are grateful to the Giant Otter Project (LMA-INPA) for providing critical data, field equipment and volunteers who helped during field campaigns over the years, namely B. Bozzetti, C. Ramalheira, A. Duarte, M. Cabral and G. Mattos, and other GOP members. The GOP was funded by the Philadelphia Zoo/USA, Fundacao Grupo Boticario de Protecao Natureza, and Associacao Amigos do Peixe-Boi da Amazonia (AMPA) via the Projeto Mamiferos Aquaticos da Amazonia, which is financed by Petrobras Ambiental. C.A.P. co-wrote this paper during a CAPES-funded visiting fellowship in Brazil (PVE 004/2012); additional supporting data were funded by a NERC Grant to C.A.P. (NE/J01401X/1).</t>
  </si>
  <si>
    <t>10.1016/j.biocon.2014.03.015</t>
  </si>
  <si>
    <t>AJ4MP</t>
  </si>
  <si>
    <t>WOS:000337650800004</t>
  </si>
  <si>
    <t>Pedroso, NM; Marques, TA; Santos-Reis, M</t>
  </si>
  <si>
    <t>Pedroso, Nuno M.; Marques, Tiago A.; Santos-Reis, Margarida</t>
  </si>
  <si>
    <t>Lutra lutra; reservoir; monitoring; impoundment; flooding; ecological requirements; diet; Mediterranean region</t>
  </si>
  <si>
    <t>GUADIANA RIVER-BASIN; LUTRA-LUTRA; EURASIAN OTTERS; AMEIURUS-MELAS; CONSERVATION; DIET; SELECTION; HABITAT; AVAILABILITY; BIODIVERSITY</t>
  </si>
  <si>
    <t>1. The number of dams is progressively increasing, but nonetheless there are few examples of long-term studies involving otters and these structures. 2. This study assessed how Eurasian otter Lutra lutra responded over time to environmental changes imposed by the construction of a large reservoir, the Alqueva Dam (250km(2), SE Portugal). 3. Otter distribution was monitored over four phases (pre-deforestation/flooding, deforestation, flooding, and post-flooding) from 2000 to 2006 in both the flooded and surrounding areas. During each phase, presence was assessed at two resolutions: 25km(2) (76 survey sites in wet and dry seasons) and 1km(2) (39 survey sites, every three months). In addition, otter spraints were collected at eight survey sites in 2000 (pre-dam) and 2006 (post-dam) to assess and compare otter diet with prey availability. 4. Otters were widespread before dam construction (&gt;82.4% positive cells), decreased during deforestation (68.5%), and particularly during the flooding phase (33.3%), recovered during the post-flooding phase, although not at the level recorded before dam construction (61.5-83.3%). Otter diet was dominated by fish and American crayfish Procambarus clarkii during the pre-deforestation/flooding phase (56.7% fish, 35.3% crayfish) and at the end of the post-flooding phase (60.7% fish, 33.2% crayfish). Species richness of fish prey decreased with flooding (16 to 8), as did the ratio of native/non-native fish species (1.7 to 0.3). 5. Changes in the availability of the main ecological requirements of otter were similar to the changes in the observed otter distribution in the flooded area throughout the impact phases, and decreased during deforestation and flooding with some recovery in the post-flooding phase. 6. The results emphasize the importance of long-term monitoring studies that include several post-impact phases, to evaluate species response to impacts. This will allow better planning of mitigation and compensation measures. Copyright (c) 2013 John Wiley &amp; Sons, Ltd.</t>
  </si>
  <si>
    <t>[Pedroso, Nuno M.; Santos-Reis, Margarida] Univ Lisbon, Ctr Environm Biol CBA, P-1749016 Lisbon, Portugal; [Marques, Tiago A.] Univ St Andrews, Ctr Res Ecol &amp; Environm Modelling, St Andrews, Fife, Scotland; [Marques, Tiago A.] Univ Lisbon, Ctr Stat &amp; Applicat, P-1749016 Lisbon, Portugal</t>
  </si>
  <si>
    <t>Universidade de Lisboa; University of St Andrews; Universidade de Lisboa</t>
  </si>
  <si>
    <t>Pedroso, NM (corresponding author), Univ Lisbon, Ctr Biol Ambiental, Fac Ciencias, Edificio C2, P-1749016 Lisbon, Portugal.</t>
  </si>
  <si>
    <t>nmpedroso@fc.ul.pt</t>
  </si>
  <si>
    <t>Peoso, Nuno M/I-6295-2013; Santos-Reis, Margarida/H-4064-2011; Marques, Tiago/M-3253-2019; Pedroso, Nuno/I-6295-2013</t>
  </si>
  <si>
    <t>Peoso, Nuno M/0000-0001-6486-130X; Marques, Tiago A/0000-0002-2581-1972; Santos-Reis, Margarida/0000-0002-0337-963X;</t>
  </si>
  <si>
    <t>Fundacao para a Ciencia e a Tecnologia [SFRH/BD/17495/2004]; EDIA, SA - Enterprise for the Development of the Infrastructures of Alqueva; Fundação para a Ciência e a Tecnologia [SFRH/BD/17495/2004] Funding Source: FCT</t>
  </si>
  <si>
    <t>Fundacao para a Ciencia e a Tecnologia(Fundacao para a Ciencia e a Tecnologia (FCT)); EDIA, SA - Enterprise for the Development of the Infrastructures of Alqueva; Fundação para a Ciência e a Tecnologia(Fundacao para a Ciencia e a Tecnologia (FCT))</t>
  </si>
  <si>
    <t>Nuno M. Pedroso was supported by a PhD grant (SFRH/BD/17495/2004) from the Fundacao para a Ciencia e a Tecnologia. Field data on otter from 2000 to 2003 were collected under the Monitoring of Carnivores in the Alqueva Dam Project, and data for fish species in 2000 were collected under the Monitoring of Fish in the Alqueva Dam Project, both executed by the Centro de Biologia Ambiental - Faculdade de Ciencias da Universidade de Lisboa, and funded by EDIA, SA - Enterprise for the Development of the Infrastructures of Alqueva. Special thanks are due to Maria Joao Collares-Pereira for fish data, and to Maria Joao Santos, Hugo Matos and Teresa Sales-Luis for assistance in field work on otter in the first years of the monitoring. The authors thank Mafalda P. Basto, Carla Barrinha, Carla Marques and Ana Rita Martins for their assistance in diet analysis. Special thanks are due to Hans Kruuk, Maria Joao Santos and Filipe Ribeiro for contributions to an earlier draft and to John Bissonette for manuscript revision. Fishing permits for the use of all methods described were issued by the Direccao Geral das Florestas (Ministry of Agriculture, Rural Development and Fisheries) and all animals were handled to ensure their welfare. The authors would also like to thank the editor, Professor Philip J. Boon and two anonymous reviewers for their constructive comments that helped improve the manuscript considerably.</t>
  </si>
  <si>
    <t>10.1002/aqc.2379</t>
  </si>
  <si>
    <t>AA0QU</t>
  </si>
  <si>
    <t>WOS:000330802700008</t>
  </si>
  <si>
    <t>Zuberogoitia, I; Zalewska, H; Zabala, J; Zalewski, A</t>
  </si>
  <si>
    <t>Zuberogoitia, Iigo; Zalewska, Hanna; Zabala, Jabi; Zalewski, Andrzej</t>
  </si>
  <si>
    <t>Connectivity; Gene flow; Habitat fragmentation; Invasive alien species; Mink farming; River barriers</t>
  </si>
  <si>
    <t>SPATIAL AUTOCORRELATION ANALYSIS; AMERICAN MINK; MUSTELA-VISON; GENETIC-STRUCTURE; NEOVISON-VISON; MICROSATELLITE MARKERS; HABITAT PREFERENCES; SOFTWARE; LUTREOLA; VARIABILITY</t>
  </si>
  <si>
    <t>The genetic diversity of feral and ranch American mink was studied in order to detect gene flux among rivers, investigate the processes of invasion, and determine the possible effects of river barriers. Tissue samples of 78 feral American mink from 5 different river catchments and 18 ranch mink, collected between 2007 and 2011 in Biscay, northern Spain, were genotyped at 21 microsatellite loci. Lack of genetic differentiation of feral mink among the sites and high differentiation between feral and ranch mink was suggested. These results confirm that the mink population established on Butrn River at the beginning of the 1990s may be the origin of almost all the feral mink population within the study area. Additionally, the occurrence of American and European mink was used to analyse the effect of fragmentation on the population viability. The size and composition of the home range of male European mink was considered to model minimum viable units for presence/absence. Forty-two minimum viable units were randomly distributed among rivers in order to analyse the effect of fragmentation on mink occurrence. Barriers were mapped and classified as slight, moderate or absolute, depending on the effect on mink movement, and were introduced into the models. The presence of European and American mink depended on the non-fragmented main river stretches and the number of tributaries free from barriers. Results showed that fragmented rivers can be temporarily occupied but the likelihood of death means that these areas are only sink patches for mink.</t>
  </si>
  <si>
    <t>[Zuberogoitia, Iigo] Estudios Medioambientales Icarus, Logrono 26007, Spain; [Zalewska, Hanna; Zalewski, Andrzej] Polish Acad Sci, Mammal Res Inst, PL-17230 Bialowieza, Poland</t>
  </si>
  <si>
    <t>Polish Academy of Sciences; Mammal Research Institute of the Polish Academy of Sciences</t>
  </si>
  <si>
    <t>Zuberogoitia, I (corresponding author), Estudios Medioambientales Icarus, Pintor Sorolla 6,1 C, Logrono 26007, Spain.</t>
  </si>
  <si>
    <t>Zuberogoitia@icarus.es</t>
  </si>
  <si>
    <t>Zuberogoitia, Iñigo/H-5062-2019; Zabala, Jabi/B-8157-2009; Zalewski, Anzej/K-7271-2012</t>
  </si>
  <si>
    <t>Zuberogoitia, Iñigo/0000-0002-8945-7386; Zabala, Jabi/0000-0002-1425-1594; Zalewski, Anzej/0000-0003-4518-2787</t>
  </si>
  <si>
    <t>Conservation, Natura Network and Biodiversity Service of the Department of Agriculture of the County Council of Biscay; European Mink Monitoring Program</t>
  </si>
  <si>
    <t>The trapping projects were supported and monitored by the Conservation, Natura 2000 Network and Biodiversity Service of the Department of Agriculture of the County Council of Biscay, following a European Mink Monitoring Program (County Order 118/2006 June 19th). We are grateful to A. Azkona and C. Rodriguez-Refojos for their field assistance in the 2007-2008 trapping season and to the Fish and Game rangers who trapped during the 2009-2011 trapping seasons (A. Alava, J. Aguirre, E. Diaz, A. Egia, J. R. Egia, M. Eguizabal, G. Etxabe, A. Galarza, E. Garamendi, L. Gonzalez, E. Goikolea, A. Goni, A. Jaureguizar, K. Llaguno, F. Martinez, A. Oregi, J. M. Perez de Ana, J. Ruiz, D. Rodriguez, J. M. Sagarna, M. San Sebastian and J. Santiesteban). The comments by two anonymous referees helped us to improve a previous version of the manuscript. We also thank A. Farrell for linguistic revision.</t>
  </si>
  <si>
    <t>10.1007/s10531-012-0410-3</t>
  </si>
  <si>
    <t>059OH</t>
  </si>
  <si>
    <t>WOS:000312714300011</t>
  </si>
  <si>
    <t>Scheller, RM; Spencer, WD; Rustigian-Romsos, H; Syphard, AD; Ward, BC; Strittholt, JR</t>
  </si>
  <si>
    <t>Scheller, Robert M.; Spencer, Wayne D.; Rustigian-Romsos, Heather; Syphard, Alexandra D.; Ward, Brendan C.; Strittholt, James R.</t>
  </si>
  <si>
    <t>Fisher; Martes pennanti; Fuel treatments; Sierra Nevada; Fire suppression; Habitat suitability; LANDIS-II; PATCH; Habitat modeling; California; Wildfire</t>
  </si>
  <si>
    <t>MIXED-CONIFER FOREST; POTENTIAL FIRE BEHAVIOR; SIERRA-NEVADA; CALIFORNIA; CLIMATE; UNCERTAINTY; WILDLIFE; FISHER; RANGE; USA</t>
  </si>
  <si>
    <t>Natural resource managers are often challenged with balancing requirements to maintain wildlife populations and to reduce risks of catastrophic or dangerous wildfires. This challenge is exemplified in the Sierra Nevada of California, where proposals to thin vegetation to reduce wildfire risks have been highly controversial, in part because vegetation treatments could adversely affect an imperiled population of the fisher (Martes pennanti) located in the southern Sierra Nevada. The fisher is an uncommon forest carnivore associated with the types of dense, structurally complex forests often targeted for fuel reduction treatments. Vegetation thinning and removal of dead-wood structures would reduce fisher habitat value and remove essential habitat elements used by fishers for resting and denning. However, crown-replacing wildfires also threaten the population's habitat, potentially over much broader areas than the treatments intended to reduce wildfire risks. To investigate the potential relative risks of wildfires and fuels treatments on this isolated fisher population, we coupled three spatial models to simulate the stochastic and interacting effects of wildfires and fuels management on fisher habitat and population size: a spatially dynamic forest succession and disturbance model, a fisher habitat model, and a fisher metapopulation model, which assumed that fisher fecundity and survivorship correlate with habitat quality. We systematically varied fuel treatment rate, treatment intensity, and fire regime, and assessed their relative effects on the modeled fisher population over 60 years. After estimating the number of adult female fishers remaining at the end of each simulation scenario, we compared the immediate negative effects of fuel treatments to the longer-term positive effect of fuel treatment (via reduction of fire hazard) using structural equation modeling. Our simulations suggest that the direct, negative effects of fuel treatments on fisher population size are generally smaller than the indirect, positive effects of fuel treatments, because fuels treatments reduced the probability of large wildfires that can damage and fragment habitat over larger areas. The benefits of fuel treatments varied by elevation and treatment location with the highest net benefits to fisher found at higher elevations and within higher quality fisher habitat. Simulated fire regime also had a large effect with the largest net benefit of fuel treatments occurring when a more severe fire regime was simulated. However, there was large uncertainty in our projections due to stochastic spatial and temporal wildfires dynamic and fisher population dynamics. Our results demonstrate the difficulty of projecting future populations in systems characterized by large, infrequent, stochastic disturbances. Nevertheless, these coupled models offer a useful decision-support system for evaluating the relative effects of alternative management scenarios; and uncertainties can be reduced as additional data accumulate to refine and validate the models.</t>
  </si>
  <si>
    <t>[Scheller, Robert M.] Portland State Univ, Dept Environm Sci &amp; Management, Portland, OR 97201 USA; [Scheller, Robert M.; Spencer, Wayne D.; Rustigian-Romsos, Heather; Syphard, Alexandra D.; Ward, Brendan C.; Strittholt, James R.] Conservat Biol Inst, Corvallis, OR 97333 USA</t>
  </si>
  <si>
    <t>Portland State University</t>
  </si>
  <si>
    <t>Scheller, RM (corresponding author), Portland State Univ, Dept Environm Sci &amp; Management, POB 751, Portland, OR 97201 USA.</t>
  </si>
  <si>
    <t>rmschell@pdx.edu</t>
  </si>
  <si>
    <t>; Spencer, Wayne/KMA-4196-2024; Scheller, Robert/B-3135-2009</t>
  </si>
  <si>
    <t>Syphard, Alexana/0000-0003-3070-0596; Spencer, Wayne/0009-0003-9859-1872; Scheller, Robert/0000-0002-7507-4499</t>
  </si>
  <si>
    <t>Pacific Southwest Region of the USDA Forest Service (Region 5)</t>
  </si>
  <si>
    <t>Funding was provided by Pacific Southwest Region of the USDA Forest Service (Region 5), with guidance and support from Chris Knopp, Diane Macfarlane, Beth Pendleton, and Art Gaffrey. Richard Truex provided the fisher monitoring data and insights about modeling, methods, and fisher biology. Our technical work was reviewed by an experienced group of science advisors including William Zielinski, Frank Davis, Reginald Barrett, Carl Skinner, Scott Stephens, John Vankat, Jan van Wagtendonk, David Graber, Keith Aubry, Bob Heald, Malcolm North, and David Mladenoff. Two anonymous reviewers provided essential feedback and improvements to an earlier version of this manuscript.</t>
  </si>
  <si>
    <t>10.1007/s10980-011-9663-6</t>
  </si>
  <si>
    <t>849PF</t>
  </si>
  <si>
    <t>WOS:000297136900015</t>
  </si>
  <si>
    <t>Ferreras, P; Travaini, A; Zapata, SC; Delibes, M</t>
  </si>
  <si>
    <t>Ferreras, Pablo; Travaini, Alejandro; Zapata, S. Cristina; Delibes, Miguel</t>
  </si>
  <si>
    <t>BASIC AND APPLIED ECOLOGY</t>
  </si>
  <si>
    <t>Functional responses; Numerical responses; Rabbit haemorrhagic disease; Diet changes; Iberian lynx; Prey changes</t>
  </si>
  <si>
    <t>LYNX LYNX-PARDINUS; LOCAL FEEDING SPECIALIZATION; SNOWSHOE HARE CYCLE; BADGERS MELES-MELES; HEMORRHAGIC-DISEASE; ORYCTOLAGUS-CUNICULUS; IBERIAN LYNX; WILD RABBIT; EUROPEAN RABBITS; POPULATION-DYNAMICS</t>
  </si>
  <si>
    <t>The European rabbit (Oryctolagus cuniculus) is a key prey species for most Mediterranean predators in the Iberian Peninsula, including some endangered species such as the Iberian lynx (Lynx pardinus). Rabbit populations in the Iberian Peninsula have collapsed since the arrival of rabbit haemorrhagic disease (RHD) in the late 1980s. We studied the dietary and numerical responses of five species of mammalian carnivores to this decline in the Donana National Park (south-west Spain), where RHD arrived in 1990. Behavioural responses of the Iberian lynx, a rabbit specialist, were also studied through radio-tracking. All carnivores reduced rabbit intake with decreasing rabbit densities immediately after the initial RHD outbreak, though the level of reduction varied among species. Reductions in rabbit consumption were highest for the Eurasian badger (Meles meles) and the red fox (Vulpes vulpes), low for the genet (Genetta genetta) and mongoose (Herpestes ichneumon), and negligible for the Iberian lynx, thus confirming its strong dependence on rabbits for survival. The Iberian lynx social system was temporarily altered. Female lynxes increased their home range size and no subadult lynxes dispersed in the year following the rabbit crash, causing a temporal local increase of lynx density, which returned to previous values a year after the arrival of RHD. The red fox showed a negative numerical response, reducing its abundance following the rabbit decline. Despite the fact that rabbit consumption was reduced in most carnivores, the role of joint predation is discussed as a factor in the failure of rabbit recovery after this new disease.</t>
  </si>
  <si>
    <t>[Ferreras, Pablo] CSIC UCLM JCCM, Inst Invest Recursos Cineget IREC, Ciudad Real 13005, Spain; [Travaini, Alejandro; Zapata, S. Cristina] UNPA CONICET, Ctr Invest Puerto Deseado, RA-9050 Puerto Deseado, Santa Cruz, Argentina; [Delibes, Miguel] CSIC, Dept Conservat Biol, Estn Biol Donana, Seville 41092, Spain</t>
  </si>
  <si>
    <t>Consejo Superior de Investigaciones Cientificas (CSIC); CSIC - Instituto de Investigacion en Recursos Cinegeticos (IREC); Universidad de Castilla-La Mancha; Consejo Nacional de Investigaciones Cientificas y Tecnicas (CONICET); Consejo Superior de Investigaciones Cientificas (CSIC); CSIC - Estacion Biologica de Donana (EBD)</t>
  </si>
  <si>
    <t>Ferreras, P (corresponding author), CSIC UCLM JCCM, Inst Invest Recursos Cineget IREC, Ronda Toledo S-N, Ciudad Real 13005, Spain.</t>
  </si>
  <si>
    <t>pablo.ferreras@uclm.es</t>
  </si>
  <si>
    <t>Ferreras, Pablo/A-6017-2009; Delibes, Miguel/K-2744-2014</t>
  </si>
  <si>
    <t>Ferreras, Pablo/0000-0002-1116-6706; Delibes, Miguel/0000-0002-3569-567X; Travaini, Alejano/0000-0002-2694-6617</t>
  </si>
  <si>
    <t>Spanish DGICYT [PB87-0405, PB90-1018, REN2001-0448/GLO, BOS2001-2391-C02-01]; Spanish Plan Nacional de I + D [CGL2009-10741]; FEDER</t>
  </si>
  <si>
    <t>Spanish DGICYT(Spanish GovernmentMinistry of Science &amp; Innovation, Spain (MICINN)); Spanish Plan Nacional de I + D(Spanish Government); FEDER(European Union (EU)Spanish Government)</t>
  </si>
  <si>
    <t>We thank R. Laffitte, J.M. Fedriani and J.J. Aldama for collecting field data. F. Palomares provided support with identification of prey remains and helpful suggestions on the manuscript, which were also provided by R. Villafuerte and S. Redpath. Financial support for the study was provided by the Spanish DGICYT Projects PB87-0405, PB90-1018, REN2001-0448/GLO, BOS2001-2391-C02-01, and Project CGL2009-10741 from Spanish Plan Nacional de I + D and FEDER funds.</t>
  </si>
  <si>
    <t>1439-1791</t>
  </si>
  <si>
    <t>1618-0089</t>
  </si>
  <si>
    <t>BASIC APPL ECOL</t>
  </si>
  <si>
    <t>Basic Appl. Ecol.</t>
  </si>
  <si>
    <t>10.1016/j.baae.2011.01.005</t>
  </si>
  <si>
    <t>762TA</t>
  </si>
  <si>
    <t>WOS:000290502800003</t>
  </si>
  <si>
    <t>Cassini, MH; Fasola, L; Chehébar, C; Macdonald, DW</t>
  </si>
  <si>
    <t>Cassini, Marcelo H.; Fasola, Laura; Chehebar, Claudio; Macdonald, David W.</t>
  </si>
  <si>
    <t>Aquatic mammals; Geographical distribution; Forage specialization; Habitat requirements</t>
  </si>
  <si>
    <t>SOUTHERN RIVER OTTERS; LUTRA-PROVOCAX; NATIONAL-PARK; CHILE</t>
  </si>
  <si>
    <t>The Southern river otter or huillin Lontra provocax has been classified as 'endangered', with the loss of riparian forest identified as the main threat to its survival. We used new information on distribution from Argentina to define their status. There are no data on the huillin's population structure and dynamics, and no estimate of its abundance or population trends at a relevant scale. Our survey teams covered 435 locations in lakes, rivers and coastal sites using a standard and repeatable methodology of 600 m survey transects as adopted for otter surveys across Europe. We found that its present geographic range in Argentina is slightly larger than is characteristic of a species at risk of extinction at the national level, although its contemporary distribution is still radically contracted in comparison to its historical distribution.</t>
  </si>
  <si>
    <t>[Cassini, Marcelo H.] Univ Nacl Lujan, Grp Estudios Ecol Mamiferos, CONICET, PROFAUNA,DCB, RA-6700 Lujan, Argentina; [Fasola, Laura; Macdonald, David W.] Univ Oxford, Dept Zool, Wildlife Conservat Res Unit, Recanati Kaplan Ctr, Tubney OX13 5QL, Oxon, England; [Chehebar, Claudio] Adm Parques Nacl, RA-8400 San Carlos De Bariloche, Rio Negro, Argentina</t>
  </si>
  <si>
    <t>Universidad Nacional de Lujan; Consejo Nacional de Investigaciones Cientificas y Tecnicas (CONICET); University of Oxford</t>
  </si>
  <si>
    <t>Cassini, MH (corresponding author), Univ Nacl Lujan, Grp Estudios Ecol Mamiferos, CONICET, PROFAUNA,DCB, Rutas 5&amp;7, RA-6700 Lujan, Argentina.</t>
  </si>
  <si>
    <t>mcassini@mail.unlu.edu.ar</t>
  </si>
  <si>
    <t>Darwin Initiative (United Kingdom); Agencia Nacional de Promocion Cientifica y Tecnica (Argentina) [PICT 14173]</t>
  </si>
  <si>
    <t>Darwin Initiative (United Kingdom); Agencia Nacional de Promocion Cientifica y Tecnica (Argentina)(ANPCyT)</t>
  </si>
  <si>
    <t>We are deeply grateful to Gerardo Porro, Marcelo Bello and Leonardo R. Leggieri for their collaboration with the fieldwork. GIS analysis was supervised by Leonardo Di Franco and PRODITEL-UNLu provided GIS software. The study was financed by the Darwin Initiative (United Kingdom) and the Agencia Nacional de Promocion Cientifica y Tecnica (Argentina, PICT 14173). MHC is a researcher in the CONICET. We are grateful to Hans Kruuk and Lauren Harrington for helpful comments on the manuscript.</t>
  </si>
  <si>
    <t>10.1007/s10750-010-0332-6</t>
  </si>
  <si>
    <t>628BA</t>
  </si>
  <si>
    <t>WOS:000280087900033</t>
  </si>
  <si>
    <t>Fournier, P; Maizeret, C; Jimenez, D; Chusseau, JP; Aulagnier, S; Spitz, F</t>
  </si>
  <si>
    <t>Fournier, Pascal; Maizeret, Chyistian; Jimenez, David; Chusseau, Jean-Pierre; Aulagnier, Stephane; Spitz, Francois</t>
  </si>
  <si>
    <t>Mustela lutreola; Mustela putorius; habitat use; resting place</t>
  </si>
  <si>
    <t>FEEDING-HABITS; STATISTICAL TECHNIQUES; RESTING SITES; SELECTION; TOADS; SPAIN; DIET; L.</t>
  </si>
  <si>
    <t>The European mink Mustela lutreola Linnaeus, 1761 and the European polecat Mustela putorius Linnaeus, 1758 are related species sympatric in southwestern France. The European mink is rapidly disappearing whereas the polecat maintains good populations. Seasonal habitat use of both species was compared in the Landes de Gascogne region to identify if some vulnerability factors of the European mink were associated with habitats occupied by this mustelid. Potential habitats were mapped using a satellite picture and 12 main types of habitats were defined. Animal locations were recorded by radiotracking 9 European mink and 14 polecats from March 1996 to August 1999. Resting animals were located by triangulation, and, when possible, resting places were described. Animals in activity were tracked by continuous monitoring. Data collected revealed a strong preference of European mink for flooded habitats, particularly open marshes, flooded woodlands and moorlands. They seldom left the corridor of the riparian forest and their resting places were mainly in flooded environments, above ground (under herbs or bushes) or in cavities between tree roots. European polecats were less tightly linked to wetlands. Most of their locations were in the pine forests outside the valleys and their resting places were mainly in burrows. The strong specialisation of European mink in aquatic habitats is probably one of the main reasons for its decline because wetlands suffer drastic damages throughout all of its range. Maintaining adequate water levels is crucial for satisfying habitat requirements of mink.</t>
  </si>
  <si>
    <t>Grp Rech &amp; Etude Gest Environm, F-33730 Villandraut, France; Conseil Gen Landes, F-40025 Mont de Marsan, France; Comportement &amp; Ecol Faune Sauvage, F-31326 Castanet Tolosan, France; Off Natl Chasse &amp; Faune Sauvage, F-78610 Auffargis, France; Federat Dept Chasseurs Gironde, F-33028 Bordeaux, France</t>
  </si>
  <si>
    <t>Fournier, P (corresponding author), Grp Rech &amp; Etude Gest Environm, Route Prechac, F-33730 Villandraut, France.</t>
  </si>
  <si>
    <t>pfournier@wanadoo.fr</t>
  </si>
  <si>
    <t>10.1007/BF03194194</t>
  </si>
  <si>
    <t>136IQ</t>
  </si>
  <si>
    <t>WOS:000244216200001</t>
  </si>
  <si>
    <t>Pedroso, NM; Sales-Luis, T; Santos-Reis, M</t>
  </si>
  <si>
    <t>Pedroso, Nuno M.; Sales-Luis, Teresa; Santos-Reis, Margarida</t>
  </si>
  <si>
    <t>Lutra lutra; reservoir; spatial use; marking behaviour; diet; tributaries</t>
  </si>
  <si>
    <t>CRAYFISH PROCAMBARUS-CLARKII; LUTRA-LUTRA; PERSPICILLATA; CONSERVATION; POPULATIONS; PREDATION; RESERVOIR; PATTERNS; ECOLOGY; KERALA</t>
  </si>
  <si>
    <t>The construction of dams is a significant environmental issue due to its impacts on native fish populations and riparian animals and habitats. The response of otters Lutra lutra Linnaeus, 1758 to such disturbances was evaluated using the Aguieira reservoir (Central Portugal) and its associated tributaries as a model. Visiting rates suggested the presence of resident otters, both in the reservoir and in two of the tributaries. There was a significant negative influence of water level and precipitation in the number of spraints found around the reservoir. Nevertheless, marking behaviour was positively related to substrate and negatively related to vegetation cover, though these variables explained only a small amount of variation in otter signs. In the tributaries, although precipitation also negatively affected the number of otter signs found, the availability of rocks in the riverbed and the presence of refuge had a positive influence in marking behaviour. Prey composition and abundance differed between reservoir and tributaries, but the main otter prey in both systems was the pumpkinseed, which is very abundant in the reservoir. Results demonstrate that otters regularly use the Aguieira reservoir, which provides a good prey base, and the associated tributaries, which provide shelter.</t>
  </si>
  <si>
    <t>[Pedroso, Nuno M.; Sales-Luis, Teresa; Santos-Reis, Margarida] Univ Lisbon, Fac Ciencias, Ctr Biol Ambient, Dept Anim Biol, P-1749 Lisbon, Portugal</t>
  </si>
  <si>
    <t>Pedroso, NM (corresponding author), Univ Lisbon, Fac Ciencias, Ctr Biol Ambient, Dept Anim Biol, Edificio C2,Campo Grande, P-1749 Lisbon, Portugal.</t>
  </si>
  <si>
    <t>Santos-Reis, Margarida/H-4064-2011; Peoso, Nuno M/I-6295-2013</t>
  </si>
  <si>
    <t>Santos-Reis, Margarida/0000-0002-0337-963X; Peoso, Nuno M/0000-0001-6486-130X</t>
  </si>
  <si>
    <t>265LX</t>
  </si>
  <si>
    <t>WOS:000253361500004</t>
  </si>
  <si>
    <t>Medina-Vogel, G; Kaufman, VS; Monsalve, R; Gomez, V</t>
  </si>
  <si>
    <t>Chile; Lontra provocax; macrocrustaceans; otter field signs; riparian vegetation; river canalization; woody debris</t>
  </si>
  <si>
    <t>LUTRA-LUTRA; SCENT-MARKING; HABITAT; CONSERVATION; POPULATION; ECOLOGY</t>
  </si>
  <si>
    <t>The distribution of the Endangered southern river otter Lontra provocax population in southern Chile has contracted, causing concern among otter specialists and conservationists. The main factor contributing to this decline is the loss of suitable habitat. Because the Chilean Irrigation Law promotes land drainage, the removal of riparian vegetation and canalization of lowland rivers in several provinces, this situation could deteriorate further. Using an Index of Revisitation Rate (IRR), we assessed the influence of woody debris, riparian vegetation, river bank morphology and river canalization on the use of rivers and streams by the southern river otter. Surveys were conducted on foot, on a monthly basis, between April 1999 and March 2001 in the south of Chile. The surveys covered 13 sections of rivers and streams, 3 km long and &lt;50 m wide. River and stream banks with high density of riparian vegetation, woody debris and exposed roots had the highest IRR; most of the highly marked sprainting sites were found in this habitat. Canalized rivers and streams lacking these characteristics had the lowest IRR and hardly any highly marked sprainting sites. The data indicates that otters can tolerate some degree of riparian vegetation removal, provided there is minimum use of floodplains by humans. Temperate evergreen ombrophilus swamp forests and shallow watercourses with woody debris or gravel, riparian vegetation and a plentiful supply of macrocrustaceans appear to be the preferred habitat and conditions for the otter and may be key to its survival in freshwater habitats.</t>
  </si>
  <si>
    <t>Univ Austral Chile, Inst Ecol &amp; Evoluc, Valdivia, Chile</t>
  </si>
  <si>
    <t>Medina-Vogel, G (corresponding author), Univ Austral Chile, Inst Ecol &amp; Evoluc, Casilla 567, Valdivia, Chile.</t>
  </si>
  <si>
    <t>gmedina@uach.cl</t>
  </si>
  <si>
    <t>Medina-Vogel, Gonzalo/0000-0002-1579-9463</t>
  </si>
  <si>
    <t>10.1017/S0030605303000784</t>
  </si>
  <si>
    <t>750EA</t>
  </si>
  <si>
    <t>WOS:000186977300019</t>
  </si>
  <si>
    <t>Prenda, J; López-Nieves, P; Bravo, R</t>
  </si>
  <si>
    <t>aquatic mammals; Mediterranean climate; mustelids; otter ecology; Spain; stream habitat; water balance</t>
  </si>
  <si>
    <t>SPAIN</t>
  </si>
  <si>
    <t>1. This study analyses quantitatively the association between habitat characteristics and annual variation in water availability on otter (Lutra lutra L.) distribution in a large Mediterranean area (13717 km(2)) in southern Spain. 2. There was a strong positive correlation between habitat quality, estimated after the two first components of a principal component analysis of a matrix of habitat variables x sites, and an index of otter presence/absence, otter presence being most commonly associated with unpolluted and undisturbed sites surrounded by woodland. 3. After univariate analysis, the main freshwater habitat features were statistically different between sites with otters and sites lacking them. In general, otters occurred in medium-sized fluvial habitats, with high bankside vegetation cover, unpolluted, with low or very low human disturbance and surrounded by forests or dehesas (Mediterranean-like savannah). 4. Water availability, inferred from the water balance, strongly influenced otter distribution and the type of water body used the most. As water availability increased so did the otter distribution range and during these: periods they tended to colonize low-order streams. During periods of water shortage, otters were usually found in high-order streams and reservoirs, the only sites that kept water. 5. This work shows that otter distribution in Mediterranean areas is strongly influenced by two factors - man-induced habitat degradation and natural variability in water availability. The addition of the second factor to the first one introduces additional risks to the survival of otter populations in Mediterranean areas compared with more northerly and humid areas. Copyright (C) 2001 John Wiley &amp; Sons, Ltd.</t>
  </si>
  <si>
    <t>Univ Huelva, Fac Ciencias Expt, Dept Biol Ambiental &amp; Salud Publ, Palos De La Frontera 21819, Huelva, Spain; IES Los Pedroches, Dept Biol &amp; Geol, Cordoba, Spain; Escritor Lope Cardenas, Cordoba, Spain</t>
  </si>
  <si>
    <t>Universidad de Huelva</t>
  </si>
  <si>
    <t>Prenda, J (corresponding author), Univ Huelva, Fac Ciencias Expt, Dept Biol Ambiental &amp; Salud Publ, Campus Univ Rabida, Palos De La Frontera 21819, Huelva, Spain.</t>
  </si>
  <si>
    <t>jprenda@uhu.es; plnieves@olemail.com; rbravoro@nexo.es</t>
  </si>
  <si>
    <t>Prenda, José/K-4994-2014</t>
  </si>
  <si>
    <t>Prenda, José/0000-0002-1505-8331</t>
  </si>
  <si>
    <t>SEP-OCT</t>
  </si>
  <si>
    <t>10.1002/aqc.454</t>
  </si>
  <si>
    <t>479PA</t>
  </si>
  <si>
    <t>WOS:000171411700001</t>
  </si>
  <si>
    <t>Perrin, MR; Carugati, C</t>
  </si>
  <si>
    <t>habitat use; Lutra maculicollis; Aonyx capensis; otter</t>
  </si>
  <si>
    <t>AONYX-CAPENSIS; RIVER OTTERS; LUTRA-LUTRA; DENSITY; AVAILABILITY; CONSERVATION</t>
  </si>
  <si>
    <t>The habitat preferences of Aonyx capensis and Lutra maculicollis were studied in a river catchment of the KwaZulu-Natal Drakensberg where the two species co-exist. Both species preferred riverine habitats covered with dense vegetation, while areas of short grass were avoided; holts of each species were located adjacent to river banks, oxbow lakes or dam shores. Spraint sites of the two species were found in dense, tall grass cover beside water &lt;1 m deep both within and outside conservation areas. The holts of both otter species were associated with cover and sprainting sites, but possessed different substrates. The burning of river banks was detrimental to the otters as it removed cover and negatively affected the availability of potential holt sites. A. capensis was generally more terrestrial than L. maculicollis.</t>
  </si>
  <si>
    <t>Univ KwaZulu Natal, Sch Bot &amp; Zool, ZA-3209 Scottsville, Natal, South Africa</t>
  </si>
  <si>
    <t>University of Kwazulu Natal</t>
  </si>
  <si>
    <t>Perrin, MR (corresponding author), Univ KwaZulu Natal, Sch Bot &amp; Zool, Private Bag X01, ZA-3209 Scottsville, Natal, South Africa.</t>
  </si>
  <si>
    <t>perrin@nu.ac.za</t>
  </si>
  <si>
    <t>395PU</t>
  </si>
  <si>
    <t>WOS:000166589600001</t>
  </si>
  <si>
    <t>van Niekerk, CH; Somers, MJ; Nel, JAJ</t>
  </si>
  <si>
    <t>Aonyx capensis; defaecation pattern; habitat use; otters</t>
  </si>
  <si>
    <t>LUTRA-LUTRA; WATER; POPULATIONS; PORTUGAL; MARKING; HABITAT</t>
  </si>
  <si>
    <t>This paper relates use of the marine habitat by Aonyx capensis, as shown by the use of resting and sprainting sites, to the presence or absence of fresh water. This paper tests the null hypothesis that spraints and couches of A. capensis are randomly distributed with regard to freshwater availability. Dependence on freshwater sources by coastal A. capensis has important conservation implications. Reduced stream flow or seasonal drying up of sources, resulting from increased human activities, can negatively affect continued otter occurrence along a coastline. Occurrence of spraints, couches and resting places along the south-west coast, South Africa, was found to be closely tied to freshwater sources. It is hypothesised from the results of this study that A. capensis, like the Eurasian otter Lutra lutra, needs fresh water to use marine habitats. The results indicate that monitoring freshwater points along similar coasts would indicate whether otters were present in the general area or not - a time-saving method of determining otter distribution on a large scale. Monitoring only mouths of rivers is possible, as most spraints and couches were located very close to fresh water.</t>
  </si>
  <si>
    <t>Univ Stellenbosch, Dept Zool, ZA-7600 Stellenbosch, South Africa</t>
  </si>
  <si>
    <t>Stellenbosch University</t>
  </si>
  <si>
    <t>Somers, MJ (corresponding author), Hluhluwe Game Reserve, Hluhluwe Res Ctr, POB 25, ZA-3935 Mtubatuba, South Africa.</t>
  </si>
  <si>
    <t>mjs@mweb.co.za</t>
  </si>
  <si>
    <t>Somers, Michael/A-1523-2008</t>
  </si>
  <si>
    <t>130LV</t>
  </si>
  <si>
    <t>WOS:000076522300002</t>
  </si>
  <si>
    <t>Honnen, AC; Roos, A; Stjernberg, T; Zachos, FE</t>
  </si>
  <si>
    <t>Honnen, Ann-Christin; Roos, Anna; Stjernberg, Torsten; Zachos, Frank E.</t>
  </si>
  <si>
    <t>Fennoscandia; Isolation by distance; Lutra lutra; Microsatellites; Mitochondrial DNA</t>
  </si>
  <si>
    <t>MULTILOCUS GENOTYPE DATA; POPULATION-STRUCTURE; DNA VARIATION; BALTIC SEA; SOFTWARE; NORTH; CONSERVATION; SIMULATION; MUSTELIDAE; DIVERSITY</t>
  </si>
  <si>
    <t>A number of mammal species in Europe, including the Eurasian otter (Lutra lutra), have experienced a decline in population size in the 20th century due to persecution, environmental pollution and ongoing habitat fragmentation. This has often led to a substantial loss of genetic diversity which may threaten population viability. While otters have been studied in some detail genetically, the northern part of the Fennoscandian range has not been covered well so far. By explicitly focussing on the genetics of otter populations from northern Sweden and Finland we aimed at closing that gap. To infer their genetic structure and diversity, we analysed sequences of the mitochondrial control region and 12 nuclear microsatellite markers in 197 Eurasian otters from Sweden and Finland. Variability of the mitochondrial control region was low overall but still revealed previously undetected haplotypes unique to the Finnish otter population. Expected heterozygosities in Fennoscandia were within the range previously reported. Bayesian cluster analysis of our microsatellite data revealed genetic structuring of the Swedish otter populations. In contrast, we observed a high degree of admixture among the Finnish populations that we also found at the geographic border of the two countries (Lapland). Admixed ancestry in Finnish otters suggests that gene flow from the Swedish to Central European populations is potentially facilitated via the Finnish otter populations connecting the Swedish animals with otter populations in mainland Europe. (C) 2014 Deutsche Gesellschaft fur Saugetierkunde. Published by Elsevier GmbH. All rights reserved.</t>
  </si>
  <si>
    <t>[Honnen, Ann-Christin; Zachos, Frank E.] Univ Kiel, Inst Zool, D-24098 Kiel, Germany; [Honnen, Ann-Christin] Leibniz Inst Freshwater Ecol &amp; Inland Fisheries, Berlin, Germany; [Roos, Anna] Swedish Museum Nat Hist, S-10405 Stockholm, Sweden; [Stjernberg, Torsten] Univ Helsinki, Finnish Museum Nat Hist, Helsinki, Finland; [Zachos, Frank E.] Nat Hist Museum Vienna, Vienna, Austria</t>
  </si>
  <si>
    <t>University of Kiel; Leibniz Association; Leibniz Institut fur Gewasserokologie und Binnenfischerei (IGB); Swedish Museum of Natural History; University of Helsinki</t>
  </si>
  <si>
    <t>Honnen, AC (corresponding author), Leibniz Inst Freshwater Ecol &amp; Inland Fisheries, Muggelseedamm 301, Berlin, Germany.</t>
  </si>
  <si>
    <t>achonnen@igb-berlin.de</t>
  </si>
  <si>
    <t>Honnen, Ann-Christin/0000-0003-4355-7231; Stjernberg, Torsten Gustav/0000-0001-5247-4601</t>
  </si>
  <si>
    <t>10.1016/j.mambio.2014.09.005</t>
  </si>
  <si>
    <t>WOS:000348892400007</t>
  </si>
  <si>
    <t>MACDONALD, SM; MASON, CF</t>
  </si>
  <si>
    <t>During a survey of otters in southern Italy, signs were found at 16 (8.5%) of the 188 sites visited. The River Sele holds a potentially viable population of otters and there was a remnant population on the River Crati, but positive signs on 5 other rivers were restricted to single sites only. The overall position is bleak. Italian rivers were frequently polluted, riparian vegetation is extensively managed or removed, and disturbance is high from the gravel extraction industry, fishing and hunting.</t>
  </si>
  <si>
    <t>UNIV ESSEX, COLCHESTER CO4 3SQ, ESSEX, ENGLAND</t>
  </si>
  <si>
    <t>University of Essex</t>
  </si>
  <si>
    <t>MACDONALD, SM (corresponding author), VINCENT WILDLIFE TRUST, BALT EXCHANGE BLDG, 21 BURY STR, LONDON EC3A 5AU, ENGLAND.</t>
  </si>
  <si>
    <t>10.1016/0006-3207(83)90054-X</t>
  </si>
  <si>
    <t>PY558</t>
  </si>
  <si>
    <t>WOS:A1983PY55800001</t>
  </si>
  <si>
    <t>Kubheka, SP; Rowe-Rowe, DT; Alletson, JD; Perrin, MR</t>
  </si>
  <si>
    <t>Kubheka, Skumbuzo P.; Rowe-Rowe, David T.; Alletson, Jake D.; Perrin, Michael R.</t>
  </si>
  <si>
    <t>Lutra; otter; river</t>
  </si>
  <si>
    <t>KWAZULU-NATAL DRAKENSBERG; SPOTTED-NECKED OTTER; CAPE CLAWLESS OTTER; LUTRA-LUTRA POPULATIONS; HABITAT USE</t>
  </si>
  <si>
    <t>Otters are threatened by habitat loss and the pollution of their riverine habitat. Environmental impacts on top predators are often the first indication of habitat deterioration. It is rare for predator-prey-habitats to be monitored over long time intervals (decades), however necessary that may be. Here, we report on the decline in otter relative abundance in a previously pristine habitat and speculate on its causes. We surveyed sign of coexisting otters (Aonyx capensis and Lutra maculicollis) along a river in Kamberg Nature Reserve in uKhahlamba Drakensberg Park, KwaZulu-Natal, South Africa. The area, Stillerust, lies downstream of a commercial dairy farm and a rural villagesubsistence farming area. Data collected recently were compared with two previous surveys, carried out in 19721974 and 19931994, and were also compared with a pristine section of river in the nature reserve, upstream of the farming areas. At Stillerust, the number of spraint (scat) sites found, for each otter species, approximated only 25% of those recorded in the earlier studies. In the pristine section of the river, the amount of sign and abundance of otters were similar to those recorded in 1993. Assessments of stream biota and water quality analyses revealed negative changes in the river below the pristine area, down to, and including, Stillerust. Visible signs of pollution were evident. Since the 1970s, the rural village population has increased ca eightfold, and the commercial farm has changed from an extensive livestock enterprize to an intensive dairy farm.</t>
  </si>
  <si>
    <t>[Kubheka, Skumbuzo P.; Perrin, Michael R.] Univ KwaZulu Natal, Sch Biol &amp; Conservat Sci, ZA-3209 Scottsville, South Africa; [Alletson, Jake D.] Alletson Ecol, ZA-3245 Hilton, South Africa</t>
  </si>
  <si>
    <t>Perrin, MR (corresponding author), Univ KwaZulu Natal, Sch Biol &amp; Conservat Sci, Private Bag X01, ZA-3209 Scottsville, South Africa.</t>
  </si>
  <si>
    <t>Perrin@UKZN.ac.za</t>
  </si>
  <si>
    <t>KZN Wildlife; Tendele community</t>
  </si>
  <si>
    <t>We thank KwaZulu-Natal Wildlife for allowing us to undertake the project and for assistance given, as well as the Department of Water Affairs and Forestry for under-taking the water quality sampling and analyses. A special thanks from PSK to KZN Wildlife for financial support, to Gift Magagula for field assistance, and the Tendele community for their support. Maxi Holder is thanked for typing the manuscript and for field assistance with SASS surveys.</t>
  </si>
  <si>
    <t>1365-2028</t>
  </si>
  <si>
    <t>10.1111/aje.12033</t>
  </si>
  <si>
    <t>127GJ</t>
  </si>
  <si>
    <t>WOS:000317685500012</t>
  </si>
  <si>
    <t>PRIGIONI, C; BOGLIANI, G; BARBIERI, F</t>
  </si>
  <si>
    <t>During a survey in Albania we found signs of otters at 17 (54.8%) of the 31 stations investigated. Otters were widespread in much of the country, and healthy populations were localised in rivers and marshes in the north-west and in the south. Average sprainting activity was 1.7 positive sites per 200 m and 3.6 spraints per 200 m. Frogs, probably Rana ridibunda, as well as fish, appeared to be important prey for otters. In the coastal plains, several rivers were grossly polluted and the growing agricultural and industrial development may endanger the survival of otters.</t>
  </si>
  <si>
    <t>PRIGIONI, C (corresponding author), UNIV PAVIA, DEPARTIMENTO BIOL ANIM, PIAZZA BOTTA 9, I-27100 PAVIA, ITALY.</t>
  </si>
  <si>
    <t>Bogliani, Giuseppe/IUO-9260-2023</t>
  </si>
  <si>
    <t>Bogliani, Giuseppe/0000-0001-9066-6540</t>
  </si>
  <si>
    <t>10.1016/0006-3207(86)90011-X</t>
  </si>
  <si>
    <t>C9930</t>
  </si>
  <si>
    <t>WOS:A1986C993000005</t>
  </si>
  <si>
    <t>Prenda, J; GranadoLorencio, C</t>
  </si>
  <si>
    <t>otter conservation; Mediterranean streams; riparian habitat; riverside vegetation; water quality; human presence; Iberian peninsula</t>
  </si>
  <si>
    <t>POPULATIONS</t>
  </si>
  <si>
    <t>The influence of riparian habitat structure and fish availability on otter Lutra lutra marking activity was studied at the head of the Guadalete river (southern Spain). Otter habitat in the study area could be ordered along two gradients in structural properties (altitude, stream older, channel form, water current, bank vegetation), water quality and bankside plant species composition. Generally, higher altitude sites had more dense bankside vegetation cover and better water quality. The dominant upstream bankside plant assemblage consisted of species such as Rubus sp., Salix spp., and Arundo donax, which provided secure shelter for otters. In contrast, at downstream sites the typical plant assemblage was Tamarix africana, Nerium oleander and helophytes, overall bankside cover was lower but wider and the water was more eutrophic. Otter sprainting activity was correlated with this gradient, being higher in downstream sites, especially in areas dominated by short vegetation and scarce human presence. Similarly, fish biomass was greater downstream. A strong positive col relation was observed between otter sprainting activity and larger fish size. Thus, the variability in otter marking intensity along the upper Guadalete seemed to be more dependent on fish availability, and secondly on human disturbance, than on particular riparian habitat features, including the species composition of vegetation growing on the river banks. Implications for conservation management of otters in Mediterranean areas are discussed.</t>
  </si>
  <si>
    <t>UNIV SEVILLA, DEPT PLANT BIOL &amp; ECOL, E-41080 SEVILLE, SPAIN</t>
  </si>
  <si>
    <t>University of Sevilla</t>
  </si>
  <si>
    <t>; Prenda, José/K-4994-2014</t>
  </si>
  <si>
    <t>Granado Lorencio, Carlos Antonio/0000-0002-3322-4276; Prenda, José/0000-0002-1505-8331</t>
  </si>
  <si>
    <t>10.1016/0006-3207(95)00080-1</t>
  </si>
  <si>
    <t>UB263</t>
  </si>
  <si>
    <t>WOS:A1996UB26300002</t>
  </si>
  <si>
    <t>Hwang, JY; Cho, GJ</t>
  </si>
  <si>
    <t>Hwang, Ji-Yong; Cho, Gil-Jae</t>
  </si>
  <si>
    <t>JOURNAL OF VETERINARY MEDICAL SCIENCE</t>
  </si>
  <si>
    <t>AMOVA; eurasian otter; gene flow; isolation by distance; mitochondrial DNA</t>
  </si>
  <si>
    <t>PHYLOGEOGRAPHY; POPULATION; DIVERSITY; CARNIVORA; DIFFERENTIATION; POLYMORPHISM; PENINSULA; DISTANCE; MAMMALIA; GENOME</t>
  </si>
  <si>
    <t>The number and distribution of Eurasian otters have declined during twentieth century due to human activity and water pollution. The global conservation status of Eurasian otter is presently 'Near Threatened (NT)' and strictly protected by being listed on the international legislation and conventions. A number of studies using the mitochondrial DNA (mtDNA) control region (CR) have been conducted in order to effectively apply conservation and reintroduction programs, especially in Europe. However, aside from Europe, there have been few studies concerning genetic diversity and phylogeny of Eurasian otters. Therefore, in this study, we sequenced partial mtDNA CR sequences (232 bp) from five South Korean Eurasian otters and analyzed 27 otters originating from parts of northeast Asia (South Korea, China, Japan and Russia (Sakhalin)), and Europe. Out of 232 bp partial mtDNA CR sequences, 13 polymorphic sites (5.6%) were identified and 4 novel mtDNA CR haplotypes (Lut16-19) were discovered from 12 Eurasian otters originating from northeast Asian region. In this study, a comprehensive analysis of genetic diversity and population structure of Eurasian otter between Europe and northeast Asia continents were conducted. Of these, different past demographic histories in Pleistocene period might have largely impacted the genetic structure of each population differently. In addition, low degree of gene flow, isolation by distance (IBD) pattern from geographically wide distanced dataset and analysis of molecular variance (AMOVA) also represented distinct genetic characteristics of Eurasian otter between Europe and northeast Asia.</t>
  </si>
  <si>
    <t>[Hwang, Ji-Yong; Cho, Gil-Jae] Kyungpook Natl Univ, Inst Equine Sci, Coll Vet Med, 80 Daehak Ro, Daegu 41566, South Korea</t>
  </si>
  <si>
    <t>Kyungpook National University (KNU)</t>
  </si>
  <si>
    <t>Cho, GJ (corresponding author), Kyungpook Natl Univ, Inst Equine Sci, Coll Vet Med, 80 Daehak Ro, Daegu 41566, South Korea.</t>
  </si>
  <si>
    <t>chogj@knu.ac.kr</t>
  </si>
  <si>
    <t>JAPAN SOC VET SCI</t>
  </si>
  <si>
    <t>UNIV TOKYO, 1-1-1 YAYOI, BUNKYO-KU, TOKYO, 103, JAPAN</t>
  </si>
  <si>
    <t>0916-7250</t>
  </si>
  <si>
    <t>1347-7439</t>
  </si>
  <si>
    <t>J VET MED SCI</t>
  </si>
  <si>
    <t>J. Vet. Med. Sci.</t>
  </si>
  <si>
    <t>10.1292/jvms.17-0678</t>
  </si>
  <si>
    <t>HH2VR</t>
  </si>
  <si>
    <t>WOS:000455578200028</t>
  </si>
  <si>
    <t>Cortes, Y; Fernandez-Salvador, R; Garcia, FJ; Virgos, E; Llorente, M</t>
  </si>
  <si>
    <t>otter distribution; central Spain; distribution changes; recovery</t>
  </si>
  <si>
    <t>POPULATIONS; DECLINE</t>
  </si>
  <si>
    <t>Surveys carried out in 1964, 1984 and 1995 of otter Lutra lutra distribution were compared in order to analyze its changes in distribution in Central Spain. These changes were studied from different areas defined by their physiognomy and human population density. During the 1960s, the species was well distributed throughout the study area but this was followed by a decline and a more recent recovery. Several negative factors (i.e. pollution, human disturbance, habitat destruction, hunting) extinguished or fragmentated some populations. During the last period (1990s) some populations have recovered, probably through recolonization from neighbouring areas supporting healthy populations. Variations in a water quality index and human density were considered to be potential explanatory causes of changes in otter distribution. The current otter distribution is probably very influenced by movements between different areas. High human population density and physical barriers (mainly mountains) can be considered as the principal factors limiting otter movements. This paper emphasizes the importance of studying local population dynamics in order to plan an effective long-term conservation strategy. (C) 1998 Elsevier Science Ltd. All rights reserved.</t>
  </si>
  <si>
    <t>CSIC, Dept Biodiversidad &amp; Biol Evolutiva, Museo Nacl Ciencias Nat, Madrid 28006, Spain; Univ Cantabria, Grp Invest Vida Silvestre, Dept Geog, E-39005 Santander, Spain; Univ Complutense Madrid, Fac Biol, Dept Biol Anim 1, E-28040 Madrid, Spain</t>
  </si>
  <si>
    <t>Consejo Superior de Investigaciones Cientificas (CSIC); CSIC - Museo Nacional de Ciencias Naturales (MNCN); Universidad de Cantabria; Complutense University of Madrid</t>
  </si>
  <si>
    <t>Fernandez-Salvador, R (corresponding author), CSIC, Dept Biodiversidad &amp; Biol Evolutiva, Museo Nacl Ciencias Nat, C Jose Gutierrez Abascal 2, Madrid 28006, Spain.</t>
  </si>
  <si>
    <t>evirgos@eucmax.sim.ucm.es</t>
  </si>
  <si>
    <t>10.1016/S0006-3207(98)00009-3</t>
  </si>
  <si>
    <t>126BN</t>
  </si>
  <si>
    <t>WOS:000076273000007</t>
  </si>
  <si>
    <t>Weinberger, IC; Muff, S; de Jongh, A; Kranz, A; Bontadina, F</t>
  </si>
  <si>
    <t>Weinberger, Irene C.; Muff, Stefanie; de Jongh, Addy; Kranz, Andreas; Bontadina, Fabio</t>
  </si>
  <si>
    <t>Lutra lutra; Foraging; Hydropower plant; Radio telemetry; Step-selection function</t>
  </si>
  <si>
    <t>LUTRA-LUTRA L.; RESOURCE SELECTION; AVAILABILITY; RIVER; DIET; FOOD; CONSERVATION; STOCKING; HATCHERY; DECLINE</t>
  </si>
  <si>
    <t>Carnivores are threatened worldwide through habitat loss and persecution. Habitat destruction is a major threat for the Eurasian otter. Its populations declined drastically in Europe but are now expanding again, including into the Alps. Here, flood prevention and hydropower have massively altered the riverine landscapes. We evaluated the recovery potential of otters by testing the impact of major factors of habitat transformation and human disturbance on multiple spatial scales. In a hierarchical approach, we investigated spatial use and foraging habitat selection of nine otters in a long-term radiotracking study in the eastern Central Alps. We combined fine scale habitat selection analysis with individual movements by applying a step-selection function approach to the linear river system in a novel way. At home range scale, otters preferred the main riverbeds to abstracted water and tributaries, whereas at fine scale, there was no significant preference for pristine sections within the watercourses. Otters selected for reservoirs in streams with a width smaller than 12 m and otherwise preferred foraging in residual waters and stretches with main discharge. At this stage of recovery, otters show a surprising flexibility in their habitat selection. This is promising for the species' future expansion into former abandoned areas. However, given that the traditional fish stocking regime might contribute to this recovery by providing profitable hunting grounds after stocking events, there is an increased risk of human-wildlife conflicts. Our results demonstrate a high adaptability of a threatened carnivore to altered landscapes and show how this flexible behaviour opens opportunities for recovery. (C) 2016 Elsevier Ltd. All rights reserved.</t>
  </si>
  <si>
    <t>[Weinberger, Irene C.; Muff, Stefanie] Univ Zurich, Inst Ecol &amp; Evolutionary Biol, Winterthurerstr 190, CH-8057 Zurich, Switzerland; [Muff, Stefanie] Univ Zurich, Epidemiol Biostat &amp; Prevent Inst, Hirschengraben 84, CH-8001 Zurich, Switzerland; [de Jongh, Addy] Dutch Otterstn Fdn, Spanjaardslaan 136, NL-8917 AX Leeuwarden, Netherlands; [Kranz, Andreas] Alka Kranz Ingn Buro Wildokol &amp; Nat Schutz, Waldgrund 25, A-8044 Graz, Austria; [Bontadina, Fabio] SWILD Urban Ecol &amp; Wildlife Res, Wuhrstr 12, CH-8003 Zurich, Switzerland; [Bontadina, Fabio] Swiss Fed Res Inst WSL, Biodivers &amp; Conservat Biol, CH-8903 Birmensdorf, Switzerland</t>
  </si>
  <si>
    <t>University of Zurich; Swiss School of Public Health (SSPH+); University of Zurich; Swiss Federal Institutes of Technology Domain; Swiss Federal Institute for Forest, Snow &amp; Landscape Research</t>
  </si>
  <si>
    <t>Weinberger, IC (corresponding author), Univ Zurich, Inst Ecol &amp; Evolutionary Biol, Winterthurerstr 190, CH-8057 Zurich, Switzerland.</t>
  </si>
  <si>
    <t>Muff, Stefanie/0000-0002-8425-0757; Bontadina, Fabio/0000-0002-0163-2486</t>
  </si>
  <si>
    <t>Zuercher Tierschutz; Ernst Goehner Stiftung; Stotzer-Kaestli-Stiftung; Bernd Thies-Stiftung; Autax-Stiftung; Stiftung Temperatio; Conseil International de la Chasse CIC - Sektion Schweiz; Theo-Wucher Stiftung; Claraz-Schenkung; Charlotte und Nelly Dornacher Stiftung</t>
  </si>
  <si>
    <t>This study was organised by the foundation Pro Lutra, Switzerland and funded by Zuercher Tierschutz, Ernst Goehner Stiftung, Stotzer-Kaestli-Stiftung, Bernd Thies-Stiftung, Autax-Stiftung, Stiftung Temperatio, Conseil International de la Chasse CIC - Sektion Schweiz, Theo-Wucher Stiftung, Claraz-Schenkung, Charlotte und Nelly Dornacher Stiftung, Peter and Anna Weinberger and an anonymous sponsor. Environmental data was provided by GIS Steiermark (Divison 7). Authorization for capture and treatment of otters was given by the government of Styria, Austria (Division 10a and 13c).</t>
  </si>
  <si>
    <t>10.1016/j.biocon.2016.04.017</t>
  </si>
  <si>
    <t>DQ9WI</t>
  </si>
  <si>
    <t>WOS:000379559600013</t>
  </si>
  <si>
    <t>Clavero, M; Hermoso, V; Brotons, L; Delibes, M</t>
  </si>
  <si>
    <t>Clavero, Miguel; Hermoso, Virgilio; Brotons, Lluis; Delibes, Miguel</t>
  </si>
  <si>
    <t>Andalusia; freshwater environments; landscape gradients; Lutra lutra; mammals; Mediterranean streams; otter surveys; recolonization; recovering species</t>
  </si>
  <si>
    <t>CRAYFISH PROCAMBARUS-CLARKII; LUTRA-LUTRA L.; HABITAT; CONSERVATION; RIVER; DIVERSITY; TEMPERATE; CATCHMENT; PREDATION; PATTERNS</t>
  </si>
  <si>
    <t>Aim To determine the relationships between otter (Lutra lutra) distribution dynamics and environmental and spatial constraints over a 20-year period. Location Andalusia, southern Iberian Peninsula. Methods We synthesized otter distribution data from three otter surveys (1985, 1995 and 2005) using subcatchment areas defined by hydrological barriers. Subcatchments were characterized by two 'natural' (climatic and orographic variables) and two 'human' (land use and population density) gradients. In addition, we calculated two contagion variables (the distance to previously occupied subcatchments and the percentage of occupied subcatchments within a 50 km buffer) for consecutively surveyed subcatchments. Results Between 1985 and 2005 the percentage of subcatchments with otters present increased from 42% to 72%. Otters tended to be rare or absent from human-dominated areas. Anthropogenic gradients were better predictors of otter distribution than natural ones. Human and natural gradients showed strong covariation, but for any value of the natural gradients otters tended to be present in subcatchments with lower human impacts. Colonization of new subcatchments was found to be strongly related to contagion variables and expansion rates were slower than those estimated in other studies. Newly colonized areas tended to be located in areas with intermediate human influence, while repeated absences occurred mainly in areas where human impact was most severe. Main conclusions Our results suggest that recent otter expansion across Andalusia is a reflection of large-scale improvement in environmental conditions. Otter populations that survived the period of strong and generalized declines appear to be acting as sources from which neighbouring areas are colonized, probably aided by improved water quality and increases in food availability. However, the further expansion of otters into their full original range is likely to be constrained by human-impacted landscapes.</t>
  </si>
  <si>
    <t>[Clavero, Miguel; Brotons, Lluis] Ctr Tecnol Forestal Catalunya, Area Biodiversitat, Grp Ecol Paisatge, Solsona 25280, Catalonia, Spain; [Clavero, Miguel] Univ Girona, Dept Ciencies Ambientals, Girona 17071, Catalonia, Spain; [Clavero, Miguel; Delibes, Miguel] Soc Espanola Conservac &amp; Estudio Mamiferos, SECEM, Malaga 29080, Spain; [Hermoso, Virgilio] Univ Queensland, Sch Biol Sci, Ctr Ecol, Brisbane, Qld 4072, Australia; [Delibes, Miguel] CSIC, Donana Biol Stn, Dept Conservat Biol, Seville 41092, Spain</t>
  </si>
  <si>
    <t>Centre Tecnologic Forestal de Catalunya (CTFC); Universitat de Girona; University of Queensland; Consejo Superior de Investigaciones Cientificas (CSIC); CSIC - Estacion Biologica de Donana (EBD)</t>
  </si>
  <si>
    <t>Clavero, M (corresponding author), Ctr Tecnol Forestal Catalunya, Area Biodiversitat, Grp Ecol Paisatge, Carretera Vella de St Llorenc Morunys Km 2, Solsona 25280, Catalonia, Spain.</t>
  </si>
  <si>
    <t>miguelito.clavero@gmail.com</t>
  </si>
  <si>
    <t>Brotons, Lluís/D-1570-2009; Hermoso, Virgilio/H-8276-2015; Hermoso, Virgilio/H-8276-2015; Clavero, Miguel/A-9040-2015; Delibes, Miguel/K-2744-2014</t>
  </si>
  <si>
    <t>Brotons, Lluís/0000-0002-4826-4457; Hermoso, Virgilio/0000-0003-3205-5033; Hermoso, Virgilio/0000-0002-8089-3448; Clavero, Miguel/0000-0002-5186-0153; Delibes, Miguel/0000-0002-3569-567X</t>
  </si>
  <si>
    <t>Water Agency of the Andalusian Government; Spanish Ministry of Education and Science; Consolider Montes [CSD2008-00040]; Spanish Ministry of Education and Science (MEC); FP7 project [226852]</t>
  </si>
  <si>
    <t>Water Agency of the Andalusian Government; Spanish Ministry of Education and Science(Spanish Government); Consolider Montes; Spanish Ministry of Education and Science (MEC)(Spanish Government); FP7 project</t>
  </si>
  <si>
    <t>We gratefully acknowledge the huge and mainly voluntary work of all those people who made possible the compilation of large-scale otter distribution data in Spain in three different surveys. Special thanks are due to the SECEM (Spanish Society for the Conservation and Study of Mammals) and particularly to Chema Lopez-Martin, Juan Jimenez and Jordi Ruiz-Olmo for the impetus given to Spanish otter surveys, as well as to Jose Prenda and Luis Javier Palomo, who coordinated the last survey in Andalusia and kindly allowed us to use those data. This latter survey received financial support from the Water Agency of the Andalusian Government. Nuria Roura-Pascual read and improved the manuscript and Carlos Camino helped us with GIS-based calculations. Stephani Januchwski and Fraser Hartley helped us to improve the English. M. C. benefited from a Juan de la Cierva post-doctoral contract granted by the Spanish Ministry of Education and Science. This work has received financial support from the projects Consolider Montes CSD2008-00040 granted by the Spanish Ministry of Education and Science (MEC) and the European granted FP7 project 226852 SCALES.</t>
  </si>
  <si>
    <t>10.1111/j.1365-2699.2010.02377.x</t>
  </si>
  <si>
    <t>682AQ</t>
  </si>
  <si>
    <t>WOS:000284368700010</t>
  </si>
  <si>
    <t>Loy, A; Boitani, L; Bonesi, L; Canu, A; Di Croce, A; Fiorentino, PL; Genovesi, P; Mattei, L; Panzacchi, M; Prigioni, C; Randi, E; Reggiani, G</t>
  </si>
  <si>
    <t>Loy, Anna; Boitani, Luigi; Bonesi, Laura; Canu, Antonio; Di Croce, Antonio; Fiorentino, Pier Luigi; Genovesi, Piero; Mattei, Livia; Panzacchi, Manuela; Prigioni, Claudio; Randi, Ettore; Reggiani, Gabriella</t>
  </si>
  <si>
    <t>Eurasian otter; Lutra lutra; conservation; management; Italy</t>
  </si>
  <si>
    <t>DIET; POPULATIONS</t>
  </si>
  <si>
    <t>Although recent evidence of the species recovery has been reported for many European countries, in Italy the Eurasian otter Lutra lutra is still considered endangered. Otter populations are confined to few river basins in the southern part of the peninsula and these are both geographically and genetically isolated from other European populations. This critical situation led the Italian Ministry of Environment to promote the production of an Action Plan for the otter in Italy, whose methods, aims and actions are briefly summarized.</t>
  </si>
  <si>
    <t>[Loy, Anna] Univ Molise, Dipartimento Sci &amp; Tecnol Ambiente &amp; Territorio, I-86090 Pesche, Italy; [Boitani, Luigi] Univ Roma La Sapienza, Dipartimento Biol Anim &amp; Uomo, I-00158 Rome, Italy; [Canu, Antonio] WWF WWF Oasi, Rome, Italy; [Di Croce, Antonio; Fiorentino, Pier Luigi] Minist Ambiente &amp; Tutela Territorio &amp; Mare, I-00147 Rome, Italy; [Genovesi, Piero; Panzacchi, Manuela; Randi, Ettore] Ist Super Protezione &amp; Ric Ambientale, I-40064 Ozzano Dell Emilia, BO, Italy; [Mattei, Livia] Corpo Forestale Stato, I-63040 Ascoli Piceno, AP, Italy; [Prigioni, Claudio] Univ Pavia, Dipartimento Biol Anim, Pavia, Italy; [Reggiani, Gabriella] Ist Ecol Applicata, I-00186 Rome, Italy</t>
  </si>
  <si>
    <t>University of Molise; Sapienza University Rome; University of Pavia</t>
  </si>
  <si>
    <t>Loy, A (corresponding author), Univ Molise, Dipartimento Sci &amp; Tecnol Ambiente &amp; Territorio, Contrada Fonte Lappone, I-86090 Pesche, Italy.</t>
  </si>
  <si>
    <t>; Genovesi, Piero/Z-1571-2019; Randi, Ettore/HOC-4300-2023; Panzacchi, Manuela/ADE-3661-2022</t>
  </si>
  <si>
    <t>LOY, Anna/0000-0002-8934-6694; Bonesi, Laura/0000-0003-3351-3892;</t>
  </si>
  <si>
    <t>WOS:000280348900002</t>
  </si>
  <si>
    <t>Ferrando, A; Lecis, R; Domingo-Roura, X; Ponsà, M</t>
  </si>
  <si>
    <t>Ferrando, Aienhoa; Lecis, Roberta; Domingo-Roura, Xavier; Ponsa, Montserrat</t>
  </si>
  <si>
    <t>Lutra; microsatellite; reintroduced population; non-invasive methods; conservation biology</t>
  </si>
  <si>
    <t>FECAL DNA; EURASIAN OTTER; MICROSATELLITE VARIATION; SEX IDENTIFICATION; MOLECULAR TRACKING; POPULATION-SIZE; URSUS-ARCTOS; BROWN BEARS; FECES; PCR</t>
  </si>
  <si>
    <t>During the last century, otter populations in the Mediterranean area of the Iberian Peninsula were dramatically reduced and disappeared in many localities. A reintroduction programme was established in north-eastern Spain (Muga and Fluvia basins and the Aiguamolls de l'Empordaa wetlands), by releasing 42 otters from four different Iberian populations, between 1995 and 2002. In order to evaluate the success of the reintroduction programme, we investigated microsatellite variation in the native populations of released otters as well as in the population present in the release area in 2004. We used non-invasively collected samples as the DNA source to avoid disturbing the animals in the wild. Laboratory procedures included the screening of samples and a multiple-tubes approach to detect and correct genotyping errors. Our results show that founders have been replaced by descendants in the release area and the population is in Hardy-Weinberg equilibrium, with a 1:1 sex ratio. Western Iberian otters-representing two-thirds of the founder group and released earlier-have greatly contributed to the genetic composition of the current population. The genetic patterns of otters found in a basin north of the studied area suggest a common origin with the released population. We also detected in a few otters the presence of alleles not identified in the original founder group, and we shall discuss the possible origin of these alleles.</t>
  </si>
  <si>
    <t>[Ferrando, Aienhoa; Ponsa, Montserrat] Univ Autonoma Barcelona, Fac Ciencies, Dept Biol Cellular Fisiol &amp; Immunol, Cerdanyola Del Valles 08193, Spain; [Ferrando, Aienhoa; Lecis, Roberta; Domingo-Roura, Xavier] Inst Recerca &amp; Tecnol Agrolimentaries, Cabrils 08348, Spain</t>
  </si>
  <si>
    <t>Autonomous University of Barcelona; IRTA</t>
  </si>
  <si>
    <t>Ponsà, M (corresponding author), Univ Autonoma Barcelona, Fac Ciencies, Dept Biol Cellular Fisiol &amp; Immunol, Cerdanyola Del Valles 08193, Spain.</t>
  </si>
  <si>
    <t>montse.ponsa@uab.es</t>
  </si>
  <si>
    <t>; Ferrando, Adolfo/Q-7026-2016; Ponsa, Montse/B-9504-2008</t>
  </si>
  <si>
    <t>Ponsa, Montserrat/0000-0002-7688-1049;</t>
  </si>
  <si>
    <t>10.1007/s10592-007-9315-1</t>
  </si>
  <si>
    <t>249JC</t>
  </si>
  <si>
    <t>WOS:000252223100012</t>
  </si>
  <si>
    <t>White, PCL; Gregory, KW; Lindley, PJ; Richards, G</t>
  </si>
  <si>
    <t>economic value; willingness to pay; contingent valuation; otter; water vole</t>
  </si>
  <si>
    <t>CONTINGENT VALUATION; INFORMATION; BENEFITS; GOODS</t>
  </si>
  <si>
    <t>We investigated the relative economic values of the otter Lutra lutra and the water vole Arvicola terrestris, two species that occupy similar habitats and face common threats of habitat change, habitat fragmentation and pollution. Willingness to pay for conservation was estimated using the contingent valuation method. Data were collected by a telephone survey using a referendum based on willingness to pay a specified amount as a single addition to tax. The most influential variables in determining respondents' willingness to pay were their age, the specified tax amount, whether they were aware of the threats to that specific species, whether they were a member of a conservation organisation and whether they walked frequently in the countryside. Mean willingness to pay values obtained were pound 11.91 for the otter, pound 7.44 for the water vole, and pound 10.92 for both species together. Aggregated over the survey population of North Yorkshire, these results equate to pound 6.4 million, pound 4.0 million and pound 5.8 million, respectively. These figures are well in excess of the calculated present values for the UK action plans for the otter and the water vole (pound 0.8 million and pound 1.0 million, respectively). The results demonstrate strong public support for mammal conservation, in particular for high profile 'flagship' species, and suggest that public profile may be as important as rarity or the degree of threat in determining a species' relative economic value. (C) 1997 Published by Elsevier Science Ltd.</t>
  </si>
  <si>
    <t>White, PCL (corresponding author), YORK UNIV,DEPT ENVIRONM ECON &amp; ENVIRONM MANAGEMENT,YORK Y01 5DD,N YORKSHIRE,ENGLAND.</t>
  </si>
  <si>
    <t>White, Piran Crawfurd Limond/AAH-6851-2021</t>
  </si>
  <si>
    <t>THE BOULEVARD, LANGFORD LANE, KIDLINGTON, OXFORD, OXON, ENGLAND OX5 1GB</t>
  </si>
  <si>
    <t>10.1016/S0006-3207(97)00036-0</t>
  </si>
  <si>
    <t>XW040</t>
  </si>
  <si>
    <t>WOS:A1997XW04000011</t>
  </si>
  <si>
    <t>Rheingantz, ML; Santiago-Plata, VM; Trinca, CS</t>
  </si>
  <si>
    <t>Rheingantz, Marcelo Lopes; Manuel Santiago-Plata, Victor; Trinca, Cristine Silveira</t>
  </si>
  <si>
    <t>conservation; Lontra longicaudis; Neotropics; semiaquatic mammal; threats</t>
  </si>
  <si>
    <t>LUTRA-LUTRA POPULATIONS; ATLANTIC FOREST STREAM; RIVER OTTER; PTERONURA-BRASILIENSIS; DELAYED IMPLANTATION; DEMOGRAPHIC HISTORY; ECOLOGICAL ASPECTS; GENETIC DIVERSITY; SEROLOGIC SURVEY; ANNECTENS MAJOR</t>
  </si>
  <si>
    <t>1The Neotropical otter Lontra longicaudis is a widespread semiaquatic carnivore living in a wide variety of environments in both fresh-water and salt-water ecosystems. We summarise the current knowledge on distribution, ecology, behaviour, evolution and conservation status of the species, and highlight the main threats that have been affecting it as well as priority actions for securing its survival. The current geographical range of Lontra longicaudis is discussed, as well as several efforts that have been made to update knowledge of the range. Throughout its known distribution area, the Neotropical otter has high genetic diversity, and recent molecular research suggests that variations in genetic diversity are related to geography. Taxonomic issues regarding the existence of subspecies persist, mainly due to limited sampling in key portions of the species' range. Although the Neotropical otter is widely distributed in Latin America and has flexible behaviour, it is subjected to a variety of threats, which lead this otter to be officially considered Threatened in several countries within its geographical range. The species still faces an uncertain future due to the impact of human activities, thus justifying its classification as Near Threatened in the International Union for Conservation of Nature's Red List. The real level of human-otter conflicts and the impact of modified environments on Neotropical otter populations are still unclear, and must be a priority focus of future studies. There is an urgent need to increase our knowledge on aspects of the Neotropical otter's biology, such as reproduction, generation time, behaviour, physiology, distribution limits, sanitary aspects, evolution and taxonomy. Understanding these topics is vital to ensure the long-term survival of the species, both at the local and at the regional scale, as well as to provide the basis for environmental education actions involving local riverside human communities .</t>
  </si>
  <si>
    <t>[Rheingantz, Marcelo Lopes] Univ Fed Rio de Janeiro, Dept Ecol, Rua Carlos Chagas Filho 373 Predio CCS Bloco A, BR-21941902 Rio De Janeiro, RJ, Brazil; [Manuel Santiago-Plata, Victor] Ctr Cambio Global &amp; Sustentabilidad Sureste AC, Calle Centenario Inst Juarez S-N, Villahermosa 86080, Tabasco, Mexico; [Trinca, Cristine Silveira] Pontificia Univ Catolica Rio Grande do Sul, Dept Biodiversidade &amp; Ecol, Lab Biol Genom &amp; Mol, Fac Biociencias, Ave Ipiranga 6681,Predio 12C,Sala 134, BR-90619900 Porto Alegre, RS, Brazil</t>
  </si>
  <si>
    <t>Universidade Federal do Rio de Janeiro; Pontificia Universidade Catolica Do Rio Grande Do Sul</t>
  </si>
  <si>
    <t>Rheingantz, ML (corresponding author), Univ Fed Rio de Janeiro, Dept Ecol, Rua Carlos Chagas Filho 373 Predio CCS Bloco A, BR-21941902 Rio De Janeiro, RJ, Brazil.</t>
  </si>
  <si>
    <t>mlrheingantz@gmail.com; vsantiago0207@gmail.com; cristine.trinca@gmail.com</t>
  </si>
  <si>
    <t>Rheingantz, Marcelo/F-3934-2014; Trinca, Cristine/G-9507-2012</t>
  </si>
  <si>
    <t>Rheingantz, Marcelo/0000-0003-2521-3654; Santiago, Manuel/0000-0001-6457-2620;</t>
  </si>
  <si>
    <t>10.1111/mam.12098</t>
  </si>
  <si>
    <t>FF6RK</t>
  </si>
  <si>
    <t>WOS:000409144000007</t>
  </si>
  <si>
    <t>Romanowski, J; Brzezinski, M; Zmihorski, M</t>
  </si>
  <si>
    <t>Romanowski, Jerzy; Brzezinski, Marcin; Zmihorski, Michal</t>
  </si>
  <si>
    <t>Recolonization; Habitat selection; Riparian zone; Indicator species</t>
  </si>
  <si>
    <t>MINK MUSTELA-VISON; POPULATIONS; DECLINE; RIVER; CONSERVATION; RECOVERY; DENSITY; FINLAND; TRENDS</t>
  </si>
  <si>
    <t>The increase in Eurasian otter Lutra lutra populations in their natural range and recolonization processes are recently observed in several European countries. We address the process of otter recolonization and habitat utilization in Central Poland over 14 years. Field surveys in 1998 and 2007 documented increase in occurrence of the species. The frequency of positive sites denoted 15 % in 1993, 38 % in 1998, and 89 % in 2007. Otter occurrence at study sites was positively affected by river width while negatively affected by presence of buildings at the site and river regulation. During the most intensive colonization process in the 1990s, the habitat preferences of the otter did not change. However, the sites inhabited by otters after 1998 were characterized by lower river width and tree cover and were more often located on regulated river sections, suggesting change in habitat tolerance during expansion. The otter abundance in transformed habitats is a result of increasing population numbers and the necessity to inhabit suboptimal sections of watercourses. Thus, it seems that presence-absence data for otter populations cannot be considered a reliable indicator of habitat quality, being depended of the population density.</t>
  </si>
  <si>
    <t>[Romanowski, Jerzy] Polish Acad Sci, Ctr Ecol Res, PL-05092 Lomianki, Poland; [Romanowski, Jerzy] Fac Biol &amp; Environm Studies UKSW, PL-01938 Warsaw, Poland; [Brzezinski, Marcin] Univ Warsaw, Dept Ecol, PL-02097 Warsaw, Poland; [Zmihorski, Michal] Polish Acad Sci, Museum &amp; Inst Zool, PL-00679 Warsaw, Poland</t>
  </si>
  <si>
    <t>Polish Academy of Sciences; University of Warsaw; Polish Academy of Sciences; Museum &amp; Institute of Zoology of the Polish Academy of Sciences</t>
  </si>
  <si>
    <t>Romanowski, J (corresponding author), Fac Biol &amp; Environm Studies UKSW, Woycickiego 1-3, PL-01938 Warsaw, Poland.</t>
  </si>
  <si>
    <t>romanowski@cbe-pan.pl</t>
  </si>
  <si>
    <t>Zmihorski, Michal/IUM-9401-2023; Romanowski, Jerzy/AAE-8095-2021</t>
  </si>
  <si>
    <t>Zmihorski, Michal/0000-0001-5137-1635; Romanowski, Jerzy/0000-0003-1050-6403; Brzeziński, Marcin/0000-0002-6300-0425; , Michal/0000-0002-2951-3462</t>
  </si>
  <si>
    <t>10.1007/s13364-012-0107-8</t>
  </si>
  <si>
    <t>113PB</t>
  </si>
  <si>
    <t>WOS:000316678900007</t>
  </si>
  <si>
    <t>Ottaviani, D; Panzacchi, M; Lasinio, GJ; Genovesi, P; Boitani, L</t>
  </si>
  <si>
    <t>Ottaviani, D.; Panzacchi, M.; Lasinio, G. Jona; Genovesi, P.; Boitani, L.</t>
  </si>
  <si>
    <t>Action plans; Conservation strategy; Freshwater ecosystems; Spatial scale riparian vegetation</t>
  </si>
  <si>
    <t>EUROPEAN OTTERS; CONSERVATION; HABITAT; POPULATIONS; RECOVERY</t>
  </si>
  <si>
    <t>Modelling habitat suitability of semi-aquatic vertebrates for large scale conservation purposes is a particularly challenging task, due to the fine-scale linearity of riverine habitats, and to the ecological continuum represented by the riparian and the aquatic ecosystems, on one side, and by a river and its tributaries, on the other. We advocate that habitat suitability models (HSMs) should represent the fine-scale complexity of the riparian and aquatic ecosystems at the drainage basin scale, which is the most relevant spatial unit for planning conservation strategies for semi-aquatic vertebrates, Hence, we developed a 3-step GIS-based modelling approach, and applied it to otter Lutra lutra in Italy to illustrate its potential applications for designing a nation-wide conservation strategy. First, we built a deductive HSM (resolution: 1:250,000, grain: 100 m x 100 m) of the riparian (100 m buffer around each river bank) and of the back-riparian (500 In buffer) areas along rivers. After, we created a synthetic index S-i summarising this information within the cells of a 5 km x 5 km grid superimposed to the whole country thus obtaining a nation-wide overview of habitat suitability. Both HSM and S-i were validated by using data on otter distribution, by performing a sensitivity analysis. Finally, we scaled-up the information provided by S-i to obtain a suitability index within each drainage basin (S-b). By overlapping a layer representing the basins occupied by otters to S-b we obtained an effective tool to identify basins to be prioritised for the conservation and expansion of existing populations, for rejoining isolated sub-populations, and for habitat restoration. The methodology developed here helps filling the gap between the urgent conservation needs of semi-aquatic species, and the inadequacy of traditional modelling approaches for species inhabiting one of the world's most endangered ecosystems. (C) 2008 Elsevier B.V All rights reserved.</t>
  </si>
  <si>
    <t>[Ottaviani, D.; Panzacchi, M.; Genovesi, P.] INFS Italian Wildlife Inst, I-40064 Bologna, Italy; [Lasinio, G. Jona] Univ Roma La Sapienza, Dip Stat Probabil &amp; Stat Applicate, I-00185 Rome, Italy; [Boitani, L.] Univ Roma La Sapienza, Dip Biol Anim &amp; Uomo, I-00185 Rome, Italy</t>
  </si>
  <si>
    <t>Sapienza University Rome; Sapienza University Rome</t>
  </si>
  <si>
    <t>Panzacchi, M (corresponding author), INFS Italian Wildlife Inst, Via Ca Fornacetta 9, I-40064 Bologna, Italy.</t>
  </si>
  <si>
    <t>manuela.panzacchi@infs.it</t>
  </si>
  <si>
    <t>Panzacchi, Manuela/ADE-3661-2022; Genovesi, Piero/Z-1571-2019; Jona Lasinio, Giovanna/P-4031-2015</t>
  </si>
  <si>
    <t>Genovesi, Piero/0000-0002-0262-1420; Jona Lasinio, Giovanna/0000-0001-8912-5018</t>
  </si>
  <si>
    <t>JAN 24</t>
  </si>
  <si>
    <t>10.1016/j.ecolmodel.2008.09.014</t>
  </si>
  <si>
    <t>389VO</t>
  </si>
  <si>
    <t>WOS:000262122800003</t>
  </si>
  <si>
    <t>Remonti, L; Prigioni, C; Balestrieri, A; Sgrosso, S; Priore, G</t>
  </si>
  <si>
    <t>Remonti, Luigi; Prigioni, Claudio; Balestrieri, Alessandro; Sgrosso, Silvia; Priore, Giuseppe</t>
  </si>
  <si>
    <t>FRESH-WATER; SPRAINTING ACTIVITY; LANDSCAPE ECOLOGY; METAPOPULATION; POPULATIONS; FISH; RIPARIAN; RIVER; CONSERVATION; DYNAMICS</t>
  </si>
  <si>
    <t>Management of recolonising species needs precise knowledge concerning those environmental parameters that can influence the species current distribution at the margins of their range and their potential for further expansion. The otter (Lutra lutra) is one of the most endangered species of the Italian fauna. After a sharp decline, it has gradually recovered and, at present, it is confined to southern Italy. At the southern boundaries of the Italian otter range, the influence of two geographic and 15 habitat variables on otter distribution (estimated by 1-year monitoring of 18 spraint-sampling stations) was assessed, to improve management efficacy. Latitude represented the main source of variation in the spraint-collection data. The species was in fact well established in central and northern areas, whereas the southern and western sampling stations showed an unstable river occupancy (the average percentage of positive surveys being 94.5 and 35.8%, respectively; U = 0, P = 0.0014). Secondarily, otter relative abundance was positively associated with the degree of cover of aquatic macrophytes. Our results suggest that the whole analysed hydrographic network offers a suitable habitat for otters. Thus we argue that the discontinuous distribution observed in our study area could be a consequence of the sharp decline suffered by the Italian otter populations during the 1970s and 1980s. The positive trend of the last decades has resulted in the progressive recolonisation of empty habitat patches, a process that is still hindered by the lack of connectivity to extant populations. Our findings have implications for landscape restoration projects, suggesting that provision of suitable habitat alone may not be sufficient to effect recolonisation by some species.</t>
  </si>
  <si>
    <t>[Remonti, Luigi; Prigioni, Claudio; Balestrieri, Alessandro; Sgrosso, Silvia; Priore, Giuseppe] Univ Pavia, Dept Anim Biol, I-27100 Pavia, Italy</t>
  </si>
  <si>
    <t>Prigioni, C (corresponding author), Univ Pavia, Dept Anim Biol, Botta Sq 9, I-27100 Pavia, Italy.</t>
  </si>
  <si>
    <t>Pollino National Park</t>
  </si>
  <si>
    <t>The present study has been promoted and financially supported by the Pollino National Park. We wish to thank Chiara Misin, Monica Viapiana, Sabina Spada and Roberta Anania for their help in field research. Two anonymous referees and the editor Andrea Taylor greatly improved the manuscript with their comments and suggestions.</t>
  </si>
  <si>
    <t>10.1071/WR08012</t>
  </si>
  <si>
    <t>384TV</t>
  </si>
  <si>
    <t>WOS:000261768000008</t>
  </si>
  <si>
    <t>Prigioni, C; Balestrieri, A; Remonti, L</t>
  </si>
  <si>
    <t>Prigioni, Claudio; Balestrieri, Alessandro; Remonti, Luigi</t>
  </si>
  <si>
    <t>conservation; distribution; environmental contamination; historical data; status</t>
  </si>
  <si>
    <t>EURASIAN OTTER; CONSERVATION</t>
  </si>
  <si>
    <t>1. Changes in otter Lutra lutra distribution in Italy were examined by analysing geographical, historical and survey data. 2. As in other European countries, otters declined sharply in Italy during the late 1970s and throughout the 1980s. Between 1985 and 2004 the species became extinct, except for some reintroductions, in northern and most of central Italy while the species appears to have substantially recovered in its southern range. This recovery of the otter population is apparently not due to increased research effort, but reflects a real expansion of range. 3. Differences in the degree of range reduction during the second half of the 20th century and in the availability of suitable habitats are probably the major factors that have determined the two opposite trends shown by otter populations in the last 20 years. 4. Better knowledge of otter status and distribution is needed for effective conservation management. We suggest that a national survey of the Italian otter population that employs genetic approaches should represent a first step of the national action plan for otter conservation.</t>
  </si>
  <si>
    <t>Univ Pavia, Dept Biol Anim, I-27100 Pavia, Italy</t>
  </si>
  <si>
    <t>Prigioni, C (corresponding author), Univ Pavia, Dept Biol Anim, Botta Sq 9, I-27100 Pavia, Italy.</t>
  </si>
  <si>
    <t>10.1111/j.1365-2907.2007.00105.x</t>
  </si>
  <si>
    <t>161AM</t>
  </si>
  <si>
    <t>WOS:000245986700004</t>
  </si>
  <si>
    <t>Mason, CF; Macdonald, SM</t>
  </si>
  <si>
    <t>ORGANOCHLORINE PESTICIDE-RESIDUES; PCBS; SPRAINTS; IMPACT; SWEDEN; DDT</t>
  </si>
  <si>
    <t>European otters declined dramatically from the 1950s, disappearing from many rivers. We report here on long-term monitoring (from 1977) in 3 catchments in western Britain that were recolonized naturally and in 2 catchments in eastern England that were reinforced by captive-bred otters. A minimum of 16-years data was collected on each river until 2002. At a series of sites in each study river, the percentages which were positive for otters and the number of spraints per sprainting Site were recorded and combined to produce an annual index of population. One western river, naturally recolonized, showed rapid early population growth for 5 years, followed by slower growth, while growth was steadier in 2 catchments which already held some otters at the beginning of the study. Colonization on the eastern rivers was slower, with greater fluctuations over time. Annual population growth rates were estimated at 1-7%, higher in the earlier years. A strategy for annual monitoring of otters is recommended.</t>
  </si>
  <si>
    <t>Univ Essex, Dept Biol Sci, Colchester CO4 3SQ, Essex, England</t>
  </si>
  <si>
    <t>Mason, CF (corresponding author), Univ Essex, Dept Biol Sci, Colchester CO4 3SQ, Essex, England.</t>
  </si>
  <si>
    <t>masoc@essex.ac.uk</t>
  </si>
  <si>
    <t>10.1639/0044-7447(2004)033[0148:GIOLLP]2.0.CO;2</t>
  </si>
  <si>
    <t>816TN</t>
  </si>
  <si>
    <t>WOS:000221132300006</t>
  </si>
  <si>
    <t>Beslagic, S; Delaigue, O</t>
  </si>
  <si>
    <t>Beslagic, Sarah; Delaigue, Olivier</t>
  </si>
  <si>
    <t>ANTHROPOZOOLOGICA</t>
  </si>
  <si>
    <t>French</t>
  </si>
  <si>
    <t>Otter; Belgium; historical data; river; pollution</t>
  </si>
  <si>
    <t>EURASIAN OTTER; SCOTLAND; POPULATION; LUXEMBOURG; BRITAIN; EUROPE; NORTH</t>
  </si>
  <si>
    <t>Old data suggest that the otter (Lutra lutra Linnaeus, 1758) used to be a widespread species in Belgium. Hunting fostered by bounties was one of the main causes of its decline. Statistical hunting records published in old fishing reviews show the gravity of these removals within the populations. These old testimonies also show the relentlessness with which the otter was fought at the end of the 19th century and the means used to reach it. In a context of fish stocks restoration, the otter was considered to be a scourge as it was a nuisance to fish populations. As a consequence this species was hounded throughout the country. In addition to this first factor of disappearance, a second one linked to river pollution could be highlighted. Indeed, the growing industrialization of river banks led to the destruction of habitat and food resources necessary to the survival of the species. Today, otters are almost extinct in the country. Rare subjects are sometimes reported but conditions allowing the return of the otter in Belgian rivers are still not met.</t>
  </si>
  <si>
    <t>[Beslagic, Sarah] Univ Namur, Univ Namur PolleN, Pole Hist &amp; Sociol Environm, Dept Hist, 61 Rue Bruxelles, B-5000 Namur, Belgium; [Delaigue, Olivier] Inst Natl Rech Sci &amp; Technol Environm &amp; Agr, IRSTEA, Unite Rech Hydrosyst &amp; Bioproc HBAN, CS 10030, 1 Rue Pierre Gilles Gennes, F-92160 Antony, France</t>
  </si>
  <si>
    <t>University of Namur; Universite Paris Saclay; INRAE</t>
  </si>
  <si>
    <t>Beslagic, S (corresponding author), Univ Namur, Univ Namur PolleN, Pole Hist &amp; Sociol Environm, Dept Hist, 61 Rue Bruxelles, B-5000 Namur, Belgium.</t>
  </si>
  <si>
    <t>sarah.beslagic@unamur.be; olivier.delaigue@irstea.fr</t>
  </si>
  <si>
    <t>Delaigue, Olivier/JZT-8544-2024</t>
  </si>
  <si>
    <t>Delaigue, Olivier/0000-0002-7668-8468</t>
  </si>
  <si>
    <t>PUBLICATIONS SCIENTIFIQUES DU MUSEUM, PARIS</t>
  </si>
  <si>
    <t>PARIS CEDEX 05</t>
  </si>
  <si>
    <t>CP 39-57, RUE CUVIER, F-75231 PARIS CEDEX 05, FRANCE</t>
  </si>
  <si>
    <t>0761-3032</t>
  </si>
  <si>
    <t>2107-0881</t>
  </si>
  <si>
    <t>Anthropozoologica</t>
  </si>
  <si>
    <t>10.5252/az2017n2a2</t>
  </si>
  <si>
    <t>Anthropology; Archaeology; Zoology</t>
  </si>
  <si>
    <t>Social Science Citation Index (SSCI); Arts &amp; Humanities Citation Index (A&amp;HCI)</t>
  </si>
  <si>
    <t>FR6II</t>
  </si>
  <si>
    <t>WOS:000419168600002</t>
  </si>
  <si>
    <t>Hong, S; Do, Y; Kim, JY; Cowan, P; Joo, GJ</t>
  </si>
  <si>
    <t>Hong, Sungwon; Do, Yuno; Kim, Ji Yoon; Cowan, Phil; Joo, Gea-Jae</t>
  </si>
  <si>
    <t>Conservation planning; Distribution; Newspaper; Scientific research; Eurasian otter</t>
  </si>
  <si>
    <t>POPULATIONS; RECOVERY</t>
  </si>
  <si>
    <t>Within its wide range, populations of the Eurasian otter (Lutra lutra) have declined, mostly in Europe, and have only begun to re-establish after effective regulation of persistent organic pollutants in their habitat. In South Korea, otter populations have also recovered in response to improved environmental conditions and conservation programmes. Scientific research and public awareness have both facilitated conservation efforts to restore otter populations in South Korea, but how changing public attitudes to conservation have contributed to otter recovery is unknown. Because historic newspaper articles can reveal such changes, we categorised the 5168 newspaper articles about otters from 1962 to 2010 into five topics (occurrence, ecotourism, conflict, research, and restoration) and geo-tagged any otter locations mentioned to a 15 x 15 km grid to compare with the otter distribution established by five scientific surveys. Since 2000, the number of newspaper articles about conflicts between otters and urban development, and the roles of otters in encouraging eco-tourism have increased significantly. About 12% of grid squares with otters were reported only in newspaper articles, mostly in urban areas, which were under-represented in the scientific surveys that focused more on forested areas. The increase over time in the otter occurrence rate reported in urban areas suggests that high citizen interest in occurrence could be basis for understanding the ecological importance of human-carnivore coexistence. As for understanding importance of conservation, otters are a good example of a resource for establishing conservation strategies and citizen education for effective conservation. (C) 2017 Elsevier Ltd. All rights reserved.</t>
  </si>
  <si>
    <t>[Hong, Sungwon; Do, Yuno; Kim, Ji Yoon; Joo, Gea-Jae] Pusan Natl Univ, Dept Biol Sci, Busan 46241, South Korea; [Cowan, Phil] Landcare Res, Lincoln 7640, New Zealand</t>
  </si>
  <si>
    <t>Pusan National University; Landcare Research - New Zealand</t>
  </si>
  <si>
    <t>; Hong, Sungwon/K-2809-2019</t>
  </si>
  <si>
    <t>Kim, Ji Yoon/0000-0001-5228-4939; Hong, Sungwon/0000-0002-2838-2464</t>
  </si>
  <si>
    <t>National Research Foundation of Korea (NRF-Fostering Core Leaders of the Future Basic Science Program/Global Ph.D. Fellowship Program)</t>
  </si>
  <si>
    <t>This work was supported by a National Research Foundation of Korea (NRF-2015-Fostering Core Leaders of the Future Basic Science Program/Global Ph.D. Fellowship Program).</t>
  </si>
  <si>
    <t>A</t>
  </si>
  <si>
    <t>10.1016/j.biocon.2017.03.010</t>
  </si>
  <si>
    <t>FB1CP</t>
  </si>
  <si>
    <t>WOS:000405881600018</t>
  </si>
  <si>
    <t>Arellano-Peralta, VA; Medrano-González, L</t>
  </si>
  <si>
    <t>Arellano-Peralta, Veronica A.; Medrano-Gonzalez, Luis</t>
  </si>
  <si>
    <t>Anthropogenic impacts; Fisheries; Demography; Ethnic groups; Marine conservation; Macroecology</t>
  </si>
  <si>
    <t>OTTERS ENHYDRA-LUTRIS; COLORADO RIVER DELTA; ESCHRICHTIUS-ROBUSTUS; INFECTIOUS-DISEASES; CLIMATE-CHANGE; IMPACT; ENVIRONMENT; DIVERSITY; MERCURY; TISSUES</t>
  </si>
  <si>
    <t>In total, 43 marine mammal species, eight of which are threatened, inhabit the Gulf of California and Pacific coast of Baja California. The unique attributes of marine mammal fauna such as species richness, risk condition, energy consumption and calving in this region are historically and geographically important. Marine mammals in the Baja California seas have been hunted for the past 10,000 years and they are also currently subject to severe anthropogenic impacts. Commercial hunting started in the late 18th century and some populations declined until the 1970s. Anthropogenic impacts on marine mammals diversified during the 20th century, with fisheries and pollution now being their greatest threats. Currently, the coasts surrounding Baja California seas are home to 3.06% of Mexican people and 1.77% live in relation with maritime activities. This is a relatively small population that has been growing since the Spanish conquest in the 16th century together with decimation of the regional indigenous populations. The scarce people around Baja California seas have important contributions to Mexican economy and marine disturbance, mostly because the arid environments of northwestern Mexico have historically encouraged marine fisheries as the major intake of natural living resources in the region. Therefore, the region's environmental problems do not stem from an overpopulation requiring ecosystem services, with the exception that exhaustion of the underground aquifers is of great concern, but from historical Problems related with social and economic development. Conservation of marine mammals in the Baja California seas may be helpful to geographically and socially integrate human development and ecosystem protection, to address current problems of illegality, sectorial conflicts and partiality in conservation actions as well as to monitor the modifications and functionality of the marine ecosystem. (C) 2014 Elsevier Ltd. All rights reserved.</t>
  </si>
  <si>
    <t>[Arellano-Peralta, Veronica A.; Medrano-Gonzalez, Luis] Univ Nacl Autonoma Mexico, Dept Biol Evolut, Fac Ciencias, Mexico City 04510, DF, Mexico; [Arellano-Peralta, Veronica A.] Univ Nacl Autonoma Mexico, Mexico City 04510, DF, Mexico</t>
  </si>
  <si>
    <t>Universidad Nacional Autonoma de Mexico; Universidad Nacional Autonoma de Mexico</t>
  </si>
  <si>
    <t>Medrano-González, L (corresponding author), Univ Nacl Autonoma Mexico, Dept Biol Evolut, Fac Ciencias, Av Univ 3000,Ciudad Univ, Mexico City 04510, DF, Mexico.</t>
  </si>
  <si>
    <t>veronica.medioambiente@gmail.com; medranol@ciencias.unam.mx</t>
  </si>
  <si>
    <t>Medrano-González, Luis/KMY-2011-2024</t>
  </si>
  <si>
    <t>Archivo General de la Nacion; Instituto Nacional de Ecologia; Instituto Nacional de Geografia y Estadistica; Consejo Nacional de Ciencia y Tecnologia</t>
  </si>
  <si>
    <t>Archivo General de la Nacion; Instituto Nacional de Ecologia; Instituto Nacional de Geografia y Estadistica; Consejo Nacional de Ciencia y Tecnologia(Consejo Nacional de Ciencia y Tecnologia (CONACyT))</t>
  </si>
  <si>
    <t>We thank G. Vilaclara Fatjo and Posgrado en Ciencias del Mar y Limnologia at Universidad Nacional Autenoma de Mexico (UNAM) for the academic and personal help and appreciate the expertise and contributions of A. Saenz Arroyo on marine conservation and B.Z. Gonzalez Sobrino on ethnology and history. We are also grateful to B.A. Costa Hernandez for the development of image-processing software, to A. Grant and A. Waller for the edition of the English and to M.J. Vazquez Cuevas and many students from UNAM by their valuable help along years. We acknowledge the people at Archivo General de la Nacion, Instituto Nacional de Ecologia, Instituto Nacional de Geografia y Estadistica and Consejo Nacional de Ciencia y Tecnologia for their support and for author V.A. Arellano's scholarship. We finally thank the positive work of two anonymous reviewers who greatly improved this paper. We declare no conflict of interest or financial benefits from this investigation which is entirely academic. We have complied with all legal and ethical considerations that may apply regarding our work at sea, the handling of ancient documents, information usage, academic matters, permits and authorship. No specific funding was obtained for this research.</t>
  </si>
  <si>
    <t>10.1016/j.ocecoaman.2014.12.004</t>
  </si>
  <si>
    <t>AZ2SW</t>
  </si>
  <si>
    <t>WOS:000348083600009</t>
  </si>
  <si>
    <t>Márquez, C; Vargas, JM; Villafuerte, R; Fa, JE</t>
  </si>
  <si>
    <t>Marquez, C.; Vargas, J. M.; Villafuerte, R.; Fa, J. E.</t>
  </si>
  <si>
    <t>Andalusia; birds of prey; carnivores; poison events; predictive models</t>
  </si>
  <si>
    <t>VULTURE AEGYPIUS-MONACHUS; HUMAN-CARNIVORE CONFLICT; EAGLE AQUILA-ADALBERTI; FALSE DISCOVERY RATE; SMALL-GAME; RED KITES; POPULATION; MANAGEMENT; GROUSE; PERSECUTION</t>
  </si>
  <si>
    <t>In many parts of the world, illegal poisoning of wild predators has increased abruptly in recent decades. Birds of prey and carnivores have been targeted directly or indirectly if these are perceived to impact game species or domestic animals. Non-target species have experienced widespread declines, even local extinctions, as the result of illegal use of poisoned bait. In this study, we used data on detected poisoning events in the southern Spanish region of Andalusia to measure the influence of extrinsic and intrinsic variables on poisoning propensity of 18 wild predator species. Extrinsic factors affecting a species being poisoned were those related to the predicted coverage of poisoning events and how this overlapped with the distribution range of each species. To achieve this, we mapped areas of high favourability of poisoning, as well as areas favourable for the species. Intrinsic factors that could increase a species' chances of consuming poisoned bait were related to how much a species depended on scavenging for food, whether it lived in groups, pairs or solitary, and on its sedentariness (whether migratory or sedentary). For each species, we calculated an index of potential spatial conflict between the distribution of poisoning events and the species' most favourable natural areas. To assess a species' intrinsic likelihood for consuming poisoned bait, we derived an index from the species' feeding habits, its sociality and sedentariness. Finally, by combining the extrinsic and extrinsic indices, we produced a general index of propensity to poisoning. We show that vultures and the red kite (Milvus milvus) among the raptors had the highest propensity of being poisoned, while the Iberian grey wolf (Canis lupus signatus), red fox (Vulpes vulpes) and Eurasian badger (Meles meles) were more prone among the carnivores. With our method managers can measure vulnerability of species to poisoning and prioritize them in a clear spatial context.</t>
  </si>
  <si>
    <t>[Marquez, C.; Vargas, J. M.] Univ Malaga, Fac Ciencias, Dept Biol Anim, E-29071 Malaga, Spain; [Vargas, J. M.; Fa, J. E.] Inst Invest Recursos Cineget, IREC CSIC UCLM JCCM, Ciudad Real, Spain; [Villafuerte, R.] Univ London Imperial Coll Sci Technol &amp; Med, ICCS, Div Biol, Ascot, Berks, England</t>
  </si>
  <si>
    <t>Universidad de Malaga; Universidad de Castilla-La Mancha; Consejo Superior de Investigaciones Cientificas (CSIC); CSIC - Instituto de Investigacion en Recursos Cinegeticos (IREC); Imperial College London</t>
  </si>
  <si>
    <t>jfa@durrell.org</t>
  </si>
  <si>
    <t>; Villafuerte, Rafael/P-9155-2019</t>
  </si>
  <si>
    <t>Vargas Yáñez, Juan Mario/0000-0002-2841-5481; Villafuerte, Rafael/0000-0001-7582-4299; FA, Julia Elizabeth/0000-0002-1572-9828</t>
  </si>
  <si>
    <t>Programa Nacional de Movilidad de Recursos Humanos del Plan Nacional I+D+i of the Ministerio de Educacion, Spain; Spanish Ministry of Education [AP2006-00403]</t>
  </si>
  <si>
    <t>Programa Nacional de Movilidad de Recursos Humanos del Plan Nacional I+D+i of the Ministerio de Educacion, Spain; Spanish Ministry of Education(Spanish Government)</t>
  </si>
  <si>
    <t>We are most grateful to Francisco J. Garcia, Antonio Roman Munoz and Juan Carlos Blanco for providing us with their expert advice on birds of prey and mammals. We thank Raimundo Real, Steve Redpath and two anonymous reviewers for their insights and comments. We are most grateful to Carlos Cano and WWF-Spain for allowing us the use of the poisoning events database for Andalusia. Supported by the Programa Nacional de Movilidad de Recursos Humanos del Plan Nacional I+D+i 2008-11 of the Ministerio de Educacion, Spain (J. M. V.). C. Marquez was funded by a doctoral grant from the Spanish Ministry of Education (grant ref. AP2006-00403).</t>
  </si>
  <si>
    <t>10.1111/j.1469-1795.2012.00581.x</t>
  </si>
  <si>
    <t>079LJ</t>
  </si>
  <si>
    <t>WOS:000314171600015</t>
  </si>
  <si>
    <t>Chadès, I; Curtis, JMR; Martin, TG</t>
  </si>
  <si>
    <t>Chades, Iadine; Curtis, Janelle M. R.; Martin, Tara G.</t>
  </si>
  <si>
    <t>Enhydra lutris; Haliotis kamtschatkana; predator-prey relations; reinforcement learning; species interaction; stochastic dynamic programming</t>
  </si>
  <si>
    <t>FOOD LIMITATION; POPULATION; GROWTH; ISLAND</t>
  </si>
  <si>
    <t>Failure to account for interactions between endangered species may lead to unexpected population dynamics, inefficient management strategies, waste of scarce resources, and, at worst, increased extinction risk. The importance of species interactions is undisputed, yet recovery targets generally do not account for such interactions. This shortcoming is a consequence of species-centered legislation, but also of uncertainty surrounding the dynamics of species interactions and the complexity of modeling such interactions. The northern sea otter (Enhydra lutris kenyoni) and one of its preferred prey, northern abalone (Haliotis kamtschatkana), are endangered species for which recovery strategies have been developed without consideration of their strong predator-prey interactions. Using simulation-based optimization procedures from artificial intelligence, namely reinforcement learning and stochastic dynamic programming, we combined sea otter and northern abalone population models with functional-response models and examined how different management actions affect population dynamics and the likelihood of achieving recovery targets for each species through time. Recovery targets for these interacting species were difficult to achieve simultaneously in the absence of management. Although sea otters were predicted to recover, achieving abalone recovery targets failed even when threats to abalone such as predation and poaching were reduced. A management strategy entailing a 50% reduction in the poaching of northern abalone was a minimum requirement to reach short-term recovery goals for northern abalone when sea otters were present. Removing sea otters had a marginally positive effect on the abalone population but only when we assumed a functional response with strong predation pressure. Our optimization method could be applied more generally to any interacting threatened or invasive species for which there are multiple conservation objectives.</t>
  </si>
  <si>
    <t>[Chades, Iadine; Martin, Tara G.] Ecosci Precinct, CSIRO Ecosyst Sci, Dutton Pk, Qld 4001, Australia; [Curtis, Janelle M. R.] Fisheries &amp; Oceans Canada, Pacific Biol Stn, Nanaimo, BC V9S 3E1, Canada</t>
  </si>
  <si>
    <t>Commonwealth Scientific &amp; Industrial Research Organisation (CSIRO); Fisheries &amp; Oceans Canada</t>
  </si>
  <si>
    <t>Chadès, I (corresponding author), Ecosci Precinct, CSIRO Ecosyst Sci, 41 Boggo Rd, Dutton Pk, Qld 4001, Australia.</t>
  </si>
  <si>
    <t>iadine.chades@csiro.au</t>
  </si>
  <si>
    <t>Martin, Tara/B-8620-2009; Chades, iadine/A-4052-2011; Martin, Tara/M-1897-2016</t>
  </si>
  <si>
    <t>Martin, Tara/0000-0001-7165-9812;</t>
  </si>
  <si>
    <t>Australian Government's National Environmental Research Program; Australian Research Council's Centres of Excellence; Fisheries and Oceans Canada's National Species at Risk Program; World Wildlife Fund; Natural Sciences and Engineering Research Council of Canada; Parks Canada; CSIRO Julius Career Award; Institut National de la Recherche Agronomique; Australian Centre of Excellence for Mathematics and Statistics of Complex Systems; Australian Centre of Excellence for Risk Analysis</t>
  </si>
  <si>
    <t>Australian Government's National Environmental Research Program(Australian Government); Australian Research Council's Centres of Excellence(Australian Research Council); Fisheries and Oceans Canada's National Species at Risk Program; World Wildlife Fund; Natural Sciences and Engineering Research Council of Canada(Natural Sciences and Engineering Research Council of Canada (NSERC)CGIAR); Parks Canada; CSIRO Julius Career Award; Institut National de la Recherche Agronomique; Australian Centre of Excellence for Mathematics and Statistics of Complex Systems; Australian Centre of Excellence for Risk Analysis</t>
  </si>
  <si>
    <t>We are indebted to the following individuals for sharing their wealth of expertise on sea otter and abalone ecology or for providing access to their data: D. Bardos, A. Campbell, L. Convey, D. Costa, L. Gerber, E. Gregr, J. Estes, J. Lessard, L. Nichol, T. Tinker, S. Wallace, and J. Watson. N. Peyrard, F. Garcia, R. Sabbadin, and O. Buffet provided valuable methodological discussions. I. Naujokaitis-Lewis provided technical support. J. Firn, J-B. Pichancourt and C. E. Hauser commented on an earlier version of this manuscript, and we thank R. Williams and 2 anonymous reviewers for insightful comments. This research was conducted with the support of funding from the Australian Government's National Environmental Research Program, an Australian Research Council's Centres of Excellence (T. G. M., I. C.), Fisheries and Oceans Canada's National Species at Risk Program (J. M. R. C.), World Wildlife Fund, Natural Sciences and Engineering Research Council of Canada, Parks Canada (T. G. M., J. M. R. C.), CSIRO Julius Career Award (T. G. M.), Institut National de la Recherche Agronomique, Australian Centre of Excellence for Mathematics and Statistics of Complex Systems, and the Australian Centre of Excellence for Risk Analysis (I.C.).</t>
  </si>
  <si>
    <t>10.1111/j.1523-1739.2012.01951.x</t>
  </si>
  <si>
    <t>033LQ</t>
  </si>
  <si>
    <t>WOS:000310798400009</t>
  </si>
  <si>
    <t>Jessup, DA; Yeates, LC; Toy-Choutka, S; Casper, D; Murray, MJ; Ziccardi, MH</t>
  </si>
  <si>
    <t>Jessup, David A.; Yeates, Laura C.; Toy-Choutka, Sharon; Casper, David; Murray, Michael J.; Ziccardi, Michael H.</t>
  </si>
  <si>
    <t>Enhydra lutris; Exxon Valdez; petroleum; recovery; sea otter; washing</t>
  </si>
  <si>
    <t>ENHYDRA-LUTRIS; THERMOREGULATION; METABOLISM; CONTAMINATION; PETROLEUM; WATER; MODEL</t>
  </si>
  <si>
    <t>The 1989 Exxon Valdez oil spill resulted in the death of 3,000-6,000 sea otters (Enhydra lutris) from exposure to Alaska North Slope crude oil, and the cleaning and rehabilitation of hundreds. The washing and care methods developed during that experience provided standard protocols for treatment of oiled sea otters, largely still in use 20 years later. From 2004 to 2008 at the Marine Wildlife Veterinary Care and Research Center (Santa Cruz, CA, USA), we experimentally manipulated water type (salt-fresh) and temperature, and we monitored otter physiology, behavior, and thermal properties to evaluate recovery from washing in the absence of oil. We also dipped otters in canola oil, and were able to wash one otter naturally oiled with Monterey formation crude oil, using the same methods. Providing soft freshwater in recovery pools reduced recovery time substantially. Warming the freshwater appeared to offer additional benefits in some cases. Infrared thermography and subcutaneous temperature-sensitive passive integrated transponder tags were 2 new technologies that enhanced this research. The improved washing and care methods developed have the potential to reduce the time required for recovery of water repellency of sea otter pelage. (C) 2012 The Wildlife Society.</t>
  </si>
  <si>
    <t>[Jessup, David A.; Toy-Choutka, Sharon] Calif Dept Fish &amp; Game, Marine Wildlife Vet Care &amp; Res Ctr, Off Spill Prevent &amp; Response, Santa Cruz, CA 95060 USA; [Yeates, Laura C.] Univ Calif Santa Cruz, Dept Ecol &amp; Evolutionary Biol, Santa Cruz, CA 95060 USA; [Casper, David] Univ Calif Santa Cruz, Santa Cruz, CA 95060 USA; [Murray, Michael J.] Monterey Bay Aquarium, Monterey, CA 93940 USA; [Ziccardi, Michael H.] Univ Calif Davis, Wildlife Hlth Ctr, Oiled Wildlife Care Network, Davis, CA 95616 USA</t>
  </si>
  <si>
    <t>University of California System; University of California Santa Cruz; University of California System; University of California Santa Cruz; Monterey Bay Aquarium Research Institute; University of California System; University of California Davis</t>
  </si>
  <si>
    <t>Jessup, DA (corresponding author), Calif Dept Fish &amp; Game, Marine Wildlife Vet Care &amp; Res Ctr, Off Spill Prevent &amp; Response, 1451 Shaffer Rd, Santa Cruz, CA 95060 USA.</t>
  </si>
  <si>
    <t>wda.manager@gmail.com</t>
  </si>
  <si>
    <t>Ziccardi, Michael/0000-0002-5430-2499</t>
  </si>
  <si>
    <t>California Department of Fish and Game; University of California-Davis School of Veterinary Medicine, Oiled Wildlife Care Network; Office of Spill Prevention and Response; Scientific Studies and Evaluations Program</t>
  </si>
  <si>
    <t>This work was supported by the California Department of Fish and Game, Office of Spill Prevention and Response, Scientific Studies and Evaluations Program, and the University of California-Davis School of Veterinary Medicine, Oiled Wildlife Care Network under the respective leadership of B. Joab and M. Ziccardi. K. Mayer advocated for this research and M. Sowby and J. Yamamoto supported it in later years. This work was made possible by cooperation and collaboration between the staff of the CDFG-Marine Wildlife Care and Research Center, the University of California-Santa Cruz (UCSC) Marine Mammal Physiology Project (MMPP) and the Monterey Bay Aquarium. We thank T. M. Williams and J. A. Estes; also B. Richter, T. Kendall, B. Long, M. Rohrer, and C. Doll of the UCSC MMPP; M. Viens and K. Mayer of the Monterey Bay Aquarium; and D. Brownstein, M. Reed, B. Weitzman, and F. Wilhelm of the MWVCRC for their contributions.</t>
  </si>
  <si>
    <t>10.1002/wsb.113</t>
  </si>
  <si>
    <t>V38GX</t>
  </si>
  <si>
    <t>WOS:000209333000003</t>
  </si>
  <si>
    <t>Ozkazanc, NK; Ozay, E; Ozel, HB; Cetin, M; Sevik, H</t>
  </si>
  <si>
    <t>Ozkazanc, Nuri Kaan; Ozay, Emir; Ozel, Halil Baris; Cetin, Mehmet; Sevik, Hakan</t>
  </si>
  <si>
    <t>ENVIRONMENTAL MONITORING AND ASSESSMENT</t>
  </si>
  <si>
    <t>Environmental influences; Human disturbance; Spatial structure; Otter disturbance; Habitat structure; Ecosystem; Protect</t>
  </si>
  <si>
    <t>The study was conducted to determine the habitat usage characteristics of the otter, which provides important information on the status of aquatic and coastal ecosystems. The Balikdami (Fish House) Wildlife Development Area, where the study was carried out, was registered in 1994 and was declared a natural site in 1998. The total area of the site is 1470 km(2). In order to determine the habitat usage characteristics of the otter, photo traps were placed according to the assumed habitat characteristics between the river and the terrestrial areas near the river. Previous research suggested that there should be at least 15 days of observation. In this study, 11 photo traps were left in the study area at a ratio of 1463 camera traps/day. A total of 37 different otter images were obtained in 3, 4, and 5 points at the end of the study. The data indicated that the otters preferred to use places that were close to the aquatic aquarium. They did not prefer densely vegetated areas, open areas, and places where there was human intervention, large construction, water borders, water pump edges, and areas with high human activity. The otters were active at night. While the number of otters is increasing in Turkey, according to the International Union for Conservation of Nature (IUCN) Red List, otters are in the NT (near threat) category. The otter is protected in all countries where it is increasing in number. Therefore, a better understanding of the habitat preferences of the otter will help us to better protect it.</t>
  </si>
  <si>
    <t>[Ozkazanc, Nuri Kaan; Ozel, Halil Baris] Bartin Univ, Dept Forest Engn, Fac Forestry, Bartin, Turkey; [Ozay, Emir] Directorate Eskisehir Zoo, Responsible Species, Eskisehir, Turkey; [Cetin, Mehmet] Kastamonu Univ, Fac Engn &amp; Architecture, Dept Landscape Architecture, Kastamonu, Turkey; [Sevik, Hakan] Kastamonu Univ, Fac Engn &amp; Architecture, Dept Environm Engn, Kastamonu, Turkey</t>
  </si>
  <si>
    <t>Bartin University; Kastamonu University; Kastamonu University</t>
  </si>
  <si>
    <t>Cetin, M (corresponding author), Kastamonu Univ, Fac Engn &amp; Architecture, Dept Landscape Architecture, Kastamonu, Turkey.</t>
  </si>
  <si>
    <t>mcetin@kastamonu.edu.tr</t>
  </si>
  <si>
    <t>OZEL, Halil Baris/AGD-8207-2022; cetin, mehmet/O-4016-2015; Sevik, Hakan/A-4706-2018; cetin, mehmet/O-4016-2015</t>
  </si>
  <si>
    <t>cetin, mehmet/0000-0002-8992-0289; ÖZEL, Halil Barış/0000-0001-9518-3281; Sevik, Hakan/0000-0003-1662-4830; cetin, mehmet/0000-0002-8992-0289</t>
  </si>
  <si>
    <t>0167-6369</t>
  </si>
  <si>
    <t>1573-2959</t>
  </si>
  <si>
    <t>ENVIRON MONIT ASSESS</t>
  </si>
  <si>
    <t>Environ. Monit. Assess.</t>
  </si>
  <si>
    <t>10.1007/s10661-019-7833-1</t>
  </si>
  <si>
    <t>JD9DD</t>
  </si>
  <si>
    <t>WOS:000490283900001</t>
  </si>
  <si>
    <t>Galanaki, A; Kominos, T; Zogaris, S; Casteratos, I; Lymberakis, P</t>
  </si>
  <si>
    <t>Galanaki, Antonia; Kominos, Theodoros; Zogaris, Stamatis; Casteratos, Ioannis; Lymberakis, Petros</t>
  </si>
  <si>
    <t>temporary wetlands; insular habitats; conservation; Mediterranean</t>
  </si>
  <si>
    <t>CONSERVATION; HABITAT; COAST</t>
  </si>
  <si>
    <t>The Eurasian otter (Lutra lutra) is fairly widespread across much of mainland Greece but is currently known to be present on very few of the Greek islands. We reviewed otter data for the islands of Greece, based on confirmed evidence from the literature, personal records and unpublished data (e.g. alive/dead animals, tracks, spraints). The presence of otters on Mediterranean islands is documented only for Greece with recent records for Corfu, Lefkada, Euboea and Samos and older records for Lesvos and Chios. As these islands are close to the mainland, gene flow may contribute to the persistence of their otter populations. Anthropogenic habitat changes are a major threat to otter survival, including severe transformation and disturbance of island habitats. Several small island wetlands suitable to otter presence need to be protected to support otters and enhance their conservation status.</t>
  </si>
  <si>
    <t>[Galanaki, Antonia; Kominos, Theodoros] Aristotle Univ Thessaloniki, Sch Biol, Dept Zool, Thessaloniki 54124, Greece; [Zogaris, Stamatis] Inst Marine Biol Sci &amp; Inland Waters, HCMR, 46-7 Km Athens Sounio Ave, Anavyssos 19013, Attica, Greece; [Casteratos, Ioannis] Agios Athanasios, Lefkimi 49080, Corfu, Greece; [Lymberakis, Petros] Univ Crete, Nat Hist Museum Crete, Knossou Ave, Iraklion 71409, Greece</t>
  </si>
  <si>
    <t>Aristotle University of Thessaloniki; Hellenic Centre for Marine Research; University of Crete</t>
  </si>
  <si>
    <t>Galanaki, A (corresponding author), Aristotle Univ Thessaloniki, Sch Biol, Dept Zool, Thessaloniki 54124, Greece.</t>
  </si>
  <si>
    <t>antgalanaki@gmail.com</t>
  </si>
  <si>
    <t>Zogaris, Stamatis/ABC-4012-2021</t>
  </si>
  <si>
    <t>Lymberakis, Petros/0000-0002-5067-9600; Galanaki, Antonia/0000-0003-2766-1119</t>
  </si>
  <si>
    <t>10.25225/fozo.073.2019</t>
  </si>
  <si>
    <t>JS4LT</t>
  </si>
  <si>
    <t>WOS:000500279000004</t>
  </si>
  <si>
    <t>Hughes, BB; Wasson, K; Tinker, MT; Williams, SL; Carswell, LP; Boyer, KE; Beck, MW; Eby, R; Scoles, R; Staedler, M; Espinosa, S; Hessing-Lewis, M; Foster, EU; Beheshti, KM; Grimes, TM; Becker, BH; Needles, L; Tomoleoni, JA; Rudebusch, J; Hines, E; Silliman, BR</t>
  </si>
  <si>
    <t>Hughes, Brent B.; Wasson, Kerstin; Tinker, M. Tim; Williams, Susan L.; Carswell, Lilian P.; Boyer, Katharyn E.; Beck, Michael W.; Eby, Ron; Scoles, Robert; Staedler, Michelle; Espinosa, Sarah; Hessing-Lewis, Margot; Foster, Erin U.; Beheshti, Kathryn M.; Grimes, Tracy M.; Becker, Benjamin H.; Needles, Lisa; Tomoleoni, Joseph A.; Rudebusch, Jane; Hines, Ellen; Silliman, Brian R.</t>
  </si>
  <si>
    <t>PEERJ</t>
  </si>
  <si>
    <t>Marine Mammal Protection Act; Estuary; Food web; Fisheries; Restoration; Endangered Species Act; Top predator; Recovery</t>
  </si>
  <si>
    <t>CARRYING-CAPACITY; TROPHIC CASCADES; RANGE EXPANSION; MORTALITY; BEHAVIOR; ECOLOGY; MODELS; GROWTH</t>
  </si>
  <si>
    <t>Recovering species are often limited to much smaller areas than they historically occupied. Conservation planning for the recovering species is often based on this limited range, which may simply be an artifact of where the surviving population persisted. Southern sea otters (Enhydra lutris nereis) were hunted nearly to extinction but recovered from a small remnant population on a remote stretch of the California outer coast, where most of their recovery has occurred. However, studies of recently-recolonized estuaries have revealed that estuaries can provide southern sea otters with high quality habitats featuring shallow waters, high production and ample food, limited predators, and protected haul-out opportunities. Moreover, sea otters can have strong effects on estuarine ecosystems, fostering seagrass resilience through their consumption of invertebrate prey. Using a combination of literature reviews, population modeling, and prey surveys we explored the former estuarine habitats outside the current southern sea otter range to determine if these estuarine habitats can support healthy sea otter populations. We found the majority of studies and conservation efforts have focused on populations in exposed, rocky coastal habitats. Yet historical evidence indicates that sea otters were also formerly ubiquitous in estuaries. Our habitat-specific population growth model for California's largest estuary-San Francisco Bay-determined that it alone can support about 6,600 sea otters, more than double the 2018 California population. Prey surveys in estuaries currently with (Elkhorn Slough and Morro Bay) and without (San Francisco Bay and Drakes Estero) sea otters indicated that the availability of prey, especially crabs, is sufficient to support healthy sea otter populations. Combining historical evidence with our results, we show that conservation practitioners could consider former estuarine habitats as targets for sea otter and ecosystem restoration. This study reveals the importance of understanding how recovering species interact with all the ecosystems they historically occupied, both for improved conservation of the recovering species and for successful restoration of ecosystem functions and processes.</t>
  </si>
  <si>
    <t>[Hughes, Brent B.] Sonoma State Univ, Dept Biol, Rohnert Pk, CA 94928 USA; [Hughes, Brent B.; Silliman, Brian R.] Duke Univ, Nicholas Sch Environm, Div Marine Sci &amp; Conservat, Beaufort, NC 28516 USA; [Wasson, Kerstin; Eby, Ron; Scoles, Robert] Elkhorn Slough Natl Estuarine Res Reserve, Watsonville, CA USA; [Wasson, Kerstin; Tinker, M. Tim; Espinosa, Sarah; Beheshti, Kathryn M.] Univ Calif Santa Cruz, Dept Ecol &amp; Evolutionary Biol, Santa Cruz, CA 95064 USA; [Tinker, M. Tim; Tomoleoni, Joseph A.] US Geol Survey, Western Ecol Res Ctr, Santa Cruz, CA USA; [Williams, Susan L.] Univ Calif Davis, Dept Ecol &amp; Evolut, Bodega Marine Lab, Bodega Bay, CA USA; [Carswell, Lilian P.] US Fish &amp; Wildlife Serv, Ventura Fish &amp; Wildlife Off, Ventura, CA USA; [Boyer, Katharyn E.] San Francisco State Univ, Dept Biol, Estuary &amp; Ocean Sci Ctr, Tiburon, CA USA; [Beck, Michael W.] Univ Calif Santa Cruz, Inst Marine Sci, Santa Cruz, CA 95064 USA; [Staedler, Michelle] Monterey Bay Aquarium, Monterey, CA USA; [Hessing-Lewis, Margot; Foster, Erin U.] Hakai Inst, Heriot Bay, BC, Canada; [Foster, Erin U.] Univ Victoria, Appl Conservat Sci Lab, Victoria, BC, Canada; [Grimes, Tracy M.] San Diego State Univ, Dept Biol, San Diego, CA 92182 USA; [Becker, Benjamin H.] Natl Pk Serv, Point Reyes Natl Seashore, Point Reyes Stn, CA USA; [Needles, Lisa] Calif Polytech State Univ San Luis Obispo, Dept Biol Sci, Ctr Coastal Marine Sci, San Luis Obispo, CA 93407 USA; [Rudebusch, Jane; Hines, Ellen] San Francisco State Univ, Dept Geog &amp; Environm, Estuary &amp; Ocean Sci Ctr, Tiburon, CA USA</t>
  </si>
  <si>
    <t>California State University System; Sonoma State University; Duke University; University of California System; University of California Santa Cruz; United States Department of the Interior; United States Geological Survey; University of California System; University of California Davis; United States Department of the Interior; US Fish &amp; Wildlife Service; California State University System; San Francisco State University; University of California System; University of California Santa Cruz; Monterey Bay Aquarium Research Institute; Hakai Institute; University of Victoria; California State University System; San Diego State University; United States Department of the Interior; US National Park Service; California State University System; California Polytechnic State University San Luis Obispo; California State University System; San Francisco State University</t>
  </si>
  <si>
    <t>Hughes, BB (corresponding author), Sonoma State Univ, Dept Biol, Rohnert Pk, CA 94928 USA.;Hughes, BB (corresponding author), Duke Univ, Nicholas Sch Environm, Div Marine Sci &amp; Conservat, Beaufort, NC 28516 USA.</t>
  </si>
  <si>
    <t>hughes@sonoma.edu</t>
  </si>
  <si>
    <t>Espinosa, Sarah/GZM-7388-2022; Tinker, Martin/D-3249-2018; Beck, Michael/AAB-2844-2019; Beheshti, Kathryn/GMW-8610-2022</t>
  </si>
  <si>
    <t>Beck, Michael/0000-0002-5107-9973; Wasson, Kerstin/0000-0002-1858-4505; Rudebusch, Jane/0000-0001-7537-3221; , Lisa/0000-0002-6913-335X; Beheshti, Kathryn/0000-0001-7991-4371; Grimes, Tracy/0000-0002-4964-2798; Tomoleoni, Joseph/0000-0001-6980-251X</t>
  </si>
  <si>
    <t>David H. Smith Research Conservation Fellowship; Cedar Tree Foundation; Rebecca and Steve Sooy Fellowship in Marine Mammals; NOAA's Office for Coastal Management; Hakai Institute; NSERC Vanier; University of California's Agricultural Experimental Station; Monterey Bay Aquarium</t>
  </si>
  <si>
    <t>David H. Smith Research Conservation Fellowship; Cedar Tree Foundation; Rebecca and Steve Sooy Fellowship in Marine Mammals; NOAA's Office for Coastal Management(National Oceanic Atmospheric Admin (NOAA) - USA); Hakai Institute; NSERC Vanier(Natural Sciences and Engineering Research Council of Canada (NSERC)); University of California's Agricultural Experimental Station; Monterey Bay Aquarium</t>
  </si>
  <si>
    <t>Brent B. Hughes was funded through the David H. Smith Research Conservation Fellowship and Cedar Tree Foundation and the Rebecca and Steve Sooy Fellowship in Marine Mammals. Kerstin Wasson was supported by a grant from NOAA's Office for Coastal Management to the Elkhorn Slough National Estuarine Research Reserve. Margot Hessing-Lewis and Erin Foster were supported by the Hakai Institute and Erin Foster was supported by an NSERC Vanier. Susan L. Williams was supported by the University of California's Agricultural Experimental Station. Michelle Staedler was supported by the Monterey Bay Aquarium. The funders had no role in study design, data collection and analysis, decision to publish, or preparation of the manuscript.</t>
  </si>
  <si>
    <t>PEERJ INC</t>
  </si>
  <si>
    <t>341-345 OLD ST, THIRD FLR, LONDON, EC1V 9LL, ENGLAND</t>
  </si>
  <si>
    <t>2167-8359</t>
  </si>
  <si>
    <t>PeerJ</t>
  </si>
  <si>
    <t>DEC 10</t>
  </si>
  <si>
    <t>e8100</t>
  </si>
  <si>
    <t>10.7717/peerj.8100</t>
  </si>
  <si>
    <t>JV0FQ</t>
  </si>
  <si>
    <t>WOS:000502042900004</t>
  </si>
  <si>
    <t>Shapiro, K; Conrad, PA; Mazet, JAK; Wallender, WW; Miller, WA; Largier, JL</t>
  </si>
  <si>
    <t>Shapiro, Karen; Conrad, Patricia A.; Mazet, Jonna A. K.; Wallender, Wesley W.; Miller, Woutrina A.; Largier, John L.</t>
  </si>
  <si>
    <t>APPLIED AND ENVIRONMENTAL MICROBIOLOGY</t>
  </si>
  <si>
    <t>COASTAL WATERS; CLIMATE-CHANGE; FRESH-WATER; OOCYSTS; POLLUTION; REMOVAL; INFECTIVITY; CALIFORNIA; PATHOGENS; OTTERS</t>
  </si>
  <si>
    <t>The flux of terrestrially derived pathogens to coastal waters presents a significant health risk to marine wildlife, as well as to humans who utilize the nearshore for recreation and seafood harvest. Anthropogenic changes in natural habitats may result in increased transmission of zoonotic pathogens to coastal waters. The objective of our work was to evaluate how human-caused alterations of coastal landscapes in California affect the transport of Toxoplasma gondii to estuarine waters. Toxoplasma gondii is a protozoan parasite that is excreted in the feces of infected felids and is thought to reach coastal waters in contaminated runoff. This zoonotic pathogen causes waterborne toxoplasmosis in humans and is a significant cause of death in threatened California sea otters. Surrogate particles that mimic the behavior of T. gondii oocysts in water were released in transport studies to evaluate if the loss of estuarine wetlands is contributing to an increased flux of oocysts into coastal waters. Compared to vegetated sites, more surrogates were recovered from unvegetated mudflat habitats, which represent degraded wetlands. Specifically, in Elkhorn Slough, where a large proportion of otters are infected with T. gondii, erosion of 36% of vegetated wetlands to mudflats may increase the flux of oocysts by more than 2 orders of magnitude. Total degradation of wetlands may result in increased Toxoplasma transport of 6 orders of magnitude or more. Destruction of wetland habitats along central coastal California may thus facilitate pathogen pollution in coastal waters with detrimental health impacts to wildlife and humans.</t>
  </si>
  <si>
    <t>[Shapiro, Karen; Conrad, Patricia A.; Miller, Woutrina A.] Univ Calif Davis, Sch Vet Med, Dept Pathol Microbiol &amp; Immunol, Davis, CA 95616 USA; [Shapiro, Karen; Conrad, Patricia A.; Mazet, Jonna A. K.; Miller, Woutrina A.] Univ Calif Davis, Sch Vet Med, Hlth Inst 1, Davis, CA 95616 USA; [Wallender, Wesley W.] Univ Calif Davis, Dept Land Air &amp; Water Resources, Davis, CA 95616 USA; [Largier, John L.] Univ Calif Davis, Bodega Marine Lab, Davis, CA 95616 USA</t>
  </si>
  <si>
    <t>University of California System; University of California Davis; University of California System; University of California Davis; University of California System; University of California Davis; University of California System; University of California Davis</t>
  </si>
  <si>
    <t>Shapiro, K (corresponding author), Univ Calif Davis, Sch Vet Med, Dept Pathol Microbiol &amp; Immunol, 1 Shields Ave, Davis, CA 95616 USA.</t>
  </si>
  <si>
    <t>Mazet, Jonna/B-4811-2012; Largier, John/KHZ-2681-2024</t>
  </si>
  <si>
    <t>National Science Foundation, Ecology of Infectious Disease, through the Wildlife Health Center, School of Veterinary Medicine, University of California, Davis [0525765]</t>
  </si>
  <si>
    <t>National Science Foundation, Ecology of Infectious Disease, through the Wildlife Health Center, School of Veterinary Medicine, University of California, Davis(National Science Foundation (NSF)University of California System)</t>
  </si>
  <si>
    <t>This work was supported by the National Science Foundation, Ecology of Infectious Disease grant 0525765, and through support provided by the Wildlife Health Center, School of Veterinary Medicine, University of California, Davis.</t>
  </si>
  <si>
    <t>AMER SOC MICROBIOLOGY</t>
  </si>
  <si>
    <t>1752 N ST NW, WASHINGTON, DC 20036-2904 USA</t>
  </si>
  <si>
    <t>0099-2240</t>
  </si>
  <si>
    <t>1098-5336</t>
  </si>
  <si>
    <t>APPL ENVIRON MICROB</t>
  </si>
  <si>
    <t>Appl. Environ. Microbiol.</t>
  </si>
  <si>
    <t>10.1128/AEM.01435-10</t>
  </si>
  <si>
    <t>Biotechnology &amp; Applied Microbiology; Microbiology</t>
  </si>
  <si>
    <t>659VM</t>
  </si>
  <si>
    <t>WOS:000282595100014</t>
  </si>
  <si>
    <t>Murata, S; Takahashi, S; Agusa, T; Thomas, NJ; Kannan, K; Tanabe, S</t>
  </si>
  <si>
    <t>Murata, Satoko; Takahashi, Shin; Agusa, Tetsuro; Thomas, Nancy J.; Kannan, Kurunthachalam; Tanabe, Shinsuke</t>
  </si>
  <si>
    <t>MARINE POLLUTION BULLETIN</t>
  </si>
  <si>
    <t>organotin compounds; sea otters; infectious diseases; California coast; half-lives</t>
  </si>
  <si>
    <t>ORGANOCHLORINE PESTICIDES; POLYCHLORINATED-BIPHENYLS; MARINE MAMMALS; BUTYLTIN COMPOUNDS; NEREIS; TRIBUTYLTIN; MORTALITY; PATTERNS; DECLINE; LIVERS</t>
  </si>
  <si>
    <t>Organotin compounds (OTs) including mono- to tri-butyltins, -phenyltins, and -octyltins were determined in the liver of adult sea otters (Enhydra lutris) found dead along the coasts of California, Washington, and Alaska in the USA and Kamchatka, Russia. Total concentrations of OTs in sea otters from California ranged from 34 to 4100 ng/g on a wet weight basis. The order of concentrations of OTs in sea otters was total butyltins &gt;&gt; total octyltins &gt;= total phenyltins. Elevated concentrations of butyltins (BTs) were found in some otters classified under 'infectious-disease' mortality category. Concentrations of BTs in few of these otters were close to or above the threshold levels for adverse health effects. Total butyltin concentrations decreased significantly in the livers of California sea otters since the 1990s. Based on the concentrations of organotins in sea otters collected from 1992 to 2002, the half-lives of tributyltin and total butyltins in sea otters were estimated to be approximately three years. (c) 2008 Elsevier Ltd. All rights reserved.</t>
  </si>
  <si>
    <t>[Murata, Satoko; Takahashi, Shin; Agusa, Tetsuro; Tanabe, Shinsuke] Ehime Univ, CMES, Matsuyama, Ehime 7908577, Japan; [Thomas, Nancy J.] US Geol Survey, Natl Wildlife Res Ctr, Biol Resources Div, Madison, WI 53711 USA; [Kannan, Kurunthachalam] SUNY Albany, Wadsworth Ctr, New York State Dept Hlth, Albany, NY 12201 USA; [Kannan, Kurunthachalam] SUNY Albany, Sch Publ Hlth, Dept Environm Hlth Sci, Albany, NY 12201 USA</t>
  </si>
  <si>
    <t>Ehime University; United States Department of the Interior; United States Geological Survey; State University of New York (SUNY) System; University at Albany, SUNY; Wadsworth Center; State University of New York (SUNY) System; University at Albany, SUNY</t>
  </si>
  <si>
    <t>Tanabe, S (corresponding author), Ehime Univ, CMES, Bunkyo Cho 2-5, Matsuyama, Ehime 7908577, Japan.</t>
  </si>
  <si>
    <t>shinsuke@agr.ehime-u.ac.jp</t>
  </si>
  <si>
    <t>Tanabe, Shinsuke/G-6950-2013; Kannan, Kurunthachalam/ACA-0037-2022</t>
  </si>
  <si>
    <t>Tanabe, Shinsuke/0000-0002-0911-6232; Kannan, Kurunthachalam/0000-0002-1926-7456</t>
  </si>
  <si>
    <t>PERGAMON-ELSEVIER SCIENCE LTD</t>
  </si>
  <si>
    <t>THE BOULEVARD, LANGFORD LANE, KIDLINGTON, OXFORD OX5 1GB, ENGLAND</t>
  </si>
  <si>
    <t>0025-326X</t>
  </si>
  <si>
    <t>1879-3363</t>
  </si>
  <si>
    <t>MAR POLLUT BULL</t>
  </si>
  <si>
    <t>Mar. Pollut. Bull.</t>
  </si>
  <si>
    <t>10.1016/j.marpolbul.2008.01.019</t>
  </si>
  <si>
    <t>Environmental Sciences; Marine &amp; Freshwater Biology</t>
  </si>
  <si>
    <t>Environmental Sciences &amp; Ecology; Marine &amp; Freshwater Biology</t>
  </si>
  <si>
    <t>298FD</t>
  </si>
  <si>
    <t>WOS:000255670900017</t>
  </si>
  <si>
    <t>Kannan, K; Perrotta, E; Thomas, NJ; Aldous, KM</t>
  </si>
  <si>
    <t>Kannan, Kurunthachalam; Perrotta, Emily; Thomas, Nancy J.; Aldous, Kenneth M.</t>
  </si>
  <si>
    <t>ARCHIVES OF ENVIRONMENTAL CONTAMINATION AND TOXICOLOGY</t>
  </si>
  <si>
    <t>ENHYDRA-LUTRIS-NEREIS; BROMINATED FLAME RETARDANTS; ORGANOCHLORINE PESTICIDES; ENVIRONMENTAL CONTAMINANTS; COASTAL CALIFORNIA; PHOCOENA-PHOCOENA; SMALL CETACEANS; HARBOR SEALS; POLAR BEARS; PBDES</t>
  </si>
  <si>
    <t>Southern sea otters (Enhydra lutris nereis) from the California coast continue to exhibit a slower population regrowth rate than the population in Alaska. Infectious diseases have been identified as a frequent cause of death. Infectious diseases caused by varied pathogens including bacteria, fungi, and parasites were suggestive of compromised immunological health of mature animals in this population. To test the hypothesis that elevated exposure to immunotoxic contaminants such as polybrominated diphenyl ethers (PBDEs) and polychlorinated biphenyls (PCBs) contribute to disease susceptibility via immunosuppression, we determined concentrations of PBDEs and PCBs in livers of 80 adult female sea otters that died of infectious diseases, noninfectious causes, or emaciation. Concentrations of PBDEs and PCBs in sea otter livers varied widely (10-26,800 ng/g and 81-210,000 ng/g, lipid weight, respectively). Concentrations of PBDEs in sea otters were some of the highest values reported for marine mammals so far. Although PCB concentrations in sea otters have declined during 1992-2002, the mean concentration was at the threshold at which adverse health effects are elicited. Concentrations of PBDEs and PCBs were significantly correlated, suggesting co-exposure of these contaminants in sea otters. No significant association was found between the concentrations of PBDEs and the health status of sea otters. Concentrations of PCBs were significantly higher in otters in the infectious disease category than in the noninfectious category, suggesting an association between elevated PCB concentrations and infectious diseases in Southern sea otters.</t>
  </si>
  <si>
    <t>SUNY Albany, Sch Publ Hlth, Wadsworth Ctr, New York State Dept Hlth, Albany, NY 12201 USA; SUNY Albany, Sch Publ Hlth, Dept Environm Hlth Sci, Albany, NY 12201 USA; US Geol Survey, Biol Resources Div, Natl Wildlife Hlth Ctr, Madison, WI 53711 USA</t>
  </si>
  <si>
    <t>State University of New York (SUNY) System; University at Albany, SUNY; Wadsworth Center; State University of New York (SUNY) System; University at Albany, SUNY; United States Department of the Interior; United States Geological Survey</t>
  </si>
  <si>
    <t>Kannan, K (corresponding author), SUNY Albany, Sch Publ Hlth, Wadsworth Ctr, New York State Dept Hlth, Empire State Pl,POB 509, Albany, NY 12201 USA.</t>
  </si>
  <si>
    <t>kkannan@wadsworth.org</t>
  </si>
  <si>
    <t>Kannan, Kurunthachalam/0000-0002-1926-7456</t>
  </si>
  <si>
    <t>0090-4341</t>
  </si>
  <si>
    <t>1432-0703</t>
  </si>
  <si>
    <t>ARCH ENVIRON CON TOX</t>
  </si>
  <si>
    <t>Arch. Environ. Contam. Toxicol.</t>
  </si>
  <si>
    <t>10.1007/s00244-006-0251-8</t>
  </si>
  <si>
    <t>Environmental Sciences; Toxicology</t>
  </si>
  <si>
    <t>Environmental Sciences &amp; Ecology; Toxicology</t>
  </si>
  <si>
    <t>181HA</t>
  </si>
  <si>
    <t>WOS:000247426600020</t>
  </si>
  <si>
    <t>Hanni, KD; Mazet, JAK; Gulland, FMD; Estes, J; Staedler, M; Murray, MJ; Miller, M; Jessup, DA</t>
  </si>
  <si>
    <t>Brucella; calicivirus; Coccidiodes immitis; hematology; Leptospira; morbillivirus; sea otter; serology; serum chemistry; Toxoplasma gondii</t>
  </si>
  <si>
    <t>ENHYDRA-LUTRIS-NEREIS; TOXOPLASMA-GONDII; VESICULAR DISEASE; HARBOR SEALS; CALIFORNIA; LEPTOSPIROSIS; INFECTION; ANTIBODIES; CHEMISTRY; LIONS</t>
  </si>
  <si>
    <t>The southern sea otter (Enhydra lutris nereis) population in California (USA) and the Alaskan sea otter (E. lutris kenyoni) population in the Aleutian Islands (USA) chain have recently declined. In order to evaluate disease as a contributing factor to the declines, health assessments of these two sea otter populations were conducted by evaluating hematologic and/or serum biochemical values and exposure to six marine and terrestrial pathogens using blood collected during ongoing studies from 1995 through 2000. Samples from 72 free-ranging Alaskan, 78 free-ranging southern, and (for pathogen exposure only) 41 debilitated southern sea otters in rehabilitation facilities were evaluated and compared to investigate regional differences. Serum chemistry and hematology values did not indicate a specific disease process as a cause for the declines. Statistically significant differences were found between free-ranging adult southern and Alaskan population mean serum levels of creatinine kinase, alkaline phosphatase, alanine aminotransferase, aspartate aminotransferase, calcium, cholesterol, creatinine, glucose, phosphorous, total bilirubin, blood urea nitrogen, and sodium. These were likely due to varying parasite loads, contaminant exposures, and physiologic or nutrition statuses. No free-ranging sea otters had signs of disease at capture, and prevalences of exposure to calicivirus, Brucella spp., and Leptospira spp. were low. The high prevalence (35%) of antibodies to Toxoplasma gondii in free-ranging southern sea otters, lack of antibodies to this parasite in Alaskan sea otters, and the pathogen's propensity to cause mortality in southern sea otters suggests that this parasite may be important to sea otter population dynamics in California but not in Alaska. The evidence for exposure to pathogens of public health importance (e.g., Leptospira spp., T gondii) in the southern sea otter population, and the naivete of both populations to other pathogens (e.g., morbillivirus and Coccidiodes immitis) may have important implications for their management and recovery.</t>
  </si>
  <si>
    <t>Univ Calif Davis, Wildlife Hlth Ctr, Sch Vet Med, Davis, CA 95616 USA; Marin Headlands GGNRA, Marine Mammal Ctr, Sausalito, CA 94965 USA; Univ Calif Santa Cruz, USGS, BRD, Santa Cruz, CA 95060 USA; Monterey Bay Aquarium, Monterey, CA 93940 USA; Marine Wildlife Vet Care &amp; Res Ctr, DFG, Santa Cruz, CA 95060 USA</t>
  </si>
  <si>
    <t>Hanni, KD (corresponding author), Univ Calif Davis, Wildlife Hlth Ctr, Sch Vet Med, Davis, CA 95616 USA.</t>
  </si>
  <si>
    <t>10.7589/0090-3558-39.4.837</t>
  </si>
  <si>
    <t>WOS:000187791800011</t>
  </si>
  <si>
    <t>Dean, TA; Bodkin, JL; Jewett, SC; Monson, DH; Jung, D</t>
  </si>
  <si>
    <t>MARINE ECOLOGY PROGRESS SERIES</t>
  </si>
  <si>
    <t>Enhydra lutris; Strongylocentrotus droebachiensis; Prince William Sound; Alaska; keystone species; top-down control</t>
  </si>
  <si>
    <t>PRINCE-WILLIAM-SOUND; COMMUNITY STRUCTURE; ALASKA; RECOVERY; CARCASSES; PREDATION; MORTALITY; BEDS</t>
  </si>
  <si>
    <t>Interactions between sea otters Enhydra lutris, sea urchins Strongylocentrotus droebachiensis, and kelp were investigated following the reduction in sea otter density in Prince William Sound, Alaska, after the Exxon Valdez oil spill in 1989. At northern Knight Island, a heavily oiled portion of the sound, sea otter abundance was reduced by a minimum of 50% by the oil spill, and from 1995 through 1998 remained at an estimated 66% lower than in 1973. Where sea otter densities were reduced, there were proportionally more large sea urchins. However, except in some widely scattered aggregations, both density and biomass of sea urchins were similar in an area of reduced sea otter density compared with an area where sea otters remained about 10 times more abundant. Furthermore, there was no change in kelp abundance in the area of reduced sea otter density. This is in contrast to greatly increased biomass of sea urchins and greatly reduced kelp density observed following an approximate 90% decline in sea otter abundance in the western Aleutian Islands. The variation in community response to a reduction in sea otters may be related to the magnitude of the reduction and the non-linear response by sea urchins to changes in predator abundance. The number of surviving sea otters may have been high enough to suppress sea urchin populations in Prince William Sound, but not in the Aleutians. Alternatively, differences in response may have been due to differences in the frequency or magnitude of sea urchin recruitment. Densities of small sea urchins were much higher in the Aleutian system even prior to the reduction in sea otters, suggesting a higher rate of recruitment.</t>
  </si>
  <si>
    <t>Coastal Resources Associates Inc, Vista, CA 92083 USA; Alaska Sci Ctr, US Geol Survey, Div Biol Resources, Anchorage, AK 99503 USA; Univ Alaska, Sch Fisheries &amp; Ocean Sci, Fairbanks, AK 99775 USA</t>
  </si>
  <si>
    <t>United States Department of the Interior; United States Geological Survey; University of Alaska System; University of Alaska Fairbanks</t>
  </si>
  <si>
    <t>Dean, TA (corresponding author), Coastal Resources Associates Inc, 1185 Pk Ctr Dr,Ste A, Vista, CA 92083 USA.</t>
  </si>
  <si>
    <t>coastal_resources@compuserve.com</t>
  </si>
  <si>
    <t>Monson, Daniel/N-4469-2013</t>
  </si>
  <si>
    <t>0171-8630</t>
  </si>
  <si>
    <t>1616-1599</t>
  </si>
  <si>
    <t>MAR ECOL PROG SER</t>
  </si>
  <si>
    <t>Mar. Ecol.-Prog. Ser.</t>
  </si>
  <si>
    <t>10.3354/meps199281</t>
  </si>
  <si>
    <t>Ecology; Marine &amp; Freshwater Biology; Oceanography</t>
  </si>
  <si>
    <t>Environmental Sciences &amp; Ecology; Marine &amp; Freshwater Biology; Oceanography</t>
  </si>
  <si>
    <t>338TA</t>
  </si>
  <si>
    <t>WOS:000088434300023</t>
  </si>
  <si>
    <t>Khan, MB; Ahmed, KB; Awan, MS; Ali, U; Minhas, RA; Choudary, SA</t>
  </si>
  <si>
    <t>Khan, Muhammad Bashir; Ahmed, Khawaja Basharat; Awan, Muhammad Siddique; Ali, Usman; Minhas, Riaz Aziz; Choudary, Shahid Ashraf</t>
  </si>
  <si>
    <t>Common otter; population status; Neelum Valley; Azad Jammu &amp; Kashmir</t>
  </si>
  <si>
    <t>SELECTION; RIVERS; SPAIN</t>
  </si>
  <si>
    <t>Neelum Valley comprises of fascinating wildlife, yet it is not explored due to multiple factors including inaccessibility, no appropriate means of transportation and communication and cross border firing between Pakistan and Indian armed forces. Common otter (Lutra lutra) listed as near threatened by IUCN in the Red List of 2008, has been extinct in much of its range with many populations still thinning and is firmly protected by the Azad Jammu and Kashmir (AJK) Wild Life Act. The present study aimed to find out the distribution, habitat utilization and population status of common otter in Neelum Valley. Study area was divided into zones and localities and eight months surveys of each locality were conducted from December, 2004 to July, 2005. The important vegetation of the area was Rumex histatus, Adhatoda zeyloanica, Cynoglossum lanceolatum, Salix sp, Pinus sp, Cedrus deodara and Cell is eriocarpa. Common otter was found to adapt to rocky area with cave type places, sands and pebbles. Average population was measured by the indirect method of sampling. The animal was distributed in all three zones and 22 localities apart from Nosada locality. A total population of 35 animals was estimated with the average population density of 2.29 animals/km(2) in the study area. Highest average density (2.83 animals/km(2)) was observed in zone B followed by zone C (2.26 animals/km(2)) and A (1.68 animals/km(2)). Locality Salkhala was highly populated with average population density of 3.08 animals/km2 followed by Palri (3.00) and Athmuqam (2.96) while minimum density (0.00) was observed at Nosada locality. Otter population is facing threats from habitat disturbance, hunting and pollution. Cumulative approach is needed to develop a conservation strategy for the survival of common otter in the study area.</t>
  </si>
  <si>
    <t>[Khan, Muhammad Bashir; Ahmed, Khawaja Basharat; Awan, Muhammad Siddique; Ali, Usman; Minhas, Riaz Aziz; Choudary, Shahid Ashraf] Univ Azad Jammu &amp; Kashmir, Dept Zool, Muzaffarabad, Pakistan</t>
  </si>
  <si>
    <t>University of Azad Jammu &amp; Kashmir</t>
  </si>
  <si>
    <t>Minhas, RA (corresponding author), Univ Azad Jammu &amp; Kashmir, Dept Zool, Muzaffarabad, Pakistan.</t>
  </si>
  <si>
    <t>riazminhas79@yahoo.com</t>
  </si>
  <si>
    <t>Minhas, Riaz/AIB-2326-2022; Ali, Usman/V-8715-2019</t>
  </si>
  <si>
    <t>Ali, Usman/0000-0002-0524-4763;</t>
  </si>
  <si>
    <t>863VY</t>
  </si>
  <si>
    <t>WOS:000298197600031</t>
  </si>
  <si>
    <t>Engelhart, A; Behnisch, P; Hagenmaier, H; Apfelbach, R</t>
  </si>
  <si>
    <t>ECOTOXICOLOGY AND ENVIRONMENTAL SAFETY</t>
  </si>
  <si>
    <t>polecat; extinction; diet; reproduction; polychlorinated biphenyls</t>
  </si>
  <si>
    <t>POLYCHLORINATED-BIPHENYLS; REPRODUCTION; MINK; SURVIVAL; MICHIGAN</t>
  </si>
  <si>
    <t>In Europe polecat populations are declining for unknown reasons during the last decades. Data on the river otter, another mustelid predator, indicate that PCB levels are high enough in some populations to interfere with the reproduction of this aquatic species. Since the diet of the polecats consists to a large amount of aquatic prey (amphibians) it appears reasonable to assume that PCBs ingested with the prey are a factor in the decline of polecats. To test this assumption PCB residues in amphibians and in adipose tissue and liver of polecats from Southwest Germany were quantified and the results were compared with literature data on the reproductive toxicity of PCBs in feral mink. According to the current data total PCB levels in polecats (adipose tissue, mean 1244 ng/g lipids; liver, mean 1677 ng/g lipids) and their prey (frogs, mean 9279 ng/kg fresh vc eight; toads, 4948 ng/kg fresh weight) are comparatively low. Using the toxic equivalent approach, it was calculated that polecats could feed exclusively on amphibians without consuming a harmful amount of PCBs. Therefore, PCBs cannot be an agent currently affecting polecat populations in Central Europe. Other environmental factors like habitat destruction or road accidents are more likely to have a negative impact on polecat populations. (C) 2001 Academic Press.</t>
  </si>
  <si>
    <t>Univ Tubingen, Inst Zool, Morgenstelle 28, D-72076 Tubingen, Germany; Univ Tubingen, Inst Organ Chem, D-72076 Tubingen, Germany</t>
  </si>
  <si>
    <t>Eberhard Karls University of Tubingen; Eberhard Karls University of Tubingen</t>
  </si>
  <si>
    <t>Apfelbach, R (corresponding author), Univ Tubingen, Inst Zool, Morgenstelle 28, D-72076 Tubingen, Germany.</t>
  </si>
  <si>
    <t>Raimund.Apfelbach@uni-tuebingen.de</t>
  </si>
  <si>
    <t>ACADEMIC PRESS INC ELSEVIER SCIENCE</t>
  </si>
  <si>
    <t>SAN DIEGO</t>
  </si>
  <si>
    <t>525 B ST, STE 1900, SAN DIEGO, CA 92101-4495 USA</t>
  </si>
  <si>
    <t>0147-6513</t>
  </si>
  <si>
    <t>1090-2414</t>
  </si>
  <si>
    <t>ECOTOX ENVIRON SAFE</t>
  </si>
  <si>
    <t>Ecotox. Environ. Safe.</t>
  </si>
  <si>
    <t>10.1006/eesa.2000.2027</t>
  </si>
  <si>
    <t>402MH</t>
  </si>
  <si>
    <t>WOS:000166991600007</t>
  </si>
  <si>
    <t>Reid, N; Thompson, D; Hayden, B; Marnell, F; Montgomery, WI</t>
  </si>
  <si>
    <t>Reid, Neil; Thompson, Danielle; Hayden, Brian; Marnell, Ferdia; Montgomery, W. Ian</t>
  </si>
  <si>
    <t>Dietary analysis; Percentage frequency and occurrence; Aquatic ecosystems; Eutrophication; Salmonids; White-clawed crayfish</t>
  </si>
  <si>
    <t>MINK MUSTELA-VISION; FOOD; VISON; WEST</t>
  </si>
  <si>
    <t>The Eurasian otter (Lutra lutra L) is a top predator in aquatic systems and plays an important role in ecosystem functioning. However, it has undergone dramatic declines throughout Europe as a result of environmental degradation. We examine the putative role of the otter as a bioindicator in Ireland which remains a stronghold for the species and affords a unique opportunity to examine variation in its ecological niche. We describe diet, using spraint contents, along rivers during 2010 and conduct a review and quantitative meta-analysis of the results of a further 21 studies. We aimed to assess variation in otter diet in relation to river productivity, a proxy for natural nutrification and anthropogenic eutrophication, and availability of salmonid prey (Salmo trutta and Salmo salar), to test the hypothesis that otter diet is related to environmental quality. Otter diet did not vary with levels of productivity or availability of salmonids whilst Compositional Analysis suggested there was no selection of salmonid over non-salmonid fish. There was a distinct niche separation between riverine and lacustrine systems, the latter being dominated by Atlantic eel (Anguilla anguilla). Otters are opportunistic and may take insects, freshwater mussels, birds, mammals and even fruit. Otters living along coasts have a greatest niche breath than those in freshwater systems which encompasses a wide variety of intertidal prey though pelagic fish are rarely taken. It is concluded that the ability of the otter to feed on a wide diversity of prey taxa and the strong influence of habitat type, renders it a poor bioindicator of environmental water quality. It seems likely that the plasticity of the habitat and dietary niche of otters, and the extent of suitable habitat, may have sustained populations in Ireland despite intensification of agriculture during the 20th century. (C) 2012 Elsevier Ltd. All rights reserved.</t>
  </si>
  <si>
    <t>[Reid, Neil; Thompson, Danielle; Hayden, Brian] Queens Univ Belfast, Sch Biol Sci, Quercus, Belfast BT9 7BL, Antrim, North Ireland; [Hayden, Brian] Univ Helsinki, Kilpisjarvi Biol Stn, Fac Biol &amp; Environm Sci, Helsinki, Finland; [Marnell, Ferdia] Natl Pk &amp;Wildlife Serv, Dept Arts Heritage &amp; Gaeltacht, Dublin 2, Ireland; [Montgomery, W. Ian] Queens Univ Belfast, Sch Biol Sci, Belfast BT9 7BL, Antrim, North Ireland</t>
  </si>
  <si>
    <t>Queens University Belfast; University of Helsinki; Queens University Belfast</t>
  </si>
  <si>
    <t>Reid, N (corresponding author), Queens Univ Belfast, Sch Biol Sci, Quercus, Belfast BT9 7BL, Antrim, North Ireland.</t>
  </si>
  <si>
    <t>Montgomery, Ian/ISS-3537-2023; Reid, Neil/D-1896-2010</t>
  </si>
  <si>
    <t>Reid, Neil/0000-0001-8951-8292</t>
  </si>
  <si>
    <t>10.1016/j.ecolind.2012.10.017</t>
  </si>
  <si>
    <t>083RP</t>
  </si>
  <si>
    <t>WOS:000314483200002</t>
  </si>
  <si>
    <t>Zabala, J; Zuberogoitia, I; Martínez-Climent, JA</t>
  </si>
  <si>
    <t>Zabala, Jabi; Zuberogoitia, Inigo; Martinez-Climent, Jose Antonio</t>
  </si>
  <si>
    <t>MUSTELA-LUTREOLA; SOUTHWESTERN EUROPE; HABITAT MODELS; NORTHERN SPAIN; AMERICAN MINK; WATER-QUALITY; POPULATION; INDEXES; ABSENCE; VISON</t>
  </si>
  <si>
    <t>The European mink is an endangered species in need of urgent conservation efforts, but whose decline and habitat requirements are only poorly known. In this study we developed a model for mink distribution in Biscay to catalogue variables influencing its presence/absence. Sites were described in terms of vegetation parameters, water quality, riverbank alteration, anthropogenic structures and American mink presence. Logistic regression analysis was used to identify ruling variables and synergies. The model extracted two variables of high significance: water quality and riverbank alteration. European mink was absent from polluted waters and canalised streams. The absence is explained by a decrease in prey availability. In the case of water pollution, bioaccumulation is considered to have a deleterious effect on the presence of the species. In the case of canalisation, the lack of adequate shelter areas and especially the depletion of food resources are also likely to play an important role explaining the absence of the species. Finally, the possible barrier effect of canalisation for European mink and its consequences are also discussed. For the remaining variables, only those describing habitat use by European mink within its home range seemed to have a little influence on the presence of the species. The presence of American mink was a poor predictor of the absence of its European counterpart. Based on the results, we suggest that improved riverbank management policies are needed to ensure the future of European mink in the area. Species introduction and reintroduction programs should consider our habitat model when searching for suitable areas for the species. Further research is also needed on the effect of diverse types of water pollution on European mink.</t>
  </si>
  <si>
    <t>Icarus EMSL, E-26007 Logrono, Spain</t>
  </si>
  <si>
    <t>Iñigo, Zuberogoitia/H-5062-2019; Zabala, Jabi/B-8157-2009</t>
  </si>
  <si>
    <t>Zuberogoitia, Iñigo/0000-0002-8945-7386; Zabala, Jabi/0000-0002-1425-1594</t>
  </si>
  <si>
    <t>WALTER DE GRUYTER &amp; CO</t>
  </si>
  <si>
    <t>10.1515/MAMM.2006.051</t>
  </si>
  <si>
    <t>185TI</t>
  </si>
  <si>
    <t>WOS:000247732900001</t>
  </si>
  <si>
    <t>Dean, TA; Bodkin, JL; Fukuyama, AK; Jewett, SC; Monson, DH; O'Clair, CE; VanBlaricom, GR</t>
  </si>
  <si>
    <t>Prince William Sound; Alaska; predator-prey interaction; prey availability; prey consumption rate; condition indices</t>
  </si>
  <si>
    <t>PRINCE-WILLIAM-SOUND; ENHYDRA-LUTRIS; POPULATION REGULATION; SHORELINE TREATMENTS; NORTHERN AUSTRALIA; FERAL DONKEYS; WILD REINDEER; TIME BUDGETS; ALASKA; MORTALITY</t>
  </si>
  <si>
    <t>We examined the potential role of food limitation in constraining the recovery of sea otters Enhydra lutris in Prince William Sound, Alaska, following the 'Exxon Valdez' oil spill. The spill resulted in the removal of a large number of sea otters in 1989, and as of 1998, the portion of the population in the heavily oiled northern Knight Island region had not fully recovered. Between 1996 and 1998, prey consumption rate was higher and the condition of sea otters was better at northern Knight Island than in an unoiled area of the sound (Montague Island). Estimates of prey energy available per unit mass of sea otter were about 4 times higher at Knight than Montague Island, albeit not significantly different between the 2 areas. Over this, same period, the number of sea otters remained constant at northern Knight Island but increased at Montague Island. These data suggest that food was at least as abundant at Knight than at Montague Island, and that recovery of sea otters via intrinsic population growth was limited by factors other than food. However, the availability of food, the prey consumption rate, and the condition of sea otters were all much lower at both Knight and Montague Islands than in areas newly occupied by sea otters where the population growth rate was near the theoretical maximum. It is possible that the relatively short supply of food (compared to areas where sea otter population growth rate was high) may have inhibited immigration or interacted with other factors (e.g. oil-induced mortality or predation) to restrict sea otter population growth. Nonetheless, these data suggest that impacts of anthropogenic disturbances on large, often food-limited vertebrate predators can persist in spite of the availability of food resources that are sufficient for intrinsic population growth.</t>
  </si>
  <si>
    <t>Coastal Resources Associates, Carlsbad, CA 92008 USA; US Geol Survey, Alaska Biol Sci Ctr, Biol Res Div, Anchorage, AK 99503 USA; Univ Washington, US Geol Survey, Sch Aquat &amp; Fishery Sci,Biol Resource Div, Washington Cooperat Fish &amp; Wildlife Res Unit, Seattle, WA 98195 USA; Univ Alaska, Inst Marine Sci, Fairbanks, AK 99775 USA; Natl Marine Fisheries Serv, Auke Bay Lab, Juneau, AK 99801 USA</t>
  </si>
  <si>
    <t>United States Department of the Interior; United States Geological Survey; University of Washington; University of Washington Seattle; United States Department of the Interior; United States Geological Survey; University of Alaska System; University of Alaska Fairbanks; National Oceanic Atmospheric Admin (NOAA) - USA; National Aeronautics &amp; Space Administration (NASA)</t>
  </si>
  <si>
    <t>Dean, TA (corresponding author), Coastal Resources Associates, 5674 El Camino Real,Suite M, Carlsbad, CA 92008 USA.</t>
  </si>
  <si>
    <t>coastal_resources@sbcglobal.net</t>
  </si>
  <si>
    <t>10.3354/meps241255</t>
  </si>
  <si>
    <t>613RU</t>
  </si>
  <si>
    <t>WOS:000179145900023</t>
  </si>
  <si>
    <t>Tans, M; Hugla, JL; Libois, RM; Rosoux, R; Thome, JP</t>
  </si>
  <si>
    <t>otter; PCBs; organochlorinated pesticides</t>
  </si>
  <si>
    <t>RESIDUES</t>
  </si>
  <si>
    <t>During the past fourty years, otter (Lutra lutra) populations have: severely declined over much of Europe. One of the main regression factors appears to be pollution by organochlorine xenobiotics, especially PCBs. The present study took place in France, in the wetlands of the Atlantic border, where otter populations are considered to be stable. Muscle, pericaudal fat, and liver of 33 otters were analysed for 22 PCB congeners and organochlorine pesticides. The mean concentrations of organochlorinated pesticides in samples are relatively low (from 0 to 5.71 mg kg(-1) lipid weight). The PCB concentrations are higher (mean in muscular tissue: 26.19 mg kg(-1) lipid weight), but still remain low compared to similar samples from other countries. The relation between PCB concentration and physiological variables is discussed. Congener-specific analysis shows an important contamination due to highly chlorinated congeners and a poor contamination due to low chlorinated congeners. Potential hazards due to organochlorinated compounds are also discussed.</t>
  </si>
  <si>
    <t>UNIV LIEGE,LAB ECOL ANIM &amp; ECOTOXICOL,INST ZOOL,B-4020 LIEGE,BELGIUM; UNIV LIEGE,UNITE RECH ECOL MAMMIFERES,INST ZOOL,B-4020 LIEGE,BELGIUM; PARC NAT REG MARAIS POITEVIN,F-17170 LA RONDE,FRANCE</t>
  </si>
  <si>
    <t>University of Liege; University of Liege</t>
  </si>
  <si>
    <t>E J BRILL</t>
  </si>
  <si>
    <t>PO BOX 9000, 2300 PA LEIDEN, NETHERLANDS</t>
  </si>
  <si>
    <t>VY828</t>
  </si>
  <si>
    <t>WOS:A1996VY82800016</t>
  </si>
  <si>
    <t>Kang, JH; Rhim, SJ</t>
  </si>
  <si>
    <t>Kang, Jung-Hoon; Rhim, Shin-Jae</t>
  </si>
  <si>
    <t>JOURNAL OF ANIMAL AND VETERINARY ADVANCES</t>
  </si>
  <si>
    <t>Eurasian otter; habitat; South Korea; spraint; water system; pollutants</t>
  </si>
  <si>
    <t>AVAILABILITY; POPULATIONS; DIET</t>
  </si>
  <si>
    <t>Researchers conducted this study to clarify the distribution and habitat conditions of the Eurasian otter Lutra lutra in. the Hangang water system, South Korea. Researchers evaluated a total 358 habitat sites widely distributed in the Hangang river water system. The altitudinal distribution ranges were similar in the Bukhangang and Namhangang areas. The width of river in habitat points ranged from 4-1,017 m. The mean water velocity was 0.32 +/- 0.15 m sec(-1). Habitat variables such as site condition, river width, bottom status, bankside vegetation, land use type, grass height, vegetation cover, artificial structures, water use and pollutants were significantly different among areas except for forest type and shrub height Furthermore, land use type, artificial structures, water use and pollutants were disturbance factors. To conserve the Eurasian otter and its habitat, the riparian habitat should be managed and conserved.</t>
  </si>
  <si>
    <t>[Kang, Jung-Hoon; Rhim, Shin-Jae] Chung Ang Univ, Sch Bioresource &amp; Biosci, Ansung 456756, South Korea; [Kang, Jung-Hoon] Cultural Heritage Adm, Nat Heritage Ctr, Taejon 302834, South Korea</t>
  </si>
  <si>
    <t>Chung Ang University</t>
  </si>
  <si>
    <t>Rhim, SJ (corresponding author), Chung Ang Univ, Sch Bioresource &amp; Biosci, Ansung 456756, South Korea.</t>
  </si>
  <si>
    <t>MEDWELL ONLINE</t>
  </si>
  <si>
    <t>FAISALABAD</t>
  </si>
  <si>
    <t>ANSINET BUILDING, 308-LASANI TOWN, SARGODHA RD, FAISALABAD, 38090, PAKISTAN</t>
  </si>
  <si>
    <t>1680-5593</t>
  </si>
  <si>
    <t>1993-601X</t>
  </si>
  <si>
    <t>J ANIM VET ADV</t>
  </si>
  <si>
    <t>J. Anim. Vet. Adv.</t>
  </si>
  <si>
    <t>102NK</t>
  </si>
  <si>
    <t>WOS:000315851100013</t>
  </si>
  <si>
    <t>Blundell, GM; Ben-David, M; Groves, P; Bowyer, RT; Geffen, E</t>
  </si>
  <si>
    <t>assignment tests; breeding dispersal; dispersal distances; isolation by distance; microsatellite DNA; social structure</t>
  </si>
  <si>
    <t>MINK MUSTELA-VISON; MICROSATELLITE DATA; RARE ALLELES; HOME RANGES; LUTRA; DIFFERENTIATION; CONSEQUENCES; STATISTICS; DIVERSITY; EVOLUTION</t>
  </si>
  <si>
    <t>River otters (Lontra canadensis) were extirpated from much of their historic distribution because of exposure to pollution and urbanization, resulting in expansive reintroduction programmes that continue today for this and other species of otters worldwide. Bioaccumulation of toxins negatively affects fecundity among mustelids, but high vagility and different dispersal distances between genders may permit otter populations to recover from extirpation caused by localized environmental pollution. Without understanding the influence of factors such as social structure and sex-biased dispersal on genetic variation and gene flow among populations, effects of local extirpation and the potential for natural recolonization (i.e. the need for translocations) cannot be assessed. We studied gene flow among seven study areas for river otters (n = 110 otters) inhabiting marine environments in Prince William Sound, Alaska, USA. Using nine DNA microsatellite markers and assignment tests, we calculated immigration rates and dispersal distances and tested for isolation by distance. In addition, we radiotracked 55 individuals in three areas to determine characteristics of dispersal. Gender differences in sociality and spatial relationships resulted in different dispersal distances. Male river otters had greater gene flow among close populations (within 16-30 km) mostly via breeding dispersal, but both genders exhibited an equal, low probability of natal dispersal; and some females dispersed 6090 km. These data, obtained in a coastal environment without anthropogenic barriers to dispersal (e.g. habitat fragmentation or urbanization), may serve as baseline data for predicting dispersal under optimal conditions. Our data may indicate that natural recolonization of coastal river otters following local extirpation could be a slow process because of low dispersal among females, and recolonization may be substantially delayed unless viable populations occurred nearby. Because of significant isolation by distance for male otters and low gene flow for females, translocations should be undertaken with caution to help preserve genetic diversity in this species.</t>
  </si>
  <si>
    <t>Univ Wyoming, Dept Zool &amp; Physiol, Laramie, WY 82071 USA; Univ Alaska Fairbanks, Alaska Cooperat Fish &amp; Wildlife Res Unit, Fairbanks, AK USA; Univ Alaska Fairbanks, Inst Arctic Biol, Fairbanks, AK USA; Univ Alaska Fairbanks, Dept Biol &amp; Wildlife, Fairbanks, AK USA; Tel Aviv Univ, Inst Nat Conservat Res, Ramat Aviv, Israel</t>
  </si>
  <si>
    <t>University of Wyoming; University of Alaska System; University of Alaska Fairbanks; University of Alaska System; University of Alaska Fairbanks; University of Alaska System; University of Alaska Fairbanks; Tel Aviv University</t>
  </si>
  <si>
    <t>Ben-David, M (corresponding author), Univ Wyoming, Dept Zool &amp; Physiol, Laramie, WY 82071 USA.</t>
  </si>
  <si>
    <t>bendavid@uwyo.edu</t>
  </si>
  <si>
    <t>10.1046/j.0962-1083.2001.01440.x</t>
  </si>
  <si>
    <t>531PK</t>
  </si>
  <si>
    <t>WOS:000174424000001</t>
  </si>
  <si>
    <t>Honnen, AC; Petersen, B; Kassler, L; Elmeros, M; Roos, A; Sommer, RS; Zachos, FE</t>
  </si>
  <si>
    <t>Honnen, Ann-Christin; Petersen, Britt; Kassler, Leena; Elmeros, Morten; Roos, Anna; Sommer, Robert S.; Zachos, Frank E.</t>
  </si>
  <si>
    <t>JOURNAL OF ZOOLOGICAL SYSTEMATICS AND EVOLUTIONARY RESEARCH</t>
  </si>
  <si>
    <t>Lutra lutra; assignment tests; Bayesian structure analysis; Germany - microsatellites; mitochondrial DNA</t>
  </si>
  <si>
    <t>DNA VARIATION; SOFTWARE; VARIABILITY; DIVERSITY</t>
  </si>
  <si>
    <t>We analysed 229 Eurasian otters from eastern and north-western Germany, Denmark and southern Sweden based on sequences of the mtDNA control region and genotypes at 12 polymorphic nuclear microsatellite loci. The main focus of the study lay on the north-west German otters from Schleswig-Holstein, which represent a newly established and expanding population recolonizing a formerly inhabited region, thereby closing the distributional gap between the large eastern population and the long-isolated and genetically depleted Danish population. As found before in this species, mtDNA variability was very low but we identified a hitherto unknown haplotype in Sweden. Expected heterozygosities were between 0.46 and 0.69 and thus within the range known from the literature. There were only weak signs of a founder effect in the Schleswig-Holstein otters with respect to allelic diversity (but not heterozygosity). Nevertheless, there was a statistically significant bottleneck signal based on deviations from mutation-drift equilibrium in Schleswig-Holstein. All statistical approaches (amovas, factorial correspondence analysis, assignment tests and Bayesian structure analysis) unequivocally showed that north-western Germany has so far been predominantly recolonized by otters of east German origin, but we also found evidence of admixture through immigration from Denmark. Both the Danish and the north-west German otter population will benefit from further exchange in the wake of the ongoing range expansion.Zusammenfassung Insgesamt 229 Fischotter aus dem Osten und Nordwesten Deutschlands sowie aus Danemark und Sudschweden wurden auf der Basis von Sequenzen der mitochondrialen Kontrollregion und Genotypen an 12 polymorphen nuklearen Mikrosatellitenloci populationsgenetisch untersucht. Hauptaugenmerk lag auf dem Bestand in Schleswig-Holstein, der in jungster Zeit neu etabliert wurde und sich weiterhin ausbreitet. Damit schlie ss t dieser die Verbreitungslucke zwischen der gro ss en Population im Osten und den lange isolierten und genetisch verarmten Ottern in Danemark. Im Einklang mit fruheren Studien war die Variabilitat des mitochondrialen Markers sehr gering; es wurde jedoch ein bisher unbekannter Haplotyp in Schweden nachgewiesen. Die erwartete Heterozygotie lag mit Werten zwischen 0.46 und 0.69 im fur Fischotter ublichen Bereich. Es gab schwache Anzeichen eines Grundereffektes fur Schleswig-Holstein in Bezug auf Alleldiversitat, nicht jedoch Heterozygotie. Dennoch war ein Bottleneck-Test basierend auf Abweichungen vom Mutationsdrift-Gleichgewicht fur Schleswig-Holstein statistisch signifikant. Alle statistischen Verfahren (amovas, FCA, Assignment-Tests und Bayesianische Structure-Analyse) zeigten, dass Nordwestdeutschland bisher uberwiegend vom Osten her wiederbesiedelt wird, doch wurden auch genetische Spuren einer Immigration aus Danemark gefunden. Sowohl die danische als auch die nordwestdeutsche Fischotterpopulation werden von einem weiteren genetischen Austausch im Zuge der gegenwartigen Ausbreitung profitieren.</t>
  </si>
  <si>
    <t>[Honnen, Ann-Christin; Kassler, Leena; Zachos, Frank E.] Univ Kiel, Inst Zool, D-24098 Kiel, Germany; [Petersen, Britt] Univ Hosp, Inst Clin Mol Biol, Kiel, Germany; [Elmeros, Morten] Aarhus Univ, NERI, Dept Wildlife Ecol &amp; Biodivers, Ronde, Denmark; [Roos, Anna] Swedish Museum Nat Hist, S-10405 Stockholm, Sweden; [Sommer, Robert S.] Univ Kiel, Ctr Ecol, Kiel, Germany; [Zachos, Frank E.] Polish Acad Sci, Mammal Res Inst, Bialowieza, Poland</t>
  </si>
  <si>
    <t>University of Kiel; University of Kiel; Schleswig Holstein University Hospital; Aarhus University; Danish National Environmental Research Institute; Swedish Museum of Natural History; University of Kiel; Polish Academy of Sciences; Mammal Research Institute of the Polish Academy of Sciences</t>
  </si>
  <si>
    <t>Zachos, FE (corresponding author), Univ Kiel, Inst Zool, D-24098 Kiel, Germany.</t>
  </si>
  <si>
    <t>ac-ho@web.de; b.petersen@ikmb.uni-kiel.de; leena.kassler@gmx.de; elm@dmu.dk; anna.roos@nrm.se; r.sommer@ecology.uni-kiel.de; fzachos@zoologie.uni-kiel.de</t>
  </si>
  <si>
    <t>Löscher, Britt-Sabina/I-1671-2012; Elmeros, Morten/K-3094-2013</t>
  </si>
  <si>
    <t>Löscher, Britt-Sabina/0000-0001-9022-9017; Honnen, Ann-Christin/0000-0003-4355-7231</t>
  </si>
  <si>
    <t>Ministerium fur Landwirtschaft, Umwelt und landliche Raume des Landes Schleswig-Holstein, Germany</t>
  </si>
  <si>
    <t>This study is part of the project Populationsokologische Untersuchungen am Fischotter (Lutra lutra) in Schleswig-Holstein funded by the Ministerium fur Landwirtschaft, Umwelt und landliche Raume des Landes Schleswig-Holstein, Germany.</t>
  </si>
  <si>
    <t>0947-5745</t>
  </si>
  <si>
    <t>1439-0469</t>
  </si>
  <si>
    <t>J ZOOL SYST EVOL RES</t>
  </si>
  <si>
    <t>J. Zool. Syst. Evol. Res.</t>
  </si>
  <si>
    <t>10.1111/j.1439-0469.2010.00582.x</t>
  </si>
  <si>
    <t>Evolutionary Biology; Zoology</t>
  </si>
  <si>
    <t>745HU</t>
  </si>
  <si>
    <t>WOS:000289157300009</t>
  </si>
  <si>
    <t>Koelewijn, HP; Pérez-Haro, M; Jansman, HAH; Boerwinkel, MC; Bovenschen, J; Lammertsma, DR; Niewold, FJJ; Kuiters, AT</t>
  </si>
  <si>
    <t>Koelewijn, H. P.; Perez-Haro, M.; Jansman, H. A. H.; Boerwinkel, M. C.; Bovenschen, J.; Lammertsma, D. R.; Niewold, F. J. J.; Kuiters, A. T.</t>
  </si>
  <si>
    <t>Carnivores; DNA; Effective population; Faeces; Mating system; Parentage analysis; Recruitment; Sex-biased dispersal</t>
  </si>
  <si>
    <t>POPULATION-SIZE; CONSERVATION GENETICS; SPATIAL-ORGANIZATION; MICROSATELLITE LOCI; DNA; WILDLIFE; FECES; IDENTIFICATION; RELIABILITY; CARNIVORES</t>
  </si>
  <si>
    <t>The last recorded presence of the Eurasian otter (Lutra lutra) in the Netherlands dates from 1989 and concerned a dead individual. In 2002 a reintroduction programme was started, and between June 2002 and April 2008 a total of 30 individuals (10 males and 20 females) were released into a lowland peat marsh in the north of the Netherlands. Noninvasive genetic monitoring based on the genetic profiles obtained from DNA extracted from otter faeces (spraints) was chosen for the post-release monitoring of the population. To this end, the founding individuals were genotyped before release and spraints were collected in the release area each winter from 2002 to 2008. From June 2002 to April 2008 we analysed the genetic profile of 1,265 spraints on the basis of 7-15 microsatellite loci, 582 of which (46%) were successfully assigned to either released or newly identified genotypes. We identified 54 offspring (23 females and 31 males): the females started to reproduce after 2 years and the males after 4 years. The mating and reproductive success among males was strongly skewed, with a few dominant males fathering two-thirds of the offspring, but the females had a more even distribution. The effective population size (Ne) was only about 30% of the observed density (N), mainly because of the large variance in reproductive success among males. Most juvenile males dispersed to surrounding areas on maturity, whereas juvenile females stayed inside the area next to the mother's territory. The main cause of mortality was traffic accidents. Males had a higher mortality rate (22 out of 41 males (54%) vs. 9 out of 43 females (21%)). During winter 2007/08 we identified 47 individuals, 41 of which originated from mating within the release area. This study demonstrates that noninvasive molecular methods can be used efficiently in post-release monitoring studies of elusive species to reveal a comprehensive picture of the state of the population.</t>
  </si>
  <si>
    <t>[Koelewijn, H. P.; Perez-Haro, M.; Jansman, H. A. H.; Boerwinkel, M. C.; Bovenschen, J.; Lammertsma, D. R.; Niewold, F. J. J.; Kuiters, A. T.] ALTERRA Wageningen UR, Ctr Ecosyst Studies, NL-6700 AA Wageningen, Netherlands</t>
  </si>
  <si>
    <t>Wageningen University &amp; Research</t>
  </si>
  <si>
    <t>Koelewijn, HP (corresponding author), ALTERRA Wageningen UR, Ctr Ecosyst Studies, POB 47, NL-6700 AA Wageningen, Netherlands.</t>
  </si>
  <si>
    <t>hanspeter.koelewijn@wur.nl</t>
  </si>
  <si>
    <t>10.1007/s10592-010-0051-6</t>
  </si>
  <si>
    <t>WOS:000275455700022</t>
  </si>
  <si>
    <t>Geboes, AL; Rosoux, R; Lemarchand, C; Hansen, E; Libois, R</t>
  </si>
  <si>
    <t>Geboes, Anne-Laure; Rosoux, Rene; Lemarchand, Charles; Hansen, Eric; Libois, Roland</t>
  </si>
  <si>
    <t>European otter; Lutra lutra; Microsatellites; Population structure; France</t>
  </si>
  <si>
    <t>MULTILOCUS GENOTYPE DATA; MICROSATELLITE POLYMORPHISM; DIFFERENTIATION; INDIVIDUALS; BOTTLENECKS; MORTALITY; INFERENCE; PATTERNS; BRITAIN; NUMBER</t>
  </si>
  <si>
    <t>During the last century, the Eurasian otter (Lutra lutra) suffered a dramatic decline in Europe. In France, the same pattern of sharp decline was observed with local extinctions in many regions. Before the recolonisation process, two main populations still remained along the Atlantic coast and in the Massif Central. To investigate the impact of this decline on the genetic diversity and structure of the French otter population, tissue samples of 144 otter carcasses from road kills that were found during 1992-2011 along the Atlantic coast and in the Massif Central were used. They were analysed using 10 microsatellites loci. Observed (H (o) = 0.64) and expected heterozygosity (H (e) = 0.62) were moderate, but consistent with results found in other European populations. The bottleneck test showed an excess of heterozygotes, providing evidence of a recent decline. There was evidence for weak but significant allelic frequencies divergence between otters from the Atlantic coast and those from the Massif Central (F (st) = 0.040, p &lt; 0.05), probably resulting from their isolation prior to the recolonisation process. As the French otter population has been expanding for several years, genetic intermixing is now occurring. Although this expansion has not yet genetically homogenised all populations, this is may be a matter a time.</t>
  </si>
  <si>
    <t>[Geboes, Anne-Laure] Univ Liege, Evolut &amp; Conservat Biol Unit, Liege, Belgium; [Rosoux, Rene] Museum Sci Nat Orleans, Orleans, France; [Lemarchand, Charles] VetAgro Sup Lyon Lab Toxicol, Lyon, France; [Hansen, Eric] Off Natl Chasse &amp; Faune Sauvage, Reg Ctr, Paris, France; [Libois, Roland] Univ Liege, Zoogeog Unit, Liege, Belgium</t>
  </si>
  <si>
    <t>University of Liege; VetAgro Sup; University of Liege</t>
  </si>
  <si>
    <t>Geboes, AL (corresponding author), Univ Liege, Evolut &amp; Conservat Biol Unit, Liege, Belgium.</t>
  </si>
  <si>
    <t>al.geboes@ulg.ac.be</t>
  </si>
  <si>
    <t>Natural History Museum of Orleans; DREAL Poitou-Charentes; regional direction Centre/Ile-de-France of the ONCFS; Catiche Productions</t>
  </si>
  <si>
    <t>Natural History Museum of Orleans; DREAL Poitou-Charentes; regional direction Centre/Ile-de-France of the ONCFS(Region Nouvelle-Aquitaine); Catiche Productions</t>
  </si>
  <si>
    <t>We would like to acknowledge the Natural History Museum of Orleans for the collection, the centralisation and the storage of otter tissue samples, the departmental services of the ONCFS (Loire-Atlantique, Vendee, Charente-Maritime, Deux-Sevres, Gironde, Aveyron, Lot, Lozere, Cantal, Allier, Puy-de-Dome, Correze, Creuse, Vienne, Haute-Vienne, Indre) to have facilitated this collection in many regions of France, the LPO (Vendee, Charente-Maritime, Charente, Pays de la Loire), the Natural Hstory Museum of Nantes et M. Didier Monfort, Catiche Productions, GREGE, the Parc Interregional of Marais Poitevin and PRO LUTRA association for their active collaboration in the survey, collection and storage of dead otters. Willy Dabin CNRS/ Pelagis for the odontochronological analyses. For their advice in laboratory and statistical analyses, we would like to thank especially Laurent Gohy, Virginie Hutsemeykers and Clotilde Lambinet, Marie-France Larigauderie, Marie-des-Neiges de Bellefroid and Amina Brahimi. For the map of France, we wish to thank Arnaud Beckers. We also thank the two anonymous reviewers for their careful revision and comments. This study has been partly supported by the Natural History Museum of Orleans, the DREAL Poitou-Charentes, the regional direction Centre/Ile-de-France of the ONCFS and Catiche Productions.</t>
  </si>
  <si>
    <t>10.1007/s13364-015-0258-5</t>
  </si>
  <si>
    <t>DH6DE</t>
  </si>
  <si>
    <t>WOS:000372880400004</t>
  </si>
  <si>
    <t>Jo, YS; Won, CM; Fritts, SR; Wallace, MC; Baccus, JT</t>
  </si>
  <si>
    <t>Jo, Yeong-Seok; Won, Chang-Man; Fritts, Sarah R.; Wallace, Mark C.; Baccus, John T.</t>
  </si>
  <si>
    <t>detection-non-detection; distribution; Eurasian otter; habitat model; Lutra lutra; MaxEnt; South Korea</t>
  </si>
  <si>
    <t>SPECIES DISTRIBUTION; PRESENCE-ABSENCE; RIVER OTTERS; POPULATIONS; RECOVERY; ACIDIFICATION; SUITABILITY; INDICATOR; EXPANSION; DENSITY</t>
  </si>
  <si>
    <t>Eastern populations of the Eurasian otter (Lutra lutra) have declined throughout Asia. Although the South Korean government designated the Eurasian otter as an Endangered Species and Natural Monument, limited information exists on the distribution and habitat of this top predator in riparian ecosystems at this terminus of its distribution. We documented the distribution and modeled the habitat of this species using sign survey data collected in 2009 and 2010. We analyzed otter presence with 21 raster data sets using environmental niche modeling. We evaluated 31 variables as explanatory variables for logistic regression models that considered detection and non-detection data. We detected otter sign at 83% (3,288 of 3,957) of survey sites within 63% (680 of 1,074) of survey cells. In our MaxEnt presence-only model, land cover type was the main contributing factor to predicting habitat suitability, with secondary influences from isothermality, precipitation in the wettest month, elevation, and temperature seasonality. Water quality and human disturbance were the main variables significantly associated with otter occurrence based on the regression model that included detection and non-detection data. Direct measures of human activity, such as traffic volume and land price, were better predictors than stationary factors such as density of buildings. Our results suggest that otters and humans can coexist in highly populated areas. Our information on the distribution and habitat characteristics of Eurasian otters in South Korea will assist habitat management and recovery projects in natural and anthropogenic environments.</t>
  </si>
  <si>
    <t>[Jo, Yeong-Seok; Won, Chang-Man] Natl Inst Biol Resources, Anim Resources Div, Incheon 404708, South Korea; [Fritts, Sarah R.; Wallace, Mark C.] Texas Tech Univ, Dept Nat Resources Management, Lubbock, TX 79409 USA; [Baccus, John T.] Texas State Univ, Dept Biol, San Marcos, TX 78666 USA</t>
  </si>
  <si>
    <t>National Institute of Biological Resources; Texas Tech University System; Texas Tech University; Texas State University System; Texas State University San Marcos</t>
  </si>
  <si>
    <t>Jo, YS (corresponding author), Natl Inst Biol Resources, Anim Resources Div, Incheon 404708, South Korea.</t>
  </si>
  <si>
    <t>biostan@hotmail.com</t>
  </si>
  <si>
    <t>Jo, Yeong-Seok/Q-9427-2019; Wallace, Mark/A-1263-2010</t>
  </si>
  <si>
    <t>Jo, Yeong-Seok/0000-0002-0711-3871;</t>
  </si>
  <si>
    <t>AUG 1</t>
  </si>
  <si>
    <t>10.1093/jmammal/gyx037</t>
  </si>
  <si>
    <t>FC4YV</t>
  </si>
  <si>
    <t>WOS:000406848500016</t>
  </si>
  <si>
    <t>Schmidt, G; L'Hoste, L; Dohet, A; Boscher, A; Cauchie, HM; Hoffmann, L</t>
  </si>
  <si>
    <t>Schmidt, Gerard; L'Hoste, Lionel; Dohet, Alain; Boscher, Aurore; Cauchie, Henry-Michel; Hoffmann, Lucien</t>
  </si>
  <si>
    <t>ANIMAL BIOLOGY</t>
  </si>
  <si>
    <t>Habitat assessment; habitat management; European otter; Lutra lutra; otter conservation; Luxembourg</t>
  </si>
  <si>
    <t>The presence of habitats such as burrows and dense willows along the rivers is very important for the survival of the European otter in terms of structures allowing quiet living conditions and possibilities for reproduction. To prevent the extinction of the otter in Luxembourg and nearby areas, an assessment of otter habitats and populations was made in 1994. This first evaluation has demonstrated that only rivers in the north of Luxembourg were suitable for otter populations in terms of quality of habitats and that only a few individuals were still present in this part of the country. In 2007, a new habitat assessment was carried out to define priorities for the management of habitats and to build or rebuild corridors to Support otter migration and allow re-establishment of stable otter populations in the Benelux Countries. Two similar methods were used to assess quality of habitats in 1994 and 2007. The results of the habitat assessment are different for the Mid Sure River and similar for the River Wiltz, the River Wark, the River Our and the Upper Sure River. This variation is probably due to assessment complexity and observer subjectivity, but also to the difficulty to have a practical methodology for management priorities. From this point of view it would be useful to have a standard methodology at the European level to assess otter habitats. (C) Koninklijke Brill NV, Leiden, 2008</t>
  </si>
  <si>
    <t>[Schmidt, Gerard; L'Hoste, Lionel; Dohet, Alain; Boscher, Aurore; Cauchie, Henry-Michel; Hoffmann, Lucien] Ctr Rech Publ Gabriel Lippmann, EVA Dept Environm &amp; Agrobiotechnol, L-4422 Luxembourg, Luxembourg</t>
  </si>
  <si>
    <t>Luxembourg Institute of Science &amp; Technology</t>
  </si>
  <si>
    <t>Schmidt, G (corresponding author), Ctr Rech Publ Gabriel Lippmann, EVA Dept Environm &amp; Agrobiotechnol, Rue Brill 41, L-4422 Luxembourg, Luxembourg.</t>
  </si>
  <si>
    <t>schmidt@lippmann.lu</t>
  </si>
  <si>
    <t>Cauchie, Henry-Michel/K-8123-2014</t>
  </si>
  <si>
    <t>Cauchie, Henry-Michel/0000-0003-4780-6100; L'Hoste, Lionel/0000-0003-0239-9468</t>
  </si>
  <si>
    <t>European Commission; Ministry of the Environment; Ministry of Internal Affairs of Luxembourg [LIFE05 NAT/B/000085]</t>
  </si>
  <si>
    <t>European Commission(European Union (EU)European Commission Joint Research Centre); Ministry of the Environment(Ministry of the Environment, Japan); Ministry of Internal Affairs of Luxembourg</t>
  </si>
  <si>
    <t>We would like to thank the European Commission, the Ministry of the Environment and the Ministry of Internal Affairs of Luxembourg for the financial support in the framework of the LIFE Nature project (LIFE05 NAT/B/000085).</t>
  </si>
  <si>
    <t>1570-7555</t>
  </si>
  <si>
    <t>1570-7563</t>
  </si>
  <si>
    <t>ANIM BIOL</t>
  </si>
  <si>
    <t>Anim. Biol.</t>
  </si>
  <si>
    <t>10.1163/157075608Y383728</t>
  </si>
  <si>
    <t>385NR</t>
  </si>
  <si>
    <t>WOS:000261821400008</t>
  </si>
  <si>
    <t>Sainsbury, KA; Shore, RF; Schofield, H; Croose, E; Hantke, G; Kitchener, AC; McDonald, RA</t>
  </si>
  <si>
    <t>Sainsbury, Katherine A.; Shore, Richard F.; Schofield, Henry; Croose, Elizabeth; Hantke, Georg; Kitchener, Andrew C.; McDonald, Robbie A.</t>
  </si>
  <si>
    <t>Polecat; Mustela putorius; Diet; Rabbits; Species recovery</t>
  </si>
  <si>
    <t>FEEDING-HABITS; ORYCTOLAGUS-CUNICULUS; FOOD-HABITS; BRITISH; STOATS; MARTES; EXPLOITATION; ERMINEA; DECLINE; AREA</t>
  </si>
  <si>
    <t>Following nineteenth-century declines, polecats Mustela putorius are recolonising Great Britain. Polecat diet relates to two potential risks to recovery. First, rabbits Oryctolagus cuniculus, which are important prey for polecats, have experienced extreme population fluctuations, with near extirpation due to myxomatosis in the 1950s, recovery in 1960s-1990s and declines in 1990s-2010s. Second, polecats are secondarily exposed to anticoagulant rodenticides by eating contaminated rodents, and the frequency of polecat exposure to rodenticides is increasing. We analysed stomach contents from 99 polecats collected in 2012-2016 and compared results with earlier studies. Lagomorphs were the most abundant prey (66% frequency of occurrence, 95% confidence interval 53-74%), followed by other mammals (12%, 4-18%), amphibians (10%, 3-16%) and birds (7%, 1-13%). Diet varied seasonally; lagomorph occurrence was highest in spring and summer and lowest in autumn. Dietary niche breadth was greater in the 1960s, when rabbits were scarce, than in other decades, but did not differ between the 1990s and 2010s, indicating that diets have not diversified with recent rabbit declines. This may be because rabbit abundance is not yet low enough to cause dietary diversification or because polecats were collected in areas where rabbits were still abundant. Rodents did not increase in diet between the 1990s and 2010s and still occur with &lt; 10% frequency, indicating that rodents need not contribute much to diet to expose polecats to rodenticides. This potentially limits the effectiveness of management actions designed to minimise polecat exposure to contaminated rodent prey.</t>
  </si>
  <si>
    <t>[Sainsbury, Katherine A.; McDonald, Robbie A.] Univ Exeter, Environm &amp; Sustainabil Inst, Penryn Campus, Penryn TR10 9FE, England; [Shore, Richard F.] UK Ctr Ecol &amp; Hydrol, Lancaster LA1 4AP, England; [Schofield, Henry; Croose, Elizabeth] Vincent Wildlife Trust, 3-4 Bronsil Courtyard, Eastnor HR8 1EP, Ledbury, England; [Hantke, Georg; Kitchener, Andrew C.] Natl Museums Scotland, Chambers St, Edinburgh EH1 1JF, Midlothian, Scotland; [Kitchener, Andrew C.] Univ Edinburgh, Sch Geosci, Inst Geog, Drummond St, Edinburgh EH8 9XP, Midlothian, Scotland</t>
  </si>
  <si>
    <t>University of Exeter; UK Centre for Ecology &amp; Hydrology (UKCEH); University of Edinburgh</t>
  </si>
  <si>
    <t>McDonald, RA (corresponding author), Univ Exeter, Environm &amp; Sustainabil Inst, Penryn Campus, Penryn TR10 9FE, England.</t>
  </si>
  <si>
    <t>R.McDonald@exeter.ac.uk</t>
  </si>
  <si>
    <t>Shore, Richard/A-2638-2012; Schofield, Henry/OYE-0300-2025; McDonald, Robbie/AAK-2718-2020</t>
  </si>
  <si>
    <t>McDonald, Robbie/0000-0002-6922-3195; Kitchener, Anew/0000-0003-2594-0827</t>
  </si>
  <si>
    <t>Negaunee Foundation; Vincent Wildlife Trust; College of Life and Environmental Sciences, University of Exeter</t>
  </si>
  <si>
    <t>We thank all polecat carcass contributors, M. Bruce and M. Chappell for processing stomach contents and initial analysis and L. Walker and E. Potter for managing carcass collection as part of the Predatory Birds Monitoring Scheme. ACK is grateful to the Negaunee Foundation for its continuing generous support of a preparator at National Museums Scotland. KS was supported by a PhD studentship funded by Vincent Wildlife Trust and the College of Life and Environmental Sciences, University of Exeter.</t>
  </si>
  <si>
    <t>10.1007/s13364-020-00484-0</t>
  </si>
  <si>
    <t>FEB 2020</t>
  </si>
  <si>
    <t>KW0AH</t>
  </si>
  <si>
    <t>WOS:000516496200001</t>
  </si>
  <si>
    <t>Gagne, RB; Tinker, MT; Gustafson, KD; Ralls, K; Larson, S; Tarjan, LM; Miller, MA; Ernest, HB</t>
  </si>
  <si>
    <t>Gagne, Roderick B.; Tinker, M. Timothy; Gustafson, Kyle D.; Ralls, Katherine; Larson, Shawn; Tarjan, L. Max; Miller, Melissa A.; Ernest, Holly B.</t>
  </si>
  <si>
    <t>EVOLUTIONARY APPLICATIONS</t>
  </si>
  <si>
    <t>conservation genetics; effective population size; Enhydra lutris nereis; evolutionary potential; genetic monitoring</t>
  </si>
  <si>
    <t>LINKAGE DISEQUILIBRIUM; GENETIC DIVERSITY; ENHYDRA-LUTRIS; RE-IMPLEMENTATION; N-E; SOFTWARE; AGE; DEMOGRAPHY; INFERENCE; EXPANSION</t>
  </si>
  <si>
    <t>Conservation genetic techniques and considerations of the evolutionary potential of a species are increasingly being applied to species conservation. For example, effective population size (N-e) estimates are useful for determining the conservation status of species, yet accurate estimates of current N-e remain difficult to obtain. The effective population size can contribute to setting federal delisting criteria, as was done for the southern sea otter (Enhydra lutris nereis). After being hunted to near extinction during the North Pacific fur trade, the southern sea otter has recovered over part of its former range, but remains at relatively low numbers, making it desirable to obtain accurate and consistent estimates of N-e. Although theoretical papers have compared the validity of several methods, comparisons of estimators using empirical data in applied conservation settings are limited. We combined thirteen years of demographic and genetic data from 1,006 sea otters to assess multiple N-e estimators, as well as temporal trends in genetic diversity and population genetic structure. Genetic diversity was low and did not increase over time. There was no evidence for distinct genetic units, but some evidence for genetic isolation by distance. In particular, estimates of N-e based on demographic data were much larger than genetic estimates when computed for the entire range of the population, but were similar at smaller spatial scales. The discrepancy between estimates at large spatial scales could be driven by cryptic population structure and/or individual differences in reproductive success. We recommend the development of new delisting criteria for the southern sea otter. We advise the use of multiple estimates of N-e for other wide-ranging species, species with overlapping generations, or with sex-biased dispersal, as well as the development of improved metrics of genetic assessments of populations.</t>
  </si>
  <si>
    <t>[Gagne, Roderick B.; Gustafson, Kyle D.; Ernest, Holly B.] Univ Wyoming, Dept Vet Sci, Wildlife Genom &amp; Dis Ecol Lab, Laramie, WY 82070 USA; [Tinker, M. Timothy] US Geol Survey, Western Ecol Res Ctr, Santa Cruz, CA USA; [Ralls, Katherine] Smithsonian Conservat Biol Inst, Ctr Conservat Genom, Washington, DC USA; [Larson, Shawn] Seattle Aquarium, Seattle, WA USA; [Tarjan, L. Max] Univ Calif Santa Cruz, Dept Ecol &amp; Evolutionary Biol, Santa Cruz, CA 95064 USA; [Miller, Melissa A.] Calif Dept Fish &amp; Game, Marine Wildlife Vet Care &amp; Res Ctr, Santa Cruz, CA USA</t>
  </si>
  <si>
    <t>University of Wyoming; United States Department of the Interior; United States Geological Survey; Smithsonian Institution; Smithsonian National Zoological Park &amp; Conservation Biology Institute; University of California System; University of California Santa Cruz</t>
  </si>
  <si>
    <t>Ernest, HB (corresponding author), Univ Wyoming, Dept Vet Sci, Wildlife Genom &amp; Dis Ecol Lab, Laramie, WY 82070 USA.</t>
  </si>
  <si>
    <t>Holly.Ernest@uwyo.edu</t>
  </si>
  <si>
    <t>; Gustafson, Kyle/H-9451-2019; Tinker, Martin/D-3249-2018</t>
  </si>
  <si>
    <t>Ernest, Holly/0000-0002-0205-8818; Gagne, Roderick/0000-0002-4901-5081; Tarjan, Lily Maxine/0009-0008-1314-4034;</t>
  </si>
  <si>
    <t>California Coastal Conservancy; Monterey Bay Aquarium; U.S. Geological Survey; University of California Santa Cruz; U.S. Fish and Wildlife Service; California Dept. Fish and Wildlife</t>
  </si>
  <si>
    <t>California Coastal Conservancy; Monterey Bay Aquarium; U.S. Geological Survey(United States Geological Survey); University of California Santa Cruz(University of California System); U.S. Fish and Wildlife Service(US Fish &amp; Wildlife Service); California Dept. Fish and Wildlife</t>
  </si>
  <si>
    <t>California Coastal Conservancy; Monterey Bay Aquarium; U.S. Geological Survey; California Dept. Fish and Wildlife; University of California Santa Cruz; U.S. Fish and Wildlife Service</t>
  </si>
  <si>
    <t>1752-4571</t>
  </si>
  <si>
    <t>EVOL APPL</t>
  </si>
  <si>
    <t>Evol. Appl.</t>
  </si>
  <si>
    <t>10.1111/eva.12642</t>
  </si>
  <si>
    <t>HA1AD</t>
  </si>
  <si>
    <t>WOS:000449942900002</t>
  </si>
  <si>
    <t>Sutherland, C; Fuller, AK; Royle, JA; Madden, S</t>
  </si>
  <si>
    <t>Sutherland, Chris; Fuller, Angela K.; Royle, J. Andrew; Madden, Sean</t>
  </si>
  <si>
    <t>MINK MUSTELA-VISON; ESTIMATING POPULATION-DENSITY; FERAL AMERICAN MINK; DIETARY EXPOSURE; WILD MINK; HABITAT PREFERENCES; HUDSON RIVER; SAGINAW BAY; KIT GROWTH; REPRODUCTION</t>
  </si>
  <si>
    <t>Monitoring indicator species is a pragmatic approach to natural resource assessments, especially when the link between the indicator species and ecosystem state is well justified. However, conducting ecosystem assessments over representative spatial scales that are insensitive to local heterogeneity is challenging. We examine the link between polychlorinated biphenyl (PCB) contamination and population density of an aquatic habitat specialist over a large spatial scale using non-invasive genetic spatial capture-recapture. Using American mink (Neovison vison), a predatory mammal and an indicator of aquatic ecosystems, we compared estimates of density in two major river systems, one with extremely high levels of PCB contamination (Hudson River), and a hydrologically independent river with lower PCB levels (Mohawk River). Our work supports the hypothesis that mink densities are substantially (1.64-1.67 times) lower in the contaminated river system. We demonstrate the value of coupling the indicator species concept with well-conceived and spatially representative monitoring protocols. PCBs have demonstrable detrimental effects on aquatic ecosystems, including mink, and these effects are likely to be profound and long-lasting, manifesting as population-level impacts. Through integrating non-invasive data collection, genetic analysis, and spatial capture-recapture methods, we present a monitoring framework for generating robust density estimates across large spatial scales.</t>
  </si>
  <si>
    <t>[Sutherland, Chris] Univ Massachusetts, Dept Environm Conservat, Amherst, MA 01003 USA; [Fuller, Angela K.] Cornell Univ, Dept Nat Resources, New York Cooperat Fish &amp; Wildlife Res Unit, US Geol Survey, Ithaca, NY 14853 USA; [Royle, J. Andrew] US Geol Survey, Patuxent Wildlife Res Ctr, Laurel, MD 12311 USA; [Madden, Sean] New York State Dept Environm Conservat, Div Fish &amp; Wildlife, Albany, NY 12233 USA</t>
  </si>
  <si>
    <t>University of Massachusetts System; University of Massachusetts Amherst; United States Department of the Interior; United States Geological Survey; Cornell University; United States Department of the Interior; United States Geological Survey</t>
  </si>
  <si>
    <t>Sutherland, C (corresponding author), Univ Massachusetts, Dept Environm Conservat, Amherst, MA 01003 USA.</t>
  </si>
  <si>
    <t>csutherland@umass.edu</t>
  </si>
  <si>
    <t>Sutherland, Chris/H-6624-2019</t>
  </si>
  <si>
    <t>Sutherland, Chris/0000-0003-2073-1751; Fuller, Angela/0000-0002-9247-7468</t>
  </si>
  <si>
    <t>NSF [1059284, 0832782]; New York State Department of Environmental Conservation; Hudson River Natural Resource Trustees</t>
  </si>
  <si>
    <t>NSF(National Science Foundation (NSF)); New York State Department of Environmental Conservation; Hudson River Natural Resource Trustees</t>
  </si>
  <si>
    <t>We thank Dan Linden and several anonymous reviewers over the course of this work, the many landowners who allowed us access to their lands to search for mink scat, and also the highly skilled and efficient scat detection dogs and handlers. We are also thankful to all who provided fieldwork support and assistance obtaining landowner permissions. Part of this research was performed using the ATLAS HPC Cluster, a computer cluster with 672 cores, 4 Tesla M2090 GPU accelerators, supported by NSF grants (Award # 1059284 and # 0832782). This work was supported by the New York State Department of Environmental Conservation and the Hudson River Natural Resource Trustees. The conclusions and opinions presented here are those of the authors and the U.S. Geological Survey and do not represent the official position of the New York State Department of Environmental Conservation, or the Hudson River Natural Resource Trustees. Any use of trade, firm, or product names is for descriptive purposes only and does not imply endorsement by the U.S. Government.</t>
  </si>
  <si>
    <t>JUN 12</t>
  </si>
  <si>
    <t>10.1038/s41598-018-26847-x</t>
  </si>
  <si>
    <t>GJ0EI</t>
  </si>
  <si>
    <t>WOS:000434920800002</t>
  </si>
  <si>
    <t>Crowley, SM; Hodder, DP; Johnson, CJ; Yates, D</t>
  </si>
  <si>
    <t>Crowley, Shannon M.; Hodder, Dexter P.; Johnson, Chris J.; Yates, David</t>
  </si>
  <si>
    <t>Wildlife health; Indicators; Mercury; Lontra canadensis; River otter; British Columbia</t>
  </si>
  <si>
    <t>MINK MUSTELA-VISON; PINCHI LAKE REGION; POLYCHLORINATED-BIPHENYLS; HABITAT SELECTION; LUTRA-LUTRA; BIRDS; FISH; AGE; METHYLMERCURY; REPRODUCTION</t>
  </si>
  <si>
    <t>Indicators of wildlife health are important elements of a comprehensive approach for assessing and monitoring trends of methyl mercury (MeHg) contamination in the environment. River otters (Lontra canadensis) have been used as a model species for toxicological studies on the effects of MeHg bioaccumulation due to their position as an apex predator in aquatic systems and sensitivity to environmental disturbance. Although laboratory studies suggest that sublethal MeHg exposure may have detrimental effects on wildlife, they are limited in their ability to reflect real world exposure and forecast population level effects. Few studies have identified the threshold at which MeHg exposure results in a population-level effect for wild populations of river otters in marine or freshwater systems. We used a series of data sets collected over a 7-year period for river otter populations in central British Columbia, Canada, to assess mercury concentrations (river otter fur) and measurements of population status and health relative to a lake with an inactive and reclamated mercury mine along its shoreline (Pinchi Lake). We used a combination of remote cameras, marked individuals, hair snares, and scat counts/inventories to collect measurements of population status and health including: activity levels, population estimates, sex ratios, group sizes, litter sizes, behaviour, stress hormones, diet, and habitat quality. We found that mercury concentrations in river otter inhabiting Pinchi Lake were significantly higher than all other lakes in the study, and were also high relative to other areas in Canada and the United States. We did not, however, detect significant differences between the two lakes in many of the population parameters measured. We discuss the knowledge gaps and challenges of identifying the effects of MeHg for wild populations of mammals, determining sensitive and appropriate methods for measuring these effects, and the implications of our results for monitoring the impacts of natural resources activities. Detailed studies on population effects across a range of exposure and background conditions are required to address these data deficiencies. Typically, river otters are not included as monitoring species in environmental assessments even though their value as an indicator of anthropogenic contaminants has clearly been documented. We encourage inclusion of river otters in environmental assessments pre-, during-, and post-industrial activities as a measure of pollutant exposure and bioavailability as well as a critical first step in addressing knowledge gaps associated with contaminants and its effects on populations.</t>
  </si>
  <si>
    <t>[Crowley, Shannon M.; Hodder, Dexter P.] John Prince Res Forest, POB 2378, Ft St James, BC V0J 1P0, Canada; [Johnson, Chris J.] Univ Northern British Columbia, Ecosyst Sci &amp; Management Program, 3333 Univ Way, Prince George, BC V2N 4Z9, Canada; [Yates, David] BioDivers Res inst, 276 Canco Rd, Portland, ME 04103 USA</t>
  </si>
  <si>
    <t>University of Northern British Columbia</t>
  </si>
  <si>
    <t>Crowley, SM (corresponding author), John Prince Res Forest, POB 2378, Ft St James, BC V0J 1P0, Canada.</t>
  </si>
  <si>
    <t>crowley@unbc.ca; dexter@johnprinceresearchforest.com; johnsoch@unbc.ca; dave.yates@briloon.org</t>
  </si>
  <si>
    <t>Habitat Conservation Trust Fund, Teck Resources Ltd.; John Prince Research Forest; University of Northern British Columbia; Tl'azt'en Nation</t>
  </si>
  <si>
    <t>We thank the Habitat Conservation Trust Fund, Teck Resources Ltd., the John Prince Research Forest and the University of Northern British Columbia for providing funding to support this project. We are grateful to the Tl'azt'en Nation for their support and advocation for this project. We would like to thank Dr. Laura Graham for conducting the hormone analysis, providing guidance on collection protocols, and reviewing this portion of the study. The authors would like to thank the staff at Calgary zoo for administering the ACTH challenge and collecting fecal samples from their otters for the fecal cortisol assay validation.</t>
  </si>
  <si>
    <t>10.1016/j.ecolind.2018.01.061</t>
  </si>
  <si>
    <t>GD8KI</t>
  </si>
  <si>
    <t>WOS:000430760900007</t>
  </si>
  <si>
    <t>Sainsbury, KA; Shore, RF; Schofield, H; Croose, E; Pereira, MG; Sleep, D; Kitchener, AC; Hantke, G; McDonald, RA</t>
  </si>
  <si>
    <t>Sainsbury, Katherine A.; Shore, Richard F.; Schofield, Henry; Croose, Elizabeth; Pereira, M. Gloria; Sleep, Darren; Kitchener, Andrew C.; Hantke, Georg; McDonald, Robbie A.</t>
  </si>
  <si>
    <t>ENVIRONMENTAL POLLUTION</t>
  </si>
  <si>
    <t>Rodenticides; Polecat; Secondary exposure; Bromadiolone; Difenacoum; Brodifacoum</t>
  </si>
  <si>
    <t>WEASELS MUSTELA-NIVALIS; NONTARGET SMALL MAMMALS; STABLE-ISOTOPE ANALYSIS; MARTEN MARTES-FOINA; WATER FOOD-WEB; FEEDING-HABITS; NITROGEN ISOTOPES; TROPHIC STATUS; AMERICAN MINK; DIET</t>
  </si>
  <si>
    <t>As a result of legal protection and population recovery, European polecats (Mustela putorius) in Great Britain are expanding into areas associated with greater usage of second-generation anticoagulant rodenticides (SGARs). We analysed polecat livers collected from road casualties from 2013 to 2016 for residues of five SGARs. We related variation in residues to polecat traits and potential exposure pathways, by analysing stable isotopes of carbon (delta C-13) and nitrogen (delta N-15) in their whiskers. 54 of 68 (79%) polecats had detectable residues of at least one SGAR. Bromadiolone (71%) was the most frequently detected compound, followed by difenacoum (53%) and brodifacoum (35%). Applying historical limits of detection to allow comparison between these new data and previous assessments, we show that in the 25 years from 1992 to 2016 inclusive, the rate of detection of SGARs in polecats in Britain has increased by a factor of 1.7. The probability of SGAR detection was positively related to increasing values of delta N-15, suggesting that polecats feeding at a higher trophic level were more likely to be exposed. Total concentrations of SGARs in polecats with detectable residues were higher in polecats collected in arable compared to pastoral habitats, and in the west compared to the east of Britain. The number of compounds detected and total concentrations of SGARs increased with polecat age. There was no evidence of regional or seasonal variation in the probability of detecting SGARs, suggesting that the current risk of exposure to SGARs does not vary seasonally and has increased (from that in the 1990s) throughout the polecat's range. We recommend quantification of current practices in rodenticide usage, particularly in the light of recent regulatory changes, to enable assessment and mitigation of the risks of secondary exposure to rodenticides in non-target wildlife. (C) 2018 Elsevier Ltd. All rights reserved.</t>
  </si>
  <si>
    <t>[Sainsbury, Katherine A.; McDonald, Robbie A.] Univ Exeter, Environm &amp; Sustainabil Inst, Penryn Campus, Penryn TR10 9FE, Cornwall, England; [Shore, Richard F.; Pereira, M. Gloria; Sleep, Darren] Lancaster Environm Ctr, NERC Ctr Ecol &amp; Hydrol, Lib Ave, Lancaster LA1 4AP, England; [Schofield, Henry; Croose, Elizabeth] Vincent Wildlife Trust, 3 &amp; 4 Bronsil Courtyard, Ledbury HR8 1EP, Hereford, England; [Kitchener, Andrew C.; Hantke, Georg] Natl Museums Scotland, Chambers St, Edinburgh EH1 1JF, Midlothian, Scotland; [Kitchener, Andrew C.] Univ Edinburgh, Sch Geosci, Inst Geog, Edinburgh EH8 9XP, Midlothian, Scotland</t>
  </si>
  <si>
    <t>University of Exeter; Lancaster University; UK Centre for Ecology &amp; Hydrology (UKCEH); University of Edinburgh</t>
  </si>
  <si>
    <t>McDonald, RA (corresponding author), Univ Exeter, Environm &amp; Sustainabil Inst, Penryn Campus, Penryn TR10 9FE, Cornwall, England.</t>
  </si>
  <si>
    <t>; Shore, Richard/A-2638-2012; Pereira, M Gloria/K-3024-2012; McDonald, Robbie/AAK-2718-2020; Schofield, Henry/OYE-0300-2025</t>
  </si>
  <si>
    <t>Kitchener, Anew/0000-0003-2594-0827; Shore, Richard/0000-0002-9337-8883; Pereira, M Gloria/0000-0003-3740-0019; McDonald, Robbie/0000-0002-6922-3195;</t>
  </si>
  <si>
    <t>People's Trust for Endangered Species; Centre for Ecology Hydrology; Vincent Wildlife Trust; University of Exeter; NERC [ceh020007] Funding Source: UKRI; Natural Environment Research Council [ceh020007] Funding Source: researchfish</t>
  </si>
  <si>
    <t>People's Trust for Endangered Species; Centre for Ecology Hydrology; Vincent Wildlife Trust; University of Exeter; NERC(UK Research &amp; Innovation (UKRI)Natural Environment Research Council (NERC)); Natural Environment Research Council(UK Research &amp; Innovation (UKRI)Natural Environment Research Council (NERC))</t>
  </si>
  <si>
    <t>We thank all the volunteers who collected the polecat carcasses for this study. Lee Walker and Elaine Potter managed the carcass collection under the Predatory Bird Monitoring Scheme (http://pbms.ceh.ac.uk/). Nicola Thompson and Isabella Endacott assisted with sample preparation. Funding and support for the rodenticides analysis was provided by the People's Trust for Endangered Species and the Centre for Ecology &amp; Hydrology. ACK is grateful to the Negaunee Foundation for its continuing generous support of a preparator at National Museums Scotland. KS is funded by The Vincent Wildlife Trust and the University of Exeter.</t>
  </si>
  <si>
    <t>0269-7491</t>
  </si>
  <si>
    <t>1873-6424</t>
  </si>
  <si>
    <t>ENVIRON POLLUT</t>
  </si>
  <si>
    <t>Environ. Pollut.</t>
  </si>
  <si>
    <t>10.1016/j.envpol.2018.02.004</t>
  </si>
  <si>
    <t>GB6OC</t>
  </si>
  <si>
    <t>WOS:000429187500072</t>
  </si>
  <si>
    <t>Elmeros, M; Lassen, P; Bossi, R; Topping, CJ</t>
  </si>
  <si>
    <t>Elmeros, Morten; Lassen, Pia; Bossi, Rossana; Topping, Christopher J.</t>
  </si>
  <si>
    <t>Exposure route; Non-target exposure; Rodent control; Rodenticide regulation; Secondary poisoning</t>
  </si>
  <si>
    <t>RISK; BRODIFACOUM; POPULATIONS; PATTERNS; MAMMALS; SITES; RATES</t>
  </si>
  <si>
    <t>When anticoagulant rodenticides (ARs) are used to control rodent populations there is also a widespread secondary exposure of non-target predators to ARs. To reduce secondary exposure, regulatory restrictions in AR usage were tightened in Denmark in 2011. The restrictions included the cessation of AR use for plant protection and any use away from buildings, as well as limitations in private consumers' access to ARs. To quantify and evaluate the efficiency of the regulatory measures to reduce secondary exposure, we analysed ARs in liver tissue from 40 stone martens (Martes foina) and 40 polecats (Mustela putorius) collected before and 31 stone martens and 29 polecats collected after the restrictions were imposed. No declines in the prevalence ARs were detected following the regulatory restrictions in either stone marten (Before: 98%, After: 100%) or polecat (Before: 93%, After: 97%). The total AR concentration was higher in stone martens than in polecats in both sampling periods. Between the two sampling periods, the total AR concentrations in the mustelids increased (P &lt; 0.001). The increase was significant for stone marten (Before: 419 ng/g ww, After: 1116 ng/g ww, P &lt; 0.001), but not for polecat (Before: 170 ng/g ww, After: 339 ng/g ww). Overall, the total AR concentration was positively correlated to the urban area and the area used for Christmas tree production in which ARs were regularly used before 2011. The regulatory restrictions in AR usage did not reduce exposure of non-target stone martens and polecats. The temporal and spatial patterns of AR concentrations in predators indicate that chemical rodent control in and around buildings is the dominant source for the exposure of non-target predators in intensively human-dominated landscapes in Denmark. The results suggest that non-chemical methods for rodents control at buildings are necessary to prevent widespread secondary AR exposure of predators in human modified landscapes. (C) 2017 Elsevier B.V. All rights reserved.</t>
  </si>
  <si>
    <t>[Elmeros, Morten; Topping, Christopher J.] Aarhus Univ, Dept Biosci, Grenavej 14, DK-8410 Ronde, Denmark; [Lassen, Pia; Bossi, Rossana] Aarhus Univ, Dept Environm Sci, Frederiksborgvej 399, DK-4000 Roskilde, Denmark</t>
  </si>
  <si>
    <t>Aarhus University; Aarhus University</t>
  </si>
  <si>
    <t>Elmeros, M (corresponding author), Aarhus Univ, Dept Biosci, Grenavej 14, DK-8410 Ronde, Denmark.</t>
  </si>
  <si>
    <t>elm@bios.au.dk; pla@envs.au.dk; rbo@envs.au.dk; cjt@bios.au.dk</t>
  </si>
  <si>
    <t>Topping, Christopher John/A-9167-2009; Elmeros, Morten/K-3094-2013</t>
  </si>
  <si>
    <t>Topping, Christopher John/0000-0003-0874-7603;</t>
  </si>
  <si>
    <t>Danish Environmental Protection Agency [MST 667-00100, MST 667-00112]</t>
  </si>
  <si>
    <t>Danish Environmental Protection Agency</t>
  </si>
  <si>
    <t>We thank the private taxidermists and volunteer naturalists for collecting mustelid carcasses, Charlotte Dahl Schiodt and Ellen Christiansen for laboratory assistance. Peter Weile and private PCOs are thanked for information on AR application. The study was funded by research grants from the Danish Environmental Protection Agency (MST 667-00100 and MST 667-00112). Furthermore, we thank the anonymous reviewers for their invaluable comments on the manuscript.</t>
  </si>
  <si>
    <t>JAN 15</t>
  </si>
  <si>
    <t>10.1016/j.scitotenv.2017.09.034</t>
  </si>
  <si>
    <t>FK2LM</t>
  </si>
  <si>
    <t>WOS:000413313700133</t>
  </si>
  <si>
    <t>Esler, D; Ballachey, BE; Matkin, C; Cushing, D; Kaler, R; Bodkin, J; Monson, D; Esslinger, G; Kloecker, K</t>
  </si>
  <si>
    <t>Esler, Daniel; Ballachey, Brenda E.; Matkin, Craig; Cushing, Daniel; Kaler, Robert; Bodkin, James; Monson, Daniel; Esslinger, George; Kloecker, Kim</t>
  </si>
  <si>
    <t>DEEP-SEA RESEARCH PART II-TOPICAL STUDIES IN OCEANOGRAPHY</t>
  </si>
  <si>
    <t>PRINCE-WILLIAM-SOUND; MARINE BIRD POPULATIONS; OTTER ENHYDRA-LUTRIS; SEA OTTERS; PROTOTHACA-STAMINEA; WINTER SURVIVAL; HARLEQUIN DUCKS; REGIME SHIFT; ALASKA; MORTALITY</t>
  </si>
  <si>
    <t>Research and monitoring activities over the 28 years since the T/V Exxon Valdez ran aground and spilled oil into Prince William Sound, Alaska have led to an improved understanding of how wildlife populations were damaged, as well as the mechanisms and timelines of recovery. A key finding was that for some species, such as harlequin ducks and sea otters, chronic oil spill effects persisted for at least two decades and were a larger influence on population dynamics over the long term than acute effects of the spill. These data also offer insights into population variation resulting from factors other than the oil spill. For example, while many seabirds experienced direct and indirect effects of the spill, population trajectories of some piscivorous birds, including pigeon guillemots and marbled murrelets, were linked to long-term environmental changes independent of spill effects. Another species, killer whales, suffered population declines due to acute spill effects that have not been resolved despite lack of chronic direct effects, representing a novel pathway of long-term injury. The observed variation in mechanisms and timelines of recovery is linked to species specific life history and natural history traits, and thus may be useful for predicting population recovery for other species following other spills.</t>
  </si>
  <si>
    <t>[Esler, Daniel; Ballachey, Brenda E.; Bodkin, James; Monson, Daniel; Esslinger, George; Kloecker, Kim] US Geol Survey, Alaska Sci Ctr, Reston, VA 20192 USA; [Matkin, Craig] North Gulf Ocean Soc, Homer, LA USA; [Cushing, Daniel] Oregon State Univ, Oregon Cooperat Fish &amp; Wildlife Res Unit, Corvallis, OR 97331 USA; [Kaler, Robert] US Fish &amp; Wildlife Serv, Migratory Bird Management, Leavenworth, WA 98826 USA</t>
  </si>
  <si>
    <t>United States Department of the Interior; United States Geological Survey; Oregon State University; United States Department of the Interior; US Fish &amp; Wildlife Service</t>
  </si>
  <si>
    <t>Esler, D (corresponding author), US Geol Survey, Alaska Sci Ctr, Reston, VA 20192 USA.</t>
  </si>
  <si>
    <t>desler@usgs.gov</t>
  </si>
  <si>
    <t>Monson, Daniel/0000-0002-4593-5673; Kloecker, Kimberly/0000-0002-2461-968X; Cushing, Daniel/0000-0003-3577-4690</t>
  </si>
  <si>
    <t>Exxon Valdez Oil Spill Trustee Council</t>
  </si>
  <si>
    <t>Exxon Valdez Oil Spill Trustee Council(Exxon Mobil Corporation)</t>
  </si>
  <si>
    <t>The work presented in this paper was supported primarily by the Exxon Valdez Oil Spill Trustee Council. However, the findings and conclusions do not necessarily reflect the views or position of the Trustee Council or the U.S. Fish and Wildlife Service. Any use of trade names is for descriptive purposes only and does not represent endorsement by the U.S. Government. We greatly appreciate the efforts by the large number of people who contributed to field data collection and lab work in support of these studies. We also appreciate the careful review of various drafts of the manuscript by Dede Bohn, Leslie Holland-Bartels, Mandy Lindeberg, and two anonymous reviewers.</t>
  </si>
  <si>
    <t>0967-0645</t>
  </si>
  <si>
    <t>1879-0100</t>
  </si>
  <si>
    <t>DEEP-SEA RES PT II</t>
  </si>
  <si>
    <t>Deep-Sea Res. Part II-Top. Stud. Oceanogr.</t>
  </si>
  <si>
    <t>10.1016/j.dsr2.2017.04.007</t>
  </si>
  <si>
    <t>Oceanography</t>
  </si>
  <si>
    <t>GA0LY</t>
  </si>
  <si>
    <t>WOS:000428005900006</t>
  </si>
  <si>
    <t>Thomas, PJ; Eccles, KM; Mundy, LJ</t>
  </si>
  <si>
    <t>Thomas, Philippe J.; Eccles, Kristin M.; Mundy, Lukas J.</t>
  </si>
  <si>
    <t>Anticoagulant rodenticide; American marten; Fisher; Spatial modelling; Anthropogenic disturbance</t>
  </si>
  <si>
    <t>WEASELS MUSTELA-NIVALIS; MARTES-PENNANTI; HABITAT SELECTION; TAXIDEA-TAXUS; FISHERS; SCALE; RISK; CONSERVATION; POPULATION; WILDLIFE</t>
  </si>
  <si>
    <t>Intensive industrial development occurs in the ecologically significant boreal forest, including oil and gas development in northern Alberta, Canada. This forest is home to many highly-valued animal species including fisher (Pekania pennanti; formerly Manes pennant and American marten (Marta americana). Second-generation anticoagulant rodenticides (SGARs) are commonly used near human infrastructure in developed areas to control and reduce damage from rodent pests. High body burdens of SGARs in rodent prey pose risks of secondary poisoning for fisher and marten that readily consume rodents. The objective of this research was to determine if fisher and marten living in anthropogenically-disturbed areas of northern Alberta showed evidence of SGAR exposure. Fisher and marten carcasses were collected from the region, aged, sexed, and liver samples were analysed for rodenticides using liquid-chromatography mass spectrometry (LCMS). SGARs were found in the livers of non-target fisher and marten. As SGARs were found in the livers of fisher with sufficient frequency for complete statistical analysis, analyses including ANOVA, linear regression, and spatial cluster analyses were used to assess spatial patterns exhibited by fisher exposure frequencies against potential explanatory variables such as boreal anthropogenic disturbances and land cover classes. Additionally, companies operating in the region were surveyed to identify their current rodent control measures in an effort to verify the results of the spatial analyses. This is the first study to demonstrate non-target SGAR exposure of fisher and marten in Canada. Exposure frequency in fisher exhibited clustering, which showed the strongest relationships to factors including total boreal disturbances, number of oil sands mines, and broadleaf forest cover. The spatial methods used in this paper provide tools to develop local interventions for mitigation and conservation efforts.</t>
  </si>
  <si>
    <t>[Thomas, Philippe J.; Mundy, Lukas J.] Natl Wildlife Res Ctr, Environm &amp; Climate Change Canada, Sci &amp; Technol Branch, 1125 Colonel By Dr,Raven Rd, Ottawa, ON K1A 0H3, Canada; [Eccles, Kristin M.] Univ Ottawa, Dept Biol, 30 Marie Curie, Ottawa, ON K1N 6N5, Canada</t>
  </si>
  <si>
    <t>Environment &amp; Climate Change Canada; Canadian Wildlife Service; National Wildlife Research Centre - Canada; University of Ottawa</t>
  </si>
  <si>
    <t>Thomas, PJ (corresponding author), Natl Wildlife Res Ctr, Environm &amp; Climate Change Canada, Sci &amp; Technol Branch, 1125 Colonel By Dr,Raven Rd, Ottawa, ON K1A 0H3, Canada.</t>
  </si>
  <si>
    <t>philippe.thomas@canada.ca; keccl081@uottawa.ca; lukas.mundy@canada.ca</t>
  </si>
  <si>
    <t>Eccles, Kristin/HSH-0629-2023; Thomas, Philippe/ABH-9035-2020</t>
  </si>
  <si>
    <t>Eccles, Kristin/0000-0002-6629-430X;</t>
  </si>
  <si>
    <t>Environment and Climate Change Canada; province of Alberta; Canada-Alberta Joint Oil Sands Monitoring Program [296243 PAM2 A-001103.003 2903]</t>
  </si>
  <si>
    <t>Environment and Climate Change Canada; province of Alberta; Canada-Alberta Joint Oil Sands Monitoring Program</t>
  </si>
  <si>
    <t>The senior author wishes to thank Dr. Pierre Mineau whose work continues to inspire. Special thanks to all Cree, Dene and Metis communities who provided help and advice during the study, and whose traditional lands contributed some of the wildlife collected for this study (including Fort McMurray, Fort McKay, Mikisew Cree and Athabasca Chipewyan First Nations and Metis locals). The Alberta Trappers Association and all registered trappers are wholeheartedly acknowledged for all their help and support during wildlife collections. M. Pybus, E. Pybus, S. Stamler, B. Maile and staff at Alberta Environment and Parks (Fish and Wildlife, Edmonton, AB) deserve thanks for facilities and services rendered. Thanks are extended to J. Pasher, M. McGovern and P. Kirby for GIS support and F. Maisonneuve and E. Pelletier for laboratory analyses. Dr. K. Munkittrick (COSIA) provided advice and help with company outreach efforts. B. Pauli provided comments and editorial support. Funding was provided by Environment and Climate Change Canada, the province of Alberta, and the Canada-Alberta Joint Oil Sands Monitoring Program (296243 PAM2 A-001103.003 2903).</t>
  </si>
  <si>
    <t>10.1016/j.biocon.2017.06.005</t>
  </si>
  <si>
    <t>FC9UG</t>
  </si>
  <si>
    <t>WOS:000407186000012</t>
  </si>
  <si>
    <t>Pagacz, S</t>
  </si>
  <si>
    <t>Pagacz, Stanislaw</t>
  </si>
  <si>
    <t>Carpathians; conservation; dispersal barriers; genetic structure; landscape genetics; Lutra lutra; otter; riparian species; watershed</t>
  </si>
  <si>
    <t>SPATIAL AUTOCORRELATION ANALYSIS; LUTRA-LUTRA POPULATION; LANDSCAPE GENETICS; INDIVIDUAL IDENTIFICATION; SOLITARY CARNIVORE; GENOTYPING ERRORS; COMPUTER-PROGRAM; EUROPEAN OTTERS; DISPERSAL; CONNECTIVITY</t>
  </si>
  <si>
    <t>Major drainage divides (separating the water flow draining to different seas) may significantly affect the dispersal, distribution, and genetic structure of semiaquatic animals. Assessing this effect is important for the proper management of both endangered and invasive riparian species. Here, I determined the fine-scale impact of the drainage divide between the Baltic Sea and the Black Sea drainage basins on the genetic structure and dispersal of the Eurasian otter (Lutra lutra) in the Bieszczady Mountains (Poland and Slovakia). I investigated the genetic structure of the otter population and assessed 3 alternative dispersal models using 6 landscape genetics methods. The analyses were based on 48 individual genotypes obtained from 622 fecal and gland secretion samples collected in 2008-2011. Results indicate that the major drainage divide is not a barrier to gene flow for this population. This was established by analyses of population genetic structure and confirmed by analysis of the spatial distribution of samples originating from closely related individuals. In line with these findings, the best-supported dispersal model assumed that otters migrate through mountain passes, away from streams, thus revealing that they are able to cross a drainage divide. The genetic structure of the population studied exhibits an isolation-by-distance pattern; however, the locations of several repeatedly recorded or closely related individuals revealed the occurrence of long-distance movements. Confirmation of the high mobility of otters and their ability to cross a major drainage divide ridge suggest that landscape obstacles and discontinuity of river network are unlikely to stop otter dispersal, gene flow, and recolonization of new areas.</t>
  </si>
  <si>
    <t>[Pagacz, Stanislaw] Polish Acad Sci, Museum &amp; Inst Zool, Wilcza 64, PL-00679 Warsaw, Poland</t>
  </si>
  <si>
    <t>Polish Academy of Sciences; Museum &amp; Institute of Zoology of the Polish Academy of Sciences</t>
  </si>
  <si>
    <t>Pagacz, S (corresponding author), Polish Acad Sci, Museum &amp; Inst Zool, Wilcza 64, PL-00679 Warsaw, Poland.</t>
  </si>
  <si>
    <t>spagacz@miiz.eu</t>
  </si>
  <si>
    <t>Pagacz, Stanisław/E-4824-2019</t>
  </si>
  <si>
    <t>Pagacz, Stanisław/0000-0002-0650-9575</t>
  </si>
  <si>
    <t>Polish Ministry of Science and Higher Education [N N304 080935]</t>
  </si>
  <si>
    <t>Polish Ministry of Science and Higher Education(Ministry of Science and Higher Education, Poland)</t>
  </si>
  <si>
    <t>I am grateful to J. Witczuk, J. Gliwicz, and 3 anonymous reviewers for their helpful comments on the manuscript, J. Witczuk, P. Wolska, and numerous volunteers for assistance in the field, as well as M. J. Dabrowski for help in the genetic laboratory. I thank the authorities of the Bieszczady National Park and the Poloniny National Park for permission to conduct research in the Parks. The study was funded by Polish Ministry of Science and Higher Education (grant number N N304 080935).</t>
  </si>
  <si>
    <t>JUL 25</t>
  </si>
  <si>
    <t>10.1093/jmammal/gyw066</t>
  </si>
  <si>
    <t>DV9LN</t>
  </si>
  <si>
    <t>WOS:000383262100015</t>
  </si>
  <si>
    <t>Bowen, L; Miles, AK; Ballachey, B; Waters, S; Bodkin, J</t>
  </si>
  <si>
    <t>Bowen, Lizabeth; Miles, A. Keith; Ballachey, Brenda; Waters, Shannon; Bodkin, James</t>
  </si>
  <si>
    <t>JOURNAL OF MARINE SCIENCE AND ENGINEERING</t>
  </si>
  <si>
    <t>gene transcription; Exxon Valdez oil spill; sea otter; Enhydra lutris; oil exposure; Prince William Sound; recovery</t>
  </si>
  <si>
    <t>Using a panel of genes stimulated by oil exposure in a laboratory study, we evaluated gene transcription in blood leukocytes sampled from sea otters captured from 2006-2012 in western Prince William Sound (WPWS), Alaska, 17-23 years after the 1989 Exxon Valdez oil spill (EVOS). We compared WPWS sea otters to reference populations (not affected by the EVOS) from the Alaska Peninsula (2009), Katmai National Park and Preserve (2009), Clam Lagoon at Adak Island (2012), Kodiak Island (2005) and captive sea otters in aquaria. Statistically, sea otter gene transcript profiles separated into three distinct clusters: Cluster 1, Kodiak and WPWS 2006-2008 (higher relative transcription); Cluster 2, Clam Lagoon and WPWS 2010-2012 (lower relative transcription); and Cluster 3, Alaska Peninsula, Katmai and captive sea otters (intermediate relative transcription). The lower transcription of the aryl hydrocarbon receptor (AHR), an established biomarker for hydrocarbon exposure, in WPWS 2010-2012 compared to earlier samples from WPWS is consistent with declining hydrocarbon exposure, but the pattern of overall low levels of transcription seen in WPWS 2010-2012 could be related to other factors, such as food limitation, pathogens or injury, and may indicate an inability to mount effective responses to stressors. Decreased transcriptional response across the entire gene panel precludes the evaluation of whether or not individual sea otters show signs of exposure to lingering oil. However, related studies on sea otter demographics indicate that by 2012, the sea otter population in WPWS had recovered, which indicates diminishing oil exposure.</t>
  </si>
  <si>
    <t>[Bowen, Lizabeth; Miles, A. Keith; Waters, Shannon] Univ Calif Davis, US Geol Survey, Western Ecol Res Ctr, Davis Field Stn, Davis, CA 95616 USA; [Ballachey, Brenda; Bodkin, James] US Geol Survey, Alaska Sci Ctr, Anchorage, AK 99508 USA</t>
  </si>
  <si>
    <t>University of California System; University of California Davis; United States Department of the Interior; United States Geological Survey; United States Department of the Interior; United States Geological Survey</t>
  </si>
  <si>
    <t>Bowen, L (corresponding author), Univ Calif Davis, US Geol Survey, Western Ecol Res Ctr, Davis Field Stn, Davis, CA 95616 USA.</t>
  </si>
  <si>
    <t>lbowen@usgs.gov; keith_miles@usgs.gov; bballachey@shaw.ca; swaters@usgs.gov; jbodkin@usgs.gov</t>
  </si>
  <si>
    <t>Exxon Valdez Oil Spill Trustee Council; U.S. Geological Survey (USGS) Western Ecological Research Center; USGS Alaska Science Center</t>
  </si>
  <si>
    <t>Exxon Valdez Oil Spill Trustee Council(Exxon Mobil Corporation); U.S. Geological Survey (USGS) Western Ecological Research Center; USGS Alaska Science Center(United States Geological Survey)</t>
  </si>
  <si>
    <t>This research was funded in part by the Exxon Valdez Oil Spill Trustee Council; however, the findings and conclusions do not necessarily reflect the views or position of the Trustee Council. Funding was also provided by the U.S. Geological Survey (USGS) Western Ecological Research Center and the USGS Alaska Science Center. We gratefully acknowledge the assistance of Heather Coletti, George Esslinger, KimKloecker, Daniel Monson, Ben Weitzman and Joe Tomoleoni, USGS, and Michael Murray and Marissa Viens, Monterey Bay Aquarium, for sample collections. We thank Robin Keister for laboratory assistance. Samples were collected under permits authorized by the U.S. Fish and Wildlife Service and the approval of the Animal Care and Use Committee of the USGS Alaska Science Center. Any use of trade, firm or product names is for descriptive purposes only and does not imply endorsement by the U.S. Government.</t>
  </si>
  <si>
    <t>MDPI</t>
  </si>
  <si>
    <t>2077-1312</t>
  </si>
  <si>
    <t>J MAR SCI ENG</t>
  </si>
  <si>
    <t>J. Mar. Sci. Eng.</t>
  </si>
  <si>
    <t>10.3390/jmse4020039</t>
  </si>
  <si>
    <t>Engineering, Marine; Engineering, Ocean; Oceanography</t>
  </si>
  <si>
    <t>Engineering; Oceanography</t>
  </si>
  <si>
    <t>VF8AF</t>
  </si>
  <si>
    <t>WOS:000443615700011</t>
  </si>
  <si>
    <t>Peterson, EK; Schulte, BA</t>
  </si>
  <si>
    <t>Peterson, Elizabeth K.; Schulte, Bruce A.</t>
  </si>
  <si>
    <t>JOURNAL OF CONTEMPORARY WATER RESEARCH &amp; EDUCATION</t>
  </si>
  <si>
    <t>bioindicator; keystone species; ecosystem engineers; sentinel species; toxicity</t>
  </si>
  <si>
    <t>COASTAL RIVER OTTERS; KEYSTONE SPECIES CONCEPT; PRINCE-WILLIAM-SOUND; MINK MUSTELA-VISON; VALDEZ OIL-SPILL; LONTRA-CANADENSIS; CASTOR-CANADENSIS; LUTRA-CANADENSIS; AQUATIC ECOSYSTEMS; ANIMAL BEHAVIOR</t>
  </si>
  <si>
    <t>Anthropogenic pollution has impacted ecosystems and organisms globally. Aquatic freshwater systems are of particular concern because of their importance to human health and livelihoods. Sentinel species can serve as indicators for both individual and population-level health risks to both wildlife and humans, and therefore facilitate the mitigation and prevention of such contamination. When such species are also keystone species and/or ecological engineers in aquatic ecosystems, understanding the influence of pollutants on their physiology and behavior acquires added importance. Given that river otters (Lontra canadensis and Lutra lutra) and beavers (Castor canadensis and C. fiber) serve such roles and are susceptible to a wide-range of anthropogenic pollution, this makes them prime candidates as indicators or sentinels of aquatic ecosystem health. We review published evidence on the toxicological impacts of pollutants in beavers and river otters and discuss the implications of exposure to their behavioral systems, conservation, and surrounding ecosystem.</t>
  </si>
  <si>
    <t>[Peterson, Elizabeth K.] SUNY Albany, Dept Biol Sci, Program Ecol &amp; Evolutionary Biol, Albany, NY 12222 USA; [Schulte, Bruce A.] Western Kentucky Univ, Dept Biol, Bowling Green, KY 42101 USA</t>
  </si>
  <si>
    <t>State University of New York (SUNY) System; University at Albany, SUNY; Western Kentucky University</t>
  </si>
  <si>
    <t>Peterson, EK (corresponding author), SUNY Albany, Dept Biol Sci, Program Ecol &amp; Evolutionary Biol, Albany, NY 12222 USA.</t>
  </si>
  <si>
    <t>epeterson@albany.edu; bruce.schulte@wku.edu</t>
  </si>
  <si>
    <t>Schulte, Bruce/MYS-1126-2025</t>
  </si>
  <si>
    <t>Peterson, Elizabeth/0000-0002-2421-4754</t>
  </si>
  <si>
    <t>1936-704X</t>
  </si>
  <si>
    <t>J CONTEMP WAT RES ED</t>
  </si>
  <si>
    <t>J. Contemp. Wat. Res. Educ.</t>
  </si>
  <si>
    <t>10.1111/j.1936-704X.2016.03212.x</t>
  </si>
  <si>
    <t>Water Resources</t>
  </si>
  <si>
    <t>EV1SL</t>
  </si>
  <si>
    <t>WOS:000401526600005</t>
  </si>
  <si>
    <t>Witmer, GW; Snow, NP; Moulton, RS</t>
  </si>
  <si>
    <t>Witmer, Gary W.; Snow, Nathan P.; Moulton, Rachael S.</t>
  </si>
  <si>
    <t>PEST MANAGEMENT SCIENCE</t>
  </si>
  <si>
    <t>anticoagulant; poisoning; rodenticide; rodent damage; secondary hazards; toxicant</t>
  </si>
  <si>
    <t>ANTICOAGULANT RODENTICIDES; TOXICITY; RESIDUES</t>
  </si>
  <si>
    <t>BACKGROUNDSecondary toxicity in mammals and birds that consume animals containing residues of anticoagulant rodenticides represents a persistent conflict between conservation, agriculture and environmental contamination. Chlorophacinone residues in black-tailed prairie dogs (Cynomys ludovicianus) represent a secondary exposure hazard to predatory and scavenging avian and mammalian species in the Central Plains of the United States, especially considering efforts to re-establish black-footed ferrets (Mustela nigripes). Rozol((R)) Prairie Dog Bait (chlorophacinone 0.005%) is registered to control black-tailed prairie dogs in ten states throughout the midwestern and western United States. RESULTSWe fed Rozol Prairie Dog Bait to captive black-tailed prairie dogs for 2 days and analyzed their livers and whole bodies (without livers) for chlorophacinone residue on days 3, 5, 7, 9, 11, 14, 18 and 27 post-exposure. We found the greatest levels of residues in livers ( = 5.499 mg kg(-1)) and whole bodies ( = 1.281 mg kg(-1)) on day 3. Residues in both tissues declined rapidly over time, with estimated half-lives of approximately 6 days post-exposure. However, a risk assessment of secondary toxicity to non-target mammals indicated acute risks for mammalian species up to 27 days post-exposure and negligible risks for birds. CONCLUSIONThe results suggest that the greatest risk of secondary toxicity occurs 14 days post-application of Rozol Prairie Dog Bait and declines thereafter. This corresponds to the time when chlorophacinone residues are high, and prairie dogs exhibit signs of intoxication and are perhaps most susceptible to predation and scavenging. These results confirm that Rozol Prairie Dog Bait should not be used in areas where black-footed ferrets or other sensitive species occur. Published 2015. This article is a U.S. Government work and is in the public domain in the USA.</t>
  </si>
  <si>
    <t>[Witmer, Gary W.; Snow, Nathan P.; Moulton, Rachael S.] Natl Wildlife Res Ctr, USDA, APHIS, WS, 4101 LaPorte Ave, Ft Collins, CO 80521 USA</t>
  </si>
  <si>
    <t>United States Department of Agriculture (USDA)</t>
  </si>
  <si>
    <t>Witmer, GW (corresponding author), Natl Wildlife Res Ctr, USDA, APHIS, WS, 4101 LaPorte Ave, Ft Collins, CO 80521 USA.</t>
  </si>
  <si>
    <t>Gary.W.Witmer@aphis.usda.gov</t>
  </si>
  <si>
    <t>Snow, Nathan/0000-0002-5171-6493</t>
  </si>
  <si>
    <t>United States Fish and Wildlife Service</t>
  </si>
  <si>
    <t>United States Fish and Wildlife Service(US Fish &amp; Wildlife Service)</t>
  </si>
  <si>
    <t>We thank Buckley Air Force Base for providing us access to capture prairie dogs. We also thank the NWRC Analytical Chemistry Unit for analyzing the tissue samples. This project was funded by the United States Fish and Wildlife Service. The study was conducted under IACUC-approved Study Protocol QA-754. Mention of a commercial product or company does not represent an endorsement by the US government. We thank anonymous reviewers for their comments on this manuscript.</t>
  </si>
  <si>
    <t>1526-498X</t>
  </si>
  <si>
    <t>1526-4998</t>
  </si>
  <si>
    <t>PEST MANAG SCI</t>
  </si>
  <si>
    <t>Pest Manag. Sci.</t>
  </si>
  <si>
    <t>10.1002/ps.4045</t>
  </si>
  <si>
    <t>Agronomy; Entomology</t>
  </si>
  <si>
    <t>Agriculture; Entomology</t>
  </si>
  <si>
    <t>DF7NH</t>
  </si>
  <si>
    <t>WOS:000371543900010</t>
  </si>
  <si>
    <t>Kang, S; Kang, JH; Kim, S; Lee, SH; Lee, S; Yu, HJ; Oh, SJ; Park, JD; Nam, KH; Han, SY; Lim, JD; Ryu, DY</t>
  </si>
  <si>
    <t>Kang, Sukmo; Kang, Jung-Hoon; Kim, Soohee; Lee, Seung Heon; Lee, Seungwoo; Yu, Hee Jeong; Oh, Su-Jun; Park, Jung-Duck; Nam, Ki-Hoan; Han, Sung Yong; Lim, Jong-Deock; Ryu, Doug-Young</t>
  </si>
  <si>
    <t>ECOTOXICOLOGY</t>
  </si>
  <si>
    <t>Eurasian otter; Lutra lutra; Trace element</t>
  </si>
  <si>
    <t>HEAVY-METALS; MERCURY CONCENTRATIONS; RIVER OTTERS; SELENIUM; ACCUMULATION; CADMIUM; FISH; AGE; CONTAMINATION; POPULATIONS</t>
  </si>
  <si>
    <t>Eurasian otters (Lutra lutra) are endangered worldwide, but the specific cause of their decline has not been determined. This study analyzed the concentrations of potentially toxic trace elements, including As, Cd, Pb, Hg, Se, Cu, Mn, and Zn, in the liver, kidney, and lung tissues of Eurasian otters in South Korea. There were high individual variations in the tissue concentrations of all the elements analyzed. The kidneys had the highest concentrations of Cd and Se among the three tissue groups, and the livers had the highest concentrations of Cu, Mn, Zn, and Hg. The Pb and As concentrations in the livers were not significantly different from those in the kidneys, and the lungs had the lowest concentrations of all the elements analyzed. The age-related bioaccumulation of Cd and Hg was evident in the three tissue groups, and of Se in the kidneys. The Pb concentration was higher in the livers of juveniles compared with those of adults and the Zn concentration was higher in the lungs of juveniles. There were no apparent gender differences in the concentrations of the elements analyzed among the tissue groups. The Se concentration correlated with the Hg concentration in the livers and kidneys, and with the Cd concentration in the kidneys. The Hg and Cd levels correlated in the three tissue groups. The Cu and Zn levels also correlated in the livers and kidneys. In general, the element concentrations were within the ranges reported by previous studies of this species from European countries, except for Cd and Hg, the levels of which were mostly lower than those reported previously. These findings may provide baseline information to facilitate the conservation of the Eurasian otter. To the best of our knowledge, this is the first available study of trace element concentrations in the tissues of Eurasian otters from South Korea or Asian countries.</t>
  </si>
  <si>
    <t>[Kang, Sukmo; Kim, Soohee; Lee, Seung Heon; Lee, Seungwoo; Yu, Hee Jeong; Oh, Su-Jun; Ryu, Doug-Young] Seoul Natl Univ, Res Inst Vet Sci, PLUS Program Creat Vet Sci Res BK21, Seoul 151742, South Korea; [Kang, Jung-Hoon; Lim, Jong-Deock] Natl Res Inst Cultural Heritage, Cultural Heritage Adm, Daejun 302701, South Korea; [Park, Jung-Duck] Chung Ang Univ, Coll Med, Seoul 156756, South Korea; [Nam, Ki-Hoan] Korea Res Inst Biosci &amp; Biotechnol, Lab Anim Resource Ctr, Ochang 363883, Chungbuk, South Korea; [Han, Sung Yong] Korean Otter Res Ctr, Hwacheon 209808, Gangwon Do, South Korea</t>
  </si>
  <si>
    <t>Seoul National University (SNU); Chung Ang University; Chung Ang University Hospital; Korea Research Institute of Bioscience &amp; Biotechnology (KRIBB)</t>
  </si>
  <si>
    <t>Ryu, DY (corresponding author), Seoul Natl Univ, Res Inst Vet Sci, PLUS Program Creat Vet Sci Res BK21, 1 Gwanak Ro, Seoul 151742, South Korea.</t>
  </si>
  <si>
    <t>dyryu@snu.ac.kr</t>
  </si>
  <si>
    <t>National Research Institute of Cultural Heritage, Cultural Heritage Administration, South Korea [NRICH-1207-B27F]</t>
  </si>
  <si>
    <t>National Research Institute of Cultural Heritage, Cultural Heritage Administration, South Korea</t>
  </si>
  <si>
    <t>This research was supported by the National Research Institute of Cultural Heritage, Cultural Heritage Administration, South Korea (#NRICH-1207-B27F).</t>
  </si>
  <si>
    <t>0963-9292</t>
  </si>
  <si>
    <t>1573-3017</t>
  </si>
  <si>
    <t>Ecotoxicology</t>
  </si>
  <si>
    <t>10.1007/s10646-015-1447-3</t>
  </si>
  <si>
    <t>Ecology; Environmental Sciences; Toxicology</t>
  </si>
  <si>
    <t>CK0WU</t>
  </si>
  <si>
    <t>WOS:000355927100009</t>
  </si>
  <si>
    <t>Pountney, A; Filby, AL; Thomas, GO; Simpson, VR; Chadwick, EA; Stevens, JR; Tyler, CR</t>
  </si>
  <si>
    <t>Pountney, Angela; Filby, Amy L.; Thomas, Gareth O.; Simpson, Vic R.; Chadwick, Elizabeth A.; Stevens, Jamie R.; Tyler, Charles R.</t>
  </si>
  <si>
    <t>CHEMOSPHERE</t>
  </si>
  <si>
    <t>Organohalogen; Organochlorine; Organic contaminants; Wild population; Britain; NW Europe</t>
  </si>
  <si>
    <t>BROMINATED FLAME RETARDANTS; MINK MUSTELA-VISON; POLYCHLORINATED-BIPHENYLS PCBS; THYROID-HORMONE; TISSUE DISTRIBUTION; LONTRA-CANADENSIS; RIVER; EXPOSURE; ORGANOCHLORINES; CONTAMINANTS</t>
  </si>
  <si>
    <t>Polybrominated diphenyl ethers (PBDEs), used as flame retardants since the 1970s, are being phased out of use, but are persistent and widespread in the environment. Historical declines in Eurasian otter (Lutra lutra) populations have been associated with exposure to dieldrin and polychlorinated biphenyls (PCBs), but links with other persistent organic pollutants have not been explored. In this study, liver samples from 129 otters, collected across England and Wales from 1995-2006, were analysed for PBDEs, together with PCBs, DDT breakdown products, and hexachlorobenzene. Associations with geographical location and life history parameters were explored. Concentrations of PBDEs in otters (Sigma BDE 12-70000 ng g(-1) lipid) paralleled those measured in marine mammals, with PBDE-47 the dominant congener and high levels of PBDE-99 and -100. Otter livers contained high concentrations of PBDE-153 and -209, typical of terrestrial top predators. Inter-individual variation in PBDE concentrations was high and correlated with geographical location. Sigma PBDE was 25% of Sigma PCB, and comparable with Sigma DDT, identifying PBDEs as a major contaminant in otter populations in England and Wales. (c) 2014 Elsevier Ltd. All rights reserved.</t>
  </si>
  <si>
    <t>[Pountney, Angela; Filby, Amy L.; Stevens, Jamie R.; Tyler, Charles R.] Univ Exeter, Coll Life &amp; Environm Sci, Exeter, Devon, England; [Thomas, Gareth O.] Univ Lancaster, Lancaster Environm Ctr, Lancaster, England; [Simpson, Vic R.] Wildlife Vet Invest Ctr, Truro, England; [Chadwick, Elizabeth A.] Cardiff Univ, Sch Biosci, Otter Project, Cardiff, S Glam, Wales</t>
  </si>
  <si>
    <t>University of Exeter; Lancaster University; Cardiff University</t>
  </si>
  <si>
    <t>Tyler, CR (corresponding author), Sch Life &amp; Environm Sci, Geoffrey Pope Bldg,Stocker Rd, Exeter EX4 4QD, Devon, England.</t>
  </si>
  <si>
    <t>c.r.tyler@exeter.ac.uk</t>
  </si>
  <si>
    <t>Chadwick, Elizabeth/G-1793-2010; Filby, Amy/F-8546-2010</t>
  </si>
  <si>
    <t>Chadwick, Elizabeth/0000-0002-6662-6343;</t>
  </si>
  <si>
    <t>Biotechnology and Biological Sciences Research Council (BBSRC); UK Environment Agency; Hampshire Wildlife Trust</t>
  </si>
  <si>
    <t>Biotechnology and Biological Sciences Research Council (BBSRC)(UK Research &amp; Innovation (UKRI)Biotechnology and Biological Sciences Research Council (BBSRC)); UK Environment Agency; Hampshire Wildlife Trust</t>
  </si>
  <si>
    <t>This project was co-funded by the Biotechnology and Biological Sciences Research Council (BBSRC), UK Environment Agency, and Hampshire Wildlife Trust. Help and advice were kindly provided by Dr. Alison Hall (Chemistry Department, University of Exeter), Prof. Richard Shore (Centre for Ecology and Hydrology [CEH]), and by the staff and students at the Lancaster Environment Centre, Lancaster University.</t>
  </si>
  <si>
    <t>0045-6535</t>
  </si>
  <si>
    <t>1879-1298</t>
  </si>
  <si>
    <t>Chemosphere</t>
  </si>
  <si>
    <t>10.1016/j.chemosphere.2014.06.051</t>
  </si>
  <si>
    <t>AX5GC</t>
  </si>
  <si>
    <t>WOS:000346953700011</t>
  </si>
  <si>
    <t>Geduhn, A; Esther, A; Schenke, D; Mattes, H; Jacob, J</t>
  </si>
  <si>
    <t>Geduhn, Anke; Esther, Alexandra; Schenke, Detlef; Mattes, Hermann; Jacob, Jens</t>
  </si>
  <si>
    <t>Anticoagulant; Rodenticide; Primary poisoning; Rodent; Bait</t>
  </si>
  <si>
    <t>ANTICOAGULANT RODENTICIDE RESIDUES; APODEMUS-SYLVATICUS; WARFARIN-RESISTANT; VITAMIN-K; LIQUID-CHROMATOGRAPHY; MASS-SPECTROMETRY; VULPES-VULPES; WOOD MOUSE; BARN OWL; BROMADIOLONE</t>
  </si>
  <si>
    <t>Worldwide pest rodents on livestock farms are often regulated using anticoagulant rodenticides (ARs). Second generation ARs in particular can cause poisoning in non-target species due to their high toxicity and persistence. However, research on exposure of small mammals is rare. We systematically investigated spatial and temporal exposure patterns of non-target small mammals in a large-scale replicated study. Small mammals were trapped at different distances to bait stations on ten farms before, during and after brodifacoum (BR) bait application, and liver samples of 1178 non-target small mammals were analyzed for residues of eight ARs using liquid chromatography coupled with tandem mass spectrometry. BR residues were present in 23% out of 742 samples collected during and after baiting. We found clear spatial and temporal exposure patterns. High BR residue concentrations mainly occurred within 15 m from bait stations. Occurrence and concentrations of residues significantly decreased with increasing distance. This pattern was found in almost all investigated taxa. After baiting, significantly more individuals contained residues than during baiting but concentrations were considerably lower. Residue occurrence and concentrations differed significantly among taxa, with the highest maximal residue concentrations in Apodemus species, which are protected in Germany. Although Sorex species are known to be insectivorous we regularly found residues in this genus. Residues of active agents other than brodifacoum were rare in all samples. The confirmation of substantial primary exposure in non-target small mammals close to the baiting area indicates considerable risk of secondary poisoning of predators, a pathway that was possibly underestimated until now. Our results will help to develop risk mitigation strategies to reduce risk for non-target small mammals, as well as their predators, in relation to biocidal AR usage. (C) 2014 Elsevier B.V. All rights reserved.</t>
  </si>
  <si>
    <t>[Geduhn, Anke; Esther, Alexandra; Jacob, Jens] Julius Kuhn Inst, Fed Res Ctr Cultivated Plants, Inst Plant Protect Hort &amp; Forests, D-48161 Munster, Germany; [Geduhn, Anke; Mattes, Hermann] Univ Munster, Inst Landscape Ecol, D-48149 Munster, Germany; [Schenke, Detlef] Julius Kuhn Inst, Fed Res Ctr Cultivated Plants, Inst Ecol Chem Plant Anal &amp; Stored Prod Protect, D-48161 Munster, Germany</t>
  </si>
  <si>
    <t>Julius Kuhn-Institut; University of Munster; Julius Kuhn-Institut</t>
  </si>
  <si>
    <t>Geduhn, A (corresponding author), Julius Kuhn Inst, Fed Res Ctr Cultivated Plants, Inst Plant Protect Hort &amp; Forests, Toppheideweg 88, D-48161 Munster, Germany.</t>
  </si>
  <si>
    <t>anke.geduhn@jki.bund.de</t>
  </si>
  <si>
    <t>Jacob, Jens/C-2189-2013</t>
  </si>
  <si>
    <t>Jacob, Jens/0000-0002-5136-6606; Geduhn, Anke/0000-0002-8360-0284</t>
  </si>
  <si>
    <t>Federal Environment Agency (UBA) within the Environment Research Plan of the German Federal Ministry for the Environment, Nature Conservation and Nuclear Safety (BMU) [3710 63 401]</t>
  </si>
  <si>
    <t>Federal Environment Agency (UBA) within the Environment Research Plan of the German Federal Ministry for the Environment, Nature Conservation and Nuclear Safety (BMU)</t>
  </si>
  <si>
    <t>We would like to thank all farmers for providing access to their farms and further support. We would also like to thank Rolf Barten from frunol delicia (R) GmbH for providing Ratron (R) Brodifacoum Flocken. We are grateful to Ramazan Koc and Ina Stachewicz-Voigt for the residue analysis. Further thanks go to Daniela Reil for the helpful discussions on the manuscript and to Grant Singleton for revising the use of the English language. This study was funded by the Federal Environment Agency (UBA) within the Environment Research Plan of the German Federal Ministry for the Environment, Nature Conservation and Nuclear Safety (BMU) (grant number 3710 63 401).</t>
  </si>
  <si>
    <t>10.1016/j.scitotenv.2014.07.049</t>
  </si>
  <si>
    <t>AP7GK</t>
  </si>
  <si>
    <t>WOS:000342245600038</t>
  </si>
  <si>
    <t>Rattner, BA; Lazarus, RS; Elliott, JE; Shore, RF; van den Brink, N</t>
  </si>
  <si>
    <t>Rattner, Barnett A.; Lazarus, Rebecca S.; Elliott, John E.; Shore, Richard F.; van den Brink, Nico</t>
  </si>
  <si>
    <t>ENVIRONMENTAL SCIENCE &amp; TECHNOLOGY</t>
  </si>
  <si>
    <t>EASTERN SCREECH-OWLS; POLECATS MUSTELA-PUTORIUS; RATS RATTUS-NORVEGICUS; KITES MILVUS-MILVUS; NONTARGET WILDLIFE; BRODIFACOUM BAIT; BONE-DENSITY; PEST-CONTROL; EXPOSURE; DIPHACINONE</t>
  </si>
  <si>
    <t>Despite a long history of successful use, routine application of some anticoagulant rodenticides (ARs) may be at a crossroad due to new regulatory guidelines intended to mitigate risk. An adverse outcome pathway for ARs was developed to identify information gaps and end points to assess the effectiveness of regulations. This framework describes chemical properties of ARs, established macromolecular interactions by inhibition of vitamin K epoxide reductase, cellular responses including altered dotting factor processing and coagulopathy, organ level effects such as hemorrhage, organism responses with linkages to reduced fitness and mortality, and potential consequences to predator populations. Risk assessments have led to restrictions affecting use of some second-generation ARs (SGARs) in North America. While the European regulatory community highlighted significant or unacceptable risk of ARs to nontarget wildlife, use of SGARs in most EU member states remains authorized due to public health concerns and the absence of safe alternatives. For purposes of conservation and restoration of island habitats, SGARs remain a mainstay for eradication of invasive species. There are significant data gaps related to exposure pathways, comparative species sensitivity, consequences of sublethal effects, potential hazards of greater AR residues in genetically resistant prey, effects of low-level exposure to multiple rodenticides, and quantitative data on the magnitude of nontarget wildlife mortality.</t>
  </si>
  <si>
    <t>[Rattner, Barnett A.; Lazarus, Rebecca S.] US Geol Survey, Patuxent Wildlife Res Ctr, Beltsville, MD 20705 USA; [Elliott, John E.] Environm Canada, Pacific Wildlife Res Ctr, Delta, BC V4K 3N2, Canada; [Shore, Richard F.] NERC, Ctr Ecol &amp; Hydrol, LEC, Lancaster LA1 4AP, England; [van den Brink, Nico] Wageningen Univ, Div Toxicol, NL-6700 EA Wageningen, Netherlands</t>
  </si>
  <si>
    <t>United States Department of the Interior; United States Geological Survey; Environment &amp; Climate Change Canada; Canadian Wildlife Service; Pacific Wildlife Research Centre; UK Centre for Ecology &amp; Hydrology (UKCEH); UK Research &amp; Innovation (UKRI); Natural Environment Research Council (NERC); Wageningen University &amp; Research</t>
  </si>
  <si>
    <t>Rattner, BA (corresponding author), US Geol Survey, Patuxent Wildlife Res Ctr, Beltsville, MD 20705 USA.</t>
  </si>
  <si>
    <t>brattner@usgs.gov</t>
  </si>
  <si>
    <t>van den Brink, Paul/E-8315-2013; Shore, Richard/A-2638-2012</t>
  </si>
  <si>
    <t>Shore, Richard/0000-0002-9337-8883</t>
  </si>
  <si>
    <t>AMER CHEMICAL SOC</t>
  </si>
  <si>
    <t>1155 16TH ST, NW, WASHINGTON, DC 20036 USA</t>
  </si>
  <si>
    <t>0013-936X</t>
  </si>
  <si>
    <t>1520-5851</t>
  </si>
  <si>
    <t>ENVIRON SCI TECHNOL</t>
  </si>
  <si>
    <t>Environ. Sci. Technol.</t>
  </si>
  <si>
    <t>AUG 5</t>
  </si>
  <si>
    <t>10.1021/es501740n</t>
  </si>
  <si>
    <t>AM7WY</t>
  </si>
  <si>
    <t>WOS:000340080600016</t>
  </si>
  <si>
    <t>Harwell, MA; Gentile, JH</t>
  </si>
  <si>
    <t>Harwell, Mark A.; Gentile, John H.</t>
  </si>
  <si>
    <t>HUMAN AND ECOLOGICAL RISK ASSESSMENT</t>
  </si>
  <si>
    <t>ecological recovery; Enhydra lutris; sea otter; Exxon Valdez oil spill; attributable risk; ecological risk assessment; individual-based models</t>
  </si>
  <si>
    <t>PRINCE-WILLIAM-SOUND; PACIFIC REGIME SHIFTS; NORTH PACIFIC; POPULATION DECLINES; CAUSAL INFERENCE; CLIMATE; ALASKA; CONSEQUENCES; CATASTROPHES; OSCILLATION</t>
  </si>
  <si>
    <t>The Exxon Valdez oil spill occurred more than two decades ago, and the Prince William Sound ecosystem has essentially recovered. Nevertheless, discussion continues on whether or not localized effects persist on sea otters (Enhydra lutris) at northern Knight Island (NKI) and, if so, what are the associated attributable risks. A recent study estimated new rates of sea otter encounters with subsurface oil residues (SSOR) from the oil spill. We previously demonstrated that a potential pathway existed for exposures to polycyclic aromatic hydrocarbons (PAHs) and conducted a quantitative ecological risk assessment using an individual-based model that simulated this and other plausible exposure pathways. Here we quantitatively update the potential for this exposure pathway to constitute an ongoing risk to sea otters using the new estimates of SSOR encounters. Our conservative model predicted that the assimilated doses of PAHs to the 1-in-1000th most-exposed sea otters would remain 1-2 orders of magnitude below the chronic effects thresholds. We re-examine the baseline estimates, post-spill surveys, recovery status, and attributable risks for this subpopulation. We conclude that the new estimated frequencies of encountering SSOR do not constitute a plausible risk for sea otters at NKI and these sea otters have fully recovered from the oil spill.</t>
  </si>
  <si>
    <t>[Harwell, Mark A.] Harwell Gentile &amp; Associates LC, Port Orange, FL 32129 USA; [Gentile, John H.] Harwell Gentile &amp; Associates LC, Brewster, MA USA</t>
  </si>
  <si>
    <t>Harwell, MA (corresponding author), Harwell Gentile &amp; Associates LC, POB 291267, Port Orange, FL 32129 USA.</t>
  </si>
  <si>
    <t>mharwell@ecologicalrisk.com</t>
  </si>
  <si>
    <t>Exxon Mobil Corporation</t>
  </si>
  <si>
    <t>Exxon Mobil Corporation(Exxon Mobil Corporation)</t>
  </si>
  <si>
    <t>The authors greatly appreciate the careful reviews and suggestions of the three formal peer reviewers approved by the editors of Human and Ecological Risk Assessment: Don DeAngelis, Chris Teaf, and David Weinstein. We also thank Ms. Allison Zusi-Cobb for her GIS skills and for preparation of the map of Prince William Sound. The authors acknowledge the financial support provided by Exxon Mobil Corporation for the time needed to prepare this article.</t>
  </si>
  <si>
    <t>TAYLOR &amp; FRANCIS INC</t>
  </si>
  <si>
    <t>PHILADELPHIA</t>
  </si>
  <si>
    <t>530 WALNUT STREET, STE 850, PHILADELPHIA, PA 19106 USA</t>
  </si>
  <si>
    <t>1080-7039</t>
  </si>
  <si>
    <t>1549-7860</t>
  </si>
  <si>
    <t>HUM ECOL RISK ASSESS</t>
  </si>
  <si>
    <t>Hum. Ecol. Risk Assess.</t>
  </si>
  <si>
    <t>JUL 4</t>
  </si>
  <si>
    <t>10.1080/10807039.2013.828513</t>
  </si>
  <si>
    <t>AD7YQ</t>
  </si>
  <si>
    <t>WOS:000333483800002</t>
  </si>
  <si>
    <t>Thompson, C; Sweitzer, R; Gabriel, M; Purcell, K; Barrett, R; Poppenga, R</t>
  </si>
  <si>
    <t>Thompson, Craig; Sweitzer, Richard; Gabriel, Mourad; Purcell, Kathryn; Barrett, Reginald; Poppenga, Robert</t>
  </si>
  <si>
    <t>CONSERVATION LETTERS</t>
  </si>
  <si>
    <t>Letter</t>
  </si>
  <si>
    <t>pesticide; survival; fisher; marijuana; Anticoagulant rodenticide; Pekania pennanti</t>
  </si>
  <si>
    <t>ANTICOAGULANT RODENTICIDES; MARTES-PENNANTI; SELECTIVE PREDATION; VULPES-VULPES; PESTICIDES; EXPOSURE; POPULATION; WILDLIFE; THERMOREGULATION; BROMADIOLONE</t>
  </si>
  <si>
    <t>Secondary exposure of wildlife to pesticides has been well documented, yet exposure is typically associated with agricultural or wildland-urban interface areas. Wildlife in undeveloped areas is generally presumed free from risk. In 2009, a male fisher was found dead in the Sierra National Forest and subsequent necropsy revealed that the animal died of acute rodenticide poisoning. Follow-up testing revealed that 85% of fisher carcasses recovered by two research projects in the previous three years tested positive for rodenticides. Concern arose that exposure could predispose an animal to mortality from other causes, and that the underlying role of toxicants would escape notice. Further investigation indicated that the most likely source was the numerous illegal marijuana cultivation sites currently found on public lands throughout the western United States. To determine whether the presence of cultivation sites predisposed fishers to mortality from other sources, we related survival rates to the presence and number of cultivation sites found within that animal's home range over the past 10 years. Likelihood of exposure was related to the presence of cultivation sites, and female fisher survival was influenced by the number of cultivation sites within its home range. We discuss the conservation implications of this unexpected relationship.</t>
  </si>
  <si>
    <t>[Thompson, Craig; Purcell, Kathryn] US Forest Serv, USDA, Pacific Southwest Res Stn, Fresno, CA 93710 USA; [Sweitzer, Richard] Univ Calif Berkeley, Sierra Nevada Adapt Management Program, Berkeley, CA 94720 USA; [Gabriel, Mourad] Integral Ecol Res Ctr, Blue Lake, CA USA; [Barrett, Reginald] Univ Calif Berkeley, Dept Environm Sci Policy &amp; Management, Berkeley, CA 94720 USA; [Poppenga, Robert] Univ Calif Davis, Sch Vet Med, Davis, CA 95616 USA</t>
  </si>
  <si>
    <t>United States Department of Agriculture (USDA); United States Forest Service; University of California System; University of California Berkeley; University of California System; University of California Berkeley; University of California System; University of California Davis</t>
  </si>
  <si>
    <t>Thompson, C (corresponding author), US Forest Serv, USDA, Pacific Southwest Res Stn, 2081 E Sierra Av, Fresno, CA 93710 USA.</t>
  </si>
  <si>
    <t>cthompson@fs.fed.us</t>
  </si>
  <si>
    <t>Purcell, Kathryn/S-2592-2016; Barrett, Reginald/AAC-2608-2020</t>
  </si>
  <si>
    <t>1755-263X</t>
  </si>
  <si>
    <t>CONSERV LETT</t>
  </si>
  <si>
    <t>Conserv. Lett.</t>
  </si>
  <si>
    <t>10.1111/conl.12038</t>
  </si>
  <si>
    <t>AE7GG</t>
  </si>
  <si>
    <t>WOS:000334164400003</t>
  </si>
  <si>
    <t>White, CL; Schuler, KL; Thomas, NJ; Webb, JL; Saliki, JT; Ip, HS; Dubey, JP; Frame, ER</t>
  </si>
  <si>
    <t>White, C. LeAnn; Schuler, Krysten L.; Thomas, Nancy J.; Webb, Julie L.; Saliki, Jeremiah T.; Ip, Hon S.; Dubey, J. P.; Frame, Elizabeth R.</t>
  </si>
  <si>
    <t>Biotoxins; Brucella; influenza; Leptospira; morbillivirus; Sarcocystis neurona; Toxoplasma gondii</t>
  </si>
  <si>
    <t>PHOCINE-DISTEMPER-VIRUS; MARINE MAMMALS; MORBILLIVIRUS INFECTIONS; BRUCELLA-PINNIPEDIALIS; SARCOCYSTIS-NEURONA; CLINICAL PATHOLOGY; TOXOPLASMA-GONDII; COXIELLA-BURNETII; RIVER OTTERS; HARBOR SEALS</t>
  </si>
  <si>
    <t>Northern sea otters (Enhydra harts kenyoni) from Washington State, United States were evaluated in 2011 to determine health status and pathogen exposure. Antibodies to Brucella spp. (10%) and influenza A virus (23%) were detected for the first time in this population in 2011. Changes in clinical pathology values (serum chemistries), exposure to pathogens, and overall health of the population over the last decade were assessed by comparing 2011 data to the data collected on this population in 2001-2002. Several serum chemistry parameters were different between study years and sexes but were not clinically significant. The odds of canine distemper virus exposure were higher for otters sampled in 2001-2002 (80%) compared to 2011 (10%); likelihood of exposure significantly increased with age. Prevalence of exposure to Sarcocystis neurona was also higher in 2001-2002 (29%) than in 2011 (0%), but because testing methods varied between study years the results were not directly comparable. Exposure to Leptospira spp. was only observed in 2001-2002. Odds of Toxoplasma gondii exposure were higher for otters sampled in 2011 (97%) than otters in 2001-2002 (58%). Substantial levels of domoic acid (n=2) and saxitoxin (n=2) were found in urine or fecal samples from animals sampled in 2011. No evidence of calicivirus or Coxiella burnetii exposure in the Washington population of northern sea otters was found in either 2001-2002 or 2011. Changes in exposure status from 2001-2002 to 2011 suggest that the Washington sea otter population may be dealing with new disease threats (e.g., influenza) while also increasing their susceptibility to diseases that may be highly pathogenic in naive individuals (e.g., canine distemper).</t>
  </si>
  <si>
    <t>[White, C. LeAnn; Schuler, Krysten L.; Thomas, Nancy J.; Ip, Hon S.] US Geol Survey, Natl Wildlife Hlth Ctr, Madison, WI 53711 USA; [Webb, Julie L.] Univ Wisconsin, Sch Vet Med, Dept Pathobiol Sci, Madison, WI 53706 USA; [Saliki, Jeremiah T.] Univ Georgia, Athens Vet Diagnost Lab, Athens, GA 30602 USA; [Dubey, J. P.] ARS, Anim Parasit Dis Lab, Beltsville Agr Res Ctr, USDA, Beltsville, MD 20705 USA; [Frame, Elizabeth R.] NOAA, Environm Conservat Div, NW Fisheries Sci Ctr, Seattle, WA 98112 USA</t>
  </si>
  <si>
    <t>United States Department of the Interior; United States Geological Survey; University of Wisconsin System; University of Wisconsin Madison; University System of Georgia; University of Georgia; United States Department of Agriculture (USDA); National Oceanic Atmospheric Admin (NOAA) - USA</t>
  </si>
  <si>
    <t>White, CL (corresponding author), US Geol Survey, Natl Wildlife Hlth Ctr, 6006 Schroeder Rd, Madison, WI 53711 USA.</t>
  </si>
  <si>
    <t>clwhite@usgs.gov</t>
  </si>
  <si>
    <t>Ip, Hon/AFK-6086-2022; Schuler, Krysten/J-6317-2019</t>
  </si>
  <si>
    <t>Ip, Hon/0000-0003-4844-7533; Webb, Julie/0009-0004-9763-6765; Schuler, Krysten/0000-0002-0515-3589; Saliki, Jeremiah/0000-0003-0050-4324</t>
  </si>
  <si>
    <t>US Fish and Wildlife Service, the Washington Fish and Wildlife Office, Division of Listing and Recovery [4500029854 (13320-A-H008)]; US Geological Service-National Wildlife Health Center</t>
  </si>
  <si>
    <t>US Fish and Wildlife Service, the Washington Fish and Wildlife Office, Division of Listing and Recovery; US Geological Service-National Wildlife Health Center</t>
  </si>
  <si>
    <t>This project was supported by the US Fish and Wildlife Service, the Washington Fish and Wildlife Office, Division of Listing and Recovery, Interagency Agreement 4500029854 (13320-A-H008). Additional support was provided by US Geological Service-National Wildlife Health Center. Sample collection was done in collaboration with the US Geological Survey-Alaska Science Center and Monterey Bay Aquarium. We thank J. Bodkin, M. Murray, G. Esslinger, B. Weitzman, B. Hatfield, M. Kenner, and J. Tomeleoni for assistance with capture and sampling. We thank R. Hornsby, D. Lindsay, R. Ford, and A. Smith for assistance with testing and interpretation. We are grateful to D. Lynch for logistic support and V. Shearn-Bochsler for review of earlier drafts of the manuscript. Use of trade, product, or firm names is for descriptive purposes only and does not imply endorsement by the US Government.</t>
  </si>
  <si>
    <t>10.7589/2013-03-053</t>
  </si>
  <si>
    <t>241WM</t>
  </si>
  <si>
    <t>WOS:000326199400011</t>
  </si>
  <si>
    <t>Ramos-Rosas, NN; Valdespino, C; García-Hernández, J; Gallo-Reynoso, JP; Olguín, EJ</t>
  </si>
  <si>
    <t>Ramos-Rosas, Nadia N.; Valdespino, Carolina; Garcia-Hernandez, Jaqueline; Gallo-Reynoso, Juan P.; Olguin, Eugenia J.</t>
  </si>
  <si>
    <t>Neotropical otter; Lontra longicaudis annectens; Heavy metals; Feces; Mexico; Ramsar protected wetlands</t>
  </si>
  <si>
    <t>RIVER OTTERS; MERCURY; CADMIUM; CONTAMINANTS; CONSERVATION; SEDIMENTS; IMPACT; NORTH; LEAD</t>
  </si>
  <si>
    <t>Top predators like the Neotropical otter, Lontra longicaudis annectens, are usually considered good bioindicators of habitat quality. In this study, we evaluated heavy metal contamination (Hg-tot, Pb, Cd) in the riverine habitat, prey (crustaceans and fish), and otter feces in two Ramsar wetlands with contrasting upstream contamination discharges: Rio Blanco and Rio Cao Grande in Veracruz, Mexico, during the dry, the wet, and the nortes seasons. Most comparisons revealed no differences between sites while seasonal differences were repeatedly detected for all of the compartments. Higher concentrations of Pb during the dry season and of Cd during the wet season in otter feces mirrored differences detected in the most seasonally consumed prey. Compared with fecal methylmercury values reported for the European otter (0.25-0.75 mg kg(-1)) in unprotected areas, the Hg-tot levels that we measured were lower (0.02-0.17 mg kg(-1)). However, Pb (117.87 mg kg(-1)) and Cd (9.14 mg kg(-1)) concentrations were higher (Pb, 38.15 mg kg(-1) and Cd, 4.72 mg kg(-1)) in the two Ramsar wetlands. Protected areas may shelter species, but those with water-linked diets may suffer the effect of chemicals used upstream.</t>
  </si>
  <si>
    <t>[Ramos-Rosas, Nadia N.; Valdespino, Carolina; Olguin, Eugenia J.] Inst Ecol AC, Xalapa 91070, Veracruz, Mexico; [Garcia-Hernandez, Jaqueline] Ctr Invest Alimentac &amp; Desarrollo AC, Lab Ciencias Ambientales, Hermosillo, Sonora, Mexico; [Gallo-Reynoso, Juan P.] Ctr Invest Alimentac &amp; Desarrollo AC, Lab Ecofisiol, Hermosillo, Sonora, Mexico</t>
  </si>
  <si>
    <t>Instituto de Ecologia - Mexico; CIAD - Centro de Investigacion en Alimentacion y Desarrollo; CIAD - Centro de Investigacion en Alimentacion y Desarrollo</t>
  </si>
  <si>
    <t>Valdespino, C (corresponding author), Inst Ecol AC, Carretera Antigua Coatepec 351, Xalapa 91070, Veracruz, Mexico.</t>
  </si>
  <si>
    <t>carolina.valdespino@inecol.edu.mx</t>
  </si>
  <si>
    <t>Garcia-Hernández, Jaqueline/GLU-6700-2022; Valdespino, Carolina/Q-6795-2018</t>
  </si>
  <si>
    <t>Olguín, Eugenia Judith/0000-0001-6906-2750; Valdespino, Carolina/0000-0002-5688-6862; Gallo, Juan P/0000-0003-1156-6037</t>
  </si>
  <si>
    <t>Consejo Nacional de Ciencia y Tecnologia (CONACyT); CV; JPGR; EJO</t>
  </si>
  <si>
    <t>Consejo Nacional de Ciencia y Tecnologia (CONACyT)(Consejo Nacional de Ciencia y Tecnologia (CONACyT)); CV; JPGR; EJO</t>
  </si>
  <si>
    <t>We are thankful to Julia Jimenez and Daniela Aguilera for processing samples in the Ciencias Ambientales lab of the Centro de Investigacion en Alimentacion y Desarrollo, Guaymas, Sonora, Mexico. Bianca Delfosse revised the English. NNSS is grateful for an M.Sc. scholarship awarded by Consejo Nacional de Ciencia y Tecnologia (CONACyT), and the study was made possible by financial support from CV, JPGR, and EJO.</t>
  </si>
  <si>
    <t>10.1007/s10661-012-2623-z</t>
  </si>
  <si>
    <t>068ID</t>
  </si>
  <si>
    <t>WOS:000313359000012</t>
  </si>
  <si>
    <t>Ballachey, BE; Bodkin, JL; Monson, DH</t>
  </si>
  <si>
    <t>Ballachey, Brenda E.; Bodkin, James L.; Monson, Daniel H.</t>
  </si>
  <si>
    <t>Sea otter; 'Exxon Valdez'; Oil spill; Enhydra lutris; Ecological risk assessment</t>
  </si>
  <si>
    <t>PRINCE-WILLIAM-SOUND; ENHYDRA-LUTRIS; ALASKA; EXPOSURE; CONTAMINATION; HYDROCARBONS; PATTERNS; RECOVERY; THERMOREGULATION; CALIFORNIA</t>
  </si>
  <si>
    <t>Recovery of sea otter populations in Prince William Sound (PWS), Alaska, has been delayed for more than 2 decades following the 1989 'Exxon Valdez' oil spill. Harwell &amp; Gentile (2013; Mar Ecol Prog Ser 488:291-296) question our conclusions in Bodkin et al. (2012; Mar Ecol Prog Ser 447:273-287) regarding adverse effects that oil lingering in the environment may have on sea otters. They agree that exposure may continue, but disagree that it constitutes a significant risk to sea otters. In Bodkin et al. (2012), we suggested that subtle effects of chronic exposure were the most reasonable explanation for delayed recovery of the sea otter population in areas of western PWS, where shorelines were most heavily oiled. Here, we provide additional information on the ecology of sea otters that clarifies why the toxicological effects of oral ingestion of oil do not reflect all effects of chronic exposure. The full range of energetic, behavioral, and toxicological concerns must be considered to appraise how chronic exposure to residual oil may constrain recovery of sea otter populations.</t>
  </si>
  <si>
    <t>[Ballachey, Brenda E.; Bodkin, James L.; Monson, Daniel H.] US Geol Survey, Alaska Sci Ctr, Anchorage, AK 99508 USA</t>
  </si>
  <si>
    <t>Ballachey, BE (corresponding author), US Geol Survey, Alaska Sci Ctr, 4210 Univ Dr, Anchorage, AK 99508 USA.</t>
  </si>
  <si>
    <t>bballachey@usgs.gov</t>
  </si>
  <si>
    <t>10.3354/meps10498</t>
  </si>
  <si>
    <t>202US</t>
  </si>
  <si>
    <t>WOS:000323245800025</t>
  </si>
  <si>
    <t>Sea otter; 'Exxon Valdez' oil spill; Ecological risk assessment; Enhydra lutris; Individual-based models</t>
  </si>
  <si>
    <t>PRINCE-WILLIAM-SOUND; CAUSAL INFERENCE; RECOVERY; PERSISTENCE; ALASKA; MODEL</t>
  </si>
  <si>
    <t>Bodkin et al. (2012; Mar Ecol Prog Ser 447:273-287) assessed the frequency at which sea otters Enhydra lutris might encounter subsurface oil residues from the 'Exxon Valdez' oil spill. They concluded that a pathway exists for exposures of sea otters to residual oil in the intertidal zone, and imply that this pathway has delayed recovery of sea otters. We agree that the potential exposure pathway exists, and the Bodkin et al. (2012) estimates of the frequency of encountering subsurface oil residues (4 to 10 times per year) comport with our previously published studies (2 to 7 times per year). However, we disagree that this pathway constitutes a significant risk to sea otters. We discuss results from our quantitative ecological risk assessment using an individual-based model that specifically simulated this pathway of exposures to a population of 500 000 sea otters. This conservative model predicted that assimilated doses of polycyclic aromatic hydrocarbons in subsurface oil residues to the 1-in-1000th most-exposed sea otters would be 1 to 2 orders of magnitude below the chronic effects thresholds that we established using USEPA data and methodology. When we artificially increased the rate of encountering subsurface oil residues, it required 4 to 10 encounters per day to reach effects levels. We conclude that the subsurface oil residues from the oil spill could not plausibly be responsible for any individual-or population-level effect on the sea otters at northern Knight Island.</t>
  </si>
  <si>
    <t>[Harwell, Mark A.; Gentile, John H.] Harwell Gentile &amp; Associates LC, Port Orange, FL 32129 USA</t>
  </si>
  <si>
    <t>10.3354/meps10497</t>
  </si>
  <si>
    <t>WOS:000323245800024</t>
  </si>
  <si>
    <t>Roos, AM; Bäcklin, BMVM; Helander, BO; Rigét, FE; Eriksson, UC</t>
  </si>
  <si>
    <t>Roos, Anna M.; Backlin, Britt-Marie V. M.; Helander, Bjorn O.; Riget, Frank E.; Eriksson, Ulla C.</t>
  </si>
  <si>
    <t>Reproductive outcome; Otter; Grey seal; White-tailed sea eagle; Organochlorine contamination; Packed vs capillary column GC; Sweden</t>
  </si>
  <si>
    <t>MINK MUSTELA-VISON; BALD EAGLES; POLYCHLORINATED-BIPHENYLS; RESIDUE LEVELS; PCB; PRODUCTIVITY; EGGS; DDT; LAKES; LEUCOCEPHALUS</t>
  </si>
  <si>
    <t>We studied indices of reproductive outcome in three aquatic species in relation to organochlorine concentrations during four decades. In female otters, the frequency of signs of reproduction increased after 1990. In grey seals, pregnancy rate increased 1990-2010 and uterine obstructions ceased after 1993. The frequency of uterine tumours was highest 1980-2000. The number of sea eagle nestlings per checked nest increased 1985-2000, while the frequency of desiccated eggs decreased. Organochlorine concentrations decreased at annual rates between 3.5 and 10.2%. The estimated mean concentration (mg/kg lw) for total-PCB decreased from 70 to 8 (otters), from 110 to 15 (seals) and from 955 to 275 (eagles). The corresponding concentrations for Sigma DDT decreased from 3.4 to 0.2 (otters), from 192 to 2.8 (seals) and from 865 to 65 (eagles). This study adds evidence to support the hypothesis that PCBs and DDTs have had strong negative effects on the reproduction and population levels of these species. (C) 2012 Elsevier Ltd. All rights reserved.</t>
  </si>
  <si>
    <t>[Roos, Anna M.; Backlin, Britt-Marie V. M.; Helander, Bjorn O.] Swedish Museum Nat Hist, Dept Contaminant Res, Stockholm, Sweden; [Roos, Anna M.] Uppsala Univ, Uppsala, Sweden; [Riget, Frank E.] Aarhus Univ, DK-8000 Aarhus C, Denmark; [Eriksson, Ulla C.] Stockholm Univ, Stockholm, Sweden</t>
  </si>
  <si>
    <t>Swedish Museum of Natural History; Uppsala University; Aarhus University; Stockholm University</t>
  </si>
  <si>
    <t>Roos, AM (corresponding author), Swedish Museum Nat Hist, Dept Contaminant Res, Stockholm, Sweden.</t>
  </si>
  <si>
    <t>anna.roos@nrm.se</t>
  </si>
  <si>
    <t>Rigét, Frank/J-3245-2013</t>
  </si>
  <si>
    <t>Swedish Environmental Protection Agency; Swedish World Wide Fund for Nature, WWF; County boards of Jamtland, Sodermanland and Uppland; Radda uttern i Smaland</t>
  </si>
  <si>
    <t>We thank Dr Anders Bergman who performed the necropsy of seals up to 2001, and Charlotta Moraeus for assistance with dissections of the seals during recent years and thanks to Dr Jan Orberg for valuable comments on the manuscript. The Swedish Environmental Protection Agency and Swedish World Wide Fund for Nature, WWF, are acknowledged for their funding of chemical analysis of otters and seals, together with the County boards of Jamtland, Sodermanland and Uppland, and Radda uttern i Smaland. The sea eagle studies were performed within Project Sea Eagle (Swedish Society for Nature Conservation) and the National Environment Monitoring Programme (National Environment Protection Agency).</t>
  </si>
  <si>
    <t>10.1016/j.envpol.2012.07.017</t>
  </si>
  <si>
    <t>001HB</t>
  </si>
  <si>
    <t>WOS:000308450100033</t>
  </si>
  <si>
    <t>Gabriel, MW; Woods, LW; Poppenga, R; Sweitzer, RA; Thompson, C; Matthews, SM; Higley, JM; Keller, SM; Purcell, K; Barrett, RH; Wengert, GM; Sacks, BN; Clifford, DL</t>
  </si>
  <si>
    <t>Gabriel, Mourad W.; Woods, Leslie W.; Poppenga, Robert; Sweitzer, Rick A.; Thompson, Craig; Matthews, Sean M.; Higley, J. Mark; Keller, Stefan M.; Purcell, Kathryn; Barrett, Reginald H.; Wengert, Greta M.; Sacks, Benjamin N.; Clifford, Deana L.</t>
  </si>
  <si>
    <t>STOATS MUSTELA ERMINEA; SEX-RATIO; NONTARGET WILDLIFE; INTOXICATION; BRODIFACOUM; ABUNDANCE; FISHERS; MAMMALS</t>
  </si>
  <si>
    <t>Anticoagulant rodenticide (AR) poisoning has emerged as a significant concern for conservation and management of nontarget wildlife. The purpose for these toxicants is to suppress pest populations in agricultural or urban settings. The potential of direct and indirect exposures and illicit use of ARs on public and community forest lands have recently raised concern for fishers (Martes pennanti), a candidate for listing under the federal Endangered Species Act in the Pacific states. In an investigation of threats to fisher population persistence in the two isolated California populations, we investigate the magnitude of this previously undocumented threat to fishers, we tested 58 carcasses for the presence and quantification of ARs, conducted spatial analysis of exposed fishers in an effort to identify potential point sources of AR, and identified fishers that died directly due to AR poisoning. We found 46 of 58 (79%) fishers exposed to an AR with 96% of those individuals having been exposed to one or more second-generation AR compounds. No spatial clustering of AR exposure was detected and the spatial distribution of exposure suggests that AR contamination is widespread within the fisher's range in California, which encompasses mostly public forest and park lands Additionally, we diagnosed four fisher deaths, including a lactating female, that were directly attributed to AR toxicosis and documented the first neonatal or milk transfer of an AR to an altricial fisher kit. These ARs, which some are acutely toxic, pose both a direct mortality or fitness risk to fishers, and a significant indirect risk to these isolated populations. Future research should be directed towards investigating risks to prey populations fishers are dependent on, exposure in other rare forest carnivores, and potential AR point sources such as illegal marijuana cultivation in the range of fishers on California public lands.</t>
  </si>
  <si>
    <t>[Gabriel, Mourad W.; Wengert, Greta M.] Integral Ecol Res Ctr, Blue Lake, CA USA; [Gabriel, Mourad W.; Sacks, Benjamin N.] Univ Calif Davis, Vet Genet Lab, Davis, CA 95616 USA; [Woods, Leslie W.; Poppenga, Robert] Univ Calif Davis, Calif Anim Hlth &amp; Food Safety Lab Syst, Davis, CA 95616 USA; [Sweitzer, Rick A.; Barrett, Reginald H.] Univ Calif Berkeley, Sierra Nevada Adapt Management Project, Berkeley, CA 94720 USA; [Thompson, Craig; Purcell, Kathryn] US Forest Serv, Pacific SW Res Stn, Sierra Nevada Res Ctr, Fresno, CA USA; [Matthews, Sean M.] Wildlife Conservat Soc, Hoopa, CA USA; [Higley, J. Mark] Hoopa Tribal Forestry, Dept Wildlife, Hoopa, CA USA; [Keller, Stefan M.] Univ Calif Davis, Dept Pathol Microbiol &amp; Immunol, Davis, CA 95616 USA; [Clifford, Deana L.] Calif Dept Fish &amp; Game, Wildlife Invest Lab, Rancho Cordova, CA 95670 USA</t>
  </si>
  <si>
    <t>University of California System; University of California Davis; University of California System; University of California Davis; University of California System; University of California Berkeley; United States Department of Agriculture (USDA); United States Forest Service; Wildlife Conservation Society; University of California System; University of California Davis</t>
  </si>
  <si>
    <t>Gabriel, MW (corresponding author), Integral Ecol Res Ctr, Blue Lake, CA USA.</t>
  </si>
  <si>
    <t>mwgabriel@ucdavis.edu</t>
  </si>
  <si>
    <t>Keller, Stefan/ABK-6651-2022; Barrett, Reginald/AAC-2608-2020; Purcell, Kathryn/S-2592-2016</t>
  </si>
  <si>
    <t>Keller, Stefan/0000-0002-5428-2985; Higley, Mark/0000-0002-7722-3785;</t>
  </si>
  <si>
    <t>JUL 13</t>
  </si>
  <si>
    <t>e40163</t>
  </si>
  <si>
    <t>10.1371/journal.pone.0040163</t>
  </si>
  <si>
    <t>974CF</t>
  </si>
  <si>
    <t>WOS:000306406700023</t>
  </si>
  <si>
    <t>Delibes, M; Calzada, J; Clavero, M; Fernández, N; Gutiérrez-Expósito, C; Revilla, E; Román, J</t>
  </si>
  <si>
    <t>Delibes, Miguel; Calzada, Javier; Clavero, Miguel; Fernandez, Nestor; Gutierrez-Exposito, Carlos; Revilla, Eloy; Roman, Jacinto</t>
  </si>
  <si>
    <t>Eurasian otter; Lutra lutra; Morocco; PCB; pollution; recovery; survey</t>
  </si>
  <si>
    <t>Although the Near Threatened Eurasian otter Lutra lutra has been recovering in Europe since the 1980s nothing is known about population trends of the species in northern Africa. Ninety sites was searched for signs of otters in northern and western Morocco in 1983 and we repeated this survey in 2011. At each site we searched for otter spraints (faeces) or clear footprints along a maximum of 600 m of river bank, ending the search when the first sign was found. Overall results were strikingly similar in 1983 and 2011, with 36 positive sites and the same general distribution pattern of the species. Healthy otter populations appear to remain in the foothills of the Middle and High Atlas but the trend of populations disappearing from the relatively flat Atlantic slope has increased. The results are in clear contrast with the recovery of otter populations in Europe, probably because of differences in the implementation of environmental policies, especially regarding water pollution.</t>
  </si>
  <si>
    <t>[Delibes, Miguel; Clavero, Miguel; Fernandez, Nestor; Revilla, Eloy; Roman, Jacinto] CSIC, Estn Biol Donana, Seville 41092, Spain; [Calzada, Javier] Univ Huelva, Dept Biol Ambiental &amp; Salud Publ, Huelva, Spain; [Gutierrez-Exposito, Carlos] Ctr Adm El Acebuche, Matalascanas, Spain</t>
  </si>
  <si>
    <t>Consejo Superior de Investigaciones Cientificas (CSIC); CSIC - Estacion Biologica de Donana (EBD); Universidad de Huelva</t>
  </si>
  <si>
    <t>Delibes, M (corresponding author), CSIC, Estn Biol Donana, Amer Vespucio S-N, Seville 41092, Spain.</t>
  </si>
  <si>
    <t>mdelibes@ebd.csic.es</t>
  </si>
  <si>
    <t>Fernandez, Nestor/AAA-3523-2020; Gutiérrez-Expósito, Carlos/H-3478-2016; Delibes, Miguel/K-2744-2014; Revilla, Eloy/B-5100-2008; Clavero, Miguel/A-9040-2015; Calzada, Javier/JAC-6624-2023</t>
  </si>
  <si>
    <t>Fernandez, Nestor/0000-0002-9645-8571; Román, Jacinto/0000-0003-0675-9432; Gutiérrez-Expósito, Carlos/0000-0002-2907-7998; Delibes, Miguel/0000-0002-3569-567X; Revilla, Eloy/0000-0001-5534-5581; Clavero, Miguel/0000-0002-5186-0153; Calzada, Javier/0000-0001-5701-2238</t>
  </si>
  <si>
    <t>Estacion Biologica de Donana-CSIC</t>
  </si>
  <si>
    <t>Estacion Biologica de Donana-CSIC(Consejo Superior de Investigaciones Cientificas (CSIC))</t>
  </si>
  <si>
    <t>This article is a homage to Sheila Macdonald and Chris F. Mason who, in the last quarter of the 20th century, called the attention of the international community to the conservation of the otter in the Western Palaearctic. We acknowledge the help of Sofia Conradi, Seila Alvare, Abdeljebbar Qninba and the Universidad Internacional de Andalucia. Two anonymous referees provided useful comments and C. F. Mason kindly reviewed the English. Financial support was received from Estacion Biologica de Donana-CSIC. Permission was obtained from the Haut Commissariat aux Eaux et Forets et a la Lutte contre la Desertification du Royaume du Maroc.</t>
  </si>
  <si>
    <t>10.1017/S0030605311001517</t>
  </si>
  <si>
    <t>939TG</t>
  </si>
  <si>
    <t>WOS:000303837100020</t>
  </si>
  <si>
    <t>Mateo, R; Milián, J; Rodríguez-Estival, J; Camarero, PR; Palomares, F; Ortiz-Santaliestra, ME</t>
  </si>
  <si>
    <t>Mateo, Rafael; Milian, Javier; Rodriguez-Estival, Jaime; Camarero, Pablo R.; Palomares, Francisco; Ortiz-Santaliestra, Manuel E.</t>
  </si>
  <si>
    <t>Carnivora; Felids; Lynx pardinus; Halogenated compounds; POPs</t>
  </si>
  <si>
    <t>MINK MUSTELA-VISON; WOLVES CANIS-LUPUS; RESIDUE LEVELS; CHAMELEON EGGS; PCBS; POLLUTANTS; EXPOSURE; CONTAMINANTS; CONGENERS; MICHIGAN</t>
  </si>
  <si>
    <t>Accumulation of organochlorine compounds is well studied in aquatic food chains whereas little information is available from terrestrial food chains. This study presents data of organochlorine levels in tissue and plasma samples of 15 critically endangered Iberian lynx (Lynx pardinus) and other 55 wild carnivores belonging to five species from three natural areas of Spain (Donana National Park, Sierra Morena and Lozoya River) and explores their relationship with species diet. The Iberian lynx, with a diet based on the consumption of rabbit, had lower PCB levels (geometric means, plasma: &lt;0.01 ng mL(-1), liver: 0.4 ng g(-1) wet weight, fat: 87 ng g(-1) lipid weight) than other carnivores with more anthropic and opportunistic foraging behavior, such as the red fox (Vulpes vulpes; plasma: 1.11 ng mL(-1), liver: 459 ng g(-1), fat: 1984 ng g(-1)), or with diets including reptiles at higher proportion, such as the Egyptian mongoose (Herpestes ichneumon; plasma: 7.15 ng mL(-1), liver: 216 ng g(-1), fat: 540 ng g(-1)), or the common genet (Genetta genetta; liver: 466 ng g(-1), fat: 3854 ng g(-1)). Chlorinated pesticides showed interspecific variations similar to PCBs. Organochlorine levels have declined since the 80s in carnivores from Donana National Park, but PCB levels are still of concern in Eurasian otters (Lutra lutra; liver: 3873-5426 ng g(-1)) from the industrialized region of Madrid. (C) 2011 Elsevier Ltd. All rights reserved.</t>
  </si>
  <si>
    <t>[Mateo, Rafael; Rodriguez-Estival, Jaime; Camarero, Pablo R.; Ortiz-Santaliestra, Manuel E.] UCLM, Inst Invest Recursos Cineget, IREC CSIC, JCCM, Ciudad Real 13071, Spain; [Milian, Javier] Univ Autonoma Barcelona, Servei Ecopatol Fauna Salvatge SEFaS, Wildlife Dis Res Grp, Dept Med &amp; Cirurgia Anim, Bellaterra 08193, Spain; [Palomares, Francisco] CSIC, Dept Conservat Biol, Estn Biol Donana, Seville 41092, Spain</t>
  </si>
  <si>
    <t>Universidad de Castilla-La Mancha; Consejo Superior de Investigaciones Cientificas (CSIC); CSIC - Instituto de Investigacion en Recursos Cinegeticos (IREC); Autonomous University of Barcelona; Consejo Superior de Investigaciones Cientificas (CSIC); CSIC - Estacion Biologica de Donana (EBD)</t>
  </si>
  <si>
    <t>Mateo, R (corresponding author), UCLM, Inst Invest Recursos Cineget, IREC CSIC, JCCM, Ronda Toledo S-N, Ciudad Real 13071, Spain.</t>
  </si>
  <si>
    <t>Rafael.Mateo@uclm.es</t>
  </si>
  <si>
    <t>Ortiz Santaliestra, Manuel Eloy/B-2517-2015; Rodríguez-Estival, Jaime/J-1814-2019; Millán, Javier/B-5399-2008; Mateo, Rafael/A-3117-2011; Palomares, Francisco/F-5327-2016</t>
  </si>
  <si>
    <t>Ortiz Santaliestra, Manuel Eloy/0000-0001-7102-0496; Rodríguez-Estival, Jaime/0000-0002-3666-0970; Millán, Javier/0000-0001-5608-781X; Mateo, Rafael/0000-0003-1307-9152; Palomares, Francisco/0000-0002-4655-7205; Camarero Abella, Pablo R/0000-0002-2047-6554</t>
  </si>
  <si>
    <t>Ministerio de Ciencia e Innovacion; European Social Fund; Junta the Comunidades de Castilla-La Mancha</t>
  </si>
  <si>
    <t>Ministerio de Ciencia e Innovacion(Spanish GovernmentMinistry of Science &amp; Innovation, Spain (MICINN)Instituto de Salud Carlos III); European Social Fund(European Social Fund (ESF)); Junta the Comunidades de Castilla-La Mancha(Junta de Comunidades de Castilla-La Mancha)</t>
  </si>
  <si>
    <t>This is a contribution to the Programa de Actuaciones para la Conservacion del Lince en Andalucia II, Consejeria de Medio Ambiente, Junta de Andalucia (CMA). We wish to thank personnel from Estacion Biologica de Donana and Egmasa and all other people who helped us in collecting samples for this study. J. Millan holds a Ramon y Cajal contract and M.E. Ortiz-Santaliestra holds a Juan de la Cierva contract, both awarded by the Ministerio de Ciencia e Innovacion and the European Social Fund. J. Rodriguez-Estival is granted by the Junta the Comunidades de Castilla-La Mancha.</t>
  </si>
  <si>
    <t>10.1016/j.chemosphere.2011.10.037</t>
  </si>
  <si>
    <t>904AT</t>
  </si>
  <si>
    <t>WOS:000301166700001</t>
  </si>
  <si>
    <t>Bodkin, JL; Ballachey, BE; Coletti, HA; Esslinger, GG; Kloecker, KA; Rice, SD; Reed, JA; Monson, DH</t>
  </si>
  <si>
    <t>Bodkin, James L.; Ballachey, Brenda E.; Coletti, Heather A.; Esslinger, George G.; Kloecker, Kimberly A.; Rice, Stanley D.; Reed, John A.; Monson, Daniel H.</t>
  </si>
  <si>
    <t>Sea otter; 'Exxon Valdez'; Oil spill; Enhydra lutris; Time-depth recorder; TDR</t>
  </si>
  <si>
    <t>PRINCE-WILLIAM-SOUND; CRUDE-OIL; PROTOTHACA-STAMINEA; HARLEQUIN DUCKS; FOOD LIMITATION; ENHYDRA-LUTRIS; HYDROCARBONS; MORTALITY; SEDIMENTS; RECOVERY</t>
  </si>
  <si>
    <t>The protracted recovery of some bird and mammal populations in western Prince William Sound (WPWS), Alaska, and the persistence of spilled 'Exxon Valdez' oil in intertidal sediments, suggests a pathway of exposure to consumers that occupy nearshore habitats. To evaluate the hypothesis that sea otter (Enhydra lutris) foraging allows access to lingering oil, we contrast spatial relations between foraging behavior and documented oil distribution. We recovered archival time-depth recorders implanted in 19 sea otters in WPWS, where lingering oil and delayed ecosystem recovery are well documented. Sea otter foraging dives ranged from +2.7 to -92 m below sea level (MLLW), with intertidal accounting for 5 to 38% of all foraging. On average, female sea otters made 16 050 intertidal dives per year and 18% of these dives were at depths above the +0.80 m tidal elevation. Males made 4100 intertidal dives per year and 26% of intertidal foraging took place at depths above the +0.80 m tidal elevation. Estimated annual oil encounter rates ranged from 2 to 24 times yr(-1) for females, and 2 to 4 times yr(-1) for males. Exposure rates increased in spring when intertidal foraging doubled and females were with small pups. In summer 2008, we found sea otter foraging pits on 13.5 of 24.8 km of intertidal shoreline surveyed. Most pits (82%) were within 0.5 m of the zero tidal elevation and 15% were above 0.5 m, the level above which most (65%) lingering oil remains. In August 2008, we detected oil above background concentrations in 18 of 41 (44%) pits excavated by sea otters on beaches with prior evidence of oiling, with total PAH concentrations up to 56 000 ng g(-1) dry weight. Our estimates of intertidal foraging, the widespread presence of foraging pits in the intertidal, and the presence of oil in and near sea otter foraging pits documents a pathway of exposure from lingering intertidal oil to sea otters foraging in WPWS.</t>
  </si>
  <si>
    <t>[Bodkin, James L.; Ballachey, Brenda E.; Esslinger, George G.; Kloecker, Kimberly A.; Reed, John A.; Monson, Daniel H.] US Geol Survey, Alaska Sci Ctr, Anchorage, AK 99508 USA; [Rice, Stanley D.] Natl Marine Fisheries Serv, Auke Bay Lab, Juneau, AK 99801 USA</t>
  </si>
  <si>
    <t>United States Department of the Interior; United States Geological Survey; National Aeronautics &amp; Space Administration (NASA); National Oceanic Atmospheric Admin (NOAA) - USA</t>
  </si>
  <si>
    <t>Bodkin, JL (corresponding author), US Geol Survey, Alaska Sci Ctr, 4210 Univ Dr, Anchorage, AK 99508 USA.</t>
  </si>
  <si>
    <t>jbodkin@usgs.gov</t>
  </si>
  <si>
    <t>; Monson, Daniel/N-4469-2013</t>
  </si>
  <si>
    <t>Coletti, Heather/0000-0001-9696-6093; Monson, Daniel/0000-0002-4593-5673; Kloecker, Kimberly/0000-0002-2461-968X</t>
  </si>
  <si>
    <t>US Geological Survey; Alaska Science Center; Exxon Valdez Oil Spill Trustee Council</t>
  </si>
  <si>
    <t>US Geological Survey(United States Geological Survey); Alaska Science Center; Exxon Valdez Oil Spill Trustee Council(Exxon Mobil Corporation)</t>
  </si>
  <si>
    <t>This work was supported by the US Geological Survey, Alaska Science Center and the Exxon Valdez Oil Spill Trustee Council; however, the findings and conclusions do not necessarily reflect the views or position of the Trustee Council. Any use of trade names is for descriptive purposes only and does not represent endorsement by the US government. We gratefully acknowledge the assistance of J. deLaBruere, B. Hatfield, P. Kearney, M. Kenner and B. Uher-Koch for their significant contributions to sea otter captures and field data collection, to M. Murray and P. Snyder for veterinary procedures, and to J. Coffey for TDR data calibration. We appreciate the thoughtful reviews of this work by L. Bowen, D. Esler, K. Oakley, and 3 anonymous colleagues.</t>
  </si>
  <si>
    <t>10.3354/meps09523</t>
  </si>
  <si>
    <t>897OG</t>
  </si>
  <si>
    <t>WOS:000300660600019</t>
  </si>
  <si>
    <t>Romero, R; Guitián, J; Ruiz-Olmo, J</t>
  </si>
  <si>
    <t>Romero, R.; Guitian, J.; Ruiz-Olmo, J.</t>
  </si>
  <si>
    <t>Lutra lutra; oil spill; north-west Spain coast; short-term effects; diet change; Prestige</t>
  </si>
  <si>
    <t>LUTRA-LUTRA; RIVER OTTERS; FEEDING-HABITS; MARINE-ENVIRONMENT; EURASIAN OTTERS; SANDY BEACHES; PREY; MINK; PREDATION; SELECTION</t>
  </si>
  <si>
    <t>In November 2002 the Prestige tanker spilled 59 000 tonnes of oil off Galicia (north-west Spain) and contaminated a vast coastal area extending from northern Portugal to Brittany (France). Two study areas, a coastal lagoon (1 sample point) and a stretch of rocky coast (includes 5 sample points), were selected to examine changes on the diet of otters Lutra lutra L. before and after the oil spill. Diet was assessed from 1103 spraints, 553 collected in 2000, before the spill and 550 in 2003, after the spill. In the coastal lagoon, after spill, spraints contained more shrimp (Palaemon sp.), more prey of marine origin, and fewer gobies (Pomatoschistus sp.) and eels Anguilla anguilla. A decline of the eel population in the coastal lagoon may have caused otters to make more frequent visits to the sea. On the rocky coast, spraints contained more blennids in 1 of the 5 sampling points, however, the seasonal patterns of the principal prey species (Blennidae, Gadidae and Labridae) were similar across the 2 years of study. The differences may be attributed to common interannual variations in the diet of marine otters, but the design of this study cannot assess the degree of natural variation in the diet of coastal otters before the oil spill.</t>
  </si>
  <si>
    <t>[Romero, R.; Guitian, J.] Univ Santiago, Dept Bioloxia Celular &amp; Ecoloxia, Fac Bioloxia, Santiago De Compostela 15782, Spain; [Ruiz-Olmo, J.] Direcci Gen Medi Nat, Barcelona, Spain</t>
  </si>
  <si>
    <t>Universidade de Santiago de Compostela</t>
  </si>
  <si>
    <t>Romero, R (corresponding author), Univ Santiago, Dept Bioloxia Celular &amp; Ecoloxia, Fac Bioloxia, Santiago De Compostela 15782, Spain.</t>
  </si>
  <si>
    <t>rafael.romero.suances@usc.es</t>
  </si>
  <si>
    <t>La Caixa; SECEM</t>
  </si>
  <si>
    <t>La Caixa(La Caixa Foundation); SECEM</t>
  </si>
  <si>
    <t>We thank three anonymous referees for helpful comments on previous draft of the manuscript. We gratefully acknowledge the funding of La Caixa, and the collaboration of SECEM. Thanks to Carmen Docampo and Miguel Caracuel who have participated in the spraint surveys. M. Clavero, F. Coton, I. Munilla, P. Leyenda and G. S. Gurriaran have contributed to complete the collection of fish and crustaceans and their identification. We also thank Ignacio Munilla for the English proof reading and his useful comments.</t>
  </si>
  <si>
    <t>10.1111/j.1469-7998.2011.00838.x</t>
  </si>
  <si>
    <t>862MK</t>
  </si>
  <si>
    <t>WOS:000298095500003</t>
  </si>
  <si>
    <t>Harris, KA; Nichol, LM; Ross, PS</t>
  </si>
  <si>
    <t>Harris, Kate A.; Nichol, Linda M.; Ross, Peter S.</t>
  </si>
  <si>
    <t>ENVIRONMENTAL TOXICOLOGY AND CHEMISTRY</t>
  </si>
  <si>
    <t>PAHs; Alkanes; Hydrocarbons; Sea otters; Accumulation</t>
  </si>
  <si>
    <t>POLYCYCLIC AROMATIC-HYDROCARBONS; EXXON-VALDEZ OIL; PAHS; BIOACCUMULATION; METABOLISM; EXPOSURE; DIET; TOXICITY; SOUND; BAY</t>
  </si>
  <si>
    <t>With oil pollution recognized as a major threat to British Columbia's recovering sea otter (Enhydra lutris) population, it is important to distinguish acute from chronic exposures to oil constituent groups in this marine mammal. Concentrations and patterns of alkanes and polycyclic aromatic hydrocarbons (PAHs) were determined in blood samples from 29 live-captured sea otters in two coastal areas of British Columbia, as well as in representative samples of their invertebrate prey. Hydrocarbon concentrations in sea otters were similar between areas and among age and sex classes, suggesting that metabolism dominates the fate of these compounds in sea otters. Biomagnification factors derived from PAH ratios in otter:prey supported this notion. Although some higher alkylated three- and four-ring PAHs appeared to biomagnify, the majority of PAHs did not. The apparent retention of alkyl PAHs was reflected in the composition of estimated sea otter body burdens, which provided an alternative way of evaluating hydrocarbon exposure. Alkyl PAHs made up 86 +/- 9% of estimated body burdens (4,340 +/- 2,950 mu g), with no differences between males and females (p = 0.18). The importance of measuring both parent and alkyl PAHs is underscored by their divergent dynamics in sea otters, with ready depuration of parent PAHs (metabolized or excreted) by sea otters on the one hand and biomagnification of alkyl PAHs on the other. Environ. Toxicol. Chem. 2011;30:21821-2193, (C) 2011 SETAC</t>
  </si>
  <si>
    <t>[Harris, Kate A.; Ross, Peter S.] Fisheries &amp; Oceans Canada, Inst Ocean Sci, Sidney, BC, Canada; [Harris, Kate A.] Univ Victoria, Sch Earth &amp; Ocean Sci, Victoria, BC V8W 2Y2, Canada; [Nichol, Linda M.] Fisheries &amp; Oceans Canada, Pacific Biol Stn, Nanaimo, BC V9R 5K6, Canada</t>
  </si>
  <si>
    <t>Fisheries &amp; Oceans Canada; University of Victoria; Fisheries &amp; Oceans Canada</t>
  </si>
  <si>
    <t>Ross, PS (corresponding author), Fisheries &amp; Oceans Canada, Inst Ocean Sci, Sidney, BC, Canada.</t>
  </si>
  <si>
    <t>peter.s.ross@dfo-mpo.gc.ca</t>
  </si>
  <si>
    <t>Fisheries and Oceans Canada; Environment Canada</t>
  </si>
  <si>
    <t>Fisheries and Oceans Canada; Environment Canada(CGIAR)</t>
  </si>
  <si>
    <t>The financial support of Fisheries and Oceans Canada (Species at Risk Act Science Program, and the Federal Contaminated Sites Action Plan) and Environment Canada (InterDepartmental Recovery Fund) is gratefully acknowledged. Thanks to Lance Barrett-Lennard, Jim Bodkin, Laurie Convey, Neil Dangerfield, Mike DeRoos, Bob DeVault, Graeme Ellis, Graham Gillespie, Dave Huff, Karen Hutton. Steve Jeffries, Mike Lough, and Clint Wright for field and logistical assistance. We thank Trish Kimber and Lisa Spaven for graphic design.</t>
  </si>
  <si>
    <t>0730-7268</t>
  </si>
  <si>
    <t>1552-8618</t>
  </si>
  <si>
    <t>ENVIRON TOXICOL CHEM</t>
  </si>
  <si>
    <t>Environ. Toxicol. Chem.</t>
  </si>
  <si>
    <t>10.1002/etc.627</t>
  </si>
  <si>
    <t>825VE</t>
  </si>
  <si>
    <t>WOS:000295309400002</t>
  </si>
  <si>
    <t>Spencer, SH; Shutler, D; O'Brien, MS</t>
  </si>
  <si>
    <t>Spencer, Sarah H.; Shutler, Dave; O'Brien, Michael S.</t>
  </si>
  <si>
    <t>Bedrock; Hydroelectric impoundment; Lontra canadensis; Methyl mercury; River otter</t>
  </si>
  <si>
    <t>MINK MUSTELA-VISON; METHYLMERCURY; AGE; RESERVOIR; WILDLIFE; ONTARIO; TISSUES; FISH; LAKE</t>
  </si>
  <si>
    <t>Mercury (Hg) can reach toxic concentrations in aquatic habitats, sometimes as a consequence of human activity. Mercury can have deleterious effects, particularly in piscivorous mammals in which it bioaccumulates. Furs from trapper-provided female otter (Lontra canadensis) carcasses in Nova Scotia were analyzed for total Hg. Concentrations of total Hg in fur samples averaged 25 mu g/g dry weight, ranging from 1.4 to 137 mu g/g; 20 mu g/g is the fur concentration at which toxic effects are expected. Mercury concentrations were greater in otters from watersheds with bedrock substrates known to contain more available Hg, from otters trapped farther inland, and from otters trapped on watersheds with hydroelectric dams. Otter reproductive potential was measured by counting the number of blastocysts in reproductive tracts. Tooth annuli were used to age otters. Reproductive potential was not related to Hg concentration, nor was Hg concentration related to age. In a general linear model, 53% of variation in fur Hg was explained by underlying bedrock, distance from the coast at which otters were trapped, and presence/absence of a hydroelectric dam. The proportion of juveniles in a population did not differ relative to bedrock Hg concentration, but was lower on watersheds with hydroelectric dams. Because we found no evidence of reduced reproductive potential from greater Hg concentrations, the low proportion of juveniles suggests that Hg reduced juvenile survival, although our evidence is circumstantial. Environ. Toxicol. Chem. 2011;30:1879-1884. (C) 2011 SETAC</t>
  </si>
  <si>
    <t>[Spencer, Sarah H.; Shutler, Dave] Acadia Univ, Dept Biol, Wolfville, NS B0P 1X0, Canada; [Spencer, Sarah H.; O'Brien, Michael S.] Nova Scotia Dept Nat Resources, Wildlife Div, Kentville, NS, Canada</t>
  </si>
  <si>
    <t>Acadia University</t>
  </si>
  <si>
    <t>Shutler, D (corresponding author), Acadia Univ, Dept Biol, Wolfville, NS B0P 1X0, Canada.</t>
  </si>
  <si>
    <t>dave.shutler@acadiau.ca</t>
  </si>
  <si>
    <t>O'Brien, Michael/V-6548-2017</t>
  </si>
  <si>
    <t>Nova Scotia Habitat Conservation Fund; Nova Scotia Department of Natural Resources; Collaborative Mercury Research Network (COMERN); NSERC</t>
  </si>
  <si>
    <t>Nova Scotia Habitat Conservation Fund; Nova Scotia Department of Natural Resources; Collaborative Mercury Research Network (COMERN); NSERC(Natural Sciences and Engineering Research Council of Canada (NSERC))</t>
  </si>
  <si>
    <t>Mike Boudreau provided practical skills, common sense, and hours in the field; Jenn Stevens, Shawn Kelly, Angela McMeekim, Sarah Rafferty, and several Department of Natural Resources personnel provided field support; Paul Tufts, Bill Moseley, and Thomas Comeau lent invaluable trapping expertise; David Evers, Trevor Avery, Don Stewart, and John Roscoe made suggestions on content. The Nova Scotia Habitat Conservation Fund, the Nova Scotia Department of Natural Resources, the Collaborative Mercury Research Network (COMERN), and NSERC (DS) provided financial support. Three anonymous reviewers provided thorough and constructive comments that improved the article.</t>
  </si>
  <si>
    <t>10.1002/etc.577</t>
  </si>
  <si>
    <t>796OH</t>
  </si>
  <si>
    <t>WOS:000293060900018</t>
  </si>
  <si>
    <t>Chadwick, EA; Simpson, VR; Nicholls, AEL; Slater, FM</t>
  </si>
  <si>
    <t>Chadwick, Elizabeth A.; Simpson, Victor R.; Nicholls, Abigail E. L.; Slater, Frederick M.</t>
  </si>
  <si>
    <t>HEAVY-METAL CONCENTRATIONS; LUTRA-LUTRA; CADMIUM; MERCURY; BIOACCUMULATION; INVERTEBRATES; TISSUES; CONTAMINATION; GEOCHEMISTRY; INDUSTRIAL</t>
  </si>
  <si>
    <t>The uptake of contaminants by biota varies spatially and temporally due to a complex range of interacting environmental variables, but such complexities are typically disregarded in studies of temporal change. Here, we use linear modeling to explore spatial and temporal variation in bone Pb levels measured in samples taken from 329 Eurasian otters (Lutra lutra) found dead in southwest England. Between 1992 and 2004 Pb levels in otters fell by 73%, following UK legislative control of Pb emissions implemented since the mid 1980s. Spatial variation in bone Pb was positively correlated with modeled Pb emissions and stream sediment Pb, which interacted negatively with wind speed and sediment Ca, respectively. Opportunistic collection of samples from wildlife mortalities provided a valuable opportunity for monitoring environmental contamination, interpretation of which was aided by spatially explicit analysis of environmental variables.</t>
  </si>
  <si>
    <t>[Chadwick, Elizabeth A.; Nicholls, Abigail E. L.; Slater, Frederick M.] Cardiff Univ, Sch Biosci, Cardiff CF10 3AX, S Glam, Wales; [Simpson, Victor R.] Wildlife Vet Invest Ctr, Truro TR4 8PB, England</t>
  </si>
  <si>
    <t>Chadwick, EA (corresponding author), Cardiff Univ, Sch Biosci, Museum Ave, Cardiff CF10 3AX, S Glam, Wales.</t>
  </si>
  <si>
    <t>Chadwick, Elizabeth/G-1793-2010; Slater, Fred/A-4340-2010</t>
  </si>
  <si>
    <t>Chadwick, Elizabeth/0000-0002-6662-6343; Slater, Fred/0000-0002-9504-3606</t>
  </si>
  <si>
    <t>UK Environment Agency (EA)</t>
  </si>
  <si>
    <t>Analysis was funded by the UK Environment Agency (EA). We would like to thank the EA for supply of pH data, and Imperial College London for stream geochemistry data. We gratefully acknowledge Iain MacDonald for analytical support, Ian Vaughan and Joanne Lello for statistical advice, and Richard Shore and four anonymous reviewers for helpful comments on earlier drafts.</t>
  </si>
  <si>
    <t>MAR 1</t>
  </si>
  <si>
    <t>10.1021/es1034602</t>
  </si>
  <si>
    <t>725HZ</t>
  </si>
  <si>
    <t>WOS:000287637100026</t>
  </si>
  <si>
    <t>Neff, JM; Page, DS; Boehm, PD</t>
  </si>
  <si>
    <t>Neff, Jerry M.; Page, David S.; Boehm, Paul D.</t>
  </si>
  <si>
    <t>Enhydra lutris; Histrionicus histrionicus; Exxon Valdez oil spill; PAH; Subsurface oil residues</t>
  </si>
  <si>
    <t>CRUDE-OIL; MARINE; BIOMARKERS; SEDIMENTS; RESPONSES; TOXICITY; RECOVERY; BEHAVIOR; MUSSELS; ISLAND</t>
  </si>
  <si>
    <t>We assessed whether sea otters and harlequin ducks in an area of western Prince William Sound, Alaska, USA (PWS), oiled by the 1989 Exxon Valdez oil spill (EVOS), are exposed to polycyclic aromatic hydrocarbons (PAH) from oil residues 20 years after the spill. Spilled oil has persisted in PWS for two decades as surface oil residues (SOR) and subsurface oil residues (SSOR) on the shore. The rare SOR are located primarily on the upper shore as inert, nonhazardous asphaltic deposits, and SSOR are confined to widely scattered locations as small patches under a boulder/cobble veneer, primarily on the middle and upper shore, in forms and locations that preclude physical contact by wildlife and diminish bioavailability. Sea otters and harlequin ducks consume benthic invertebrates that they collect by diving to the bottom in the intertidal and subtidal zones. Sea otters also dig intertidal and subtidal pits in search of clams. The three plausible exposure pathways are through the water, in oil-contaminated prey, or by direct contact with SSOR during foraging. Concentrations of PAH in near-shore water off oiled shores in 2002 to 2005 were at background levels (&lt; 0.05 ng/L). Median concentrations of PAH in five intertidal prey species on oiled shores in 2002 to 2008 range from 4.0 to 34 ng/g dry weight, indistinguishable from background concentrations. Subsurface oil residues are restricted to locations on the shore and substrate types, where large clams do not occur and where sea otters do not dig foraging pits. Therefore, that sea otters and harlequin ducks continue to be exposed to environmentally significant amounts of PAH from EVOS 20 years after the spill is not plausible. Environ. Toxicol. Chem. 2011;30:659-672. (C) 2011 SETAC</t>
  </si>
  <si>
    <t>[Neff, Jerry M.] Neff &amp; Associates, Duxbury, MA USA; [Page, David S.] Bowdoin Coll, Dept Chem, Brunswick, ME 04011 USA; [Boehm, Paul D.] Exponent, Maynard, MA USA</t>
  </si>
  <si>
    <t>Bowdoin College; Exponent</t>
  </si>
  <si>
    <t>Neff, JM (corresponding author), Neff &amp; Associates, Duxbury, MA USA.</t>
  </si>
  <si>
    <t>neffjm@comcast.net</t>
  </si>
  <si>
    <t>the authors thank Robert H. Day, Charles B. Johnson, Stephen M. Murphy, ABR (Fairbanks, AK, USA); David L. Garshelis, Minnesota Department of Natural Resources (Grand Rapids, MN, USA); and John A. Wiens, PRBO Conservation Science (Petaluma, CA, USA) for their insights on the natural history of sea otters and harlequin ducks in Prince William Sound. John S. Brown, Exponent, (Maynard, MA, USA), organized and served as chief scientist for many field surveys in the current study. Battelle Memorial Institute (Duxbury, MA, USA) performed PAH analyses. Our research was funded by Exxon Mobil Corporation; however, the conclusions are our own and do not necessarily represent those of Exxon Mobil Corporation.</t>
  </si>
  <si>
    <t>10.1002/etc.415</t>
  </si>
  <si>
    <t>728UA</t>
  </si>
  <si>
    <t>WOS:000287898800018</t>
  </si>
  <si>
    <t>Guertin, DA; Harestad, AS; Elliott, JE</t>
  </si>
  <si>
    <t>Guertin, Daniel A.; Harestad, Alton S.; Elliott, John E.</t>
  </si>
  <si>
    <t>CHLORINATED-HYDROCARBON CONTAMINANTS; BRITISH-COLUMBIA; LUTRA-CANADENSIS; PACIFIC COAST; KILLER WHALES; ORCINUS-ORCA; CANADA; BIOACCUMULATION; ALASKA; PCBS</t>
  </si>
  <si>
    <t>In two recent studies, North American river otters (Lontra canadensis) inhabiting the urbanized/industrialized harbors of southern Vancouver Island, British Columbia, Canada were found to be exposed to elevated levels of environmental contaminants, primarily industry-produced polychlorinated biphenyls (PCBs). Contaminant exposure in those studies was assessed non-invasively, by measuring chemical residue concentrations in river otter feces collected from established marking sites (latrines). As river otter exposure to contaminants is primarily through their diet, our aim was to characterize river otter prey selection from feces collected at latrine sites inside the contaminated harbors and along the relatively uncontaminated coastline outside the harbor systems. Fish occurred in 95.5% of all feces analyzed, with species of gunnels (Pholidae), sculpins (Cottidae), pricklebacks (Stichaeidae), toadfish (Batrachoididae), clingfish (Gobiesocidae), flatfish (Pleuronectiformes), and snailfish (Liparidae) being the most common prey consumed. Crustaceans were the only non-fish prey identified. Feces collected outside the harbors had a higher prevalence of pricklebacks, clingfish, and greenlings, whereas feces collected inside the harbor systems had a higher prevalence of toadfish and crustaceans. Because of the diversity of the river otter's diet, prey species from each of the main families described here should be analyzed for environmental contaminants to fully characterize concentrations of persistent compounds in the food-web. Prey sampling should be location-specific (i.e., inside and outside the urban/industrial harbors) to elucidate possible location effects on contaminant exposure.</t>
  </si>
  <si>
    <t>[Elliott, John E.] Environm Canada, Sci &amp; Technol Branch, Pacific Wildlife Res Ctr, Delta, BC V4K 3N2, Canada; [Guertin, Daniel A.; Harestad, Alton S.] Simon Fraser Univ, Dept Biol Sci, Burnaby, BC V5A 1S6, Canada</t>
  </si>
  <si>
    <t>Environment &amp; Climate Change Canada; Canadian Wildlife Service; Pacific Wildlife Research Centre; Simon Fraser University</t>
  </si>
  <si>
    <t>Elliott, JE (corresponding author), Environm Canada, Sci &amp; Technol Branch, Pacific Wildlife Res Ctr, Delta, BC V4K 3N2, Canada.</t>
  </si>
  <si>
    <t>john.elliott@ec.gc.ca</t>
  </si>
  <si>
    <t>Georgia Basin Action Plan; Canadian Wildlife Service of Environment Canada; British Columbia Habitat Conservation Trust Foundation, Simon Fraser University; American Society of Mammalogists</t>
  </si>
  <si>
    <t>C. Nelson, C. Englestoft, and L. Cesh provided invaluable assistance in the field. We thank K. Ott, M. Kauffman, and M. Hayes for laboratory assistance. We thank Environment Canada (M. Lemon and S. Lee) and the British Columbia Ministry of Environment (H. Schwantje) for logistical support in the field. We thank the private landowners who granted access to their land for fecal collection. Funding for this study was provided by the Georgia Basin Action Plan and the Canadian Wildlife Service of Environment Canada, the British Columbia Habitat Conservation Trust Foundation, Simon Fraser University, and a Grant-In-Aid from the American Society of Mammalogists.</t>
  </si>
  <si>
    <t>10.3955/046.084.0101</t>
  </si>
  <si>
    <t>556BF</t>
  </si>
  <si>
    <t>WOS:000274561000001</t>
  </si>
  <si>
    <t>Christensen, H; Heggberget, TM; Gutleb, AC</t>
  </si>
  <si>
    <t>Christensen, Hanne; Heggberget, Thrine Moen; Gutleb, Arno C.</t>
  </si>
  <si>
    <t>ORGANOCHLORINE PESTICIDE-RESIDUES; LUTRA-LUTRA; EUROPEAN OTTER; LONG-TERM; PCB; NORWAY; MINK; LIVERS; MILK; FISH</t>
  </si>
  <si>
    <t>Eurasian otter (Lutra lutra) has shown decreasing population trends in most areas of Europe until recently, when populations in some areas started to recover. For Norway it was postulated that PCB concentrations in the south would be high and that levels in otters will show a geographic pattern that can be related to female otter reproductive health. Concentrations of PCBs (measured as the sum of 30 congeners ranging from 0.58 to 29 mg/kg lipid weight [geometric mean 6.18 mg/kg]) were lower than those found in otters from most other European countries. PCB concentrations did not decrease in otters collected during the period from 1979 to 1990. However, a south-to-north gradient of increasing PCB concentrations in otter livers was found along the Norwegian coast. Actual PCB concentrations had not affected the reproductive health of female otters (implanted embryos, implantation sites, regressive structures). This provides valuable information on PCB concentrations tolerated by Eurasian otters at the population level.</t>
  </si>
  <si>
    <t>[Gutleb, Arno C.] Ctr Rech Publ Gabriel Lippmann, Dept Environm &amp; Agrobiotechnol, F-4422 Belvaux, Grand Duchy Lux, France; [Christensen, Hanne; Heggberget, Thrine Moen] Norwegian Inst Nat Res, N-7004 Trondheim, Norway</t>
  </si>
  <si>
    <t>Gutleb, AC (corresponding author), Ctr Rech Publ Gabriel Lippmann, Dept Environm &amp; Agrobiotechnol, F-4422 Belvaux, Grand Duchy Lux, France.</t>
  </si>
  <si>
    <t>gutleb@lippmann.lu</t>
  </si>
  <si>
    <t>; Gutleb, Arno/AAK-9182-2021</t>
  </si>
  <si>
    <t>Gutleb, Arno/0000-0001-9725-9112;</t>
  </si>
  <si>
    <t>Directorate for Nature Management; Norwegian Research Council; Norwegian Institute for Nature Research</t>
  </si>
  <si>
    <t>Directorate for Nature Management; Norwegian Research Council(Research Council of Norway); Norwegian Institute for Nature Research(Bioforsk)</t>
  </si>
  <si>
    <t>The Directorate for Nature Management, the Norwegian Research Council, and the Norwegian Institute for Nature Research supported the doctoral study for which these data were originally produced. Lesley Wright did a wonderful job in reading the continental English. Thanks to two anonymous reviewers for their comments, which greatly improved the original version.</t>
  </si>
  <si>
    <t>10.1007/s00244-010-9510-9</t>
  </si>
  <si>
    <t>666FH</t>
  </si>
  <si>
    <t>WOS:000283098800014</t>
  </si>
  <si>
    <t>Lemarchand, C; Rosoux, R; Berny, P</t>
  </si>
  <si>
    <t>Lemarchand, Charles; Rosoux, Rene; Berny, Philippe</t>
  </si>
  <si>
    <t>Road-traffic killed otter; Organochlorine pesticides; PCBs; Heavy metals; Rodenticides; France</t>
  </si>
  <si>
    <t>POLECAT MUSTELA-PUTORIUS; ACCUMULATION; POPULATIONS; CANADENSIS; RESIDUES; IRELAND; MERCURY; FISH; LEAD; BIOACCUMULATION</t>
  </si>
  <si>
    <t>In this study, tissues of the Eurasian otter (Lutra lutra) from a naturally expanding population along upper Loire River (France) catchment were used for contaminants analyses. nine organochlorine pesticides, 16 PCB congeners, five heavy metals (lead, cadmium, mercury, copper and arsenic) and three anticoagulant rodenticides were quantified in livers of road-traffic killed otters. Organochlorine compounds and heavy metals were found in 100% of the samples, and occasional contamination by anticoagulant rodenticides was confirmed. Total organochlorine pesticides reached a maximum of 9.4 mg kg(-1) lipid weight. Higher data were observed for other contaminants, especially total PCBs and mercury. Maximal total PCBs values reached 64.8 mg kg(-1) lipid weight, and maximal measured mercury concentration was 8.2 mg kg(-1) fresh weight. Considering the expansion noted in the study area, global contamination does not seem to threat the short-term species conservation. Nevertheless, important values at some individual scale were noticed, suggesting high inter-individual variations in populations. (C) 2010 Elsevier Ltd. All rights reserved.</t>
  </si>
  <si>
    <t>[Lemarchand, Charles; Berny, Philippe] Ecole Natl Vet Lyon, INRA, UMR 1233, F-69280 Marcy Letoile, France; [Rosoux, Rene] Museum Nat Sci, F-45000 Orleans, France</t>
  </si>
  <si>
    <t>INRAE; VetAgro Sup</t>
  </si>
  <si>
    <t>Lemarchand, C (corresponding author), Univ Clermont Ferrand, 24 Ave Landais,BP 80026, F-63171 Aubiere, France.</t>
  </si>
  <si>
    <t>Charles.LEMARCHAND@univ-bpclermont.fr</t>
  </si>
  <si>
    <t>Berny, Philippe/C-6945-2019</t>
  </si>
  <si>
    <t>Berny, Philippe/0000-0001-5007-3820</t>
  </si>
  <si>
    <t>European Commission (FEDER); Loire Grandeur Nature program; Establishment Public Loire; Parc naturel regional des Volcans d'Auvergne; Agence de l'Eau Loire-Bretagne; ENVL; CNRS</t>
  </si>
  <si>
    <t>European Commission (FEDER)(European Union (EU)European Commission Joint Research Centre); Loire Grandeur Nature program; Establishment Public Loire; Parc naturel regional des Volcans d'Auvergne; Agence de l'Eau Loire-Bretagne; ENVL; CNRS(Centre National de la Recherche Scientifique (CNRS))</t>
  </si>
  <si>
    <t>Authors wish to thank D. Vey and the technical team of the ENVL Toxicology unit, the French ONCFS and ONEMA services, Ph. Guillet, M.-F. Larigauderie and the Museum of the City of Orleans, M.-d.-N. De Bellefroid, and environmental associations for providing otters or information. This study was financially supported by: European Commission (FEDER), Loire Grandeur Nature program, Establishment Public Loire, Parc naturel regional des Volcans d'Auvergne, Agence de l'Eau Loire-Bretagne, ENVL and CNRS.</t>
  </si>
  <si>
    <t>10.1016/j.chemosphere.2010.06.026</t>
  </si>
  <si>
    <t>643WO</t>
  </si>
  <si>
    <t>WOS:000281330900002</t>
  </si>
  <si>
    <t>Ricca, MA; Miles, AK; Ballachey, BE; Bodkin, JL; Esler, D; Trust, KA</t>
  </si>
  <si>
    <t>Ricca, Mark A.; Miles, A. Keith; Ballachey, Brenda E.; Bodkin, James L.; Esler, Daniel; Trust, Kimberly A.</t>
  </si>
  <si>
    <t>Congeners; CYP; Enhydra lutris; Histrionicus histrionicus; Hydrocarbons</t>
  </si>
  <si>
    <t>PRINCE-WILLIAM-SOUND; MINK MUSTELA-VISON; POLYCHLORINATED-BIPHENYLS; ENHYDRA-LUTRIS; ORGANOCHLORINE CONTAMINANTS; AROMATIC-HYDROCARBONS; ALEUTIAN ARCHIPELAGO; PATHOGEN EXPOSURE; TOXIC EQUIVALENCY; FOOD LIMITATION</t>
  </si>
  <si>
    <t>Exposure to contaminants other than petroleum hydrocarbons could confound interpretation of Exxon Valdez oil spill effects on biota at Prince William Sound, Alaska. Hence, we investigated polychlorinated biphenyls (PCBs) in blood of sea otters and harlequin ducks sampled during 1998. PCB concentrations characterized by lower chlorinated congeners were highest in sea otters from the unoiled area, whereas concentrations were similar among harlequin ducks from the oiled and unoiled area. Blood enzymes often elevated by xenobiotics were not related to PCB concentrations in sea otters. Only sea otters from the unoiled area had estimated risk from PCBs, and PCB composition or concentrations did not correspond to reported lower measures of population performance in sea otters or harlequin ducks from the oiled area. PCBs probably did not influence limited sea otter or harlequin duck recovery in the oiled area a decade after the spill. Published by Elsevier Ltd.</t>
  </si>
  <si>
    <t>[Ricca, Mark A.; Miles, A. Keith] Univ Calif Davis, US Geol Survey, Western Ecol Res Ctr, Davis Field Stn, Davis, CA 95616 USA; [Ballachey, Brenda E.; Bodkin, James L.] Alaska Pacific Univ, US Geol Survey, Alaska Sci Ctr, Anchorage, AK 99508 USA; [Esler, Daniel] Simon Fraser Univ, Ctr Wildlife Ecol, Delta, BC V4K 3N2, Canada; [Trust, Kimberly A.] US Fish &amp; Wildlife Serv, Anchorage, AK 99503 USA</t>
  </si>
  <si>
    <t>University of California System; University of California Davis; United States Department of the Interior; United States Geological Survey; Alaska Pacific University; United States Department of the Interior; United States Geological Survey; Simon Fraser University; United States Department of the Interior; US Fish &amp; Wildlife Service</t>
  </si>
  <si>
    <t>Ricca, MA (corresponding author), Univ Calif Davis, US Geol Survey, Western Ecol Res Ctr, Davis Field Stn, 1 Shields Ave, Davis, CA 95616 USA.</t>
  </si>
  <si>
    <t>mark_ricca@usgs.gov</t>
  </si>
  <si>
    <t>This study was funded by the Exxon Valdez Oil Spill Trustee Council. We extend sincere thanks to the numerous biologists involved with sea otter and harlequin duck sample collection acknowledged previously by Bodkin et al. (2002) and Ester et al. (2002). C. Gorbics played an integral role in organizing laboratory analyses. G. Herring, C.A. Eagles-Smith, B. Halstead, and an anonymous reviewer provided helpful comments on previous manuscript drafts. Mention of trade names or organizations does not imply endorsement by the US government, and the conclusions in this paper do not necessarily reflect the views, positions, or policies of the US Fish and Wildlife Service or the Exxon Valdez Oil Spill Trustee Council.</t>
  </si>
  <si>
    <t>10.1016/j.marpolbul.2010.01.005</t>
  </si>
  <si>
    <t>624EJ</t>
  </si>
  <si>
    <t>WOS:000279798800018</t>
  </si>
  <si>
    <t>Guertin, DA; Harestad, AS; Ben-David, M; Drouillard, KG; Elliott, JE</t>
  </si>
  <si>
    <t>Guertin, Daniel A.; Harestad, Alton S.; Ben-David, Merav; Drouillard, Ken G.; Elliott, John E.</t>
  </si>
  <si>
    <t>Feces; Georgia Basin; Lontra canadensis; Noninvasive monitoring; Polyhalogenated aromatic hydrocarbons</t>
  </si>
  <si>
    <t>DIBENZO-P-DIOXINS; CHLORINATED-HYDROCARBON CONTAMINANTS; ORGANOCHLORINE PESTICIDE-RESIDUES; POLYMORPHIC MICROSATELLITE LOCI; COASTAL BRITISH-COLUMBIA; LUTRA-LUTRA; ARDEA-HERODIAS; POLYCHLORINATED BIPHENYL; LONTRA-CANADENSIS; PACIFIC COAST</t>
  </si>
  <si>
    <t>The present study investigated polyhalogenated aromatic hydrocarbon (PHAH) concentrations in feces of known river otters (Lontra canadensis) along the coast of southern Vancouver Island, British Columbia, Canada. Specifically, we combined microsatellite genotyping of DNA from feces for individual identification with fecal contaminant analyses to evaluate exposure of 23 wild otters to organochlorine pesticides (OCPs), polychlorinated biphenyls (PCBs), and polybrominated diphenylethers (PBDEs). Overall, feces collected from otters in urban/industrial Victoria Harbor had the greatest concentrations of nearly all compounds assessed. Fecal concentrations of OCPs and PBDEs were generally low throughout the region, whereas PCBs dominated in all locations. Re-sampling of known otters over space and time revealed that PCB exposure varied with movement and landscape use. Otters with the highest fecal PCB concentrations were those inhabiting the inner reaches of Victoria Harbor and adjacent Esquimalt Harbor, and those venturing into the harbor systems. Over 50% of samples collected from eight known otters in Victoria Harbor had total-PCB concentrations above the maximum allowable concentration as established for Eurasian otter (Lutra lutra) feces, with a geometric mean value (16.6 mg/kg lipid wt) that exceeded the reproductive toxicity threshold (9 mg/kg lipid wt). Those results are consistent with our findings from 1998 and 2004, and indicate that the harbors of southern Vancouver Island, particularly Victoria Harbor, are a chronic source of PCB exposure for otters. The present study further demonstrates the suitability of using otter feces as a noninvasive/destructive biomonitoring tool in contaminant studies, particularly when sampling of the same individuals at the local population-level is desired. Environ. Toxicol. Chem. 2010;29:275-284. (C) 2009 SETAC</t>
  </si>
  <si>
    <t>[Elliott, John E.] Environm Canada, Sci &amp; Technol Branch, Pacific Wildlife Res Ctr, Delta, BC V4K 3N2, Canada; [Guertin, Daniel A.; Harestad, Alton S.] Simon Fraser Univ, Dept Biol Sci, Burnaby, BC V5A 1S6, Canada; [Ben-David, Merav] Univ Wyoming, Dept Zool &amp; Physiol, Laramie, WY 82071 USA; [Drouillard, Ken G.] Univ Windsor, Great Lakes Inst Environm Res, Windsor, ON N9B 3P4, Canada</t>
  </si>
  <si>
    <t>Environment &amp; Climate Change Canada; Canadian Wildlife Service; Pacific Wildlife Research Centre; Simon Fraser University; University of Wyoming; University of Windsor</t>
  </si>
  <si>
    <t>Elliott, JE (corresponding author), Environm Canada, Sci &amp; Technol Branch, Pacific Wildlife Res Ctr, 5421 Robertson Rd, Delta, BC V4K 3N2, Canada.</t>
  </si>
  <si>
    <t>Environment Canada (Canadian Wildlife Service); British Columbia Habitat Conservation Trust Foundation; Simon Fraser University; American Society of Marnmalogists</t>
  </si>
  <si>
    <t>The following people were instrumental in data collection and analyses: L. Cesh, C. Englestoft, M. Hayes, J. Herreman, N. Ismail, M. Kauffman, T. McClean, C. Nelson, K. Ott, M. Seymour, and T.Williams. We thank the staff of Environment Canada and the British Columbia Ministry of Environment for logistical support in the field. We are indebted to the numerous landowners who granted access to their land for sample collection. Funding was provided by Environment Canada (Canadian Wildlife Service) under the Georgia Basin Ecosystem Initiative, the British Columbia Habitat Conservation Trust Foundation, Simon Fraser University, and a Grant-In-Aid from the American Society of Marnmalogists.</t>
  </si>
  <si>
    <t>10.1002/etc.53</t>
  </si>
  <si>
    <t>552FB</t>
  </si>
  <si>
    <t>WOS:000274272500006</t>
  </si>
  <si>
    <t>Delibes, M; Cabezas, S; Jiménez, B; González, MJ</t>
  </si>
  <si>
    <t>Delibes, M.; Cabezas, S.; Jimenez, B.; Gonzalez, M. J.</t>
  </si>
  <si>
    <t>bad decision; Eurasian otter; indicator; Lutra lutra; Guadiamar River; toxic spill</t>
  </si>
  <si>
    <t>SOURCE-SINK DYNAMICS; LUTRA-LUTRA; ORGANOCHLORINE PESTICIDE; MERCURY; POPULATIONS; SCATS; FECES; LEAD; CONTAMINANTS; SCOTLAND</t>
  </si>
  <si>
    <t>Animals make decisions relying on environmental cues associated to high survival or breeding success along their evolutionary history. However, because of rapid anthropogenic changes in the environment, they may lack useful cues, making bad decisions with potential consequences for individuals and populations. Contaminants are difficult or impossible to detect for animals, so polluted habitats could be used in spite of their dangerous effects. The Eurasian otter Lutra lutra reoccupied the Guadiamar River (SW Spain) &lt; 1 year after a toxic spill that killed the fauna living in it. The levels of heavy metals and arsenic (As) in the river trophic web at that moment were probably harmful for otters. To investigate this, we determined the amount of several heavy metals including copper, cadmium, zinc (Zn) and lead (Pb) and metalloids such as As in otter faeces and estimated the exposure of otters to these elements as average ingestion. Concentrations of Zn, Pb and As were statistically higher in faeces collected along the Guadiamar River than in those collected along the Guadalete River (reference area). An 'average otter' in the Guadiamar River would consume 3-4 mg of Pb and more than 5 mg of As daily. Such doses must be hazardous for the species and challenge the usual assertion that otter presence is a good indicator of river quality.</t>
  </si>
  <si>
    <t>[Delibes, M.; Cabezas, S.] CSIC, Donana Biol Stn, Dept Conservat Biol, Seville 41013, Spain; [Cabezas, S.] Univ Saskatchewan, Dept Biol, Saskatoon, SK S7N 0W0, Canada; [Jimenez, B.; Gonzalez, M. J.] CSIC, Inst Quim Organ Gen, E-28006 Madrid, Spain</t>
  </si>
  <si>
    <t>Consejo Superior de Investigaciones Cientificas (CSIC); CSIC - Estacion Biologica de Donana (EBD); University of Saskatchewan; Consejo Superior de Investigaciones Cientificas (CSIC); CSIC - Instituto de Quimica Organica General (IQOG)</t>
  </si>
  <si>
    <t>Delibes, M (corresponding author), CSIC, Donana Biol Stn, Dept Conservat Biol, Ave Maria Luisa S-N, Seville 41013, Spain.</t>
  </si>
  <si>
    <t>; Jiménez, Begoña/C-6324-2012; Delibes, Miguel/K-2744-2014; González, María José/K-3280-2015</t>
  </si>
  <si>
    <t>Cabezas, Sonia/0000-0001-8626-9518; Jiménez, Begoña/0000-0002-2401-4648; Delibes, Miguel/0000-0002-3569-567X; González, María José/0000-0002-0127-1166</t>
  </si>
  <si>
    <t>'Consejeria de Medio Ambiente, Junta de Andalucia'; Gypaetus Foundation (Spain)</t>
  </si>
  <si>
    <t>'Consejeria de Medio Ambiente, Junta de Andalucia'(Junta de Andalucia); Gypaetus Foundation (Spain)</t>
  </si>
  <si>
    <t>J.C. Rivilla and S. Alis helped with fieldwork; A. Duenas helped with literature; R. Baos, M.C. Blazquez, M. Delibes-Mateos, J. Swenson and two anonymous referees improved the paper with their comments and suggestions. S. Zdunich kindly revised the English. The work was financed by the 'Consejeria de Medio Ambiente, Junta de Andalucia' throughout the PICOVER program. S. Cabezas was partially supported by the Gypaetus Foundation (Spain).</t>
  </si>
  <si>
    <t>10.1111/j.1469-1795.2009.00263.x</t>
  </si>
  <si>
    <t>498LC</t>
  </si>
  <si>
    <t>WOS:000270140600004</t>
  </si>
  <si>
    <t>Lanszki, J; Orosz, E; Sugár, L</t>
  </si>
  <si>
    <t>Lanszki, Jozsef; Orosz, Enikoe; Sugar, Laszlo</t>
  </si>
  <si>
    <t>Otter; Mercury; Copper; Zinc; Lead; Cadmium</t>
  </si>
  <si>
    <t>Liver samples of Eurasian otters from various parts of Hungary were analysed for mercury, copper, zinc, lead and cadmium. Only zinc concentration was significantly higher in females. Higher mercury and cadmium concentrations in adults and higher zinc values in immature otters were measured. Accumulation of mercury, copper and zinc in tissues increased with the declining condition of animals. Mercury and copper were detected with higher values in samples from large rivers. (c) 2008 Elsevier Ltd. All rights reserved.</t>
  </si>
  <si>
    <t>[Lanszki, Jozsef; Sugar, Laszlo] Univ Kaposvar, Nat Conservat Dept, H-7401 Kaposvar, Hungary; [Orosz, Enikoe] Cent Agr Off, Vet Diagnost Directorate, H-1149 Budapest, Hungary</t>
  </si>
  <si>
    <t>Kaposvar University</t>
  </si>
  <si>
    <t>Lanszki, J (corresponding author), Univ Kaposvar, Nat Conservat Dept, POB 16, H-7401 Kaposvar, Hungary.</t>
  </si>
  <si>
    <t>lanszki@ke.hu</t>
  </si>
  <si>
    <t>Lanszki, József/0000-0002-2067-6601;</t>
  </si>
  <si>
    <t>OTKA [K62216]; Bolyai</t>
  </si>
  <si>
    <t>OTKA(Orszagos Tudomanyos Kutatasi Alapprogramok (OTKA)); Bolyai(Hungarian Academy of Sciences)</t>
  </si>
  <si>
    <t>We thank Dr. Jozsef Stagl (ANTSZ, Kaposvar) for his considerable help in the laboratory and Dr. Jim Conroy for advice. The study was supported by the OTKA (K62216) and Bolyai Grant.</t>
  </si>
  <si>
    <t>10.1016/j.chemosphere.2008.10.022</t>
  </si>
  <si>
    <t>407YK</t>
  </si>
  <si>
    <t>WOS:000263400000019</t>
  </si>
  <si>
    <t>Millán, J; Mateo, R; Taggart, MA; López-Bao, JV; Viota, M; Monsalve, L; Camarero, PR; Blázquez, E; Jiménez, B</t>
  </si>
  <si>
    <t>Millan, J.; Mateo, R.; Taggart, M. A.; Lopez-Bao, J. V.; Viota, M.; Monsalve, L.; Camarero, P. R.; Blazquez, E.; Jimenez, B.</t>
  </si>
  <si>
    <t>carnivora; felids; Lynx pardinus; mining pollution; toxic metals</t>
  </si>
  <si>
    <t>AZNALCOLLAR MINE SPILL; STORKS CICONIA-CICONIA; MOUSE MUS-SPRETUS; SOUTHWESTERN SPAIN; NONESSENTIAL ELEMENTS; GENOTOXIC DAMAGE; SIERRA MORENA; CONTAMINANTS; ORGANOCHLORINE; ACCUMULATION</t>
  </si>
  <si>
    <t>The Iberian lynx (Lynx pardinus) is the most endangered felid in the world with a wild population which probably stands at less than 200 individuals inhabiting two areas in Southern Spain (Donana and Sierra Morena) that are known to have been contaminated by heavy metals and metalloids due to a long history of mining activities. This contamination may pose a threat to long term conservation efforts and hence, the concentrations of seven elements (As, Se, Cd, Zn, Cu, Pb, Hg) were determined in the liver, muscle and bone of 9 lynx, as well as 17 red foxes (Vulpes vulpes), 11 Egyptian mongooses (Herpestes ichneumon), 4 common genets (Genetta genetta) and 1 Eurasian badger (Meles meles). The mean concentrations found were below the threshold levels indicative of chronic intoxication in all the species studied. In general, genet and red fox were species with the highest concentrations of several elements in Donana, whilst Iberian lynx had the lowest levels of most of them. Lynx from Sierra Morena had significantly higher concentrations of bone Pb (2.05 mu g/g d.w.) than those from Donana (0.13 mu g/g d.w.), probably due to the mineralised underlying geology and/or the abandoned mine workings in Sierra Morena. Egyptian mongoose presented liver concentrations of Hg up to 9.7 mu g/g d.w. A strong relationship between Hg and Se levels was found in liver and muscle samples of all the studied species, especially in mongoose. In conclusion, levels of the studied elements do not appear to represent a significant threat for the lynx or for the other carnivores studied. However, given the critical status of the Iberian lynx, a continuous monitoring scheme remains necessary. (C) 2008 Elsevier B.V. All rights reserved.</t>
  </si>
  <si>
    <t>[Millan, J.; Lopez-Bao, J. V.; Viota, M.] Estac Biol Donana CSIC, Dept Conservat Biol, Seville 41013, Spain; [Mateo, R.; Taggart, M. A.; Monsalve, L.; Camarero, P. R.] CSIC UCLM JCCM, Inst Invest Recursos Cineget IREC, Ciudad Real 13071, Spain; [Blazquez, E.; Jimenez, B.] Inst Organ Chem CSIC, Dept Instrumental Anal &amp; Environm Chem, Madrid 28006, Spain</t>
  </si>
  <si>
    <t>Consejo Superior de Investigaciones Cientificas (CSIC); CSIC - Estacion Biologica de Donana (EBD); Universidad de Castilla-La Mancha; Consejo Superior de Investigaciones Cientificas (CSIC); CSIC - Instituto de Investigacion en Recursos Cinegeticos (IREC); Consejo Superior de Investigaciones Cientificas (CSIC)</t>
  </si>
  <si>
    <t>Millán, J (corresponding author), C Ganivet 3-5, Zaragoza 50008, Spain.</t>
  </si>
  <si>
    <t>syngamustrachea@hotmail.com</t>
  </si>
  <si>
    <t>Millán, Javier/B-5399-2008; Mateo, Rafael/A-3117-2011; Blázquez-Blázquez, Enrique/E-9671-2013; BLAZQUEZ, ENRIQUE/E-9671-2013; Jiménez, Begoña/C-6324-2012</t>
  </si>
  <si>
    <t>Millán, Javier/0000-0001-5608-781X; Mateo, Rafael/0000-0003-1307-9152; Camarero Abella, Pablo R/0000-0002-2047-6554; Blázquez-Blázquez, Enrique/0000-0003-2488-5635; Taggart, Mark/0000-0002-0649-8490; BLAZQUEZ, ENRIQUE/0000-0003-3611-0087; López-Bao, José Vicente/0000-0001-9213-998X; Jiménez, Begoña/0000-0002-2401-4648</t>
  </si>
  <si>
    <t>10.1016/j.scitotenv.2008.03.038</t>
  </si>
  <si>
    <t>325DQ</t>
  </si>
  <si>
    <t>WOS:000257569000021</t>
  </si>
  <si>
    <t>Elliott, JE; Guertin, DA; Balke, JME</t>
  </si>
  <si>
    <t>Elliott, John E.; Guertin, Daniel A.; Balke, Jennifer M. E.</t>
  </si>
  <si>
    <t>river otter; Lontra canadensis; PCBs; organochlorines; Georgia Basin; scat; noninvasive sampling</t>
  </si>
  <si>
    <t>DIBENZO-P-DIOXINS; ORGANOCHLORINE PESTICIDE-RESIDUES; MINK MUSTELA-VISON; LUTRA-LUTRA SCATS; BRITISH-COLUMBIA; POLYCHLORINATED BIPHENYL; ARDEA-HERODIAS; MARINE-ENVIRONMENT; PCB CONCENTRATIONS; WASHINGTON-STATE</t>
  </si>
  <si>
    <t>Chlorinated hydrocarbon contaminants in coastal river otters (Lontra canadensis) were evaluated by sampling feces (scats) collected on the south coast of British Columbia, Canada. A broad survey of industrialized areas of the Strait of Georgia region was conducted in 1998, and a subsequent survey of working harbours in 2004. Samples from 1998 were analyzed for polychlorinated biphenyls (PCBs), organochlorine (OC) pesticides, and polychlorinated dioxins (PCDDs) and furans (PCDFs), while in 2004, chemistry was confined to Sigma PCBs and OC pesticides. Concentrations of OC pesticides were low in both years, with only dichlorodiphenyldichloroethylene (DDE; range: 0.01-2.12 mg/kg lw) and hexachlorocyclobenzene (HCB; range: 0.003-0.25 mg/kg lw) detected in all samples. In 1998, octachlorodibenzo-p-dioxin (OCDD) and other higher chlorinated PCDD/Fs were found in most samples, with OCDD ranging from 120 ng/kg lw in Clayoquot Sound to 19,100 ng/kg lw in a pooled sample from two latrines in Nanaimo. PCBs were present in all samples. In 1998 geometric mean concentrations of the sum of 59 PCB congeners ranged from 0.49 mg/kg lw in Nanaimo to 12.3 mg/kg lw in Victoria Harbour. Six years later, mean Sigma PCBs remained elevated (geometric mean 9.5 mg/kg lw) in Victoria Harbour. Geometric mean concentrations of Sigma PCBs from Victoria Harbour in 1998 and 2004 were &gt;9 mg/kg lw, a published adverse effect level for reproduction. At some latrines in both Victoria and Esquimalt Harbours, concentrations of TCDD-toxic equivalents exceeded 1500 ng/kg lw, a value for health effects in otters that we derived using published information. As shown in previous studies, analysis of scats provides an efficient and non-intrusive approach to assessing contaminant threats to otter populations, and to documenting spatial trends in residues. (C) 2008 Elsevier B.V. All rights reserved.</t>
  </si>
  <si>
    <t>[Elliott, John E.] Environm Canada, Sci &amp; Technol Branch, Pacific Wildlife Res Ctr, Delta, BC V4K 3N2, Canada; [Guertin, Daniel A.] Simon Fraser Univ, Dept Biol Sci, Burnaby, BC V5A 1S6, Canada</t>
  </si>
  <si>
    <t>10.1016/j.scitotenv.2008.01.063</t>
  </si>
  <si>
    <t>316BD</t>
  </si>
  <si>
    <t>WOS:000256923000007</t>
  </si>
  <si>
    <t>Bejarano, AC; VanDola, FM; Gulland, FM; Rowles, TK; Schwacke, LH</t>
  </si>
  <si>
    <t>Bejarano, Adriana C.; VanDola, Frances M.; Gulland, Frances M.; Rowles, Teresa K.; Schwacke, Lori H.</t>
  </si>
  <si>
    <t>marine biotoxin; domoic acid; Pseudo-nitzschia; toxic algal blooms; wildlife</t>
  </si>
  <si>
    <t>PSEUDO-NITZSCHIA-MULTISERIES; CALIFORNIA SEA LIONS; CEREBELLAR GRANULE NEURONS; CRAB POLYBIUS-HENSLOWII; AMNESIC SHELLFISH TOXIN; HARMFUL ALGAL BLOOMS; TISSUE DISTRIBUTION; POTENTIAL VECTOR; STOMACH CONTENTS; EMERITA-ANALOGA</t>
  </si>
  <si>
    <t>Domoic acid (DA), produced by marine diatom species in the genus Pseudo-nitzschia, is a potent excitotoxin linked since the late 1990s to massive marine mammal and seabird mortalities along the California coast. These and a previous incident involving human intoxication and deaths prompted many studies, some of which have unveiled the trophic transfer of DA from benthic invertebrates and planktivorous fish to top predators, demonstrating serious health risk to marine wildlife and humans. Top predator populations that may be more adversely affected by DA include those with narrow geographical distribution or those that are already in decline as a result of other environmental stressors or natural cyclic fluctuations. However, to date no studies have attempted to assess the population effects of recurrent exposures to DA on any of the affected wildlife species. Ecological risk assessment can help to identify DA effects on wildlife, but meaningful assessments require the integration of many types of information, often not available to conduct such studies. Hence, determining short- and long-term effects on marine wildlife populations is rather challenging. The purpose of this review is to highlight recent research efforts and information gaps, and the need for interdisciplinary programs that allow collaborative wildlife population risk assessments of critical species.</t>
  </si>
  <si>
    <t>[Bejarano, Adriana C.; Schwacke, Lori H.] NOAA, NOS Cooperat Ctr Marine Anim Hlth, Hollings Marine Lab, Charleston, SC 29412 USA; [VanDola, Frances M.] NOAA NOS, Ctr Coastal Environm Hlth &amp; Biomol Res, Charleston, SC USA; [Gulland, Frances M.] Marine Mammal Ctr, Sausalito, CA USA; [Rowles, Teresa K.] NOAA Fisheries, Cooperat Ctr Marine Anim Hlth, Silver Spring, MD USA</t>
  </si>
  <si>
    <t>National Oceanic Atmospheric Admin (NOAA) - USA; National Oceanic Atmospheric Admin (NOAA) - USA; National Oceanic Atmospheric Admin (NOAA) - USA</t>
  </si>
  <si>
    <t>Bejarano, AC (corresponding author), NOAA, NOS Cooperat Ctr Marine Anim Hlth, Hollings Marine Lab, 331 Ft Johnson Rd, Charleston, SC 29412 USA.</t>
  </si>
  <si>
    <t>BejaranoAC@gmail.com</t>
  </si>
  <si>
    <t>bejarano, aiana/0000-0003-2818-4115</t>
  </si>
  <si>
    <t>10.1080/10807030802074220</t>
  </si>
  <si>
    <t>316HV</t>
  </si>
  <si>
    <t>WOS:000256941100008</t>
  </si>
  <si>
    <t>Lemarchand, C; Amblard, C; Souchon, Y; Berny, P</t>
  </si>
  <si>
    <t>Lemarchand, Charles; Amblard, Christian; Souchon, Yves; Berny, Philippe</t>
  </si>
  <si>
    <t>WATER AIR AND SOIL POLLUTION</t>
  </si>
  <si>
    <t>European otter; Organochlorine compounds; Pollution; Conservation; France</t>
  </si>
  <si>
    <t>RESIDUES; FISH; SCOTLAND; IMPACT; RIVER; CONTAMINATION; SPRAINTS; ENGLAND; WATER</t>
  </si>
  <si>
    <t>Scats of the European otter (Lutra lutra) were sampled along the Allier river (France) catchment for organochlorine toxic compounds (nine pesticides and 16 PCBs congeners) measurement. From early 2004 to June 2005, 90 sites of 40 rivers were twice investigated, and 71 scats samples collected, in four geographical areas being naturally re-colonized by the species since its legal protection. Detectable pesticides and PCBs were found in 100% of the samples. Mean values reached 2.72 and 13.58 mg kg(-1) (lipid weight) for pesticides and PCBs, respectively. Amounts were significantly different between the four areas investigated. A significant increase in medium and absolute values is noted by going downstream of the catchment. Potential medium-and long-term consequences on the observed population increase are discussed.</t>
  </si>
  <si>
    <t>Protiste Biol Lab, Doctorants Hydrobiol, F-63177 Clermont Ferrand, France; Irstea, Lab Hydroecol Quantitat, F-69336 Lyon, France; ENVL, Biol Labs Toxicol, F-69280 Marcy Letoile, France</t>
  </si>
  <si>
    <t>Lemarchand, C (corresponding author), Protiste Biol Lab, Doctorants Hydrobiol, 24,Ave Landais, F-63177 Clermont Ferrand, France.</t>
  </si>
  <si>
    <t>Souchon, Yves/V-6507-2019; Berny, Philippe/C-6945-2019</t>
  </si>
  <si>
    <t>Souchon, Yves/0000-0002-8669-4861; Berny, Philippe/0000-0001-5007-3820</t>
  </si>
  <si>
    <t>0049-6979</t>
  </si>
  <si>
    <t>1573-2932</t>
  </si>
  <si>
    <t>WATER AIR SOIL POLL</t>
  </si>
  <si>
    <t>Water Air Soil Pollut.</t>
  </si>
  <si>
    <t>1-4</t>
  </si>
  <si>
    <t>10.1007/s11270-007-9462-5</t>
  </si>
  <si>
    <t>Environmental Sciences; Meteorology &amp; Atmospheric Sciences; Water Resources</t>
  </si>
  <si>
    <t>Environmental Sciences &amp; Ecology; Meteorology &amp; Atmospheric Sciences; Water Resources</t>
  </si>
  <si>
    <t>217ZY</t>
  </si>
  <si>
    <t>WOS:000249987000006</t>
  </si>
  <si>
    <t>Levin, M; Leibrecht, H; Mori, C; Jessup, D; De Guise, S</t>
  </si>
  <si>
    <t>Levin, Milton; Leibrecht, Heather; Mori, Chiharu; Jessup, David; De Guise, Sylvain</t>
  </si>
  <si>
    <t>southern sea otter; organochlorine; immunotoxicology</t>
  </si>
  <si>
    <t>WHALES DELPHINAPTERUS-LEUCAS; DOLPHINS TURSIOPS-TRUNCATUS; MINK MUSTELA-VISON; C FUEL-OIL; HARBOR SEALS; POLYCHLORINATED-BIPHENYLS; MARINE MAMMALS; CONTAMINANTS; CELLS; MICE</t>
  </si>
  <si>
    <t>Organochlorines (OCs), notably polychlorinated biphenyls (PCBs) and 2,3,7,8-tetrachlorodibenzo-p-dioxin (TODD), are ubiquitous environmental contaminants. Contaminant-induced immunosuppression by OCs has been implicated as a co-factor in the deaths of thousands of marine mammals in infectious disease epizootics over the last two decades, and limited studies support the hypothesis that PCBs are immunomodulatory. This study represented a unique opportunity to assess the potential differences in susceptibility to OCs between captive and free-ranging sea otters originating from the same genetic population. In vitro immune assays were utilized to evaluate both innate (phagocytosis and respiratory burst) and acquired (mitogen-induced B and T lymphocyte proliferation) immune functions. Individual PCBs (138, 153, 169 and 180) as well as TCDD and all 26 possible combinations were tested. Mixtures were tested as they represent 'real life' exposure. Our results suggest that (1) different immune functions were sensitive to different OC mixtures in both magnitude and direction (enhancement/suppression) and (2) differences in sensitivities upon in vitro exposure to OCs occurred between free-ranging and captive otters. Differences in susceptibility could be explained by the acute stress of capture, the chronic stress of captivity or nutritional differences. Understanding differences in toxicity to different populations of sea otters will have important implications for risk assessment as well as conservation and management strategies. (C) 2007 Elsevier B.V. All rights reserved.</t>
  </si>
  <si>
    <t>Univ Connecticut, Dept Pathobiol &amp; Vet Sci, Storrs, CT 06269 USA; Marine Wildlife Vet Care &amp; Res Ctr, Calif Dept Fish &amp; Game, Santa Cruz, CA 95060 USA</t>
  </si>
  <si>
    <t>University of Connecticut</t>
  </si>
  <si>
    <t>Levin, M (corresponding author), Univ Connecticut, Dept Pathobiol &amp; Vet Sci, 61 N Eagleville Rd, Storrs, CT 06269 USA.</t>
  </si>
  <si>
    <t>milton.levin@uconn.edu</t>
  </si>
  <si>
    <t>De Guise, Sylvain/HGF-1052-2022</t>
  </si>
  <si>
    <t>Levin, Milton/0000-0002-7791-3022</t>
  </si>
  <si>
    <t>10.1016/j.vetimm.2007.06.003</t>
  </si>
  <si>
    <t>218NM</t>
  </si>
  <si>
    <t>WOS:000250022200011</t>
  </si>
  <si>
    <t>Boehm, PD; Page, DS; Neff, JM; Johnson, CB</t>
  </si>
  <si>
    <t>Boehm, Paul D.; Page, David S.; Neff, Jerry M.; Johnson, Charles B.</t>
  </si>
  <si>
    <t>PRINCE-WILLIAM-SOUND; POLYCYCLIC AROMATIC-HYDROCARBONS; BASE-LINE CONDITIONS; ALASKA; MORTALITY; SHORELINES; RECOVERY; DOCUMENT; MUSSELS; RETURN</t>
  </si>
  <si>
    <t>A study was conducted in 2005 and 2006 to examine the hypothesis that sea otters (Enhydra lutris) continue to be exposed to residues of subsurface oil (SSO) while foraging on shorelines in the northern Knight Island (NKI) area of Prince William Sound, Alaska more than 17 years after the Exxon Valdez oil spill. Forty-three shoreline segments, whose oiling history has been documented by prior surveys, were surveyed. These included all shoreline segments reported by a 2003 NOAA random site survey to contain SSO residues in NKI. Sites were surveyed for the presence and location of otter foraging pits. Only one of 29 SSO sites surveyed was identified as an otter foraging site. Most buried SSO residues are confined to tide elevations above +0.8 m above mean lower low water (MLLW), above the range of intertidal clam habitat. More than 99% of documented intertidal otter pits at all sites surveyed are in the lower intertidal zone (-0.2 to +0.8 m above MLLW), the zone of highest clam abundance. The spatial separation of the otter pits from the locations of SSO residues, both with regard to tidal elevation and lateral separation on the study sites, coupled with the lack of evidence of intertidal otter foraging at SSO sites indicates a low likelihood of exposure of foraging otters to SSO on the shores of the NKI area.</t>
  </si>
  <si>
    <t>Exponent Inc, Maynard, MA 01754 USA; Bowdoin Coll, Dept Chem, Brunswick, ME 04011 USA; Associates LLC, Duxbury, MA 02332 USA; ABR Inc, Fairbanks, AK 99708 USA</t>
  </si>
  <si>
    <t>Exponent; Bowdoin College</t>
  </si>
  <si>
    <t>Boehm, PD (corresponding author), Exponent Inc, 3 Clock Tower Pl,Suite 205, Maynard, MA 01754 USA.</t>
  </si>
  <si>
    <t>10.1021/es070829e</t>
  </si>
  <si>
    <t>215WV</t>
  </si>
  <si>
    <t>WOS:000249840600039</t>
  </si>
  <si>
    <t>Scheulhammer, AM; Meyer, MW; Sandheinrich, MB; Murray, MW</t>
  </si>
  <si>
    <t>Scheulhammer, Anton M.; Meyer, Michael W.; Sandheinrich, Mark B.; Murray, Michael W.</t>
  </si>
  <si>
    <t>8th International Conference on Mercury as a Global Pollutant</t>
  </si>
  <si>
    <t>AUG 06-11, 2006</t>
  </si>
  <si>
    <t>Madison, WI</t>
  </si>
  <si>
    <t>Univ Wisconsin Madison,US Geol Survey,Univ Wisconsin La Crosse</t>
  </si>
  <si>
    <t>LOONS GAVIA-IMMER; MINK MUSTELA-VISON; PINCHI LAKE REGION; MERCURY EXPOSURE; COMMON LOONS; DIETARY METHYLMERCURY; BRITISH-COLUMBIA; RISK-ASSESSMENT; MARINE MAMMALS; WADING BIRDS</t>
  </si>
  <si>
    <t>Wild piscivorous fish, mammals, and birds may be at risk for elevated dietary methylmercury intake and toxicity. In controlled feeding studies, the consumption of diets that contained Hg (as methylmercury) at environmentally realistic concentrations resulted in a range of toxic effects in fish, birds, and mammals, including behavioral, neurochemical, hormonal, and reproductive changes. Limited field-based studies, especially with certain wild piscivorous bird species, e.g., the common loon, corroborated laboratory- based results, demonstrating significant relations between methylmercury exposure and various indicators of methylmercury toxicity, including reproductive impairment. Potential population effects in fish and wildlife resulting from dietary methylmercury exposure are expected to vary as a function of species life history, as well as regional differences in fish-Hg concentrations, which, in turn, are influenced by differences in Hg deposition and environmental methylation rates. However, population modeling suggests that reductions in Hg emissions could have substantial benefits for some common loon populations that are currently experiencing elevated methylmercury exposure. Predicted benefits would be mediated primarily through improved hatching success and development of hatchlings to maturity as Hg concentrations in prey fish decline. Other piscivorous species may also benefit from decreased Hg exposure but have not been as extensively studied as the common loon.</t>
  </si>
  <si>
    <t>Carleton Univ, Environm Canada, Natl Wildlife Res Ctr, Ottawa, ON K1A 0H3, Canada; Wisconsin Dept Nat Resources, Rhinelander, WI 54501 USA; Univ Wisconsin, Dept Biol, La Crosse, WI 54601 USA; Univ Wisconsin, River Studies Ctr, La Crosse, WI 54601 USA; Natl Wildlife Federat, Great Lakes Nat Resource Ctr, Ann Arbor, MI 48104 USA</t>
  </si>
  <si>
    <t>Carleton University; Environment &amp; Climate Change Canada; Canadian Wildlife Service; National Wildlife Research Centre - Canada; University of Wisconsin System; University of Wisconsin System</t>
  </si>
  <si>
    <t>Scheulhammer, AM (corresponding author), Carleton Univ, Environm Canada, Natl Wildlife Res Ctr, Ottawa, ON K1A 0H3, Canada.</t>
  </si>
  <si>
    <t>Tony.Scheuhammer@ec.gc.ca; Michael.Meyer@dnr.state.wi.us; sandhein.mark@uwlax.edu; murray@nwf.org</t>
  </si>
  <si>
    <t>10.1579/0044-7447(2007)36[12:EOEMOT]2.0.CO;2</t>
  </si>
  <si>
    <t>144SY</t>
  </si>
  <si>
    <t>WOS:000244817800004</t>
  </si>
  <si>
    <t>Alleva, E; Francia, N; Pandolfi, M; De Marinis, AM; Chiarotti, F; Santucci, D</t>
  </si>
  <si>
    <t>POLYCHLORINATED-BIPHENYLS; POLAR BEARS; POLLUTANTS; EGGS; WATERBIRDS; SENTINELS; RESIDUES; EXPOSURE; P,P'-DDE; BEHAVIOR</t>
  </si>
  <si>
    <t>Tissue samples from 56 bird and 11 mammal species of different trophic levels, collected from 1994 to 1995 from the Urbino-Pesaro area in the Marche region of central Italy, were analyzed for the presence of organochlorine compounds (polychlorinated biphenyls and p,p'-DDE) and heavy metals (Pb, Cd, Cr, and Hg). Results revealed interspecies differences in pollutant residue concentrations. A clear relationship between contaminant and trophic levels emerged depending on several factors specific to the chemicals and the organisms, the importance of dietary accumulation, and metabolic capacity as it increased toward higher trophic levels. Polychlorinated biphenyls and p,p'-DDE were found in all of the bird and mammal species analyzed (bird- or fish-eating birds), and insectivore mammals showed the highest level of these contaminants. Pb and Hg residues were also widely detected and reflected trophic-level differences. The highest concentration of Pb was found in herbivorous or bird-eating aquatic invertebrates and in insectivorous mammals, particularly in the hedgehog (Erinaceus europaeus), whereas the highest Hg levels were found in fish-eating birds. All of the other heavy metals were detected at low concentrations and represented background levels for birds and mammals, with the exception of increased amounts of Cd and Cr, respectively, found in stone marten (Martes foina) and fox (Vulpes vulpes). Data from this study provided information on baseline levels of interest to monitor status and trends in chemical residue in biota in this specific area, and therefore they represent a tool to evaluate potential ecologic, wildlife, and human health exposure.</t>
  </si>
  <si>
    <t>Ist Super Sanita, Dept Cell Biol &amp; Neurosci, Sect Behav Neurosci, I-00161 Rome, Italy; Univ Urbino, Morphol Sci Inst, Zool Lab, I-61029 Urbino, Italy; Ist Nazl Fauna Selvat, Bologna, Italy</t>
  </si>
  <si>
    <t>Istituto Superiore di Sanita (ISS); University of Urbino; Italian Institute for Environmental Protection &amp; Research (ISPRA)</t>
  </si>
  <si>
    <t>Santucci, D (corresponding author), Ist Super Sanita, Dept Cell Biol &amp; Neurosci, Sect Behav Neurosci, Viale Regina Elena 299, I-00161 Rome, Italy.</t>
  </si>
  <si>
    <t>santucci@iss.it</t>
  </si>
  <si>
    <t>Francia, Nadia/N-9174-2017; Chiarotti, Flavia/K-7970-2016; Alleva, Enrico/B-1630-2013; Pandolfi, Margareth/H-7616-2016</t>
  </si>
  <si>
    <t>Francia, Nadia/0000-0003-1888-2403; Chiarotti, Flavia/0000-0003-0084-6914; De Marinis, Anna Maria/0000-0002-2242-052X; Alleva, Enrico/0000-0002-9633-7657;</t>
  </si>
  <si>
    <t>10.1007/s00244-005-0218-1</t>
  </si>
  <si>
    <t>035DN</t>
  </si>
  <si>
    <t>WOS:000236980500016</t>
  </si>
  <si>
    <t>Jager, HI; Carr, EA; Efroymson, RA</t>
  </si>
  <si>
    <t>population viability analysis; landscape model; petroleum extraction; brine spill; tallgrass prairie; Allee effect; extinction threshold</t>
  </si>
  <si>
    <t>TALLGRASS PRAIRIE; EXTINCTION; BADGERS; BRINE; BIRDS</t>
  </si>
  <si>
    <t>Brine spills associated with petroleum extraction can reduce the amount of suitable habitat and increase habitat fragmentation for many terrestrial animals. We conducted a simulation study to quantify the effects of habitat loss and fragmentation on a solitary mammal predator. To provide focus, we adopted biological attributes of the American badger (Taxidea taxus) and environmental attributes of the Tallgrass Prairie Preserve in Oklahoma. We simulated badger activities on landscapes with different degrees of habitat loss and fragmentation using a spatially explicit and individual-based population model. Both habitat loss and fragmentation increased the incidence of habitat-related mortality and decreased the proportion of eligible females that mated, which decreased final population sizes and the likelihood of persistence. Parameter exploration suggested that steep, threshold-like, responses to habitat loss occurred when animals included high-risk habitat in their territories. Badger populations showed a steeper decline with increasing habitat loss on landscapes fragmented by spills than on less fragmented landscapes. Habitat fragmentation made it difficult for badgers to form high-quality territories, and exposed individuals to higher risk while A seeking to establish a territory. Our simulations also suggest that an inability to find mates (an Allee effect) becomes increasingly important for landscapes that support a sparse distribution of territories. Thus, the presence of unmated females with territories may foreshadow population decline in solitary species that do not normally tolerate marginal adults. Published by Elsevier B.V.</t>
  </si>
  <si>
    <t>Oak Ridge Natl Lab, Environm Sci Div, Oak Ridge, TN 37831 USA</t>
  </si>
  <si>
    <t>United States Department of Energy (DOE); Oak Ridge National Laboratory</t>
  </si>
  <si>
    <t>Jager, HI (corresponding author), Oak Ridge Natl Lab, Environm Sci Div, Bethel Valley Rd, Oak Ridge, TN 37831 USA.</t>
  </si>
  <si>
    <t>jagerhi@ornl.gov</t>
  </si>
  <si>
    <t>Jager, Henriette/OGQ-5439-2025</t>
  </si>
  <si>
    <t>Jager, Henriette/0000-0003-4253-533X; Efroyon, Rebecca/0000-0002-3190-880X</t>
  </si>
  <si>
    <t>FEB 5</t>
  </si>
  <si>
    <t>10.1016/j.ecolmodel.2005.05.025</t>
  </si>
  <si>
    <t>007EP</t>
  </si>
  <si>
    <t>WOS:000234951600006</t>
  </si>
  <si>
    <t>Martin, PA; Mcdaniel, TV; Hunter, B</t>
  </si>
  <si>
    <t>areas of concern; aquatic mammal; mink; PCBs</t>
  </si>
  <si>
    <t>GREAT-LAKES; POLYCHLORINATED-BIPHENYLS; LUTRA-CANADENSIS; SOUTHERN ONTARIO; DETROIT RIVER; MUSTELA-VISON; ORGANOCHLORINE; CONTAMINANTS; PCBS; FISH</t>
  </si>
  <si>
    <t>Mink (Mustela vison) carcasses were collected from local commercial trappers from fall 1998 to spring 2003 from tributaries and marshes within 4.8km from the shores of Lakes Erie and St. Clair, including the Wheatley Harbour and St. Clair River Areas of Concern (AOCs), as well as from inland sites (8 to 40km from shore). Liver concentrations, on a lipid weight basis, of chlorinated hydrocarbons were measured and compared among sites and to tissue concentrations of mink from two previous collections from similar sites over the past 25 years. Mink from the western Lake Erie sites, which included the Wheatley Harbour AOC, had significantly higher concentrations of sum PCBs and PCB Aroclors than those from the St. Clair corridor or inland sites, with concentrations from the rest of Lake Erie being intermediate. Dieldrin concentrations were also significantly higher in western Lake Erie than many other sites, and those of oxychlordane and mirex also tended to be higher (0.05 &lt; p &lt; 0.1). There were no differences in contaminant concentrations between the St. Clair River AOC and the downstream non-AOC Lake St. Clair site, with the exception of slightly higher levels of octachlorostyrene (OCS). Concentrations of PCBs and other chlorinated hydrocarbons in mink showed a general decrease over the past two decades. In contrast, PCBs and some organochlorine pesticides tended to increase, significantly so with oxychlordane, in western Lake Erie mink over the same time period. DDE declined at all sites. Currently, mink liver PCB concentrations are within the range associated with reproductive impairment, as determined from captive mink studies, in 11.7% of all animals collected from the Lakes Erie and St. Clair basin overall, but in almost 40% of individuals from western Lake Erie.</t>
  </si>
  <si>
    <t>Environm Canada, Canadian Wildlife Serv, Burlington, ON L7R 4A6, Canada; Univ Guelph, Dept Path Biol, Guelph, ON N1G 2W1, Canada</t>
  </si>
  <si>
    <t>Environment &amp; Climate Change Canada; Canadian Wildlife Service; University of Guelph</t>
  </si>
  <si>
    <t>Martin, PA (corresponding author), Environm Canada, Canadian Wildlife Serv, Box 5050,867 Lakeshore Rd, Burlington, ON L7R 4A6, Canada.</t>
  </si>
  <si>
    <t>Pamela.martin@ec.gc.ca</t>
  </si>
  <si>
    <t>10.1007/s10661-005-9083-7</t>
  </si>
  <si>
    <t>028TM</t>
  </si>
  <si>
    <t>WOS:000236511700013</t>
  </si>
  <si>
    <t>Gerber, LR; Buenau, KE; Vanblaricom, GR</t>
  </si>
  <si>
    <t>akaike information criteria; demography; density dependence; diffusion approximation; extinction risk; oil spill; sea otter</t>
  </si>
  <si>
    <t>ENHYDRA-LUTRIS; MORTALITY</t>
  </si>
  <si>
    <t>Sea otters (Enhydra lutris (L.)) were hunted to extinction off the coast of Washington State early in the 20th century. A new population was established by translocations from Alaska in 1969 and 1970, and currently numbers at least 550 animals. A major threat to the population is the ongoing risk of major oil spills in sea otter habitat. We apply population models to census and demographic data in order to evaluate the status of the population. We fit several density dependent models to test for density dependence and determine plausible values for the carrying capacity (K) by comparing model goodness of fit to an exponential model. Model fits were compared using Akaike Information Criterion (AIC). A significant negative relationship was found between the population growth rate and population size (r(2) = 0.27, F = 5.57, df = 16, p &lt; 0.05), suggesting density dependence in Washington state sea otters. Information Criterion statistics suggest that the Beverton-Holt model is the most parsimonious, followed closely by the logistic model. Values of K ranged from 612 to 759 with best-fit parameter estimates for the Beverton-Holt model including 0.26 for r and 612 for K. The latest ( 2001) population index count (555) puts the population at 87-92% of the estimated carrying capacity, above the suggested range for optimum sustainable population (OSP). Analyses of extinction risk associated with oil spills were based on assumptions of variable spill frequency, and variable mortality rates associated with spills once they occurred. At lower rates of assumed spill frequency, extinction risk was either negligible or was substantial only at the highest assumed mortality rates. At the highest assumed frequency rate (0.5 yr(-1)), extinction risks were high across the full range of assumed mortality rates. Elasticity analysis was conducted to examine the effects of proportional changes in vital rates on the population growth rate (lambda). The elasticity values indicate that the population is most sensitive to changes in survival rates (particularly adult survival).</t>
  </si>
  <si>
    <t>Arizona State Univ, Sch Life Sci, Tempe, AZ 85287 USA; Univ Washington, Sch Aquat &amp; Fishery Sci, Washington Cooperat Fish &amp; Wildlife Res Unit, US Geol Survey, Seattle, WA 98195 USA</t>
  </si>
  <si>
    <t>Arizona State University; Arizona State University-Tempe; United States Department of the Interior; United States Geological Survey; University of Washington; University of Washington Seattle</t>
  </si>
  <si>
    <t>Gerber, LR (corresponding author), Arizona State Univ, Sch Life Sci, POB 871501, Tempe, AZ 85287 USA.</t>
  </si>
  <si>
    <t>; Buenau, Kate/LBI-6080-2024</t>
  </si>
  <si>
    <t>Gerber, Leah/0000-0002-6763-6842; Buenau, Kate/0000-0003-2156-7260;</t>
  </si>
  <si>
    <t>10.1007/s10531-004-2146-1</t>
  </si>
  <si>
    <t>876AY</t>
  </si>
  <si>
    <t>WOS:000225468900009</t>
  </si>
  <si>
    <t>Barbosa, AM; Real, R; Olivero, J; Vargas, JM</t>
  </si>
  <si>
    <t>otter distribution; spatial modeling; GIS; conservation; Iberian Peninsula</t>
  </si>
  <si>
    <t>SANTA-ROSALIA; PATTERN; HOMAGE</t>
  </si>
  <si>
    <t>We used the results of the Spanish Otter Survey of 1994-1996, a Geographic Information System and stepwise multiple logistic regression to model otter presence/absence data in the continental Spanish UTM 10 x 10-km squares. Geographic situation, indicators of human activity such as highways and major urban centers, and environmental variables related with productivity, water availability, altitude, and environmental energy were included in a logistic model that correctly classified about 73% of otter presences and absences. We extrapolated the model to the adjacent territory of Portugal, and increased the model's spatial resolution by extrapolating it to I x 1-km squares in the whole Iberian Peninsula. The model turned out to be rather flexible, predicting, for instance, the species to be very restricted to the courses of rivers in some areas, and more widespread in others. This allowed us to determine areas where otter populations may be more vulnerable to habitat changes or harmful human interventions. (C) 2003 Elsevier Ltd. All rights reserved.</t>
  </si>
  <si>
    <t>Univ Malaga, Fac Ciencias, Dept Anim Biol, E-29071 Malaga, Spain</t>
  </si>
  <si>
    <t>Universidad de Malaga</t>
  </si>
  <si>
    <t>Barbosa, AM (corresponding author), Univ Malaga, Fac Ciencias, Dept Anim Biol, E-29071 Malaga, Spain.</t>
  </si>
  <si>
    <t>ambarbosa@uma.es</t>
  </si>
  <si>
    <t>Olivero, Jesús/K-8727-2014; Barbosa, A Márcia/B-3992-2008; Real, Raimundo/E-6559-2010</t>
  </si>
  <si>
    <t>Olivero, Jesús/0000-0003-1714-0360; Vargas Yáñez, Juan Mario/0000-0002-2841-5481; Barbosa, A Márcia/0000-0001-8972-7713; Real, Raimundo/0000-0002-6642-1284</t>
  </si>
  <si>
    <t>10.1016/S0006-3207(03)00066-1</t>
  </si>
  <si>
    <t>722JD</t>
  </si>
  <si>
    <t>WOS:000185371200008</t>
  </si>
  <si>
    <t>Ballachey, BE; Bodkin, JL; Howlin, S; Doroff, AM; Rebar, AH</t>
  </si>
  <si>
    <t>EXXON-VALDEZ OIL; RIVER OTTERS; ENHYDRA-LUTRIS; BODY CONDITION; MUSSEL BEDS; LENGTH-MASS; SPILL; MORTALITY; PERSISTENCE; RECOVERY</t>
  </si>
  <si>
    <t>We estimated survival of sea otters (Enhydra lutris) for 1 year post weaning during 1992-1993 in Prince William Sound (PWS), location of the 1989 Exxon Valdez oil spill. We sampled 38 pups in eastern PWS (EPWS), an unoiled area occupied by sea otters for &lt;15 years, and 33 pups from oiled western PWS (WPWS), occupied for &gt;25 years. We compared survival between areas, sexes, and condition groups. We also examined the relation of blood parameters to survival. Survival was estimated at 0.74 in EPWS and 0.52 in WPWS. Female survival was 0.86 in EPWS and 0.64 in WPWS, whereas male survival was lower, 0.61 in EPWS and 0.44 in WPWS. Sea otters from EPWS were in better condition (mass/length) than WPWS sea otters. Pups in better condition had higher survival in EPWS but not in WPWS. Foraging success was greater in EPWS than in WPWS, consistent with either an effect of length of occupation or the effects of oil on the prey base or a combination of these effects. Area differences in blood parameters suggested liver damage in WPWS sea otters, perhaps resulting from continued exposure to oil. Thus, both length of occupation and oiling history likely influenced juvenile survival in PWS.</t>
  </si>
  <si>
    <t>US Geol Survey, Alaska Sci Ctr, Anchorage, AK 99503 USA; Western EcoSyst Technol Inc, Cheyenne, WY 82001 USA; US Fish &amp; Wildlife Serv, Anchorage, AK 99503 USA; Purdue Univ, Sch Vet Med, W Lafayette, IN 47907 USA</t>
  </si>
  <si>
    <t>United States Department of the Interior; United States Geological Survey; Western EcoSystems Technology, Inc.; United States Department of the Interior; US Fish &amp; Wildlife Service; Purdue University System; Purdue University</t>
  </si>
  <si>
    <t>Ballachey, BE (corresponding author), US Geol Survey, Alaska Sci Ctr, 1011 E Tudor Rd, Anchorage, AK 99503 USA.</t>
  </si>
  <si>
    <t>brenda_ballachey@usgs.gov</t>
  </si>
  <si>
    <t>123 Slater Street, Suite 610, OTTAWA, ON K1P 5H2, CANADA</t>
  </si>
  <si>
    <t>10.1139/Z03-121</t>
  </si>
  <si>
    <t>739CT</t>
  </si>
  <si>
    <t>WOS:000186325200004</t>
  </si>
  <si>
    <t>Ben-David, M; Blundell, GM; Blake, JE</t>
  </si>
  <si>
    <t>Alaska; hemoglobin; Kaplan-Meier estimator; Lontra canadensis; oil spill; predation; proportional hazard regression; rehabilitation; river otter; starvation</t>
  </si>
  <si>
    <t>EXXON-VALDEZ OIL; PRINCE-WILLIAM-SOUND; MARINE-ENVIRONMENT; LUTRA-CANADENSIS; HOME RANGES; ALASKA; REHABILITATION; BEHAVIOR; HAPTOGLOBIN; MORTALITY</t>
  </si>
  <si>
    <t>Few data exist on post-release survival of rehabilitated oiled wildlife, fueling the controversy surrounding wildlife rehabilitation efforts following oil spills. In 1998, we initiated a captive study to assess the effects of exposure to crude oil on physiological and behavioral processes in coastal river otters (Lontra canadensis). This study provided the opportunity to explore the effects of oiling and rehabilitation separately from those of captivity by comparing post-release survival rates of control and oiled river otters held in captivity with those of wild free-ranging otters. Fifteen wild-caught male river otters were assigned to 3 groups, of which 2 were given weathered crude oil in food (i.e., control, low dose, high dose) under controlled conditions at the Alaska Sealife Center. At the end of the rehabilitation period, animals were surgically implanted with radiotransmitters and released at the original site of capture or at an adjacent site in Prince William Sound, Alaska, USA. Concurrently, survival of 55 coastal river otters radiotagged in the wild was monitored in the same geographical area. Our results indicated that the captive, newly released animals (i.e., experimental otters) had a significantly lower survival rate than wild animals. We found no effect from exposure to hydrocarbons once rehabilitation was accomplished, but noted that lower levels of hemoglobin (a likely condition of rehabilitated oiled wildlife) were negatively correlated with survival and likely resulted in death from starvation. Therefore, rehabilitation may be a viable option for animals that have the potential for full recovery. We detected no relationship between location of release or estimated age of the experimental animals and their subsequent survival, although these results may be an artifact of small sample sizes. We recommend that future studies evaluate the effects of the length of captivity on post-release survival to produce additional guidelines for release. Information on the potential for full recovery and the length of the captive period required for achieving this rehabilitation will provide professionals with tools necessary for deciding whether to rehabilitate or euthanize individual animals.</t>
  </si>
  <si>
    <t>Univ Wyoming, Dept Zool &amp; Physiol, Laramie, WY 82071 USA; Univ Alaska, Dept Biol &amp; Wildlife, Fairbanks, AK 99775 USA; Univ Alaska, Alaska Cooperat Fish &amp; Wildlife Res Unit, Fairbanks, AK 99775 USA; Univ Alaska, Inst Arctic Biol, Fairbanks, AK 99775 USA</t>
  </si>
  <si>
    <t>University of Wyoming; University of Alaska System; University of Alaska Fairbanks; University of Alaska System; University of Alaska Fairbanks; University of Alaska System; University of Alaska Fairbanks</t>
  </si>
  <si>
    <t>10.2307/3802954</t>
  </si>
  <si>
    <t>623MH</t>
  </si>
  <si>
    <t>WOS:000179706800029</t>
  </si>
  <si>
    <t>McDonald, RA; Harris, S</t>
  </si>
  <si>
    <t>gamekeepers; game management; Mustelidae; predator control; sex ratio</t>
  </si>
  <si>
    <t>NEW-ZEALAND; AGE-DETERMINATION; DIET; CONSERVATION; DEMOGRAPHY; PREDATORS; DISPERSAL; SURVIVAL; NUMBERS; FURO</t>
  </si>
  <si>
    <t>1. British gamekeepers commonly trap and shoot stoats and weasels in order to increase the abundance of game. We provide details of the population biology of 822 stoats and 458 weasels collected on 25 game estates and use simple population models to assess the effects of culling. 2. Seventy-one per cent of stoats and 94% of weasels were trapped, while 26% of stoats and 5% of weasels were shot. While trapped samples exhibited typically male-biased sex ratios, the sex ratio of shot stoats was even. Eight of 305 female stoats and six of 77 female weasels were visibly pregnant, with mean litters of 9.0 and 6.2 embryos, respectively. Median ages at death were 11.6. and 8.0 months for male and female stoats, respectively, and 9.3 and 9.2 months for male and female weasels. Male and female stoats, but not male and female weasels, had significantly different rates of survival. 3. Model weasel populations continued to increase (lambda = 1.35) despite culling as a result of high productivity when sufficient food was available. Model stoat populations declined slightly (lambda = 0.95), probably as a result of concerted culling effort when young stoats were dependent on maternal survival. This suggests that persistence of culled stoat populations may depend on immigration. 4. To reduce stoat populations without affecting the survival of dependent juveniles, culling effort could be focused on trapping females in late winter and shooting females in early spring, where landscape and climate permit. For control of weasel populations, trapping effort should be, and in practice often is, focused on late spring, following a period of high natural mortality. 5. High rates of immigration mean that culling by gamekeepers will not ordinarily lead to any long-term decline in actual stoat and weasel populations. We suggest that measures taken to enhance immigration will improve the long-term status of stoats and weasels in regions where their conservation is desirable, and whilst this persists the impact of culling will be short-lived and local.</t>
  </si>
  <si>
    <t>Univ Bristol, Sch Biol Sci, Bristol BS8 1UG, Avon, England</t>
  </si>
  <si>
    <t>McDonald, RA (corresponding author), Game Conservancy Trust, Barnard Castle, Durham DL12 0HA, England.</t>
  </si>
  <si>
    <t>rmcdonald@gct.org.uk</t>
  </si>
  <si>
    <t>; McDonald, Robbie/AAK-2718-2020</t>
  </si>
  <si>
    <t>10.1046/j.1365-2664.2002.00757.x</t>
  </si>
  <si>
    <t>601LB</t>
  </si>
  <si>
    <t>WOS:000178446500009</t>
  </si>
  <si>
    <t>Rotterman, LM; Monnett, C</t>
  </si>
  <si>
    <t>Enhydra lutris; sea otters; Prince William Sound; Alaska; T/V Exxon Valdez; oil spill; body condition; body mass; total body length</t>
  </si>
  <si>
    <t>ENHYDRA-LUTRIS; SHORELINE TREATMENTS; SUBTIDAL SEDIMENTS; INTERTIDAL BIOTA; MUSSEL BEDS; ALASKA; RECOVERY; THERMOREGULATION; CONTAMINATION; HYDROCARBONS</t>
  </si>
  <si>
    <t>After the 1989 T/V Exxon Valdez oil spill (EVOS), the body condition of non-pregnant female sea otters (Enhydra lutris) ages 4 yr and older in the EVOS-affected region of western Prince William Sound, Alaska (WPWS), was significantly poorer than that of individuals captured in the same or adjacent habitat in WPWS approximately a decade earlier, and than that of individuals inhabiting unoiled habitat in eastern PWS (EPWS) between 1984 and 1990. However, the body condition of females of this age category captured in WPWS prior to EVOS was not significantly different from that of pre- and postspill EPWS females. The mean total body length (TBL) of non-pregnant females captured prespill in WPWS was significantly less than that of pre- and postspill EPWS and postspill WPWS females. Evidence from this and other studies suggests that the body condition of at least some classes of sea otters was negatively affected by one or more EVOS-related factors.</t>
  </si>
  <si>
    <t>Enhydra Res, Anchorage, AK 99524 USA</t>
  </si>
  <si>
    <t>Rotterman, LM (corresponding author), Enhydra Res, POB 243884, Anchorage, AK 99524 USA.</t>
  </si>
  <si>
    <t>1041 NEW HAMPSHIRE ST, LAWRENCE, KS 66044 USA</t>
  </si>
  <si>
    <t>10.1111/j.1748-7692.2002.tb01086.x</t>
  </si>
  <si>
    <t>611CD</t>
  </si>
  <si>
    <t>WOS:000178998100013</t>
  </si>
  <si>
    <t>Bodkin, JL; Ballachey, BE; Dean, TA; Fukuyama, AK; Jewett, SC; McDonald, L; Monson, DH; O'Clair, CE; VanBlaricom, GR</t>
  </si>
  <si>
    <t>abundance; biomarker; Enhydra lutris; food; mortality; P450; reproduction; survival</t>
  </si>
  <si>
    <t>PRINCE-WILLIAM-SOUND; ENHYDRA-LUTRIS; MUSSEL BEDS; KODIAK ISLAND; RIVER OTTERS; MORTALITY; HYDROCARBONS; ALASKA; AGE; PERSISTENCE</t>
  </si>
  <si>
    <t>Sea otter Enhydra lutris populations were severely affected by the 1989 'Exxon Valdez' oil spill in western Prince William Sound, AK, and had not fully recovered by 2000. Here we present results of population surveys and incorporate findings from related studies to identify current population status and factors affecting recovery. Between 1993 and 2000, the number of sea otters in the spill-area of Prince William Sound increased by about 600 to nearly 2700. However, at Knight Island, where oil exposure and sea otter mortality in 1989 was most severe, no increase has been observed. Sea otter reproduction was not impaired, and the age and sex composition of captured otters are consistent with both intrinsic reproduction and immigration contributing to recovery. However, low resighting rates of marked otters at Knight Island compared to an unoiled reference area, and high proportions of young otters in beach cast carcasses through 1998, suggest that the lack of recovery was caused by relatively poor survival or emigration of potential recruits. Significantly higher levels of cytochrome P4501A (CYP1A), a biomarker of hydrocarbons, were found in sea otters at Knight Island from 1996 to 1998 compared to unoiled Montague Island, implicating oil effects in the lack of recovery at Knight Island. Delayed recovery does not appear to be directly related to food limitation. Although food availability was relatively low at both oiled and unoiled areas, we detected significant increases in sea otter abundance only at Montague Island, a finding inconsistent with food as a principal limiting factor. Persistent oil in habitats and prey provides a source of continued oil exposure and, combined with relatively low prey densities, suggests a potential interaction between oil and food. However, sea otters foraged more successfully at Knight Island and young females were in better condition than those at Montague Island. We conclude that progress toward recovery of sea otters in Prince William Sound is evident, but that in areas where initial oil effects were greatest, recovery may be constrained by residual spill effects, resulting from elevated mortality and emigration. It is evident that internal reproduction and immigration of juveniles has been the primary means of population recovery, as opposed to broad scale redistribution of adults from outside affected areas. The result is a recovery period protracted by long-term spill effects on survival and emigration and intrinsic limits to population growth.</t>
  </si>
  <si>
    <t>US Geol Survey, Alaska Sci Ctr, Anchorage, AK 99503 USA; Coastal Resources Associates, La Jolla, CA 92093 USA; Univ Washington, US Geol Survey, Washington Cooperat Fish &amp; Wildlife Res Unit, Sch Aquat &amp; Fishery Sci, Seattle, WA 98195 USA; Univ Alaska, Inst Marine Sci, Fairbanks, AK 99775 USA; Western Ecosyst Technol, Cheyenne, WY 82001 USA; Natl Marine Fisheries Serv, Auke Bay Lab, Juneau, AK 99801 USA</t>
  </si>
  <si>
    <t>Bodkin, JL (corresponding author), US Geol Survey, Alaska Sci Ctr, 1011 E Tudor Rd, Anchorage, AK 99503 USA.</t>
  </si>
  <si>
    <t>james_bodkin@usgs.gov</t>
  </si>
  <si>
    <t>McDonald, Lyman/IRZ-3520-2023; Monson, Daniel/N-4469-2013</t>
  </si>
  <si>
    <t>10.3354/meps241237</t>
  </si>
  <si>
    <t>WOS:000179145900022</t>
  </si>
  <si>
    <t>Ben-David, M; Kondratyuk, T; Woodin, BR; Snyder, PW; Stegeman, JJ</t>
  </si>
  <si>
    <t>BIOMARKERS</t>
  </si>
  <si>
    <t>Alaska; biomarkers; chronic exposure; CYP1A; dose-response; hydrocarbons; Lontra canadensis; mononuclear blood cells; mono-oxygenases; skin samples</t>
  </si>
  <si>
    <t>PRINCE-WILLIAM-SOUND; MESSENGER-RNA; ENVIRONMENTAL CONTAMINATION; LIVER; FISH; EXPOSURE; BIOMARKER; LOCALIZATION; HAPTOGLOBIN; METABOLISM</t>
  </si>
  <si>
    <t>Numerous studies have explored the relationships between exposure to a variety of environmental contaminants, such as polycyclic aromatic hydrocarbons, and induction of cytochrome P450 1A (CYP1A) in different vertebrates. Few controlled studies, however, simulated chronic long-term exposure with repeated non-lethal sampling of the same individuals, which should better represent repeated exposure incidents in animals inhabiting polluted areas. In this study, we investigated the effects of chronic exposure to crude oil on levels of CYP1A1 in endothelial cells of skin biopsies and peripheral mononuclear blood cells in captive river otters (Lontra canadensis) using repeated sampling of the same individuals. We hypothesized that ingestion of oil would result in an increase in levels of CYP1A1 in both targets, and predicted that the relationship between prolonged exposure and expression of CYP1A1 would reach a plateau indicative of continuous detoxification of hydrocarbons. Fifteen wild-caught male otters were acclimated to captivity, and then fed diets containing no oil (control) or diets containing weathered crude oil at 5 mg day(-1) kg(-1) body weight (low-dose) and 50 mg day(-1) kg(-1) body weight (high-dose), at the Alaska Sealife Center in Seward, Alaska, USA. Expression of CYP1A1 was assessed with immunohistochemical analysis of CYP1A1 protein in skin biopsies and by quantitative RT-PCR analysis of CYP1A1 mRNA in mononuclear blood cells. Both assays revealed a decrease between capture and the transfer to captivity, indicating that the enclosure at the Alaska Sealife Center, and the food we offered to the otters were free of potential inducers of CYP1A1. During the exposure period, increases in CYP1A1 expression were registered by both techniques, followed by a decline in CYP1A1 after oil administration ended. Levels of endothelial CYP1A1 in the high-dose group were comparable to those recorded for wild river otters in PWS in 1996 and 1997. Levels of CPY1A1 mRNA in mononuclear blood cells, however, were well below levels recorded for river otters in Prince William Sound, and no correlation was detected between values obtained from the two methods. Thus, our results from this longitudinal study with repeated sampling of the same individuals provide support for the use of cytochrome P450 1A1 as a biomarker for hydrocarbon exposure. Nonetheless, our results also suggest that the induction process of CYP1A1 may be complicated and interacting with other processes in vivo. Such interactions may obscure our ability to describe specific, quantitative, predictable, dose-response relationships between exposure to hydrocarbons and induction of CYP1A1, which are required of reliable biomarkers. Evaluations of such interactions based on theoretical physiological models in live-animals merit further investigation.</t>
  </si>
  <si>
    <t>Univ Alaska Fairbanks, Inst Arctic Biol, Fairbanks, AK 99775 USA; Purdue Univ, Dept Vet Pathol, W Lafayette, IN 47907 USA; Woods Hole Oceanog Inst, Dept Biol, Woods Hole, MA 02543 USA</t>
  </si>
  <si>
    <t>University of Alaska System; University of Alaska Fairbanks; Purdue University System; Purdue University; Woods Hole Oceanographic Institution</t>
  </si>
  <si>
    <t>Ben-David, M (corresponding author), Univ Wyoming, Dept Zool &amp; Physiol, POB 3166, Laramie, WY 82071 USA.</t>
  </si>
  <si>
    <t>Stegeman, John/0000-0001-8204-5357</t>
  </si>
  <si>
    <t>1354-750X</t>
  </si>
  <si>
    <t>1366-5804</t>
  </si>
  <si>
    <t>Biomarkers</t>
  </si>
  <si>
    <t>10.1080/13547500010014513</t>
  </si>
  <si>
    <t>Biotechnology &amp; Applied Microbiology; Toxicology</t>
  </si>
  <si>
    <t>443MG</t>
  </si>
  <si>
    <t>WOS:000169344500004</t>
  </si>
  <si>
    <t>Uryu, Y; Malm, O; Thornton, I; Payne, I; Cleary, D</t>
  </si>
  <si>
    <t>OTTER PTERONURA-BRASILIENSIS; ENVIRONMENTAL-IMPACT; NORTHWESTERN ONTARIO; 3 GENERATIONS; HUMAN HAIR; METHYLMERCURY; TOXICITY; POLLUTION; ACCUMULATION; EXPOSURE</t>
  </si>
  <si>
    <t>Since 1979 the gold rush in the Brazilian Amazon has caused serious environmental damage to one of the most complex ecosystems on Earth. Mainly due to the toxicity of mercury to humans, this problem has received wide public attention and prompted many studies. Although these studies have involved sampling of fish, the negative effect of mercury contamination to fish themselves and other wildlife has been largely ignored. To assess the present level of mercury contamination of fish, and its implication for fish and other animals, we collected and examined data on mercury concentration in fish of the Brazilian Amazon, especially for the Tapajos basin, between 1991 and 1996. We conclude that omnivores and piscivores that live nearer to gold mining areas in the Tapajos basin are already at high risk of mercury toxification, especially reproductive failure. Mercury concentrations in these fish are also high enough to have detrimental effects on animals at higher trophic levels. The same conclusion applies to other mercury-contaminated areas in the Brazilian Amazon. Because most Amazonian rivers or their tributaries have favorable conditions for mercury contamination, we can expect the problem to persist in the Amazon for a long time, and the consequences are likely to become more significant in the future. These conclusions have important implications for all tropical rainforests where gold mining operations have caused extensive mercury pollution.</t>
  </si>
  <si>
    <t>Univ London Imperial Coll Sci Technol &amp; Med, Royal Sch Mines, Ctr Environm Technol, Environm Geochem Res Grp, London SW7 2BP, England; UCL, Dept Biol, London WC1E 6BT, England; Univ Fed Rio de Janeiro, CCS, Ilha Fundao, Inst Biofis Carlos Chagas Filho,Lab Radioisotopes, BR-21949900 Rio De Janeiro, Brazil; UCL, Dept Biol, London WC1E 6BT, England; Univ London Imperial Coll Sci Technol &amp; Med, Marine Resources Assessment Grp, London SW7 1NA, England; Esperanza Fdn, Projeto Mercurio, BR-68040100 Santarem, Para, Brazil</t>
  </si>
  <si>
    <t>Imperial College London; University of London; University College London; Universidade Federal do Rio de Janeiro; University of London; University College London; Imperial College London</t>
  </si>
  <si>
    <t>Thornton, I (corresponding author), Univ London Imperial Coll Sci Technol &amp; Med, Royal Sch Mines, Ctr Environm Technol, Environm Geochem Res Grp, Prince Consort Rd, London SW7 2BP, England.</t>
  </si>
  <si>
    <t>i.thornton@ic.ac.uk</t>
  </si>
  <si>
    <t>Malm, Olaf/H-1724-2012</t>
  </si>
  <si>
    <t>Malm, Olaf/0000-0002-4116-7160</t>
  </si>
  <si>
    <t>10.1046/j.1523-1739.2001.015002438.x</t>
  </si>
  <si>
    <t>420MH</t>
  </si>
  <si>
    <t>WOS:000168008400019</t>
  </si>
  <si>
    <t>Traas, TP; Luttik, R; Klepper, O; Beurskens, JEM; Smit, MD; Leonards, PEG; van Hattum, AGM; Aldenberg, T</t>
  </si>
  <si>
    <t>polychlorinated biphenyls; bioaccumulation; otter; sediment quality criteria; model</t>
  </si>
  <si>
    <t>REDUCTIVE DECHLORINATION; PCB CONGENERS; ANAEROBIC MICROORGANISMS; AROCLOR 1242; FACTORS TEFS; MIXTURES; BIOACCUMULATION; ACCUMULATION; HYDROCARBONS; EXPOSURE</t>
  </si>
  <si>
    <t>A model for risk assessment was built for simultaneous, congener-specific PCB bioaccumulation from sediment to fish to otters (Lutra lutra). Toxic equivalence factors (TEFs) were used to sum individual congeners in otters to a toxic equivalent concentration (TEQ) relative to 2,3,7,8-tetrachlorodibenzo-p-dioxin. Microbial dechlorination and burial in sediments and bioaccumulation are modeled to predict time trends of PCB concentrations in otters. Effects of accumulated PCBs on otters were assessed for vitamin A metabolism and reproduction, taking model uncertainty into account. Three locations in The Netherlands were modeled with PCB levels in sediment of 1 to 171 pg TEQ/g organic carbon (OC). Almost 100% reduction in litter size was predicted for the most polluted area in 1996. Due to large associated uncertainty, a period of 25 to 80 years may be needed for recovery of otter vitamin A levels and litter size at this site. Calculated median sediment quality criteria (SQC)range between 1 and 12 pg TEQ/g OC, depending on the chosen effect criterion. Uncertainty in calculated effects and SQCs is substantial and is mainly caused by uncertainty in PCB congener 126 accumulation.</t>
  </si>
  <si>
    <t>Natl Inst Publ Hlth &amp; Environm, NL-3720 BA Bilthoven, Netherlands; Dutch Otterstn Fdn, NL-8926 XE Leeuwarden, Netherlands; Free Univ Amsterdam, Inst Environm Studies, NL-1007 MC Amsterdam, Netherlands</t>
  </si>
  <si>
    <t>Netherlands National Institute for Public Health &amp; the Environment; Vrije Universiteit Amsterdam</t>
  </si>
  <si>
    <t>Traas, TP (corresponding author), Natl Inst Publ Hlth &amp; Environm, POB 1, NL-3720 BA Bilthoven, Netherlands.</t>
  </si>
  <si>
    <t>tp.traas@rivm.nl</t>
  </si>
  <si>
    <t>Leonards, Pim/N-3040-2013; van Hattum, Bert/N-1706-2013</t>
  </si>
  <si>
    <t>Leonards, Pim/0000-0002-3052-8848;</t>
  </si>
  <si>
    <t>10.1002/etc.5620200124</t>
  </si>
  <si>
    <t>384HX</t>
  </si>
  <si>
    <t>WOS:000165937700024</t>
  </si>
  <si>
    <t>Mierle, G; Addison, EM; MacDonald, KS; Joachim, DG</t>
  </si>
  <si>
    <t>otters; mercury; tissue analysis; survivorship; Lutra canadensis</t>
  </si>
  <si>
    <t>LUTRA-LUTRA; MINK; INCREASE</t>
  </si>
  <si>
    <t>Concentrations of mercury in hair, brain, and liver tissues of river otter (Lutra canadensis) from several townships in Ontario, Canada, were determined. Levels of Hg in these tissues were highly intercorrelated but differed from tissue to tissue. The highest concentration was in hair, followed by liver and brain. The high correlation between Hg in hair and brain, as well as the ease and precision of Hg determinations on hair, demonstrate that Hg in hair holds considerable promise for monitoring the Hg in otters. Within the sampled otters, Hg varied with respect to age. The Hg concentrations increased over the first two to three years of age, remained stable over the next two to three years of age, and then declined in the remaining age-groups. Mean age of otters in townships with high-Hg concentrations was about half the mean age of otters in low-Hg townships. In areas where mercury levels are high, otters may have reduced survivorship because of Hg-induced stress on their health.</t>
  </si>
  <si>
    <t>Ontario Minist Environm, Dorset Environm Sci Ctr, Dorset, ON P0A 1E0, Canada; Ontario Minist Nat Resources, Peterborough, ON K9J 8N8, Canada</t>
  </si>
  <si>
    <t>Ministry of Natural Resources &amp; Forestry</t>
  </si>
  <si>
    <t>Mierle, G (corresponding author), Ontario Minist Environm, Dorset Environm Sci Ctr, POB 39, Dorset, ON P0A 1E0, Canada.</t>
  </si>
  <si>
    <t>mierlegr@ene.gov.on.ca</t>
  </si>
  <si>
    <t>10.1002/etc.5620191226</t>
  </si>
  <si>
    <t>389CU</t>
  </si>
  <si>
    <t>WOS:000166221700026</t>
  </si>
  <si>
    <t>Rathbun, GB; Hatfield, BB; Murphey, TG</t>
  </si>
  <si>
    <t>SOUTHWESTERN NATURALIST</t>
  </si>
  <si>
    <t>ENHYDRA-LUTRIS; TRANSMITTER</t>
  </si>
  <si>
    <t>US Fish &amp; Wildlife Serv, Piedras Blancas Res Stn, San Simeon, CA 93452 USA</t>
  </si>
  <si>
    <t>Rathbun, GB (corresponding author), Calif Acad Sci, Dept Ornithol &amp; Mammal, Golden Gate Pk, San Francisco, CA 94118 USA.</t>
  </si>
  <si>
    <t>SOUTHWESTERN ASSN NATURALISTS</t>
  </si>
  <si>
    <t>SAN MARCOS</t>
  </si>
  <si>
    <t>SOUTHWEST TEXAS STATE UNIV, DEPT BIOLOGY, 601 UNIVERSITY DR, SAN MARCOS, TX 78666 USA</t>
  </si>
  <si>
    <t>0038-4909</t>
  </si>
  <si>
    <t>SOUTHWEST NAT</t>
  </si>
  <si>
    <t>Southw. Natural.</t>
  </si>
  <si>
    <t>10.2307/3672835</t>
  </si>
  <si>
    <t>361WL</t>
  </si>
  <si>
    <t>WOS:000089747200010</t>
  </si>
  <si>
    <t>Vos, JG; Dybing, E; Greim, HA; Ladefoged, O; Lambré, C; Tarazona, JV; Brandt, I; Vethaak, AD</t>
  </si>
  <si>
    <t>CRITICAL REVIEWS IN TOXICOLOGY</t>
  </si>
  <si>
    <t>endocrine modulator; estrogenic effects; reproduction effects; immunotoxic effects; marine mammals; reptiles; fish; birds; invertebrates; chlorinated compounds; PCBs; PCDFs; PCDDs; DDT; TBT</t>
  </si>
  <si>
    <t>KRAFT PULP-MILL; BIVALVE SCROBICULARIA-PLANA; MINK MUSTELA-VISON; ASTERIAS-RUBENS L; POLYHALOGENATED AROMATIC-HYDROCARBONS; BETA-HEXACHLOROCYCLOHEXANE EXPOSURE; WHALES DELPHINAPTERUS-LEUCAS; EAGLES HALIAEETUS-ALBICILLA; METHYL SULFONE METABOLITES; TRIBUTYLTIN TBT POLLUTION</t>
  </si>
  <si>
    <t>Many wildlife species may be exposed to biologically active concentrations of endocrine-disrupting chemicals. There is strong evidence obtained from laboratory studies showing the potential of several environmental chemicals to cause endocrine disruption at environmentally realistic exposure levels. In wildlife populations, associations have been reported between reproductive and developmental effects and endocrine-disrupting chemicals. In the aquatic environment, effects have been observed in mammals, birds, reptiles, fish, and mollusks from Europe, North America, and other areas. The observed abnormalities vary from subtle changes to permanent alterations, including disturbed sex differentiation with feminized or masculinized sex organs, changed sexual behavior, and altered immune function. For most reported effects in wildlife, however, the evidence for a causal link with endocrine disruption is weak or nonexisting. Crucial in establishing causal evidence for chemical-induced wildlife effects appeared semifield or laboratory studies using the wildlife species of concern. Impaired reproduction and development causally linked to endocrine-disrupting chemicals are well documented in a number of species and have resulted in local or regional population changes. These include: Masculinization (imposex) in female marine snails by tributyltin, a biocide used in antifouling paints, is probably the dearest case of endocrine disruption caused by an environmental chemical. The dogwhelk is particularly sensitive, and imposer has resulted in decline or extinction of local populations worldwide, including coastal areas all over Europe and the open North Sea. DDE-induced egg-shell thinning in birds has caused severe population declines in a number of raptor species in Europe and North America. Endocrine-disrupting chemicals have adversely affected a variety of fish species. In the vicinity of certain sources (e.g., effluents of water treatment plants) and in the most contaminated areas is this exposure causally linked with the effects on reproductive organs that could have implications for fish populations. However, there is also a more widespread occurrence of endocrine disruption in fish in the U.K., where estrogenic effects have been demonstrated in freshwater systems, in estuaries, and in coastal areas. In mammals, the best evidence comes from the field studies on Baltic gray and ringed seals, and from the Dutch semifield studies on harbor seals, where both reproduction and immune functions have been impaired by PCBs in the food chain. Reproduction effects resulted in population declines, whereas impaired immune function has likely contributed to the mass mortalities due to morbillivirus infections. Distorted sex organ development and function in alligators has been related to a major pesticide spill Into a lake in Florida, U.S.A. The observed estrogenic/antiandrogenic effects in this reptile have been causally linked in experimental studies with alligator eggs to the DDT complex. Although most observed effects currently reported concern heavily polluted areas, endocrine disruption is a potential global problem. This is exemplified by the widespread occurrence of imposer in marine snails and the recent findings of high levels of persistent potential endocrine-disrupting chemicals in several marine mammalian species inhabiting oceanic waters.</t>
  </si>
  <si>
    <t>Natl Inst Publ Hlth &amp; Environm, NL-3720 BA Bilthoven, Netherlands; Natl Inst Publ Hlth, Oslo, Norway; GSF, Natl Res Ctr Environm &amp; Hlth, Inst Toxicol, Neuherberg, Germany; Danish Vet &amp; Food Adm, Copenhagen, Denmark; Inst Natl Environm Ind &amp; Risques, Verneuil En Halatte, France; Inst Nacl Invest Agrarias &amp; Alimentarias, Div Environm Toxicol, Madrid, Spain; Uppsala Univ, Dept Environm Toxicol, Uppsala, Sweden; Natl Inst Coastal &amp; Marine Management, Middelburg, Netherlands</t>
  </si>
  <si>
    <t>Netherlands National Institute for Public Health &amp; the Environment; Helmholtz Association; Helmholtz-Center Munich - German Research Center for Environmental Health; Institut National de l'Environnement Industriel et des Risques (INERIS); Uppsala University</t>
  </si>
  <si>
    <t>Vos, JG (corresponding author), Natl Inst Publ Hlth &amp; Environm, POB 1, NL-3720 BA Bilthoven, Netherlands.</t>
  </si>
  <si>
    <t>Tarazona, Jose/ABI-1195-2020; Vethaak, Andre/N-6562-2013</t>
  </si>
  <si>
    <t>Tarazona, Jose/0000-0003-4920-3055; Brandt, Ingvar/0000-0002-5386-2400;</t>
  </si>
  <si>
    <t>1040-8444</t>
  </si>
  <si>
    <t>1547-6898</t>
  </si>
  <si>
    <t>CRIT REV TOXICOL</t>
  </si>
  <si>
    <t>Crit. Rev. Toxicol.</t>
  </si>
  <si>
    <t>10.1080/10408440091159176</t>
  </si>
  <si>
    <t>Toxicology</t>
  </si>
  <si>
    <t>291ME</t>
  </si>
  <si>
    <t>WOS:000085738100002</t>
  </si>
  <si>
    <t>Fox, A</t>
  </si>
  <si>
    <t>JOURNAL OF THE CHARTERED INSTITUTION OF WATER AND ENVIRONMENTAL MANAGEMENT</t>
  </si>
  <si>
    <t>conservation; habitat; enhancement; Northumberland; otter population</t>
  </si>
  <si>
    <t>Riparian habitat enhancement, or 'haven' creation, is considered to be the best way to facilitate the return of the UK's otter population to its former status. Using map and statistical analysis, results of Northumberland county otter surveys and the habitat improvements implemented by the North Northumberland Otter Project are examined and relationships between the two are identified. A statistically significant increase in the incidence of positive survey sites was identified between 1991 and 1995, and this increase was statistically related spatially to the creation of otter havens.</t>
  </si>
  <si>
    <t>Worchestershire Wildlife Trust, Worcester, England</t>
  </si>
  <si>
    <t>Fox, A (corresponding author), Worchestershire Wildlife Trust, Worcester, England.</t>
  </si>
  <si>
    <t>CHARTERED INST WATER ENVIRONMENTAL MANAGEMENT</t>
  </si>
  <si>
    <t>15 JOHN ST, LONDON, ENGLAND WC1N 2EB</t>
  </si>
  <si>
    <t>0951-7359</t>
  </si>
  <si>
    <t>J CHART INST WATER E</t>
  </si>
  <si>
    <t>J. Chart. Inst. Water. Environ. Manage.</t>
  </si>
  <si>
    <t>Environmental Sciences; Limnology; Water Resources</t>
  </si>
  <si>
    <t>196XX</t>
  </si>
  <si>
    <t>WOS:000080336000001</t>
  </si>
  <si>
    <t>Leonards, PEG; Broekhuizen, S; de Voogt, P; Van Straalen, NM; Brinkman, UAT; Cofino, WP; van Hattum, B</t>
  </si>
  <si>
    <t>POLYCHLORINATED-BIPHENYLS PCBS; SEALS PHOCA-VITULINA; COMPARATIVE TOXICOLOGY; DIOXIN EQUIVALENTS; GREAT-LAKES; MINK; REPRODUCTION; FRACTIONS; INDUCTION; LIVER</t>
  </si>
  <si>
    <t>Bioaccumulation of non-, mono-, and di-ortho-substituted chlorobiphenyls (CBs) was investigated in four species of mustelids (weasel, stoat, polecat, and otter) and their preys, from a restricted area in the northern part of The Netherlands. Diets of these mustelids ranged from terrestrial (weasel, stoat, and polecat) to aquatic (otter). Diet-specific biomagnification factors (BMFs), CB in diet relative to CB in mustelids, were calculated for the sum of 28 congeners (Sigma CB), for the sum of the toxic equivalent concentration (Sigma TEQ) and on an individual congener basis. Biotransformation was studied in relation to structural CB properties (vicinal H-atom substitution). In addition, the methylsulphonyl CB-metabolites were determined. The concentration of CCB on lipid weight basis increased in the order weasel &lt; stoat &lt; polecat &lt; otter. On the basis of Sigma TEQ, the order changed to weasel &lt; polecat &lt; stoat &lt; otter. Most of the differences in BMFs between the CBs could be explained by the vicinal H-atom structure-activity rules. For all mustelids, the lowest BMFs were found for congeners with vicinal H-atoms in the meta, para position. Indications were found that all mustelid species can metabolize these congeners. For some of the CBs, their methylsulphonyl-CB metabolites were determined and found to be present in concentrations up to 350-fold higher than those of the parent compounds. In addition, the non-ortho CBs 126 and 169 are selectively retained in the liver of weasel, stoat, and otter. These CBs had the highest BMFs of all congeners. However, rather surprisingly, in polecat the highest BMFs were found for di-ortho-substituted CBs. This animal was able to metabolize all congeners with vicinal H-atoms in the ortho and meta position (non- and mono-ortho CBs). The information concerning the differences in bioaccumulation of CBs for closely related mustelid species increased the understanding of reported differences in PCB toxicity between mink and ferrets, and suggest that weasel, stoat, and otter are at least as sensitive to CBs as are mink, while polecats are less sensitive. As otter is exposed to much higher concentrations of CBs trough their diet than weasel and stoat, the toxic threat of CBs will be the greatest for this animal.</t>
  </si>
  <si>
    <t>Vrije Univ Amsterdam, Dept Analyt Chem, NL-1083 HV Amsterdam, Netherlands; Vrije Univ Amsterdam, Inst Environm Studies, NL-1081 HV Amsterdam, Netherlands; DLO, IBN, Inst Forestry &amp; Nat Res, NL-6700 AA Wageningen, Netherlands; Univ Amsterdam, Dept Environm &amp; Toxicol Chem, NL-1018 WV Amsterdam, Netherlands; Vrije Univ Amsterdam, Dept Ecol &amp; Ecotoxicol, NL-1081 HV Amsterdam, Netherlands</t>
  </si>
  <si>
    <t>Vrije Universiteit Amsterdam; Vrije Universiteit Amsterdam; University of Amsterdam; Vrije Universiteit Amsterdam</t>
  </si>
  <si>
    <t>Leonards, PEG (corresponding author), Vrije Univ Amsterdam, Dept Analyt Chem, Boelelaan 1083, NL-1083 HV Amsterdam, Netherlands.</t>
  </si>
  <si>
    <t>de Voogt, Pim/C-5683-2017; Leonards, Pim/N-3040-2013; van Hattum, Bert/N-1706-2013</t>
  </si>
  <si>
    <t>de Voogt, Pim/0000-0001-9065-9797; Leonards, Pim/0000-0002-3052-8848; van Straalen, Nico M/0000-0003-4219-7297; Cofino, Wim/0000-0002-4567-0636;</t>
  </si>
  <si>
    <t>SPRINGER VERLAG</t>
  </si>
  <si>
    <t>175 FIFTH AVE, NEW YORK, NY 10010 USA</t>
  </si>
  <si>
    <t>10.1007/s002449900428</t>
  </si>
  <si>
    <t>133ZA</t>
  </si>
  <si>
    <t>WOS:000076716400014</t>
  </si>
  <si>
    <t>Murk, AJ; Leonards, PEG; van Hattum, B; Luit, R; van der Weiden, MEJ; Smit, M</t>
  </si>
  <si>
    <t>ENVIRONMENTAL TOXICOLOGY AND PHARMACOLOGY</t>
  </si>
  <si>
    <t>vitamin A; thyroid hormone; blood; CALUX assay; PCB (polychlorinated biphenyl); TEQs (TCDD-equivalents)</t>
  </si>
  <si>
    <t>TOXIC EQUIVALENCY FACTORS; VITAMIN-A; THYROID-HORMONE; POLYCHLORINATED-BIPHENYLS; RETINOID LEVELS; FACTORS TEFS; THYROXINE; PCBS; RATS; TRANSTHYRETIN</t>
  </si>
  <si>
    <t>In the serious decline of European otters (Lutra lutra) over the last decades, polychlorinated biphenyls (PCBs) are considered to be one of the major factors. As no experiments can be conducted with otters, an eco-epidemiological study was performed to derive no observed effect concentrations (NOECs) for PCBs in the otter. A strong negative correlation was found between hepatic vitamin A and polychlorinated biphenyl (PCB) concentrations expressed as TCDD-equivalents (TEQs), coinciding with a higher incidence of infectious diseases. The no-effect concentration for vitamin A reduction was 2 ng TEQ/g lipid, 10-fold reduction was already found in animals with 5 ng TEQ/g lipid. The TEQ-levels measured with a reporter gene assay based on chemical-activated luciferase expression (the CALUX assay) correlated well with the TEQ levels calculated based on non- and mono-ortho PCB concentrations. The TEQ levels in blood and liver correlated well when expressed on a lipid basis. In living captive otters blood plasma TEQ levels (either measured based on gas chromatography (GC) or CALUX measurement) were lower than in the feral otters, and positively correlated with plasma total and free thyroid hormone but not with plasma retinol levels. Hepatic vitamin A concentration was found to be a physiologically relevant effect parameter. The NOEC for hepatic vitamin A reduction was translated into TEQ levels in fish and sediment. The CALUX response in 50-500 mu l blood plasma proved to be a sensitive non-destructive biomarker for quantification of internal TEQ levels. (C) 1998 Elsevier Science B.V. All rights reserved.</t>
  </si>
  <si>
    <t>Wageningen Univ Agr, Div Toxicol, NL-6703 HE Wageningen, Netherlands; Free Univ Amsterdam, Inst Environm Studies, NL-1081 HV Amsterdam, Netherlands; Minist Housing Spatial Planning &amp; Environm, Directorate Chem External Safety &amp; Radiat Protect, VROM DGM SVS, NL-2500 GX The Hague, Netherlands; Dutch Otterstn Fdn, NL-8926 XE Leeuwarden, Netherlands</t>
  </si>
  <si>
    <t>Wageningen University &amp; Research; Vrije Universiteit Amsterdam</t>
  </si>
  <si>
    <t>Murk, AJ (corresponding author), Wageningen Univ Agr, Div Toxicol, Tuinlaan 5, NL-6703 HE Wageningen, Netherlands.</t>
  </si>
  <si>
    <t>Tinka.Murk@Algemeen.Tox.WAU.NL</t>
  </si>
  <si>
    <t>Leonards, Pim/N-3040-2013; Murk, Albertinka/IUQ-2514-2023; van Hattum, Bert/N-1706-2013</t>
  </si>
  <si>
    <t>Leonards, Pim/0000-0002-3052-8848; Murk, Albertinka/0000-0002-4881-4236;</t>
  </si>
  <si>
    <t>1382-6689</t>
  </si>
  <si>
    <t>1872-7077</t>
  </si>
  <si>
    <t>ENVIRON TOXICOL PHAR</t>
  </si>
  <si>
    <t>Environ. Toxicol. Pharmacol.</t>
  </si>
  <si>
    <t>10.1016/S1382-6689(98)00026-X</t>
  </si>
  <si>
    <t>Environmental Sciences; Pharmacology &amp; Pharmacy; Toxicology</t>
  </si>
  <si>
    <t>Environmental Sciences &amp; Ecology; Pharmacology &amp; Pharmacy; Toxicology</t>
  </si>
  <si>
    <t>131ZQ</t>
  </si>
  <si>
    <t>WOS:000076605500003</t>
  </si>
  <si>
    <t>Birks, JDS</t>
  </si>
  <si>
    <t>polecat; Mustela putorius; farmyard; second-generation rodenticides; secondary poisoning</t>
  </si>
  <si>
    <t>RADIO-TRACKING DATA; BIOLOGY; BRITAIN</t>
  </si>
  <si>
    <t>The polecat Mustela putorius is a carnivore of unfavourable conservation status in Europe. It is believed to be vulnerable to accidental secondary rodenticide poisoning through the consumption of farmyard rodents. To confirm the mechanism of exposure, radio-tracking was used to examine the species' use of agricultural premises during winter when rodenticides are mainly applied to control commensal rodents. Ten out of 11 polecats radio-tracked made some use of such premises, and compositional analysis indicated that these were the most preferred of all habitats utilised. Foraging for farmyard rodents (which comprised 65% of the diet of farmyard-using polecats in this study), rather than a response to cold weather, is believed to explain this behaviour. 45.4% of animals made heavy use of farmyards, and were thus vulnerable to secondary poisoning through ingestion of rodents contaminated with rodenticides. Current government monitoring does not reveal the true level of contamination because severely affected animals tend to die out of sight in farm buildings. Since polecats are commonly killed by motor vehicles, screening of liver tissue from winter/spring road casualty polecats is recommended as a means of monitoring background levels of rodenticides. (C) 1998 Elsevier Science Ltd. All rights reserved.</t>
  </si>
  <si>
    <t>Vincent Wildlife Trust, London EC3R 8DT, England</t>
  </si>
  <si>
    <t>Birks, JDS (corresponding author), Vincent Wildlife Trust, 10 Lovat Lane, London EC3R 8DT, England.</t>
  </si>
  <si>
    <t>10.1016/S0006-3207(97)00175-4</t>
  </si>
  <si>
    <t>110XT</t>
  </si>
  <si>
    <t>WOS:000075407400003</t>
  </si>
  <si>
    <t>Gutleb, AC; Kranz, A</t>
  </si>
  <si>
    <t>Lutra lutra; otter; PCB; polychlorinated biphenyls</t>
  </si>
  <si>
    <t>ORGANOCHLORINE PESTICIDE-RESIDUES; IMPACT; POPULATIONS; SCOTLAND; ENGLAND</t>
  </si>
  <si>
    <t>The decline of the European otter (Lutra lutra) seems to be related to environmental contamination especially with polychlorinated biphenyls (PCBs). Only a limited number of tissue samples from otters killed accidently as traffic victims or drowned in fishnets are available for residue analysis. Calculating the levels of PCBs in otter tissues from concentrations in fish and seats would be a very valuable tool to estimate potential risks for this endangered species. PCB levels measured in otter livers, seats and fish from a Middle European otter population were used to examine the suitability of mathematical models for calculating PCB concentrations in otter liver from fish concentrations and from seat levels. Our results suggest that the models and input parameters currently used to calculate PCB concentrations in otters to estimate risks do not predict mean concentrations in otter livers in our Middle European study area, giving lower concentrations than actually analysed in the tissues. Possible causes for the observed discrepancy between measured and calculated values are discussed.</t>
  </si>
  <si>
    <t>Univ Vet Med, Inst Med Chem, A-1210 Vienna, Austria; Agr Univ Vienna, Inst Wildlife Biol &amp; Game Management, A-1190 Vienna, Austria</t>
  </si>
  <si>
    <t>University of Veterinary Medicine Vienna; BOKU University</t>
  </si>
  <si>
    <t>Gutleb, AC (corresponding author), Univ Vet Med, Inst Med Chem, Josef Baumann Gasse 1, A-1210 Vienna, Austria.</t>
  </si>
  <si>
    <t>SPUIBOULEVARD 50, PO BOX 17, 3300 AA DORDRECHT, NETHERLANDS</t>
  </si>
  <si>
    <t>10.1023/A:1005016914051</t>
  </si>
  <si>
    <t>117XB</t>
  </si>
  <si>
    <t>WOS:000075807000017</t>
  </si>
  <si>
    <t>Mason, CF</t>
  </si>
  <si>
    <t>A decline in total PCB levels in tissues of otters (Lutra lutra) from England and Wales, averaging 8% per year over the period 1983-1992, is reported. Mean PCB levels are now unlikely to pose a threat to otter populations. (C) 1998 Elsevier Science Ltd.</t>
  </si>
  <si>
    <t>10.1016/S0045-6535(97)10081-9</t>
  </si>
  <si>
    <t>ZB462</t>
  </si>
  <si>
    <t>WOS:000072474400006</t>
  </si>
  <si>
    <t>McDonald, RA; Harris, S; Turnbull, G; Brown, P; Fletcher, M</t>
  </si>
  <si>
    <t>pesticide; ecotoxicology; secondary poisoning; pest control; conservation</t>
  </si>
  <si>
    <t>SEXUAL DIMORPHISM; AGE-DETERMINATION; NEW-ZEALAND; BODY-SIZE; RESISTANCE; POPULATION; CARNIVORA; RESIDUES; WARFARIN; RATS</t>
  </si>
  <si>
    <t>Concentrations of six anticoagulant rodenticides were examined in the livers of stoats Mustela erminea L. and weasels Mustela nivalis L. trapped or shot by gamekeepers between August 1996 and March 1997. Residues of rodenticides were detected in nine out of 40 stoats (23%) and three out of ten weasels (30%) from live out of eight estates in central and eastern England. Bromadiolone (0.04-0.38 mg kg(-1) wet wt) was detected in three stoats and one weasel, coumatetralyl (0.0085-0.06 mg kg(-1)) in six stoats and three weasels and brodifacoum (0.12 mg kg(-1)) in one stoat. One stoat and one weasel contained combinations of two rodenticides. Exposure to rodenticides was more prevalent in female stoats than in males. Rodenticides were widely used away from buildings on the sampled estates and so mustelids need not forage around buildings to be exposed. We conclude that stoats and weasels are secondarily exposed to rodenticides mainly by eating non-target species. (C) 1998 Elsevier Science Ltd. All rights reserved.</t>
  </si>
  <si>
    <t>Univ Bristol, Sch Biol Sci, Bristol BS8 1UG, Avon, England; Cent Sci Lab, Wildlife Incident Unit, York YO41 1LZ, N Yorkshire, England</t>
  </si>
  <si>
    <t>University of Bristol; Food &amp; Environment Research Agency</t>
  </si>
  <si>
    <t>McDonald, RA (corresponding author), Univ Bristol, Sch Biol Sci, Woodland Rd, Bristol BS8 1UG, Avon, England.</t>
  </si>
  <si>
    <t>McDonald, Robbie/AAK-2718-2020</t>
  </si>
  <si>
    <t>McDonald, Robbie/0000-0002-6922-3195</t>
  </si>
  <si>
    <t>10.1016/S0269-7491(98)00141-9</t>
  </si>
  <si>
    <t>145XD</t>
  </si>
  <si>
    <t>WOS:000077396900003</t>
  </si>
  <si>
    <t>Leonards, PEG; Zierikzee, Y; Brinkman, UAT; Cofino, WP; vanStraalen, NM; vanHattum, B</t>
  </si>
  <si>
    <t>Symposium on Wildlife Ecotoxicology, at the 1995 SETAC-Europe Meeting</t>
  </si>
  <si>
    <t>JUN 25-28, 1995</t>
  </si>
  <si>
    <t>COPENHAGEN, DENMARK</t>
  </si>
  <si>
    <t>Soc Environm Toxicol &amp; Chem</t>
  </si>
  <si>
    <t>polychlorinated biphenyls; mustelids; bioaccumulation; planar PCBs; food web transfer</t>
  </si>
  <si>
    <t>PCB CONGENERS; ORGANOCHLORINE COMPOUNDS; TOXIC EQUIVALENCY; MINK; REPRODUCTION; METABOLITES; 3,3',4,4'-TETRACHLOROBIPHENYL; BIOACCUMULATION; DIBENZOFURANS; TRANSTHYRETIN</t>
  </si>
  <si>
    <t>The decline of the populations of otters in Western Europe is assumed to be related to the accumulation of polychlorinated biphenyls (PCBs) in this species. A study was conducted to investigate the trophic transfer of non-ortho, mono-ortho-, and di-ortho-substituted PCBs in the food web of the otter (Lutra lutra) in the Oude Venen lake system in the Netherlands, with relatively low PCB contamination. This area was one of the last strongholds of otters In the Netherlands and the species is considered to be virtually extinct since 1988. A marked increase in concentration of chlorinated biphenyls (CBs) was observed with successive trophic levels of the aquatic food web. Mean concentrations of the sum of 28 CB congeners (Sigma CB) increased from 142 ng CB/g (organic carbon basis) in sediment and particulate matter to 588 ng CB/g (lipid weight basis) in invertebrates, to 2,450 ng CB/g (lipid weight) in fish, and 70,940 ng CB/g (lipid weight)in otter. A diet-specific biomagnification factor (BMF) of 14 was calculated from fish to otter based on Sigma CB; however, on the basis of toxic equivalent concentrations (Sigma TEQ), a BMF of 41 was found. This higher BMF on TEQ basis was mainly due to the enrichment of non-ortho-substituted CB 126 in otter, compared to fish. In fish CB 126 contributed 30 to 50% to Sigma TEQ, while this congener contributed 60 to 80% in otters. A shift in the CB patterns was Found from relatively high concentrations of lowly chlorinated CBs in the abiotic compartments to the higher chlorinated CBs (five to seven chlorine atoms) at the highest trophic level. The relatively low concentrations of CB 77 and CBs with vicinal H-atoms at the meta-para position in otter compared to fish indicates that otters can metabolize these CBs and have P4501A-like and P4502B-like enzyme systems. It appears that even in an ecosystem with relatively low CB contamination, concentrations of CBs can be relatively high in aquatic top predators. The non-ortho-substituted CBs seem to be the most important toxic threat for otters, firstly because of the relatively high BMFs of CB 126 and CB 169 and secondly because of the formation of metabolites of CB 77.</t>
  </si>
  <si>
    <t>FREE UNIV AMSTERDAM, INST ENVIRONM STUDIES, NL-1081 HV AMSTERDAM, NETHERLANDS; FREE UNIV AMSTERDAM, DEPT ECOL &amp; ECOTOXICOL, NL-1081 HV AMSTERDAM, NETHERLANDS</t>
  </si>
  <si>
    <t>Vrije Universiteit Amsterdam; Vrije Universiteit Amsterdam</t>
  </si>
  <si>
    <t>Leonards, PEG (corresponding author), FREE UNIV AMSTERDAM, DEPT ANALYT CHEM, DE BOELELAAN 1083, NL-1081 HV AMSTERDAM, NETHERLANDS.</t>
  </si>
  <si>
    <t>van Hattum, Bert/N-1706-2013; Leonards, Pim/N-3040-2013</t>
  </si>
  <si>
    <t>Leonards, Pim/0000-0002-3052-8848; Cofino, Wim/0000-0002-4567-0636; van Straalen, Nico M/0000-0003-4219-7297</t>
  </si>
  <si>
    <t>10.1002/etc.5620160907</t>
  </si>
  <si>
    <t>XT305</t>
  </si>
  <si>
    <t>WOS:A1997XT30500007</t>
  </si>
  <si>
    <t>Garshelis, DL</t>
  </si>
  <si>
    <t>PRINCE-WILLIAM-SOUND; ENVIRONMENTAL IMPACTS; SCIENTIFIC METHOD; CONSERVATION; LESSONS; ALASKA; CALIFORNIA; SCIENCE; SIZE</t>
  </si>
  <si>
    <t>Large numbers of sea otters (Enhydra lutris) dies following the 1989 Exxon Valdez oil spill. Two previous studies estimated spill-related mortality, one from the difference between counts of otters before and after the spill, and the other from the recovery rate of tagged carcasses that had been released at sea. I used a derivative of the second approach, but revised it to account for (1) moribund offers that had hauled out on shore; (2) carcasses that were collect at sea; and (3) differences in search effort in different areas of the spill-considerations that were not addressed previously. The mortality estimation procedure presented here, and applied to Prince William Sound, Alaska, had six input parameters, two with fixed values (the number of spill-related carcasses collected [391] and the number of otters taken alive that died in captivity [84]) and four that were assigned a range of values (the recovery rate for carcasses on the beach [60-90%], the proportion of recovered carcasses that were onshore [70-95%]), the proportion of offshore deaths recovered onshore (20-50%), and the proportion of moribund otters that hauled out (20-60%). Empirical estimates for these parameters were not available after the spill, but a range of plausible values for each was delimited using other available data. Randomly-selected combinations of values within these ranges produce mortality estimates for the sound ((x) over bar = 750, 5-95% quantiles approximate to 600-1000) that were lower than indicated by previous studies. These lower estimates do not diminish the tragic nature of the mortality, but instead highlight the significance of both the process and informational basis in producing estimates of catastrophic loss. Estimates of loss based on faulty or inadequate data may mislead investigations of population recovery and may jeopardize public trust in scientific assessments of future catastrophes.</t>
  </si>
  <si>
    <t>Garshelis, DL (corresponding author), MINNESOTA DEPT NAT RESOURCES, 1201 E HIGHWAY 2, GRAND RAPIDS, MN 55744 USA.</t>
  </si>
  <si>
    <t>10.1046/j.1523-1739.1997.96062.x</t>
  </si>
  <si>
    <t>XR571</t>
  </si>
  <si>
    <t>WOS:A1997XR57100014</t>
  </si>
  <si>
    <t>Sjoasen, T; Ozolins, J; Greyerz, E; Olsson, M</t>
  </si>
  <si>
    <t>MINK MUSTELA-VISON; REPRODUCTION</t>
  </si>
  <si>
    <t>Since the 1950s some European otter populations have declined dramatically. There are however significant differences in the otter population density between different areas. Many suggestions have been presented to explain the population decline and the effects of PCB is one of these. The aim of this study was to compare the concentrations of PCB and sDDT in otter, fish and amphibians from Latvia with Swedish data and available information from the literature. Samples from two areas in Latvia and one area in Sweden were analyzed. It was shown that the concentrations of PCB in otter, fish and amphibians from Latvia were lower than reported concentrations in otter and fish from other areas in Europe. In the light of the high density otter population in Latvia and low concentrations of PCB in Latvian biota, this study supports the hypothesis that the effects of PCB constitutes one of the most important agents in explaining the decline of otter populations in Europe.</t>
  </si>
  <si>
    <t>STATE INST FOREST INVENTORY,LV-1046 RIGA,LATVIA; LATVIAN STATE UNIV,DEPT ZOOL,LV-1063 RIGA,LATVIA; SWEDISH MUSEUM NAT HIST,CONTAMINANT RES GRP,SPECIAL ANALYT LAB,S-10405 STOCKHOLM,SWEDEN</t>
  </si>
  <si>
    <t>University of Latvia; Swedish Museum of Natural History</t>
  </si>
  <si>
    <t>Sjoasen, T (corresponding author), UNIV STOCKHOLM,DEPT ZOOL,S-10691 STOCKHOLM,SWEDEN.</t>
  </si>
  <si>
    <t>ROYAL SWEDISH ACAD SCIENCES</t>
  </si>
  <si>
    <t>STOCKHOLM</t>
  </si>
  <si>
    <t>PUBL DEPT BOX 50005, S-104 05 STOCKHOLM, SWEDEN</t>
  </si>
  <si>
    <t>XN841</t>
  </si>
  <si>
    <t>WOS:A1997XN84100002</t>
  </si>
  <si>
    <t>Moore, DRJ; Breton, RL; Lloyd, K</t>
  </si>
  <si>
    <t>hexachlorobenzene; probabilistic risk assessment; ecological risk assessment; mink; Monte Carlo</t>
  </si>
  <si>
    <t>POLYCHLORINATED BIPHENYL CONGENERS; EUROPEAN FERRETS; NIAGARA RIVER; LAKE-ONTARIO; ST-CLAIR; CHLORINATED HYDROCARBONS; ORGANIC CONTAMINANTS; EXPOSURE; WATER; SEDIMENTS</t>
  </si>
  <si>
    <t>Hexachlorobenzene (HCB) is a persistent substance that accumulates in tissues and biomagnifies up the food chain suggesting that biota at higher trophic levels (e.g., predatory birds and piscivorous mammals) are at the greatest risk of exposure. Although widespread, the highest levels of HCB in Canada are found in the Great Lakes and connecting channels. Because mink (Mustela vison) are piscivorous mammals known to be particularly sensitive to the effects of organochlorine substances, we assessed whether mink populations in the Great Lakes area are experiencing adverse effects as a result of exposure to HCB. A deterministic, deliberately hyperconservative analysis indicated that recent levels of HCB in air, water, and aquatic organisms are unlikely to pose a significant risk to mink living near Lakes St. Clair, Erie and Superior. The hazard quotients for the St. Clair River area near Sarnia and Lake Ontario, however, indicated potential risks. We conducted Monte Carlo simulations to estimate the probability that mink exposed to HCB in these areas are experiencing reproductive impairment. The results of these analyses indicate: (1) a moderate to high probability that mink in the St. Clair River area are experiencing 5 to 20% declines in reproductive success due to HCB exposure, and (2) a low probability (&lt;15%) that mink near Lake Ontario are experiencing even modest declines in reproductive fecundity (&gt;5%).</t>
  </si>
  <si>
    <t>ENVIRONM CANADA, COMMERCIAL CHEM EVALUAT BRANCH, HULL, PQ K1A OH3, CANADA</t>
  </si>
  <si>
    <t>Environment &amp; Climate Change Canada</t>
  </si>
  <si>
    <t>Moore, DRJ (corresponding author), CADMUS GRP, 411 ROOSEVELT AVE, SUITE 204, OTTAWA, ON K2A 3X9, CANADA.</t>
  </si>
  <si>
    <t>10.1002/etc.5620160526</t>
  </si>
  <si>
    <t>WX065</t>
  </si>
  <si>
    <t>WOS:A1997WX06500026</t>
  </si>
  <si>
    <t>Ralls, K; Demaster, DP; Estes, JA</t>
  </si>
  <si>
    <t>POPULATION VIABILITY ANALYSIS; VALDEZ OIL-SPILL; EXXON-VALDEZ; RECOVERY PLANS; CONSERVATION</t>
  </si>
  <si>
    <t>Recent surveys of recovery plans indicate that criteria, such as population sizes, for delisting species from the U.S. Endangered Species Act (ESA) are often unrealistically low by scientific standards. We describe the delisting criterion for the threatened southern sea otter (Enhydra lutris nereis) developed by the Southern Sea Otter Recovery Team. A major oil spill is the most serious threat to this sea otter population. After extensive modeling of oil spills, the recovery team concluded that it was not scientifically defensible to develop a delisting criterion in terms of a single probability of extinction over a specified time period. Instead, the team decided to define a size at which it would consider the population endangered and to consider the population threatened as long as a major oil spill might reduce it to that size. The effective population size (N-e) for endangered status was set at 500, estimated to be about 1850 otters. Using a spill the size of the Exxon Valdez spill (250,000 bbl), the oil spill model was iterated to generate a frequency distribution of the number of sea otters contacted by oil, from which the team estimated that less than 800 otters would be killed by 90% of the simulated spills. Thus, the delisting criterion was set at 1850 + 800 = 2650 individuals. There have been several proposals to improve the Endangered Species Act by providing quantitative guidance, in the form of specific probabilities of extinction within some time frame or specific criteria like those used by the Wordl Conservation Union as to the levels of extinction risk represented by the terms ''threatened'' and ''endangered''. Experiences of the Sea Otter Recovery Team indicate that guidelines should not be overly rigid and should allow flexibility for dealing with specific situations. The most important consideration is to appoint a recovery team that is both technically well qualified and unconstrained by pressures from management agencies.</t>
  </si>
  <si>
    <t>NATL MARINE MAMMAL LAB,SEATTLE,WA 98115; UNIV CALIF SANTA CRUZ,INST MARINE SCI,NATL BIOL SERV,SANTA CRUZ,CA 95064</t>
  </si>
  <si>
    <t>National Oceanic Atmospheric Admin (NOAA) - USA; University of California System; University of California Santa Cruz</t>
  </si>
  <si>
    <t>Ralls, K (corresponding author), SMITHSONIAN INST,NATL ZOOL PK,WASHINGTON,DC 20008, USA.</t>
  </si>
  <si>
    <t>350 MAIN ST, MALDEN, MA 02148</t>
  </si>
  <si>
    <t>10.1046/j.1523-1739.1996.10061528.x</t>
  </si>
  <si>
    <t>VY245</t>
  </si>
  <si>
    <t>WOS:A1996VY24500007</t>
  </si>
  <si>
    <t>Halbrook, RS; Woolf, A; Hubert, GF; Ross, S; Braselton, WE</t>
  </si>
  <si>
    <t>mink (Mustela vision); otter (Lutra canadensis); metals; organochlorines</t>
  </si>
  <si>
    <t>MERCURY; ONTARIO</t>
  </si>
  <si>
    <t>Mink and otters are valuable wildlife resources and management efforts in North America and Europe have been directed towards re-establishing extirpated populations or expanding existing populations. The similarity of otter and mink habits and trophic status may allow inferences about the suitability of the habitat that is occupied by one species (mink) for the other species that is absent (otter). Remnant otter populations in Illinois have not expanded even though suitable habitat appears to be available and is occupied by mink. Low contaminant concentrations in tissues of mink trapped in a habitat where otters are not found and metal and organochlorine concentrations in tissues of otters incidentally collected by the Illinois Department of Natural Resources, suggest that environmental contaminants should not hinder natural expansion of otters in Illinois.</t>
  </si>
  <si>
    <t>SO ILLINOIS UNIV,DEPT ZOOL,CARBONDALE,IL 62901; ILLINOIS DEPT NAT RESOURCES,HINCKLEY,IL 60520; ANIM DIS LAB,CENTRALIA,IL 62801; MICHIGAN STATE UNIV,ANIM HLTH DIAGNOST LAB,E LANSING,MI 48824</t>
  </si>
  <si>
    <t>Southern Illinois University System; Southern Illinois University; Michigan State University</t>
  </si>
  <si>
    <t>Halbrook, RS (corresponding author), SO ILLINOIS UNIV,COOPERAT WILDLIFE RES LAB,CARBONDALE,IL 62901, USA.</t>
  </si>
  <si>
    <t>CHAPMAN HALL LTD</t>
  </si>
  <si>
    <t>2-6 BOUNDARY ROW, LONDON, ENGLAND SE1 8HN</t>
  </si>
  <si>
    <t>10.1007/BF00119049</t>
  </si>
  <si>
    <t>UH480</t>
  </si>
  <si>
    <t>WOS:A1996UH48000003</t>
  </si>
  <si>
    <t>OSOWSKI, SL; BREWER, LW; BAKER, OE; COBB, GP</t>
  </si>
  <si>
    <t>POLYCHLORINATED-BIPHENYLS; MERCURY; OTTER; METHYLMERCURY; REPRODUCTION; COMBINATION; ONTARIO</t>
  </si>
  <si>
    <t>Since the 1960s, mink (Mustela vison) populations in Georgia, North Carolina, and South Carolina have declined, especially in the coastal plain. A prior study suggested that the decline may stem from environmental contaminants. Based on water quality data from each state, we identified 17 substances potentially related to the decline: aldrin, dieldrin, endrin, DDD, DDE, DDT, PCBs, chlordane, alpha-BHC, toxaphene, dibenzofuran, copper, chromium, cadmium, lead, arsenic, and mercury. Mink livers were analyzed for PCB and organochlorine pesticides, and kidneys and femurs were analyzed for metals. Reference sample concentrations from piedmont, mountain, and foothill locations were compared to state coastal plain totals and counties. PCBs for Georgia, dieldrin for South Carolina, and endrin and aldrin for North Carolina were significantly higher than the piedmont reference group. Liver PCB concentrations were higher than those known to cause mink reproductive dysfunction. Mercury concentrations were significantly higher in coastal plain mink from all three states and were in the range of those known to cause impacts to reproduction, growth, and behavior to wild mink. it is unknown what concentrations of cyclodienes cause reduced reproduction or other physiological effects in mink, but the levels reported here probably indicate background concentrations that do not contribute to the decline.</t>
  </si>
  <si>
    <t>CLEMSON UNIV,INST WILDLIFE &amp; ENVIRONM TOXICOL,PENDLETON,SC 29670; S CAROLINA WILDLIFE &amp; MARINE RESOURCES DEPT,COLUMBIA,SC 29202</t>
  </si>
  <si>
    <t>Clemson University</t>
  </si>
  <si>
    <t>Cobb, george/K-6301-2012</t>
  </si>
  <si>
    <t>Cobb, george/0000-0001-8675-1283</t>
  </si>
  <si>
    <t>175 FIFTH AVE, NEW YORK, NY 10010</t>
  </si>
  <si>
    <t>10.1007/BF00212510</t>
  </si>
  <si>
    <t>RR148</t>
  </si>
  <si>
    <t>WOS:A1995RR14800021</t>
  </si>
  <si>
    <t>TESTA, JW; HOLLEMAN, DF; BOWYER, RT; FARO, JB</t>
  </si>
  <si>
    <t>RIVER OTTER; LUTRA-CANADENSIS; EXXON-VALDEZ; BAYESIAN; MARK-RECAPTURE; OIL SPILL; POPULATION ESTIMATES; RADIOISOTOPES; PRINCE-WILLIAM-SOUND; ALASKA</t>
  </si>
  <si>
    <t>RADIOISOTOPE</t>
  </si>
  <si>
    <t>One year after the spillage of oil from the Exxon Valdez in spring 1989, we used radiotransmitters and radiotracer labels to mark river otters (Lutra canadensis) at Knight Island (oiled) and Esther Passage (unoiled) in Prince William Sound, Alaska. Feces recovered from latrines of animals were used as ''recaptures'' in mark-recapture experiments to estimate the density of river otters in the two coastal study areas. Our methods were evaluated for sources of bias in estimating and comparing population sizes. There was no evidence that densities of river otters at Knight Island (oiled) were less than those at Esther Passage (unoiled) in summer 1990 or that density of river otters at Knight Island was declining. Estimates of river otters in Prince William Sound ranged from 0.28 to 0.80 animals per km of coastline. Our estimates are similar to those for marine river otters in southeastern Alaska, but bias in the different methods should be considered.</t>
  </si>
  <si>
    <t>UNIV ALASKA,INST MARINE SCI,FAIRBANKS,AK 99775; UNIV ALASKA,INST ARCTIC BIOL,FAIRBANKS,AK 99775; ALASKA DEPT FISH &amp; GAME,SOLDOTNA,AK 99609</t>
  </si>
  <si>
    <t>University of Alaska System; University of Alaska Fairbanks; University of Alaska System; University of Alaska Fairbanks; Alaska Department of Fish &amp; Game</t>
  </si>
  <si>
    <t>10.2307/1382485</t>
  </si>
  <si>
    <t>PU599</t>
  </si>
  <si>
    <t>WOS:A1994PU59900024</t>
  </si>
  <si>
    <t>GIESY, JP; VERBRUGGE, DA; OTHOUT, RA; BOWERMAN, WW; MORA, MA; JONES, PD; NEWSTED, JL; VANDERVOORT, C; HEATON, SN; AULERICH, RJ; BURSIAN, SJ; LUDWIG, JP; DAWSON, GA; KUBIAK, TJ; BEST, DA; TILLITT, DE</t>
  </si>
  <si>
    <t>DOUBLE-CRESTED CORMORANTS; POLYCHLORINATED-BIPHENYLS AROCLOR-1016; MIXED-FUNCTION OXIDASES; VITAMIN-A LEVELS; MUSTELA-VISON; 2,3,7,8-TETRACHLORODIBENZO-P-DIOXIN EQUIVALENTS; DIETARY HEPTACHLOR; FRACTIONS THEREOF; FACTORS TEFS; PCB</t>
  </si>
  <si>
    <t>Populations of mink (Mustela vison) have declined in many areas of the world. Such declines have been linked to exposures to synthetic, halogenated hydrocarbons. In the Great Lakes region, mink are fewer in areas along the shore of the Great Lakes and their tributaries where mink have access to fish from the Great Lakes. Recently, there has been discussion of the relative merits of passage of fishes around hydroelectric dams on rivers in Michigan. A hazard assessment was conducted to determine the potential for adverse effects on mink, which could consume such fishes from above or below dams on the rivers. Concentrations of organochlorine insecticides, poly-chlorinated biphenyls (PCBs), 2,3,7,8-tetrachlordibenzo-p-dioxin equivalents (TCDD-EQ), and total mercury were measured in composite samples of fishes from above or below hydroelectric dams on the Manistee and Muskegon Rivers, which flow into Lake Michigan, and the Au Sable River, which flows into Lake Huron. Concentrations of organochlorine insecticides, PCBs, and TCDD-EQ were all greater in fishes from below the dams than those from above. Concentrations of neither organochlorine insecticides nor mercury in fishes are currently a risk to mink above or below the dams. All of the species of fishes collected from downstream of the dams contained concentrations of PCBs and TCDD-EQ, which represent a hazard to mink. The hazard index for PCBs was less than one for the average of all species from the upstream reaches of the Manistee and Au Sable Rivers, but not the Muskegon. The hazard index (concentration in fish/NOAEC) was greater than 1 for all of the species collected from below the dams, in all three rivers. The greatest hazard index was observed for carp (Cyprinus carpio) downstream on the Muskegon River. Because the concentrations of PCBs used in the hazard assessment were corrected for relative toxic potencies, the hazard ratios based on PCBs should be similar to those based on TCDD-EQ. This was found to be true. Thus, either total PCBs or TCDD-EQ could be used as the critical toxicant in the hazard assessment. However, if uncorrected concentrations of PCBs, expressed as Aroclors(R), were used in the hazard assessment, the toxicity of the weathered mixture would have been underestimated by approximately five-fold, and, in that instance, TCDD-EQ would be the critical contaminant for the hazard assessment. The average maximum allowable percentage of fish from above the dams, which would result in no observable adverse effects of TCDD-EQ, was 70%. Based on the average TCDD-EQ concentrations in the fishes, an average of 8.6% of the diet could be made up of fishes from below dams on the rivers. The most restrictive daily allowable intakes were for carp on the Muskegon and steelhead trout (Onchorhyncus mykiss) on the Manistee Rivers. Only 2.7% of the diet could be made up of these two species from below dams without exceeding the no-effect concentration. This would represent approximately 15 days of food intake. Currently, consumption of all species of fish from below the dams would pose some risk to mink. The concentrations of PCBs and TCDD-EQ in fishes from below the dams were 10-20 times more hazardous, on average, than those from above the dams.</t>
  </si>
  <si>
    <t>MICHIGAN STATE UNIV,INST ENVIRONM TOXICOL,E LANSING,MI 48824; MICHIGAN STATE UNIV,DEPT ANIM SCI,E LANSING,MI 48824; SERE GRP,VICTORIA V8P 3C8,BC,CANADA; CONSUMERS POWER CO,DEPT ENVIRONM,JACKSON,MI 49201; US FISH &amp; WILDLIFE SERV,E LANSING FIELD OFF,E LANSING,MI 48823; NATL FISHERIES CONTAMINANT RES CTR,NATL BIOL SURVEY,COLUMBIA,MO 65201</t>
  </si>
  <si>
    <t>Michigan State University; Michigan State University; United States Department of the Interior; US Fish &amp; Wildlife Service</t>
  </si>
  <si>
    <t>GIESY, JP (corresponding author), MICHIGAN STATE UNIV,PESTICIDE RES CTR,DEPT FISHERIES &amp; WILDLIFE,E LANSING,MI 48824, USA.</t>
  </si>
  <si>
    <t>Tillitt, Donald/AAW-3851-2020; Giesy, John/MXJ-7032-2025; Jones, Paul/O-2046-2015; Mora, Miguel/B-1344-2009</t>
  </si>
  <si>
    <t>Giesy, John/0000-0003-1931-9962; Jones, Paul/0000-0002-7483-5380; Mora, Miguel/0000-0002-8393-0216</t>
  </si>
  <si>
    <t>NIEHS NIH HHS [ES-04911] Funding Source: Medline; National Institute of Environmental Health Sciences [P42ES004911] Funding Source: NIH RePORTER</t>
  </si>
  <si>
    <t>NIEHS NIH HHS(United States Department of Health &amp; Human ServicesNational Institutes of Health (NIH) - USANIH National Institute of Environmental Health Sciences (NIEHS)); National Institute of Environmental Health Sciences(United States Department of Health &amp; Human ServicesNational Institutes of Health (NIH) - USANIH National Institute of Environmental Health Sciences (NIEHS))</t>
  </si>
  <si>
    <t>NT637</t>
  </si>
  <si>
    <t>WOS:A1994NT63700010</t>
  </si>
  <si>
    <t>DUFFY, LK; BOWYER, RT; TESTA, JW; FARO, JB</t>
  </si>
  <si>
    <t>HAPTOGLOBIN; INTERLEUKIN-8; OIL SPILL; RIVER OTTER; LUTRA CANADENSIS; BODY MASS; HYDROCARBONS; EXXON VALDEZ; PRINCE WILLIAM SOUND; ALASKA</t>
  </si>
  <si>
    <t>ALASKA; LUTRA</t>
  </si>
  <si>
    <t>Levels of blood haptoglobin (Hp) and interleukin-6 immunoreactive protein (IL-6 ir) were significantly elevated in river otters (Lutra canadensis) inhabiting oiled areas of Prince William Sound, Alaska (USA) following the Exxon Valdez oil spill in 1989. By May and June 1992, however, such differences were not apparent. Mean body mass of otters, adjusted for sex, age-class, and total length with analysis of covariance, differed between oiled and non-oiled areas from 1990 to 1992, but were nearly identical by May and June 1992. We propose that river otters may be recovering from chronic effects that we observed in 1990 and 1991 following the 1989 Exxon Valdez oil spill, but further research is necessary to test this hypothesis.</t>
  </si>
  <si>
    <t>UNIV ALASKA,INST MARINE SCI,FAIRBANKS,AK 99775; ALASKA DEPT FISH &amp; GAME,SOLDOTNA,AK 99669</t>
  </si>
  <si>
    <t>University of Alaska System; University of Alaska Fairbanks; Alaska Department of Fish &amp; Game</t>
  </si>
  <si>
    <t>DUFFY, LK (corresponding author), UNIV ALASKA,INST ARCTIC BIOL,FAIRBANKS,AK 99775, USA.</t>
  </si>
  <si>
    <t>10.7589/0090-3558-30.3.421</t>
  </si>
  <si>
    <t>NY684</t>
  </si>
  <si>
    <t>WOS:A1994NY68400017</t>
  </si>
  <si>
    <t>LOPEZMARTIN, JM; RUIZOLMO, J; MINANO, SP</t>
  </si>
  <si>
    <t>PCB; REPRODUCTION; TOXICITY; VISON</t>
  </si>
  <si>
    <t>No studies on the effects of, organochlorine levels in the European mink (Mustela lutreola) in the wild have been documented. This species is the most threated small carnivore in Europe and its survival is in danger. The results obtained with four animals from the western population of its range, show that pollution could be partly responsible for the decline of this mustelid. These animals were seriously affected by PCBs and DDTs; these compounds produce reproductive failure in American mink in captivity when levels exceed 50 mug g-1 on a lipid basis. For PCBs, the results on average were 118.29 mug g-1 in muscle and 122.50 mug g-1 in liver on a lipid basis. This paper presents the first data on organochlorine residues in this species.</t>
  </si>
  <si>
    <t>SERV PROTECCIO &amp; GESTIO FAUNA,E-08037 BARCELONA,SPAIN</t>
  </si>
  <si>
    <t>LOPEZMARTIN, JM (corresponding author), UNIV BARCELONA,DEPT ANIM BIOL VERTEBRATES,AVDA DIAGONAL 645,E-08028 BARCELONA,SPAIN.</t>
  </si>
  <si>
    <t>Martin, Josep/H-8392-2015</t>
  </si>
  <si>
    <t>4-5</t>
  </si>
  <si>
    <t>PC016</t>
  </si>
  <si>
    <t>WOS:A1994PC01600012</t>
  </si>
  <si>
    <t>BOWYER, RT; TESTA, JW; FARO, JB; SCHWARTZ, CC; BROWNING, JB</t>
  </si>
  <si>
    <t>HABITS; LUTRA</t>
  </si>
  <si>
    <t>We studied the effects of the Exxon Valdez oil spill on the diets of river otters (Lutra canadensis) from oiled and nonoiled areas of Prince William Sound, Alaska, U.S.A., in 1989 and 1990. On the basis of identification of prey remains in their feces, otters fed principally on marine, bottom-dwelling fishes. Marine gastropods, bivalves, and crustaceans composed most of the invertebrates in the diet of otters; freshwater and terrestrial food items seldom occurred in their feces. The diets of otters included 149 different taxa, most of which rarely occurred in their feces. Sixty-five taxa occurred greater than or equal to 5 times in our combined data set. Species richness and diversity of prey remains in otter feces were similar on oiled and nonoiled study areas in late winter(April) 1989 (before the oil spill) and during summer (June-October) 1989 following the spill. By summer (July-September) 1990, however, there were significant declines in the richness and diversity of species (mostly bony fish, molluscs, and bivalves) in otter diets on the oiled area. Likewise, the relative abundance of prey remains in otter feces showed strong differences between areas and years, and an area by year interaction. Members of the Perciformes and Archaeogastropoda declined from 1989 to 1990 on the oiled area while they increased on the nonoiled site; Malacostraca exhibited the opposite pattern. These outcomes, when considered with other data on body mass and blood chemistry, strongly suggest that some effects of the oil spill on otters were delayed.</t>
  </si>
  <si>
    <t>UNIV ALASKA FAIRBANKS, INST MARINE SCI, FAIRBANKS, AK 99775 USA; ALASKA DEPT FISH &amp; GAME, SOLDOTNA, AK 99669 USA</t>
  </si>
  <si>
    <t>BOWYER, RT (corresponding author), UNIV ALASKA FAIRBANKS, INST ARCTIC BIOL, FAIRBANKS, AK 99775 USA.</t>
  </si>
  <si>
    <t>10.1139/z94-133</t>
  </si>
  <si>
    <t>PP591</t>
  </si>
  <si>
    <t>WOS:A1994PP59100002</t>
  </si>
  <si>
    <t>GARROTT, RA; EBERHARDT, LL; BURN, DM</t>
  </si>
  <si>
    <t>BOOTSTRAPPING; BOAT SURVEYS; CENSUS TECHNIQUES; SIGHTING PROBABILITIES; MORTALITY; POPULATION GROWTH; CONTAMINANTS; ENHYDRA-LUTRIS; IMPACTS OF OIL SPILL; CARCASS RECOVERY RATES; PRINCE-WILLIAM SOUND; ALASKA</t>
  </si>
  <si>
    <t>This paper presents an estimate of the total number of sea otters that died as a direct consequence of the oil spill that occurred when the T/V Exxon Valdez grounded in Prince William Sound, Alaska on 24 March 1989. We compared sea otter counts conducted from small boats throughout the Sound during the summers of 1984 and 1985 to counts made after the spill during the summer of 1089. We used ratio estimators, corrected for sighting probability, to calculate otter densities and population estimates for portions of the Sound affected by die oil spill. We estimated the otter population in the portion of Prince William Sound affected by the oil was 6,546 at the time of the spill and that the post-spill population in the summer of 1989 was 3,898, yielding a loss estimate of approximately 2,650. Bootstrapping techniques were used to approximate confidence limits on die loss estimate of about 500-5,000 otters. The wide confidence limits are a result of die complex scheme required to estimate losses and limitations of the data. Despite the uncertainty of the loss estimate it is dear that a significant fraction of the otters in the spill zone survived. We observed otters persisting in relatively dean embayments throughout the oil spill zone suggesting that the highly convoluted coastline of Prince William Sound produced refuges that allowed some. sea otters in the oil spill area to survive.</t>
  </si>
  <si>
    <t>PACIFIC NW LAB, RICHLAND, WA 99352 USA; US FISH &amp; WILDLIFE SERV, MARINE MAMMALS MANAGEMENT, ANCHORAGE, AK 99508 USA</t>
  </si>
  <si>
    <t>United States Department of Energy (DOE); Pacific Northwest National Laboratory; United States Department of the Interior; US Fish &amp; Wildlife Service</t>
  </si>
  <si>
    <t>GARROTT, RA (corresponding author), UNIV WISCONSIN, DEPT WILDLIFE ECOL, 226 RUSSELL LABS, MADISON, WI 53706 USA.</t>
  </si>
  <si>
    <t>10.1111/j.1748-7692.1993.tb00468.x</t>
  </si>
  <si>
    <t>MH887</t>
  </si>
  <si>
    <t>WOS:A1993MH88700001</t>
  </si>
  <si>
    <t>MASON, CF; MADSEN, AB</t>
  </si>
  <si>
    <t>LUTRA-LUTRA; PESTICIDES; PCBS, DENMARK</t>
  </si>
  <si>
    <t>Tissues (71 liver, 2 muscle) of 73 otters found dead in Denmark between 1980 and 1990 were analyzed for organochlorine pesticide residues and PCBs. Geometric means of contaminant concentrations were generally low, but some otters had PCB concentrations considered to be of concern; a greater proportion of these came from isolated populations away from the main population centre in Limfjord. Animals dying of unknown causes had greater concentrations of PCBs than those dying by drowning or in traffic accidents. Adults had significantly higher concentrations of PCBs. Contaminant concentrations were strongly intercorrelated. Concentrations of DDE and PCBs declined significantly during the study period. A sample of otter spraints (faeces) collected in 1990 had low mean concentrations of contaminants. It is concluded that current concentrations of organochlorine pesticide residues and PCBs are unlikely to pose a threat to otter populations.</t>
  </si>
  <si>
    <t>NATL ENVIRONM RES INST,DEPT WILDLIFE ECOL,DK-8410 RONDE,DENMARK</t>
  </si>
  <si>
    <t>Aarhus University; Danish National Environmental Research Institute</t>
  </si>
  <si>
    <t>MASON, CF (corresponding author), UNIV ESSEX,DEPT BIOL,COLCHESTER CO4 3SQ,ESSEX,ENGLAND.</t>
  </si>
  <si>
    <t>Madsen, Aksel Bo/0000-0001-7274-586X</t>
  </si>
  <si>
    <t>10.1016/0048-9697(93)90113-K</t>
  </si>
  <si>
    <t>LA922</t>
  </si>
  <si>
    <t>WOS:A1993LA92200004</t>
  </si>
  <si>
    <t>MASON, CF; MACDONALD, SM</t>
  </si>
  <si>
    <t>1. A survey is presented of PCB and organochlorine pesticide concentrations in otter (Lutra lutra) spraints (faeces) from 18 catchments/sub-catchments in Wales and adjacent English counties. 2. There were wide differences in concentrations of lindane, dieldrin, DDE and PCBs between catchments and at sites within catchments. Only PCBs were considered likely to be of significance in influencing otter populations. Mean PCB concentrations (but not those of dieldrin and DDE) were inversely related to otter population performance (as measured by both catchment distribution and sprainting intensity) between catchments. 3. It is suggested that PCB contamination is exerting a negative impact on otter populations in four catchments, while there is concern over four others. A study of food chain contamination should be an essential component of otter conservation strategies at both the national and local level.</t>
  </si>
  <si>
    <t>MASON, CF (corresponding author), UNIV ESSEX,DEPT BIOL,WIVENHOE PK,COLCHESTER CO4 3SQ,ESSEX,ENGLAND.</t>
  </si>
  <si>
    <t>JOHN WILEY &amp; SONS LTD</t>
  </si>
  <si>
    <t>W SUSSEX</t>
  </si>
  <si>
    <t>BAFFINS LANE CHICHESTER, W SUSSEX, ENGLAND PO19 1UD</t>
  </si>
  <si>
    <t>10.1002/aqc.3270030104</t>
  </si>
  <si>
    <t>KY844</t>
  </si>
  <si>
    <t>WOS:A1993KY84400003</t>
  </si>
  <si>
    <t>Concentrations of Hg in livers of 69 Danish otters were determined. The mean concentration was 2.3 mg kg-1 Hg fresh weight (range 0.03-12.37). Males and females did not differ in Hg concentrations. Adults had higher concentrations than subadults and juveniles. Hg is unlikely to pose a threat to otters in their current range in Denmark.</t>
  </si>
  <si>
    <t>THE BOULEVARD, LANGFORD LANE, KIDLINGTON, OXFORD, ENGLAND OX5 1GB</t>
  </si>
  <si>
    <t>10.1016/0045-6535(92)90077-5</t>
  </si>
  <si>
    <t>JZ551</t>
  </si>
  <si>
    <t>WOS:A1992JZ55100013</t>
  </si>
  <si>
    <t>MASON, CF; MACDONALD, SM; BLAND, HC; RATFORD, J</t>
  </si>
  <si>
    <t>MINK; FISH</t>
  </si>
  <si>
    <t>Organochlorine pesticide residues and PCBs were measured in 113 otter (Lutra lutra) scat samples from 94 sites in the River Clyde catchment, its estuary and neighboring coastal waters in western Scotland. Contents of pesticide residues were generally low. PCB amounts were high in some regions in the study area (geometric mean contents up to 19.5 mg kg-1 lipid). Potential sources of contamination included industrial areas, a sewage sludge dump and shipping facilities, both naval and commercial. PCBs in tissues were estimated from scats. Analysis of scats provides a useful technique of estimating potential contamination threats to otter populations and can be used to identify biologically significant hot-spots of contamination which may be missed by more familiar surveillance methods.</t>
  </si>
  <si>
    <t>10.1007/BF00483370</t>
  </si>
  <si>
    <t>JX047</t>
  </si>
  <si>
    <t>WOS:A1992JX04700015</t>
  </si>
  <si>
    <t>MASON, CF; ROWEROWE, DT</t>
  </si>
  <si>
    <t>BIOCIDE; CAPE CLAWLESS OTTER; PESTICIDE; POLLUTION; SPOTTED-NECKED OTTER</t>
  </si>
  <si>
    <t>Organochlorine pesticide residues and PCBs were measured in scat samples of Cape clawless otter Aonyx capensis, spotted-necked otter Lutra maculicollis and water mongoose Atilax paludinosus from four localities in Natal. DDE and PCBs occurred in all samples, dieldrin in all but one. Trace amounts of o,p-DDD and o,p-DDT were present but lindane was not detected. Scats of A. capensis contained higher concentrations of contaminants than those of the two other species. Overall levels of contamination were low and unlikely to pose a threat to otter populations at the localities studied.</t>
  </si>
  <si>
    <t>NATAL PARKS BOARD, PIETERMARITZBURG 3200, SOUTH AFRICA</t>
  </si>
  <si>
    <t>MASON, CF (corresponding author), UNIV ESSEX, DEPT BIOL, WIVENHOE PK, COLCHESTER CO4 3SQ, ESSEX, ENGLAND.</t>
  </si>
  <si>
    <t>HQ398</t>
  </si>
  <si>
    <t>WOS:A1992HQ39800006</t>
  </si>
  <si>
    <t>WREN, CD</t>
  </si>
  <si>
    <t>JOURNAL OF TOXICOLOGY AND ENVIRONMENTAL HEALTH</t>
  </si>
  <si>
    <t>INTERNATIONAL JOINT COMMISSION WORKSHOP ON CAUSE-EFFECT LINKAGES</t>
  </si>
  <si>
    <t>MAR, 1989</t>
  </si>
  <si>
    <t>CHICAGO, IL</t>
  </si>
  <si>
    <t>POLYCHLORINATED-BIPHENYLS AROCLOR-1016; DIETARY HEXACHLOROBENZENE EXPOSURE; REPRODUCTIVE-PERFORMANCE; COMPARATIVE TOXICOLOGY; NORTHEASTERN ALBERTA; EUROPEAN FERRETS; MAMMARY TRANSFER; PUTORIUS-FURO; COHO SALMON; TOXICITY</t>
  </si>
  <si>
    <t>Following outbreaks of reproductive failure in commercial ranching operations, laboratory experiments showed that mink are extremely sensitive to organochlorine chemicals, particularly PCBs and dioxins. The purpose of this paper is to test the hypothesis that, since wild mink are exposed to these compounds through consumption of Great Lakes fish, they might exhibit reproductive dysfunction and population declines. The otter, another piscivorous animal, should show the same effects. The available information is reviewed according to five epidemiological criteria. Harvest data are presented as a surrogate for the population status of mink and otters in certain locations around the Great Lakes. Data from Ohio show that the mink harvest between 1982 and 1987 from contaminated counties bordering Lake Erie was consistently lower (380 animals per year) than those from counties removed from Lake Erie (850 animals per year), suggesting an effect of chemicals on the status of mink populations. Preliminary studies from Ontario also suggest that mink harvest is lower in potentially high PCB exposure areas compared with lower exposure areas. Evidence is also presented on the harvest data for otters taken from four New York State counties adjacent to Lake Ontario and the St. Lawrence River. The harvest data from these four counties show that between 1960 and early 1970 otter harvest remained stable but has since increased. Increased harvest is consistent with improved water quality in Lake Ontario during the past 15 yr. Data relating to strength of association between chemicals and populations of mink and otter are weak and need to be further analyzed. The specificity of the effects of the chemicals on mink reproduction and mortality is well established from toxicological experiments, but there is poor resolution of the information on effects using field data. The strongest case for a causal relationship comes from consideration of the coherence criterion. In conclusion, before a causal link can be drawn between the status of mink and otter populations and exposure to organochlorine chemicals from the Great Lakes, a large amount of research and data analysis needs to be undertaken.</t>
  </si>
  <si>
    <t>WREN, CD (corresponding author), ECOL SERV PLANNING LTD,GUELPH,ONTARIO,CANADA.</t>
  </si>
  <si>
    <t>TAYLOR &amp; FRANCIS</t>
  </si>
  <si>
    <t>1900 FROST ROAD, SUITE 101, BRISTOL, PA 19007-1598</t>
  </si>
  <si>
    <t>0098-4108</t>
  </si>
  <si>
    <t>J TOXICOL ENV HEALTH</t>
  </si>
  <si>
    <t>J. Toxicol. Environ. Health</t>
  </si>
  <si>
    <t>10.1080/15287399109531540</t>
  </si>
  <si>
    <t>Environmental Sciences; Public, Environmental &amp; Occupational Health; Toxicology</t>
  </si>
  <si>
    <t>Environmental Sciences &amp; Ecology; Public, Environmental &amp; Occupational Health; Toxicology</t>
  </si>
  <si>
    <t>GD126</t>
  </si>
  <si>
    <t>WOS:A1991GD12600007</t>
  </si>
  <si>
    <t>MACDONALD, SM</t>
  </si>
  <si>
    <t>MACDONALD, SM (corresponding author), VINCENT WILDLIFE TRUST,BALT EXCHANGE BLDG,21 BURY ST,LONDON EC3A 5AU,ENGLAND.</t>
  </si>
  <si>
    <t>10.1111/j.1365-2907.1983.tb00260.x</t>
  </si>
  <si>
    <t>QM152</t>
  </si>
  <si>
    <t>WOS:A1983QM15200002</t>
  </si>
  <si>
    <t>SINIFF, DB; WILLIAMS, TD; JOHNSON, AM; GARSHELIS, DL</t>
  </si>
  <si>
    <t>Two oiling experiments were conducted (1977-1979) on sea otters, E. lutris, in Prince William Sound, Alaska [USA]. In the 1st experiment, 4 captured otters were fitted with radio transmitters and released following contamination of their pelage with 25 cm3 Prudoe Bay crude oil; a 5th individual was oiled and cleaned with detergent prior to being released. For all experiments animals activity increased dramatically during the 1st wk following treatment; this effect was accentuated in the otter cleaned with detergent. Most of the increase in activity corresponded to increased grooming; the feeding pattern (as measured by dive time analysis) did not change. All otters survived the 1st experiment, probably because only a small portion of the pelage was treated and because food resources in the study area were abundant. In the 2nd experiment, behavioral reactions of 2 otters in an above-ground swimming pool which was partly covered with crude oil were observed. Both otters spent little time on the oiled side of the pool (&lt; 1 min/h) but occasionally surfaced in it for brief periods and eventually became contaminated. One individual was not cleaned and died within 24 h of 1st encounter with the oil; the other was cleaned and released with a radio transmitter that failed shortly afterwards.</t>
  </si>
  <si>
    <t>OCEAN VIEW VET HOSP, PACIFIC GROVE, CA 93950 USA; US FISH &amp; WILDLIFE SERV, ANCHORAGE, AK 99503 USA; UNIV MINNESOTA, DEPT DIABET RES &amp; TRAINING, ST PAUL, MN 55108 USA</t>
  </si>
  <si>
    <t>United States Department of the Interior; US Fish &amp; Wildlife Service; University of Minnesota System; University of Minnesota Twin Cities</t>
  </si>
  <si>
    <t>SINIFF, DB (corresponding author), UNIV MINNESOTA, DEPT ECOL &amp; BEHAV BIOL, MINNEAPOLIS, MN 55455 USA.</t>
  </si>
  <si>
    <t>10.1016/0006-3207(82)90082-9</t>
  </si>
  <si>
    <t>PB997</t>
  </si>
  <si>
    <t>WOS:A1982PB99700002</t>
  </si>
  <si>
    <t>BAKER, JR; JONES, AM; JONES, TP; WATSON, HC</t>
  </si>
  <si>
    <t>Following an oil spill at Sullom Vow Oil Terminal, Shetland [UK], at least 13 otters died. Post-mortems on 5 corpses showed that they had died of hemorrhagic gastroenteropathy associated with ingested oil. The primary cause of oil iningestion seemed to be fur grooming. A survey of polluted coasts revealed that otters were still present throughout most of the area.</t>
  </si>
  <si>
    <t>UNIV ABERDEEN, ABERDEEN AB9 1FX, SCOTLAND</t>
  </si>
  <si>
    <t>University of Aberdeen</t>
  </si>
  <si>
    <t>BAKER, JR (corresponding author), DEPT VET PATHOL, VET FIELD STN, WIRRAL, CHESHIRE, ENGLAND.</t>
  </si>
  <si>
    <t>10.1016/0006-3207(81)90017-3</t>
  </si>
  <si>
    <t>LY762</t>
  </si>
  <si>
    <t>WOS:A1981LY76200005</t>
  </si>
  <si>
    <t>CHANIN, PRF; JEFFERIES, DJ</t>
  </si>
  <si>
    <t>The records of 1 pack of otter hounds hunting in southwest England [UK] during 1907-1971 and the records of all packs active in Britain between 1950-1976 were studied. The hunting success per unit effort varied from year to year depending on changes in hunting conditions but longer term changes were identified. The hunting success of the Culmstock otter hounds (hunting in parts of southwest England) increased steadily from 1907-1956 but in most of England and south Wales the success rate of the hunts declined rapidly after 1957. There was also a decline in success in northern England and southern Scotland but to a lesser extent; in north Wales and Eire there was no evidence for a decline. These changes reflect changes in otter populations but the extent of the decline in hunting success (between 37%-55% of previous levels in the southern hunts) is probably less than the actual decline in otter numbers. There were no signs of a recovery in the population but indications of a continuing decline up to 1976. The reason for the increasing population in the first half of the century in southwest England is probably the decrease in persecution since the 19th century. Causes for the crash in the late 1950s were considered and the factor most likely responsible was the introduction of dieldrin insecticides in 1956. Use of these compounds has been increasingly restricted since 1963 and the possible reasons for the failure of the otter population to recover are listed.</t>
  </si>
  <si>
    <t>NATURE CONSERVANCY COUNCIL, HUNTINGDON, ENGLAND</t>
  </si>
  <si>
    <t>CHANIN, PRF (corresponding author), UNIV EXETER, DEPT EXTRA MURAL STUDIES, EXETER EX4 4QD, DEVONSHIRE, ENGLAND.</t>
  </si>
  <si>
    <t>10.1111/j.1095-8312.1978.tb00018.x</t>
  </si>
  <si>
    <t>FR482</t>
  </si>
  <si>
    <t>WOS:A1978FR48200003</t>
  </si>
  <si>
    <t>Murray, MJ; Young, MA; Santymire, RM</t>
  </si>
  <si>
    <t>Murray, M. J.; Young, M. A.; Santymire, R. M.</t>
  </si>
  <si>
    <t>CONSERVATION PHYSIOLOGY</t>
  </si>
  <si>
    <t>corticosterone; cortisol; enzyme immunoassay; physiological validation; stress physiology</t>
  </si>
  <si>
    <t>LIONS EUMETOPIAS-JUBATUS; YELLOW-PINE CHIPMUNKS; GENETIC DIVERSITY; SEASONAL-CHANGES; HAIR CORTISOL; FECAL GLUCOCORTICOIDS; ENZYME-IMMUNOASSAY; CIRCADIAN-RHYTHM; ADRENAL ACTIVITY; STRESS</t>
  </si>
  <si>
    <t>After nearly being hunted to extinction during the fur trade of the late 20th Century, sea otter (Enhydra lutris) populations have recovered to varying degrees of their historical range. While overall population numbers and range have increased, there are regions in which expansion has occurred at a slower rate and/or animal numbers have decreased, which may be a result of chronic stress from a variety of sources. Some have employed glucocorticoid analysis in their attempts to validate these explanations. Our goal was to conduct a controlled study using sea otters managed under human care to validate the use of serum glucocorticoid analysis to monitor stress physiology in the sea otter. We used a standard ACTH challenge test to compare cortisol and corticosterone responses, thereby identifying the primary glucocorticoid in the sea otter. Fourteen sea otters of both sexes (five males, nine females), including juveniles, sub-adults and adults, participated in the study. The results of the testing supported cortisol as the primary glucocorticoid in the sea otter. Sex and age did not affect how the individual responded to the ACTH or saline injection. Interestingly, the saline injection not only confirmed the effects of the ACTH on glucocorticoid release fromthe adrenal glands but also provided informationonhowlong it takes the sea otter's glucocorticoid levels to return to baseline after capture and sedation. The insight gained from this study will aid in future efforts to better understand the role of stress in free-ranging sea otter populations. Recognition of the primary glucocorticoid will facilitate evaluation of more stable biological material, such as fur or whiskers, which tend to be less affected by the diurnal cycling of glucocorticoids.</t>
  </si>
  <si>
    <t>[Murray, M. J.; Young, M. A.] Monterey Bay Aquarium, 886 Cannery Row, Monterey, CA 93940 USA; [Santymire, R. M.] Lincoln Pk Zoo, Conservat &amp; Sci Dept, 2001 N Clark St, Chicago, IL 60614 USA</t>
  </si>
  <si>
    <t>Monterey Bay Aquarium Research Institute</t>
  </si>
  <si>
    <t>Santymire, RM (corresponding author), Lincoln Pk Zoo, 2001 N Clark St, Chicago, IL 60614 USA.</t>
  </si>
  <si>
    <t>rsantymire@lpzoo.org</t>
  </si>
  <si>
    <t>Davee Foundation</t>
  </si>
  <si>
    <t>This work was supported by The Davee Foundation and the donors to the Monterey Bay Aquarium Foundation.</t>
  </si>
  <si>
    <t>2051-1434</t>
  </si>
  <si>
    <t>CONSERV PHYSIOL</t>
  </si>
  <si>
    <t>Conserv. Physiol.</t>
  </si>
  <si>
    <t>FEB 3</t>
  </si>
  <si>
    <t>coz116</t>
  </si>
  <si>
    <t>10.1093/conphys/coz116</t>
  </si>
  <si>
    <t>Biodiversity Conservation; Ecology; Environmental Sciences; Physiology</t>
  </si>
  <si>
    <t>Biodiversity &amp; Conservation; Environmental Sciences &amp; Ecology; Physiology</t>
  </si>
  <si>
    <t>KW4WV</t>
  </si>
  <si>
    <t>WOS:000521167600001</t>
  </si>
  <si>
    <t>After nearly being hunted to extinction during the fur trade of the late 20th Century, sea otter (Enhydra lutris) populations have recovered to varying degrees of their historical range. While overall population numbers and range have increased, there are regions in which expansion has occurred at a slower rate and/or animal numbers have decreased, which may be a result of chronic stress from a variety of sources. Some have employed glucocorticoid analysis in their attempts to validate these explanations. Our goal was to conduct a controlled study using sea otters managed under human care to validate the use of serum glucocorticoid analysis to monitor stress physiology in the sea otter. We used a standard ACTH challenge test to compare cortisol and corticosterone responses, thereby identifying the primary glucocorticoid in the sea otter. Fourteen sea otters of both sexes (five males, nine females), including juveniles, sub-adults and adults, participated in the study. The results of the testing supported cortisol as the primary glucocorticoid in the sea otter. Sex and age did not affect how the individual responded to the ACTH or saline injection. Interestingly, the saline injection not only confirmed the effects of the ACTH on glucocorticoid release from the adrenal glands but also provided information on how long it takes the sea otter's glucocorticoid levels to return to baseline after capture and sedation. The insight gained from this study will aid in future efforts to better understand the role of stress in free-ranging sea otter populations. Recognition of the primary glucocorticoid will facilitate evaluation of more stable biological material, such as fur or whiskers, which tend to be less affected by the diurnal cycling of glucocorticoids.</t>
  </si>
  <si>
    <t>[Murray, M. J.; Young, M. A.] Monterey Bay Aquarium, 886 Cannery Row, Monterey, CA 93940 USA; [Santymire, R. M.] Conservat &amp; Sci Dept, Lincoln Pk Zoo,2001 N Clark St, Chicago, IL 60614 USA</t>
  </si>
  <si>
    <t>Santymire, RM (corresponding author), Conservat &amp; Sci Dept, Lincoln Pk Zoo,2001 N Clark St, Chicago, IL 60614 USA.</t>
  </si>
  <si>
    <t>Davee Foundation; Monterey Bay Aquarium Foundation</t>
  </si>
  <si>
    <t>VO0RN</t>
  </si>
  <si>
    <t>WOS:001288620600001</t>
  </si>
  <si>
    <t>Santymire, RM; Lonsdorf, EV; Lynch, CM; Wildt, DE; Marinari, PE; Kreeger, S; Howard, JG</t>
  </si>
  <si>
    <t>Santymire, R. M.; Lonsdorf, E., V; Lynch, C. M.; Wildt, D. E.; Marinari, P. E.; Kreeger, S.; Howard, J. G.</t>
  </si>
  <si>
    <t>artificial insemination; black-footed ferret; conservation breeding; spermatozoa; inbreeding coefficient; sperm motility; acrosomal integrity; sperm morphology</t>
  </si>
  <si>
    <t>CAT FELIS-CATUS; SPERM QUALITY; ARTIFICIAL-INSEMINATION; MUSTELA-NIGRIPES; FERTILITY; SPERMATOZOA; DEPRESSION; CRYOPRESERVATION; FERTILIZATION; POPULATIONS</t>
  </si>
  <si>
    <t>Ex situ conservation breeding for species recovery often must address small founder number. Here we investigated the long-term effects of small founder size in the endangered black-footed ferret Mustela nigripes using 20 years of reproductive data. Specifically, we studied seminal traits, pregnancy success and litter size in the context of the population's low genetic diversity. Detailed evaluation of 539 electroejaculates from 262 pedigreed donors with varied inbreeding coefficients (F = 0.000-0.250) revealed a wide range in sperm motility (0.0-100.0%), forward progression (type of forward movement on a scale 0-5; 5 = best; 0.0-4.5), cell concentration (7.2-6348.0 x 10(6) mL(-1) of ejaculate), structural normality (0.0-89.0%) and normal apical ridges (critical for fertilization; 4.8-100.0%). Over this two decade interval, there was an increase (P &lt; 0.05) in F and a decrease (P &lt; 0.05) in sperm forward progression and structurally normal cell morphology. From analysis of artificial insemination (AI) data, higher values for sperm motility, forward progression and structural normality or spermatozoa that retained a normal apical ridge had a positive influence (P &lt; 0.05) on litter size. Males producing higher values for these four traits also sired more kits. Results demonstrate that sperm motility and morphology are decreasing in black-footed ferrets managed intensively ex situ. These two metrics appear associated with an increasing F and likely are at least partially responsible for lowered reproductive success in this closed, endangered population. These results illustrate the potential physiological and offspring production impact of having few founders available in an ex situ conservation breeding program.</t>
  </si>
  <si>
    <t>[Santymire, R. M.; Lynch, C. M.] Lincoln Pk Zoo, Conservat &amp; Sci Dept, Chicago, IL 60614 USA; [Santymire, R. M.; Wildt, D. E.; Marinari, P. E.; Howard, J. G.] Natl Zool Pk, Smithsonian Conservat Biol Inst, Front Royal, VA USA; [Lonsdorf, E., V] Univ Minnesota, Minneapolis, MN USA; [Lynch, C. M.] Assoc Zoos &amp; Aquariums Populat Management Ctr, Chicago, IL USA; [Lynch, C. M.] Riverbanks Zoo &amp; Garden, Columbia, SC USA</t>
  </si>
  <si>
    <t>Smithsonian Institution; Smithsonian National Zoological Park &amp; Conservation Biology Institute; University of Minnesota System; University of Minnesota Twin Cities</t>
  </si>
  <si>
    <t>Santymire, RM (corresponding author), Lincoln Pk Zoo, Davee Ctr Epidemiol &amp; Endocrinol, 2001 North Clark St, Chicago, IL 60614 USA.</t>
  </si>
  <si>
    <t>Santymire, Rachel/0000-0003-4102-9144; Lonsdorf, Eric/0000-0002-2899-8576</t>
  </si>
  <si>
    <t>Smithsonian's National Zoological Park; Friends of the National Zoo</t>
  </si>
  <si>
    <t>Smithsonian's National Zoological Park(Smithsonian InstitutionSmithsonian National Zoological Park &amp; Conservation Biology Institute); Friends of the National Zoo(Smithsonian InstitutionSmithsonian National Zoological Park &amp; Conservation Biology Institute)</t>
  </si>
  <si>
    <t>The authors thank Dr. Mitchell Bush, Lisa Ware, Robyn Bortner, Dr. Mary Wright and the SCBI animal care staff for assistance with black-footed ferret care and data collection. Funding was provided by the Smithsonian's National Zoological Park and Friends of the National Zoo.</t>
  </si>
  <si>
    <t>10.1111/acv.12466</t>
  </si>
  <si>
    <t>IK9MM</t>
  </si>
  <si>
    <t>WOS:000476919200006</t>
  </si>
  <si>
    <t>Nishita, Y; Spassov, N; Peeva, S; Raichev, EG; Kaneko, Y; Masuda, R</t>
  </si>
  <si>
    <t>Nishita, Yoshinori; Spassov, Nikolai; Peeva, Stanislava; Raichev, Evgeniy G.; Kaneko, Yayoi; Masuda, Ryuichi</t>
  </si>
  <si>
    <t>ETHOLOGY ECOLOGY &amp; EVOLUTION</t>
  </si>
  <si>
    <t>balancing selection; DRB gene; major histocompatibility complex; molecular evolution; trans-species polymorphism; Vormela peregusna</t>
  </si>
  <si>
    <t>MAJOR HISTOCOMPATIBILITY COMPLEX; POLYMORPHISM; EVOLUTION; RECOMBINATION; NOMENCLATURE; MUSTELIDAE; MOLECULES; GENOMICS; ECOLOGY; MODELS</t>
  </si>
  <si>
    <t>The marbled polecat, Vormela peregusna, is a small marten-like mustelid distributed from southeastern Europe to western China. Since the individual numbers of this species have declined, it has been classified as a vulnerable (VU) species in the 2008 IUCN Red List. To better understand the adaptation of V. peregusna, we investigated diversity and selection in the major histocompatibility complex (MHC) class II DRB gene which is reported to be highly polymorphic in many other species. Among 10 V. peregusna individuals from Bulgaria, we detected 9 novel sequences of partial exon 2, including antigen-binding site (ABS) codons, as representatives of DRB allele (Vope-DRBs). Two of the alleles were detected in all individuals analysed, while the others showed limited geographical distributions. Our results provided evidence for positive selection on ABS codons and recombination break points, contributing to maintaining the diversity of Vope-DRBs. In a Bayesian phylogenetic tree, all Vope-DRBs grouped within the mustelid clade, with three of them in the basal group consisted of alleles from Meles, Martes, and Vormela but no Mustela alleles, and the others in the derived group consisted of alleles diverged relatively late in the various mustelid species. The Vope-DRBs showed trans-species polymorphism within the mustelid clade, suggesting that the DRB genes evolved under long-lasting balancing selection.</t>
  </si>
  <si>
    <t>[Nishita, Yoshinori; Masuda, Ryuichi] Hokkaido Univ, Dept Biol Sci, Sapporo, Hokkaido 0600810, Japan; [Spassov, Nikolai] Bulgarian Acad Sci, Natl Museum Nat Hist, Sofia 1000, Bulgaria; [Peeva, Stanislava; Raichev, Evgeniy G.] Trakia Univ, Dept Agr Sci, Stara Zagora 6000, Bulgaria; [Kaneko, Yayoi] Tokyo Univ Agr &amp; Technol, Inst Agr, Tokyo 1830057, Japan</t>
  </si>
  <si>
    <t>Hokkaido University; Bulgarian Academy of Sciences; Trakia University; Tokyo University of Agriculture &amp; Technology</t>
  </si>
  <si>
    <t>Masuda, R (corresponding author), Hokkaido Univ, Dept Biol Sci, Fac Sci, Sapporo, Hokkaido 0600810, Japan.</t>
  </si>
  <si>
    <t>masudary@sci.hokudai.ac.jp</t>
  </si>
  <si>
    <t>; Peeva, Stanislava/GYA-0265-2022; MASUDA, RYUICHI/G-5223-2012; Nishita, Yoshinori/S-8888-2018; Kaneko, Yayoi/G-1162-2013</t>
  </si>
  <si>
    <t>Raichev, Evgeniy/0000-0002-7531-7075; Peeva, Stanislava/0000-0002-8325-0966;</t>
  </si>
  <si>
    <t>JSPS [26257404]; Japan Society for the Promotion of Science (JSPS); Grants-in-Aid for Scientific Research [26257404] Funding Source: KAKEN</t>
  </si>
  <si>
    <t>JSPS(Ministry of Education, Culture, Sports, Science and Technology, Japan (MEXT)Japan Society for the Promotion of Science); Japan Society for the Promotion of Science (JSPS)(Ministry of Education, Culture, Sports, Science and Technology, Japan (MEXT)Japan Society for the Promotion of Science); Grants-in-Aid for Scientific Research(Ministry of Education, Culture, Sports, Science and Technology, Japan (MEXT)Japan Society for the Promotion of ScienceGrants-in-Aid for Scientific Research (KAKENHI))</t>
  </si>
  <si>
    <t>This work was supported by the Grant-in-Aid for Scientific Research from JSPS [26257404]; Joint Research Project (between Japan and Bulgaria) Grant from the Japan Society for the Promotion of Science (JSPS).</t>
  </si>
  <si>
    <t>0394-9370</t>
  </si>
  <si>
    <t>1828-7131</t>
  </si>
  <si>
    <t>ETHOL ECOL EVOL</t>
  </si>
  <si>
    <t>Ethol. Ecol. Evol.</t>
  </si>
  <si>
    <t>10.1080/03949370.2018.1486887</t>
  </si>
  <si>
    <t>Behavioral Sciences; Zoology</t>
  </si>
  <si>
    <t>HD7ZR</t>
  </si>
  <si>
    <t>WOS:000452773800005</t>
  </si>
  <si>
    <t>Ekblom, R; Brechlin, B; Persson, J; Smeds, L; Johansson, M; Magnusson, J; Flagstad, O; Ellegren, H</t>
  </si>
  <si>
    <t>Ekblom, Robert; Brechlin, Birte; Persson, Jens; Smeds, Linnea; Johansson, Malin; Magnusson, Jessica; Flagstad, Oystein; Ellegren, Hans</t>
  </si>
  <si>
    <t>genome assembly; non-invasive sampling; population genetics; single nucleotide polymorphisms</t>
  </si>
  <si>
    <t>GULO-GULO; INBREEDING DEPRESSION; GENETIC DIVERSITY; POLAR BEARS; MANAGEMENT; REVEAL; TOOL; INFERENCE; ADMIXTURE; HISTORY</t>
  </si>
  <si>
    <t>Genetic approaches have proved valuable to the study and conservation of endangered populations, especially for monitoring programs, and there is potential for further developments in this direction by extending analyses to the genomic level. We assembled the genome of the wolverine (Gulo gulo), a mustelid that in Scandinavia has recently recovered from a significant population decline, and obtained a 2.42 Gb draft sequence representing &gt;85% of the genome and including &gt;21,000 protein-coding genes. We then performed whole-genome resequencing of 10 Scandinavian wolverines for population genomic and demographic analyses. Genetic diversity was among the lowest detected in a red-listed population (mean genome-wide nucleotide diversity of 0.05%). Results of the demographic analyses indicated a long-term decline of the effective population size (N-e) from 10,000 well before the last glaciation to N-e appeared even lower. The genome-wide F-IS level was 0.089 (possibly signaling inbreeding), but this effect was not observed when analyzing a set of highly variable SNP markers, illustrating that such markers can give a biased picture of the overall character of genetic diversity. We found significant population structure, which has implications for population connectivity and conservation. We used an integrated microfluidic circuit chip technology to develop an SNP-array consisting of 96 highly informative markers that, together with a multiplex pre-amplification step, was successfully applied to low-quality DNA from scat samples. Our findings will inform management, conservation, and genetic monitoring of wolverines and serve as a genomic roadmap that can be applied to other endangered species. The approach used here can be generally utilized in other systems, but we acknowledge the trade-off between investing in genomic resources and direct conservation actions.</t>
  </si>
  <si>
    <t>[Ekblom, Robert; Brechlin, Birte; Smeds, Linnea; Johansson, Malin; Magnusson, Jessica; Ellegren, Hans] Uppsala Univ, Dept Ecol &amp; Genet, Uppsala, Sweden; [Persson, Jens] Swedish Univ Agr Sci, Dept Ecol, Grimso Wildlife Res Stn, Riddarhyttan, Sweden; [Flagstad, Oystein] Norwegian Inst Nat Res, Trondheim, Norway</t>
  </si>
  <si>
    <t>Uppsala University; Swedish University of Agricultural Sciences; Norwegian Institute Nature Research</t>
  </si>
  <si>
    <t>Ekblom, R (corresponding author), Uppsala Univ, Dept Ecol &amp; Genet, Uppsala, Sweden.</t>
  </si>
  <si>
    <t>robert.ekblom@ebc.uu.se</t>
  </si>
  <si>
    <t>Ekblom, Robert/0000-0003-2222-1966; Persson, Jens/0000-0003-1405-7561</t>
  </si>
  <si>
    <t>Swedish Research Council (VR); Swedish Research Council (VR-RFI); Knut and Alice Wallenberg Foundation; Swedish Nature Protection Agency [235-12-11, 11/110]; Norwegian Directorate for Nature Management</t>
  </si>
  <si>
    <t>Swedish Research Council (VR)(Swedish Research Council); Swedish Research Council (VR-RFI)(Swedish Research Council); Knut and Alice Wallenberg Foundation(Knut &amp; Alice Wallenberg Foundation); Swedish Nature Protection Agency; Norwegian Directorate for Nature Management</t>
  </si>
  <si>
    <t>We thank D. Scofield, P. Olason, L. Dutoit, K. Nadachowska, and R. Burri for bioinformatic assistance and 3 anonymous reviewers for constructive comments on an earlier version of the manuscript. Annotation was performed by M. Hoppner at BILS (Bioinformatics Infrastructure for Life Sciences), a distributed national research infrastructure supported by the Swedish Research Council (VR). Sequencing and SNP genotyping was performed by the SNP&amp;SEQ Technology Platform (www.sequencing.se), Science for Life Laboratory at Uppsala University, a national infrastructure supported by the Swedish Research Council (VR-RFI) and the Knut and Alice Wallenberg Foundation. H. Vretman, at the Clinical Biomarkers Facility on Uppsala University, and L. Lindbom, at Olink Bioscience, performed Fluidigm SNP genotyping of scat samples. Tissue samples for genome sequencing were obtained from SVA (the National Veterinary Institute). High-performance computing was conducted using the Uppsala Multidisciplinary Center for Advanced Computational Science (UPPMAX). This project was funded by the Swedish Nature Protection Agency (Agreements Dnr 235-12-11 and Dnr 11/110) and the Norwegian Directorate for Nature Management.</t>
  </si>
  <si>
    <t>10.1111/cobi.13157</t>
  </si>
  <si>
    <t>GZ9XT</t>
  </si>
  <si>
    <t>WOS:000449856900008</t>
  </si>
  <si>
    <t>Harrington, LA; Podra, M; Gómez, A; Maran, T</t>
  </si>
  <si>
    <t>Harrington, Lauren A.; Podra, Madis; Gomez, Asum; Maran, Tiit</t>
  </si>
  <si>
    <t>AMERICAN MINK; MUSTELA-LUTREOLA; CONSERVATION</t>
  </si>
  <si>
    <t>[Harrington, Lauren A.] Univ Oxford, Dept Zool, Wildlife Conservat Res Unit, Recanati Kaplan Ctr, Tubney House,Abingdon Rd, Tubney OX13 5QL, Oxon, England; [Podra, Madis] European Mink Assoc, Av Diagonal 643,2a Planta, Barcelona 08028, Spain; [Gomez, Asum] TRAGSATEC, Area Vida Silvestre, C Julian Camarillo 6A 4a Planta,Sect B, Madrid 28037, Spain; [Maran, Tiit] Estonian Univ Life Sci, Inst Vet Med &amp; Anim Sci, Tartu, Estonia; [Maran, Tiit] Tallinn Zool Gardens, Species Conservat Lab, Ehitajate Rd 150, EE-13517 Tallinn, Estonia</t>
  </si>
  <si>
    <t>University of Oxford; Estonian University of Life Sciences</t>
  </si>
  <si>
    <t>Harrington, LA (corresponding author), Univ Oxford, Dept Zool, Wildlife Conservat Res Unit, Recanati Kaplan Ctr, Tubney House,Abingdon Rd, Tubney OX13 5QL, Oxon, England.</t>
  </si>
  <si>
    <t>10.1007/s10531-017-1419-4</t>
  </si>
  <si>
    <t>FR6BG</t>
  </si>
  <si>
    <t>WOS:000419149800015</t>
  </si>
  <si>
    <t>Hillman, TL; Keenlance, P; Moore, JA; Swanson, BJ; Jacquot, JJ; Witt, JC; Cornman, A</t>
  </si>
  <si>
    <t>Hillman, Tamara L.; Keenlance, Paul; Moore, Jennifer A.; Swanson, Bradley J.; Jacquot, Joseph J.; Witt, Jill C.; Cornman, Ari</t>
  </si>
  <si>
    <t>founders; genetic diversity; martens; Martes americana; microsatellites; population genetics; reintroduction</t>
  </si>
  <si>
    <t>EFFECTIVE POPULATION-SIZE; LINKAGE DISEQUILIBRIUM; LANDSCAPE PATTERN; CANIS-LUPUS; N-E; CONSERVATION; TRANSLOCATIONS; VARIABILITY; NORTHWEST; DECLINE</t>
  </si>
  <si>
    <t>Reintroductions are an important conservation and management technique used to restore extirpated populations. Negative genetic consequences (e.g., diversity loss, bottlenecks, inbreeding) are often an unintentional result of reintroductions, due to a small number of founders or suboptimal habitat at release sites. American martens (Martes americana) were extirpated from Michigan's Lower Peninsula in 1911 due to habitat loss and unregulated trapping. Martens were reintroduced into 2 areas of the Lower Peninsula in 1985-1986. The Lower Peninsula reintroduction was characterized by a relatively small number of founders (85 individuals) released into 2 geographically disparate, fragmented sites. We genotyped martens sampled at the 2 release sites approximately 20-25 years since reintroduction, using 11 microsatellite loci. We detected low average allelic richness (3.92 alleles per locus), moderate levels of inbreeding (mean F-IS = 0.106), and multiple loci with significant heterozygote deficiencies. Effective population size estimates were small, ranging between 6 and 27 individuals depending on the estimator and the sample group. We also detected significant population structuring between the release sites (F-ST = 0.093 using the most recent sample). With small population size and limited to no gene flow, we predict the 2 Lower Peninsula marten populations will continue to diverge and potentially further lose genetic diversity. This study highlights the importance of long-term genetic monitoring of reintroduced populations.</t>
  </si>
  <si>
    <t>[Hillman, Tamara L.; Keenlance, Paul; Moore, Jennifer A.; Jacquot, Joseph J.] Grand Valley State Univ, Biol Dept, Allendale, MI 49401 USA; [Swanson, Bradley J.] Cent Michigan Univ, Biol Dept, Mt Pleasant, MI 48859 USA; [Witt, Jill C.] Univ Michigan, Biol Dept, Flint, MI 48502 USA; [Cornman, Ari] Little River Band Ottawa Indians, Nat Resources Dept, Manistee, MI 49660 USA</t>
  </si>
  <si>
    <t>Grand Valley State University; Central Michigan University; University of Michigan System; University of Michigan; University of Michigan Flint</t>
  </si>
  <si>
    <t>Moore, JA (corresponding author), Grand Valley State Univ, Biol Dept, Allendale, MI 49401 USA.</t>
  </si>
  <si>
    <t>moorejen@gvsu.edu</t>
  </si>
  <si>
    <t>; Moore, Jennifer/A-1174-2008; Witt, John/PCR-7365-2025</t>
  </si>
  <si>
    <t>Cornman, Ari/0000-0002-4692-2874; Swanson, Bradley/0000-0002-0360-3590;</t>
  </si>
  <si>
    <t>OCT 3</t>
  </si>
  <si>
    <t>10.1093/jmammal/gyx075</t>
  </si>
  <si>
    <t>FI7GX</t>
  </si>
  <si>
    <t>WOS:000412166100026</t>
  </si>
  <si>
    <t>Coletti, HA; Bodkin, JL; Monson, DH; Ballachey, BE; Dean, TA</t>
  </si>
  <si>
    <t>Coletti, Heather A.; Bodkin, James L.; Monson, Daniel H.; Ballachey, Brenda E.; Dean, Thomas A.</t>
  </si>
  <si>
    <t>abundance; ecosystem dynamics; energy recovery rates; Enhydra lutris; Gulf of Alaska; long-term monitoring; mortality; nearshore marine food web; sea otter; Special Feature: Science for Our National Parks' Second Century; vital signs</t>
  </si>
  <si>
    <t>EXXON-VALDEZ OIL; PRINCE-WILLIAM-SOUND; SEA OTTER PREDATION; LONG-TERM RESEARCH; EL-NINO; KELP FORESTS; INTERANNUAL VARIABILITY; SUBTIDAL COMMUNITIES; OCEAN ACIDIFICATION; MORTALITY PATTERNS</t>
  </si>
  <si>
    <t>Community composition, species abundance, and species distribution are expected to change while monitoring ecosystems over time, and effective management of natural resources requires understanding mechanisms contributing to change. Marine ecosystems in particular can be difficult to monitor, in part due to large, multidimensional spatial scales and complex dynamics. However, within the temperate marine ecosystems, the nearshore food web is reasonably well described. This food web is ecologically and socially important, spatially constrained, and has been the focus of extensive experimental research that describes the underlying mechanisms important to system dynamics. Here, we describe a monitoring program initiated in 2006 that focuses on the nearshore benthic food web in the Gulf of Alaska, whose design anticipates potential causes of ecosystem change to improve rigor, resolution, and confidence in understanding the mechanisms underlying change. We established 15 long-term monitoring sites across more than 1000 km of coastline, including 10 within two national parks and 5 within Prince William Sound, area of the 1989 Exxon Valdez oil spill. The program evaluates six ecological indicators and more than 200 species that range from primary producers to top-level consumers, and is designed to examine both bottom-up and top-down dynamics. Employing a design that allows broad spatial inference and selecting species with direct food-web linkages, we demonstrate the ability of our monitoring program to simultaneously detect change and assess potential mechanisms underlying that change. Detecting change and understanding mechanisms can help guide management and conservation policy. Specifically, we provide an example focusing on the sea otter (Enhydra lutris) that illustrates how (1) analytical methods are used to evaluate changes on various scales and infer potential mechanisms of change, (2) food-web linkages can enhance the understanding of changes and their effects, and (3) data can be used to inform management.</t>
  </si>
  <si>
    <t>[Coletti, Heather A.] Natl Pk Serv, 4175 Geist Rd, Fairbanks, AK 99709 USA; [Bodkin, James L.; Monson, Daniel H.; Ballachey, Brenda E.] US Geol Survey, Alaska Sci Ctr, 4210 Univ Dr, Anchorage, AK 99508 USA; [Dean, Thomas A.] Coastal Resources Associates Inc, 5190 El Arbol Dr, Carlsbad, CA 92008 USA</t>
  </si>
  <si>
    <t>United States Department of the Interior; US National Park Service; United States Department of the Interior; United States Geological Survey</t>
  </si>
  <si>
    <t>Coletti, HA (corresponding author), Natl Pk Serv, 4175 Geist Rd, Fairbanks, AK 99709 USA.</t>
  </si>
  <si>
    <t>Heather_Coletti@nps.gov</t>
  </si>
  <si>
    <t>Coletti, Heather/0000-0001-9696-6093; Monson, Daniel/0000-0002-4593-5673</t>
  </si>
  <si>
    <t>Exxon Valdez Oil Spill Trustee Council; National Park Service; USGS Alaska Science Center</t>
  </si>
  <si>
    <t>Exxon Valdez Oil Spill Trustee Council(Exxon Mobil Corporation); National Park Service; USGS Alaska Science Center(United States Geological Survey)</t>
  </si>
  <si>
    <t>The research described in this manuscript was supported by the Exxon Valdez Oil Spill Trustee Council. However, the findings and conclusions presented by the authors are their own and do not necessarily reflect the views or position of the Trustee Council. The National Park Service and the USGS Alaska Science Center also supported this work. We greatly appreciate the support of Alan Bennett, George Esslinger, Kimberly Kloecker, Allan Fukuyama, Mandy Lindeberg, Dorothy Mortenson, Michael Shephard, William Thompson, and Benjamin Weitzman as well as the exceptional cooperation by the NPS staff of KATM, KEFJ, and the Southwest Alaska Network. Thank you to Daniel Esler, Amy Miller, Christopher Sergeant, and one anonymous reviewer for their thoughtful comments.</t>
  </si>
  <si>
    <t>10.1002/ecs2.1489</t>
  </si>
  <si>
    <t>EB2TU</t>
  </si>
  <si>
    <t>WOS:000387216300028</t>
  </si>
  <si>
    <t>Bentall, GB; Rosen, BH; Kunz, JM; Miller, MA; Saunders, GW; LaRoche, NL</t>
  </si>
  <si>
    <t>Bentall, Gena B.; Rosen, Barry H.; Kunz, Jessica M.; Miller, Melissa A.; Saunders, Gary W.; LaRoche, Nicole L.</t>
  </si>
  <si>
    <t>NEMALIALES; FLORIDA</t>
  </si>
  <si>
    <t>[Bentall, Gena B.; LaRoche, Nicole L.] US Geol Survey, Western Ecol Res Ctr, Santa Cruz Field Stn, 100 Shaffer Rd, Santa Cruz, CA 95060 USA; [Rosen, Barry H.] US Geol Survey, 12703 Res Pkwy, Orlando, FL 32826 USA; [Kunz, Jessica M.; Miller, Melissa A.] Calif Dept Fish &amp; Wildlife, Marine Wildlife Vet Care &amp; Res Ctr, 1451 Shaffer Rd, Santa Cruz, CA USA; [Saunders, Gary W.] Univ New Brunswick, POB 4400, Fredericton, NB E3B 5A3, Canada; [Bentall, Gena B.] 6901 Chenango Court, Goleta, CA 93117 USA; [LaRoche, Nicole L.] 1961 Main St,199, Watsonville, CA 95076 USA</t>
  </si>
  <si>
    <t>United States Department of the Interior; United States Geological Survey; United States Department of the Interior; United States Geological Survey; University of New Brunswick</t>
  </si>
  <si>
    <t>Bentall, GB (corresponding author), US Geol Survey, Western Ecol Res Ctr, Santa Cruz Field Stn, 100 Shaffer Rd, Santa Cruz, CA 95060 USA.;Bentall, GB (corresponding author), 6901 Chenango Court, Goleta, CA 93117 USA.</t>
  </si>
  <si>
    <t>gena.b.bentall@gmail.com</t>
  </si>
  <si>
    <t>Saunders, Gary/D-8767-2014</t>
  </si>
  <si>
    <t>Natural Sciences and Engineering Research Council Canada; Canada Foundation for Innovation; New Brunswick Innovation Foundation</t>
  </si>
  <si>
    <t>Natural Sciences and Engineering Research Council Canada(Natural Sciences and Engineering Research Council of Canada (NSERC)); Canada Foundation for Innovation(Canada Foundation for InnovationCGIAR); New Brunswick Innovation Foundation</t>
  </si>
  <si>
    <t>We thank Dr. Martin Tim Tinker of the U.S. Geological Survey Western Ecological Research Center at the Santa Cruz field station for contributing data and advice. Thanks to Michelle Staedler and Jessica Fujii of the Monterey Bay Aquarium Sea Otter Research and Conservation department for contributing data and their extensive knowledge about wild sea otters. The University of Santa Cruz Institutional Animal Care and Use Committee approved the tagging research under permit #Tinkt1309, and tagging and subsequent monitoring was conducted under U.S. Fish and Wildlife Service permit #MA672624 (USGS) and #MA032027 (Monterey Bay Aquarium). Thanks to Ben Shaw, Erin Dodd, Francesca Batac, Michael Harris, and Colleen Young from the California Department of Fish and Wildlife and the Marine Wildlife Veterinary Care and Research Center for assisting with record archives, alerting us to cases, and sample collection and processing. Jack Ames and Brian Hatfield shared their invaluable insight into the history of sea otter research in California. Thanks also to Dr. Robin McClenahan for giving us a tutorial on sea otter pelage. Special thanks to all those who took the time to note the presence of algae on a sea otter. GWS thanks T. Moore for generating the molecular data for this study and the Natural Sciences and Engineering Research Council Canada, Canada Foundation for Innovation, and New Brunswick Innovation Foundation for funding.</t>
  </si>
  <si>
    <t>10.1111/mms.12275</t>
  </si>
  <si>
    <t>DJ6UR</t>
  </si>
  <si>
    <t>WOS:000374349200018</t>
  </si>
  <si>
    <t>Wisely, SM; Ryder, OA; Santymire, RM; Engelhardt, JF; Novak, BJ</t>
  </si>
  <si>
    <t>Wisely, Samantha M.; Ryder, Oliver A.; Santymire, Rachel M.; Engelhardt, John F.; Novak, Ben J.</t>
  </si>
  <si>
    <t>conservation cloning; endangered species management; Mustela nigripes; somatic cell nuclear transfer</t>
  </si>
  <si>
    <t>CELL NUCLEAR TRANSFER; ARTIFICIAL-INSEMINATION; REPRODUCTIVE SCIENCE; MUSTELA-NIGRIPES; DOMESTIC FERRETS; PUTORIUS-FURO; CANIS-LUPUS; CLONING; RESCUE; CONSERVATION</t>
  </si>
  <si>
    <t>Interspecies somatic cell nuclear transfer (iSCNT) could benefit recovery programs of critically endangered species but must be weighed with the risks of failure. To weigh the risks and benefits, a decision-making process that evaluates progress is needed. Experiments that evaluate the efficiency and efficacy of blastocyst, fetal, and post-parturition development are necessary to determine the success or failure or species-specific iSCNT programs. Here, we use the black-footed ferret (Mustela nigripes) as a case study for evaluating this emerging biomedical technology as a tool for genetic restoration. The black-footed ferret has depleted genetic variation yet genome resource banks contain genetic material of individuals not currently represented in the extant lineage. Thus, genetic restoration of the species is in theory possible and could help reduce the persistent erosion of genetic diversity from drift. Extensive genetic, genomic, and reproductive science tools have previously been developed in black-footed ferrets and would aid in the process of developing an iSCNT protocol for this species. Nonetheless, developing reproductive cloning will require years of experiments and a coordinated effort among recovery partners. The information gained from a well-planned research effort with the goal of genetic restoration via reproductive cloning could establish a 21st century model for evaluating and implementing conservation breeding that would be applicable to other genetically impoverished species.</t>
  </si>
  <si>
    <t>[Wisely, Samantha M.] Univ Florida, Dept Wildlife Ecol &amp; Conservat, Gainesville, FL 32611 USA; [Ryder, Oliver A.] San Diego Zoo Global, San Diego Zoo Inst Conservat Res, Escondido, CA 92027 USA; [Santymire, Rachel M.] Davee Ctr Epidemiol &amp; Endocrinol, Chicago, IL 60614 USA; [Engelhardt, John F.] Univ Iowa, Dept Anat &amp; Cell Biol, Iowa City, IA 52242 USA; [Novak, Ben J.] Long Now Fdn, Revive &amp; Restore, San Francisco, CA 94123 USA</t>
  </si>
  <si>
    <t>State University System of Florida; University of Florida; Zoological Society of San Diego; University of Iowa</t>
  </si>
  <si>
    <t>Wisely, SM (corresponding author), Univ Florida, Dept Wildlife Ecol &amp; Conservat, 110 Newins Ziegler Hall, Gainesville, FL 32611 USA.</t>
  </si>
  <si>
    <t>wisely@ufl.edu</t>
  </si>
  <si>
    <t>; Novak, Ben/ONJ-1749-2025</t>
  </si>
  <si>
    <t>Engelhardt, John/0000-0003-2389-9277;</t>
  </si>
  <si>
    <t>University of Florida's Department of Wildlife Ecology and Conservation; Lincoln Park Zoo; San Diego Zoo Institute for Conservation Research; National Institute of Diabetes and Digestive and Kidney Diseases [P30DK054759] Funding Source: NIH RePORTER</t>
  </si>
  <si>
    <t>University of Florida's Department of Wildlife Ecology and Conservation; Lincoln Park Zoo; San Diego Zoo Institute for Conservation Research; National Institute of Diabetes and Digestive and Kidney Diseases(United States Department of Health &amp; Human ServicesNational Institutes of Health (NIH) - USANIH National Institute of Diabetes &amp; Digestive &amp; Kidney Diseases (NIDDK))</t>
  </si>
  <si>
    <t>University of Florida's Department of Wildlife Ecology and Conservation, Lincoln Park Zoo, San Diego Zoo Institute for Conservation Research, and supporters of Revive and Restore (http://longnow.org/revive/our-supporters/).</t>
  </si>
  <si>
    <t>10.1093/jhered/esv041</t>
  </si>
  <si>
    <t>CS0PL</t>
  </si>
  <si>
    <t>WOS:000361764100001</t>
  </si>
  <si>
    <t>Cabria, MT; Gonzalez, EG; Gomez-Moliner, BJ; Michaux, JR; Skumatov, D; Kranz, A; Fournier, P; Palazon, S; Zardoya, R</t>
  </si>
  <si>
    <t>Teresa Cabria, Maria; Gonzalez, Elena G.; Gomez-Moliner, Benjamin J.; Michaux, Johan R.; Skumatov, Dimitry; Kranz, Andreas; Fournier, Pascal; Palazon, Santiago; Zardoya, Rafael</t>
  </si>
  <si>
    <t>BMC EVOLUTIONARY BIOLOGY</t>
  </si>
  <si>
    <t>APPROXIMATE BAYESIAN COMPUTATION; MITOCHONDRIAL-DNA; POPULATION-STRUCTURE; MAXIMUM-LIKELIHOOD; MICROSATELLITE MARKERS; WESTERN POPULATION; STATISTICAL TESTS; COMPUTER-PROGRAM; HISTORY; CONSERVATION</t>
  </si>
  <si>
    <t>Background: The European mink (Mustela lutreola, L. 1761) is a critically endangered mustelid, which inhabits several main river drainages in Europe. Here, we assess the genetic variation of existing populations of this species, including new sampling sites and additional molecular markers (newly developed microsatellite loci specific to European mink) as compared to previous studies. Probabilistic analyses were used to examine genetic structure within and between existing populations, and to infer phylogeographic processes and past demography. Results: According to both mitochondrial and nuclear microsatellite markers, Northeastern (Russia, Estonia and Belarus) and Southeastern (Romania) European populations showed the highest intraspecific diversity. In contrast, Western European (France and Spain) populations were the least polymorphic, featuring a unique mitochondrial DNA haplotype. The high differentiation values detected between Eastern and Western European populations could be the result of genetic drift in the latter due to population isolation and reduction. Genetic differences among populations were further supported by Bayesian clustering and two main groups were confirmed (Eastern vs. Western Europe) along with two contained subgroups at a more local scale (Northeastern vs. Southeastern Europe; France vs. Spain). Conclusions: Genetic data and performed analyses support a historical scenario of stable European mink populations, not affected by Quaternary climate oscillations in the Late Pleistocene, and posterior expansion events following river connections in both North-and Southeastern European populations. This suggests an eastern refuge during glacial maxima (as already proposed for boreal and continental species). In contrast, Western Europe was colonised more recently following either natural expansions or putative human introductions. Low levels of genetic diversity observed within each studied population suggest recent bottleneck events and stress the urgent need for conservation measures to counteract the demographic decline experienced by the European mink.</t>
  </si>
  <si>
    <t>[Teresa Cabria, Maria; Gomez-Moliner, Benjamin J.] Univ Basque Country, Fac Farm, Dept Zool &amp; BCA, Vitoria 01006, Spain; [Teresa Cabria, Maria; Gomez-Moliner, Benjamin J.] Univ Basque Country, Fac Farm, BCA, Vitoria 01006, Spain; [Teresa Cabria, Maria; Michaux, Johan R.] Univ Liege Sart Tilmar, Inst Bot, Lab Biol Evolut, B-4000 Liege, Belgium; [Gonzalez, Elena G.; Zardoya, Rafael] CSIC, Museo Nacl Ciencias Nat, Dept Biodiversidad &amp; Biol Evolut, E-28006 Madrid, Spain; [Michaux, Johan R.] CBGP, F-34988 Montferrier Sur Lez, France; [Skumatov, Dimitry] Russian Res Inst Game Management &amp; Fur Farming, Kirov, Russia; [Kranz, Andreas] BOKU Univ Nat Resources &amp; Life Sci, Inst Wildlife Biol &amp; Game Management, A-1180 Vienna, Austria; [Fournier, Pascal] GREGE, F-33730 Villandraut, France; [Palazon, Santiago] Univ Barcelona, Fac Biol, Dept Biol Anim, E-08028 Barcelona, Spain</t>
  </si>
  <si>
    <t>University of Basque Country; University of Basque Country; Consejo Superior de Investigaciones Cientificas (CSIC); CSIC - Museo Nacional de Ciencias Naturales (MNCN); Institut de Recherche pour le Developpement (IRD); Russian Institute of Game Management &amp; Fur Farming; BOKU University; University of Barcelona</t>
  </si>
  <si>
    <t>Zardoya, R (corresponding author), CSIC, Museo Nacl Ciencias Nat, Dept Biodiversidad &amp; Biol Evolut, Jose Gutierrez Abascal 2, E-28006 Madrid, Spain.</t>
  </si>
  <si>
    <t>rafaz@mncn.csic.es</t>
  </si>
  <si>
    <t>Zardoya, Rafael/B-2291-2012; Gonzalez, Elena G/AAY-3198-2020; Cabria, Maria/C-2293-2012</t>
  </si>
  <si>
    <t>Zardoya, Rafael/0000-0001-6212-9502; Gonzalez, Elena G/0000-0002-4614-3889;</t>
  </si>
  <si>
    <t>LIFE project (Conservacion del vison europeo (Mustela lutreola) en Castilla Leon [LIFE 00/NAT/E7229]; LIFE project La Rioja [LIFE 00/NAT/E7331]; LIFE project Alava [LIFE 00/NAT/E7335]; Diputacion Foral de Alava; University of the Basque Country [GIU 06/09]; Basque Government (BG) [IT317-10, IT575-13]; BG</t>
  </si>
  <si>
    <t>LIFE project (Conservacion del vison europeo (Mustela lutreola) en Castilla Leon; LIFE project La Rioja; LIFE project Alava; Diputacion Foral de Alava; University of the Basque Country(University of Basque Country); Basque Government (BG)(Basque Government); BG</t>
  </si>
  <si>
    <t>The authors thank Gorka Belamendia, Joseba Carreras, Juan Carlos Cena, Angus Davison, Mirenka Ferrer (TRAGSA), Asuncion Gomez, Jorge Gonzalez, Vladimir Katchanovsky, Luis Lobo, Javier Lopez de Luzuriaga, Sisco Manas, Tiit Maran, Javier Pinedo, Madis Podra, Javier Zabala, Inigo Zuberogoitia and the Wildlife Recovery Centres of Martioda-Alava and Burgos (Castilla Leon) for providing the different mustelid samples. This work was partially funded by three LIFE projects (Conservacion del vison europeo (Mustela lutreola) en Castilla Leon LIFE 00/NAT/E7229, La Rioja LIFE 00/NAT/E7331 and Alava LIFE 00/NAT/E7335), and grants from the Diputacion Foral de Alava and the University of the Basque Country (GIU 06/09) awarded to BJGM. The Basque Government (BG) also financed this study (project numbers IT317-10; IT575-13). MTC had a fellowship from the BG.</t>
  </si>
  <si>
    <t>1471-2148</t>
  </si>
  <si>
    <t>BMC EVOL BIOL</t>
  </si>
  <si>
    <t>BMC Evol. Biol.</t>
  </si>
  <si>
    <t>JUL 17</t>
  </si>
  <si>
    <t>10.1186/s12862-015-0427-9</t>
  </si>
  <si>
    <t>CM8SJ</t>
  </si>
  <si>
    <t>WOS:000357972000002</t>
  </si>
  <si>
    <t>Stewart, NL; Konar, B; Tinker, MT</t>
  </si>
  <si>
    <t>Stewart, Nathan L.; Konar, Brenda; Tinker, M. Tim</t>
  </si>
  <si>
    <t>OECOLOGIA</t>
  </si>
  <si>
    <t>Prey quality; Habitat complexity; Predation risk</t>
  </si>
  <si>
    <t>POPULATION DECLINES; EUMETOPIAS-JUBATUS; KELP FORESTS; PATCH USE; SELECTION; RISK; PATTERNS; LIONS; AVAILABILITY; ARCHIPELAGO</t>
  </si>
  <si>
    <t>Sea otters (Enhydra lutris) inhabiting the Aleutian Islands have stabilized at low abundance levels following a decline and currently exhibit restricted habitat-utilization patterns. Possible explanations for restricted habitat use by sea otters can be classified into two fundamentally different processes, bottom-up and top-down forcing. Bottom-up hypotheses argue that changes in the availability or nutritional quality of prey resources have led to the selective use of habitats that support the highest quality prey. In contrast, top-down hypotheses argue that increases in predation pressure from killer whales have led to the selective use of habitats that provide the most effective refuge from killer whale predation. A third hypothesis suggests that current restricted habitat use is based on a need for protection from storms. We tested all three hypotheses for restricted habitat use by comparing currently used and historically used sea otter foraging locations for: (1) prey availability and quality, (2) structural habitat complexity, and (3) exposure to prevailing storms. Our findings suggest that current use is based on physical habitat complexity and not on prey availability, prey quality, or protection from storms, providing further evidence for killer whale predation as a cause for restricted sea otter habitat use in the Aleutian Islands.</t>
  </si>
  <si>
    <t>[Stewart, Nathan L.; Konar, Brenda] Univ Alaska Fairbanks, Sch Fisheries &amp; Ocean Sci, Fairbanks, AK 99775 USA; [Tinker, M. Tim] US Geol Survey, Long Marine Lab, Western Ecol Res Ctr, Santa Cruz, CA 95060 USA</t>
  </si>
  <si>
    <t>University of Alaska System; University of Alaska Fairbanks; United States Department of the Interior; United States Geological Survey</t>
  </si>
  <si>
    <t>Konar, B (corresponding author), Univ Alaska Fairbanks, Sch Fisheries &amp; Ocean Sci, 217 ONeill,POB 757220, Fairbanks, AK 99775 USA.</t>
  </si>
  <si>
    <t>nlstewar@bu.edu; bhkonar@alaska.edu; ttinker@usgs.gov</t>
  </si>
  <si>
    <t>National Science Foundation [0647635]; Robert Byrd Research Award; Frances and Alfred Baker Memorial Scholarship in Marine Biology; Ken Turner Memorial Research Grant; Alaska Maritime Wildlife Refuge; R/V Tiglax; Directorate For Geosciences; Division Of Ocean Sciences [0647635] Funding Source: National Science Foundation</t>
  </si>
  <si>
    <t>National Science Foundation(National Science Foundation (NSF)); Robert Byrd Research Award; Frances and Alfred Baker Memorial Scholarship in Marine Biology; Ken Turner Memorial Research Grant; Alaska Maritime Wildlife Refuge; R/V Tiglax; Directorate For Geosciences; Division Of Ocean Sciences(National Science Foundation (NSF)NSF - Directorate for Geosciences (GEO))</t>
  </si>
  <si>
    <t>We would like to thank J. A. Estes for valuable comments and logistical support during this study. Contributions from D. M. Thomas, B. P. Kelly, and M. J. Wooller contributed greatly to earlier drafts of this manuscript. Special thanks to T. Efird, M. Stewart, S. Beaudreault, and J. P. Smelter for their assistance in the field. This research was primarily funded by the National Science Foundation (to B. K., award no. 0647635). Other financial support (to N. S.) was provided by the Robert Byrd Research Award, the Frances and Alfred Baker Memorial Scholarship in Marine Biology, and the Ken Turner Memorial Research Grant. This work would not have been possible without the support of the Alaska Maritime Wildlife Refuge, the R/V Tiglax, and US Fish and Wildlife Service staff at the Adak field office. All work reported in this paper was done in compliance with US law. Any use of trade, product, or firm names in this publication is for descriptive purposes only and does not imply endorsement by the US government.</t>
  </si>
  <si>
    <t>0029-8549</t>
  </si>
  <si>
    <t>1432-1939</t>
  </si>
  <si>
    <t>Oecologia</t>
  </si>
  <si>
    <t>10.1007/s00442-014-3149-6</t>
  </si>
  <si>
    <t>CC0NV</t>
  </si>
  <si>
    <t>WOS:000350033500003</t>
  </si>
  <si>
    <t>Korablev, MP; Korablev, PN; Korablev, NP; Tumanov, IL</t>
  </si>
  <si>
    <t>Korablev, M. P.; Korablev, P. N.; Korablev, N. P.; Tumanov, I. L.</t>
  </si>
  <si>
    <t>BIOLOGY BULLETIN</t>
  </si>
  <si>
    <t>GENETICS; HISTORY</t>
  </si>
  <si>
    <t>Intrapopulation polymorphism of the European mink (Mustela lutreola) at the phenetic, morphometric, and molecular genetic levels has been evaluated by analyzing the collection of skulls (n = 103) compiled during the period of demographic decline and practical extinction of the population. The results provide evidence for the reduction of phenetic diversity, high-level dynamics of the phene pool, increased levels of fluctuating asymmetry and frequency of oligodontia, and low variation in craniometric characters. In the aggregate, these changes may be indicative of high mortality and increased, but not critical, level of inbreeding. However, parameters of nucleotide and haplotype diversity in the European mink exceed those in closely related species, the European polecat (Mustela putorius L.) and pine marten (Martes martes L.).</t>
  </si>
  <si>
    <t>[Korablev, M. P.; Korablev, P. N.] Russian Acad Sci, Severtsov Inst Ecol &amp; Evolut, Moscow 119991, Russia; [Korablev, M. P.] Cent Forest State Biosphere Reserve, Zapovednyi 172513, Tver Oblast, Russia; [Korablev, N. P.] Velikie Luki State Agr Acad, Velikie Luki 182112, Pskov Oblast, Russia; [Tumanov, I. L.] Russian Acad Agr Sci, Western Branch, Zhitkov All Russia Res Inst Game Management &amp; Ani, St Petersburg 199004, Russia</t>
  </si>
  <si>
    <t>Russian Academy of Sciences; Saratov Scientific Center of the Russian Academy of Sciences; Severtsov Institute of Ecology &amp; Evolution</t>
  </si>
  <si>
    <t>Korablev, MP (corresponding author), Russian Acad Sci, Severtsov Inst Ecol &amp; Evolut, Moscow 119991, Russia.</t>
  </si>
  <si>
    <t>cranlab@mail.ru</t>
  </si>
  <si>
    <t>; Korablev, Pavel/GQZ-2324-2022; Tumanov, Igor/AAC-5472-2021; Korablev, Miroslav/G-2450-2018</t>
  </si>
  <si>
    <t>Korablev, Miroslav/0000-0002-6943-7142;</t>
  </si>
  <si>
    <t>Special Research Program Biological Diversity of the Presidium of the Russian Academy of Sciences</t>
  </si>
  <si>
    <t>Molecular genetic studies were performed at the Molecular Diagnostics Center of Severtsov Institute of Ecology and Evolution, Russian Academy of Sciences, under support from the Special Research Program Biological Diversity of the Presidium of the Russian Academy of Sciences.</t>
  </si>
  <si>
    <t>1062-3590</t>
  </si>
  <si>
    <t>1608-3059</t>
  </si>
  <si>
    <t>BIOL BULL+</t>
  </si>
  <si>
    <t>Biol. Bull</t>
  </si>
  <si>
    <t>10.1134/S1062359014070036</t>
  </si>
  <si>
    <t>AU1RS</t>
  </si>
  <si>
    <t>WOS:000345398600006</t>
  </si>
  <si>
    <t>Carlson, JE; Gilbert, JH; Pokallus, JW; Manlick, PJ; Moss, WE; Pauli, JN</t>
  </si>
  <si>
    <t>Carlson, Jenna E.; Gilbert, Jonathan H.; Pokallus, John W.; Manlick, Philip J.; Moss, Wynne E.; Pauli, Jonathan N.</t>
  </si>
  <si>
    <t>food habits; generalist; Martes americana; reintroduction; specialist; stable isotopes</t>
  </si>
  <si>
    <t>POPULATION-DYNAMICS; DIET; MAMMALS</t>
  </si>
  <si>
    <t>The American marten (Martes americana), the only state-listed endangered mammal in Wisconsin, has undergone serial reintroductions within the state. Recovery has been slower than anticipated and the limiting factors remain unidentified. The lack of basic knowledge on marten foraging in the Great Lakes Region led us to quantify the diet of martens inhabiting the Chequamegon-Nicolet National Forest (CNNF) in northern Wisconsin using a dual approach of scat and stable isotope analyses. We collected marten scat at winter rest sites within the CNNF from 2000-2011. We identified prey items based on morphological characteristics of indigestible prey remains and calculated percent occurrence for each prey item. We sampled marten hair from museum specimens, and opportunistically from carcasses within the CNNF for isotopic analysis. We collected hair and feather samples from potential prey species in the CNNF in 2010-2013. Our concurrent analyses revealed that shrews and deer were most important to the diet of martens in Wisconsin. These findings contrast with studies conducted elsewhere that report voles as the principle diet items, and shrews as one of the least used prey items. Consequently, such a strong reliance on secondary, less profitable or high-risk prey could be contributing to the delayed recovery of martens in Wisconsin. (c) 2014 The Wildlife Society.</t>
  </si>
  <si>
    <t>[Carlson, Jenna E.; Pokallus, John W.; Manlick, Philip J.; Moss, Wynne E.; Pauli, Jonathan N.] Univ Wisconsin, Dept Forestry &amp; Wildlife Ecol, Madison, WI 53706 USA; [Gilbert, Jonathan H.] Great Lakes Indian Fish &amp; Wildlife Commiss, Odanah, WI 54861 USA</t>
  </si>
  <si>
    <t>University of Wisconsin System; University of Wisconsin Madison</t>
  </si>
  <si>
    <t>Carlson, JE (corresponding author), Univ Wisconsin, Dept Forestry &amp; Wildlife Ecol, 1630 Linden Dr, Madison, WI 53706 USA.</t>
  </si>
  <si>
    <t>Manlick, Philip/HSH-0513-2023</t>
  </si>
  <si>
    <t>Manlick, Philip/0000-0001-9143-9446; Moss, Wynne/0000-0002-2813-1710</t>
  </si>
  <si>
    <t>Great Lakes Indian Fish and Wildlife Commission; Department of Forest and Wildlife Ecology at the University of Wisconsin-Madison</t>
  </si>
  <si>
    <t>Funding for this study was provided by the Great Lakes Indian Fish and Wildlife Commission. We thank R. Parisien for helping to collect of prey and scat samples. We are grateful to B. Kirby and J. Woodford for fieldwork assistance, and S. Temple for help with bird feather identification. Publication costs were paid for by the Department of Forest and Wildlife Ecology at the University of Wisconsin-Madison.</t>
  </si>
  <si>
    <t>10.1002/jwmg.785</t>
  </si>
  <si>
    <t>AS6OP</t>
  </si>
  <si>
    <t>WOS:000344382900019</t>
  </si>
  <si>
    <t>Tucker, JM; Schwartz, MK; Truex, RL; Wisely, SM; Allendorf, FW</t>
  </si>
  <si>
    <t>Tucker, Jody M.; Schwartz, Michael K.; Truex, Richard L.; Wisely, Samantha M.; Allendorf, Fred W.</t>
  </si>
  <si>
    <t>Fisher; Pekania pennanti; Isolation by distance; Population subdivision; Sampling</t>
  </si>
  <si>
    <t>MARTES-PENNANTI; POPULATION-STRUCTURE; MICROSATELLITE ANALYSIS; BIOGEOGRAPHIC HISTORY; LANDSCAPE GENETICS; BAYESIAN METHODS; LOCI; CONNECTIVITY; DISPERSAL; VARIABILITY</t>
  </si>
  <si>
    <t>The small population of fisher (Pekania pennanti) in the southern Sierra Nevada is completely geographically and genetically isolated putting it at increased risk of extinction. Previous research using a clustered sampling scheme found a high amount of genetic subdivision within the southern Sierra Nevada population hypothesized to be caused by the Kings River Canyon. In this study, we use a larger and more geographically continuous set of genetic samples (n = 127) than was previously available to test this hypothesis and evaluate the genetic structure of the population. Both spatial and non-spatial population assignment models found three primary genetic clusters with moderate divergence between the clusters (F-ST = 0.05-0.13) at 10 microsatellite loci. These clusters appear to be associated with areas around the Kings River and Mountain Home State Demonstration Forest. One model also detected additional fine scale subdivision north of the Kings River that may be evidence of founder effects from a recent population expansion. The amount of population subdivision detected in this study is lower than previously found and indicates that while certain landscape features may reduce gene flow, these landscape features may be less of a barrier than initially thought. In the previous work, samples were collected in clusters which can inflate estimates of population structure by increasing the likelihood of oversampling related individuals. This study demonstrates how clustered sampling from a continuously distributed population can affect the assessment of population subdivision and influence conservation implications.</t>
  </si>
  <si>
    <t>[Tucker, Jody M.] Sequoia Natl Forest, Porterville, CA 93257 USA; [Tucker, Jody M.] Univ Montana, Wildlife Biol Program, Missoula, MT 59812 USA; [Tucker, Jody M.; Schwartz, Michael K.] US Forest Serv, Rocky Mt Res Stn, USDA, Missoula, MT 59801 USA; [Truex, Richard L.] US Forest Serv, USDA, Golden, CO 80401 USA; [Wisely, Samantha M.] Univ Florida, Dept Wildlife Ecol &amp; Conservat, Gainesville, FL USA; [Allendorf, Fred W.] Univ Montana, Div Biol Sci, Missoula, MT 59812 USA</t>
  </si>
  <si>
    <t>University of Montana System; University of Montana; United States Department of Agriculture (USDA); United States Forest Service; United States Department of Agriculture (USDA); United States Forest Service; State University System of Florida; University of Florida; University of Montana System; University of Montana</t>
  </si>
  <si>
    <t>Tucker, JM (corresponding author), US Forest Serv, Rocky Mt Res Stn, USDA, 800 East Beckwith Ave, Missoula, MT 59801 USA.</t>
  </si>
  <si>
    <t>USDA Forest Service Region 5; Rocky Mountain Research Station; University of Montana; National Fish and Wildlife Foundation</t>
  </si>
  <si>
    <t>USDA Forest Service Region 5; Rocky Mountain Research Station(United States Department of Agriculture (USDA)United States Forest Service); University of Montana; National Fish and Wildlife Foundation</t>
  </si>
  <si>
    <t>We thank K. Pilgrim, C. Engkjer and P. Minton-Edison for laboratory assistance, and J. Whitfield, J. Bolis and the field crew of the Sierra Nevada Carnivore Monitoring Program. We would also like to thank M. Mitchell, M. Hebblewhite, D. Patterson, Z. Hanley and the anonymous reviewers for their comments the manuscript. This work was supported by the USDA Forest Service Region 5, the Rocky Mountain Research Station, the University of Montana, and the National Fish and Wildlife Foundation.</t>
  </si>
  <si>
    <t>10.1007/s10592-013-0525-4</t>
  </si>
  <si>
    <t>AC2UR</t>
  </si>
  <si>
    <t>WOS:000332372300010</t>
  </si>
  <si>
    <t>Costa, M; Fernandes, C; Birks, JDS; Kitchener, AC; Santos-Reis, M; Bruford, MW</t>
  </si>
  <si>
    <t>Costa, M.; Fernandes, C.; Birks, J. D. S.; Kitchener, A. C.; Santos-Reis, M.; Bruford, M. W.</t>
  </si>
  <si>
    <t>Britain; European polecat; hybridization; microsatellites; Mustela furo; Mustela putorius</t>
  </si>
  <si>
    <t>EFFECTIVE POPULATION-SIZE; CATS FELIS-SILVESTRIS; ENDANGERED EUROPEAN MINK; MUSTELA-PUTORIUS; DOMESTIC CATS; HYBRID ZONE; GENOTYPING ERRORS; COMPUTER-PROGRAM; HYBRIDIZATION; WILD</t>
  </si>
  <si>
    <t>In the 19th century, the British polecat suffered a demographic contraction, as a consequence of direct persecution, reaching its lowest population in the years that preceded the First World War. The polecat is now recovering and expanding throughout Britain, but introgressive hybridization with feral ferrets has been reported, which could be masking the true range of the polecat and introducing domestic genes into the species. We used a fragment of the mitochondrial DNA control region and 11 microsatellite loci to characterize the frequency and extent of hybridization and introgression between the two species and assess whether the 19th-century decline corresponded to a genetic bottleneck in the polecat. The proportion of admixture detected in the wild was high (31%) and hybrids were more frequently found outside Wales, suggesting that hybridization is more likely to occur along the eastern edge of the polecat's range expansion. The patterns observed in the mitochondrial and nuclear DNA data show that introgression was mediated by crosses between male polecats and female ferrets, whose offspring backcrossed with polecats. No first-generation (F-1) hybrids were identified, and the broad range of observed admixture proportions agrees with a scenario of past extensive hybridization between the two species. Using several different methods to investigate demographic history, we did not find consistent evidence for a genetic bottleneck in the British polecat, a result that could be interpreted as a consequence of hybridization with ferrets. Our results highlight the importance of the Welsh polecat population for the conservation and restoration of the genetic identity of the British polecat.</t>
  </si>
  <si>
    <t>[Costa, M.; Fernandes, C.; Santos-Reis, M.] Univ Lisbon, Fac Ciencias, Ctr Biol Ambiental, P-1749016 Lisbon, Portugal; [Costa, M.; Bruford, M. W.] Cardiff Univ, Sch Biosci, OnE Organisms &amp; Environm Div, Cardiff CF10 3AX, S Glam, Wales; [Birks, J. D. S.] Swift Ecol Ltd, West Malvern WR14 4BQ, Worcs, England; [Kitchener, A. C.] Natl Museums Scotland, Edinburgh EH1 1JF, Midlothian, Scotland</t>
  </si>
  <si>
    <t>Universidade de Lisboa; Cardiff University</t>
  </si>
  <si>
    <t>Costa, M (corresponding author), Univ Lisbon, Fac Ciencias, Ctr Biol Ambiental, Edificio C2,5 Piso, P-1749016 Lisbon, Portugal.</t>
  </si>
  <si>
    <t>CostaMB@cardiff.ac.uk</t>
  </si>
  <si>
    <t>Bruford, Michael/D-3750-2009; Fernandes, Carlos/J-3045-2013; Santos-Reis, Margarida/H-4064-2011</t>
  </si>
  <si>
    <t>Bruford, Michael/0000-0001-6357-6080; Kitchener, Anew/0000-0003-2594-0827; Costa, Mafalda/0000-0003-1329-8929; Fernandes, Carlos/0000-0002-1386-8103; Santos-Reis, Margarida/0000-0002-0337-963X</t>
  </si>
  <si>
    <t>Fundacao para a Ciencia e Tecnologia (FCT, MCTES, Portugal) [SFRH/BD/32488/2006, C2007-UL-342-CBA1]; Fundação para a Ciência e a Tecnologia [SFRH/BD/32488/2006] Funding Source: FCT</t>
  </si>
  <si>
    <t>Fundacao para a Ciencia e Tecnologia (FCT, MCTES, Portugal)(Fundacao para a Ciencia e a Tecnologia (FCT)); Fundação para a Ciência e a Tecnologia</t>
  </si>
  <si>
    <t>The authors gratefully acknowledge The Vincent Wildlife Trust, National Museums of Scotland, Thomas Bodey, Rhian Rowson (Bristol Museum), The British Ferret Club, Droitwich Ferret Welfare, Greenmeadow Farm Community, Haven Vets, Linz Morrison, Sioned Warrell and South Wales Animal Rescue for providing polecat and ferret samples. M. C. and C. F. acknowledge financial support from Fundacao para a Ciencia e Tecnologia (FCT, MCTES, Portugal) through, respectively, the PhD fellowship SFRH/BD/32488/2006 and the Ciencia 2007 contract C2007-UL-342-CBA1.</t>
  </si>
  <si>
    <t>10.1111/mec.12456</t>
  </si>
  <si>
    <t>233EW</t>
  </si>
  <si>
    <t>WOS:000325550000007</t>
  </si>
  <si>
    <t>Ethier, DM; Laflèche, A; Swanson, BJ; Nocera, JJ; Kyle, CJ</t>
  </si>
  <si>
    <t>Ethier, D. M.; Lafleche, A.; Swanson, B. J.; Nocera, J. J.; Kyle, C. J.</t>
  </si>
  <si>
    <t>Taxidea taxus; American badger; mtDNA; subspecies; genetic diversity</t>
  </si>
  <si>
    <t>GENETIC-STRUCTURE; MITOCHONDRIAL; MODEL; ECOLOGY</t>
  </si>
  <si>
    <t>In Canada, three subspecies of American badgers (Taxidea taxus (Schreber, 1777)) traditionally are identified; two of which are listed as endangered because of their restricted geographic range and low population sizes. To verify their subspecific designations and genetic insularity, we analyzed mitochondrial control region sequences within and among badger subspecies (Taxidea taxus jacksoni Schantz, 1946, Taxidea taxus jeffersonii (Harlan, 1825), and Taxidea taxus taxus (Schreber, 1777)) from nine locations in Canada and bordering United States. Although subspecies designations were supported (a priori subspecific designations, n = 3, AMOVA: F-ST = 0.40, p &lt; 0.001), insular populations also were found within subspecific ranges as shown by spatial analysis of molecular variation, which suggested that our sample set consisted of five genetic groups (F-ST = 0.39, p &lt; 0.001). These five distinct groupings included the subdivision of T. t. jeffersonii on either side of the Selkirk Mountains, and of T t. jacksoni in the western part of its range grouping more closely with T. t. taxi's of Manitoba. These results indicate that endangered populations of badgers may be more segregated than previously identified using morphological characteristics as proxies for subspecific designation. These results have important implications for the conservation of badgers in Canada, particularly of the two endangered subspecies.</t>
  </si>
  <si>
    <t>[Lafleche, A.; Kyle, C. J.] Trent Univ, Dept Forens Sci, Peterborough, ON K9J 7B8, Canada; [Swanson, B. J.] Cent Michigan Univ, Dept Biol, Mt Pleasant, MI 48859 USA; [Nocera, J. J.] Trent Univ, Ontario Minist Nat Resources, Peterborough, ON K9J 7B8, Canada</t>
  </si>
  <si>
    <t>Trent University; Central Michigan University; Trent University; Ministry of Natural Resources &amp; Forestry</t>
  </si>
  <si>
    <t>Kyle, CJ (corresponding author), Trent Univ, Dept Forens Sci, 2140 E Bank Dr, Peterborough, ON K9J 7B8, Canada.</t>
  </si>
  <si>
    <t>chris.kyle@nrdpfc.ca</t>
  </si>
  <si>
    <t>Swanson, Bradley/0000-0002-0360-3590; Nocera, Joseph/0000-0002-5913-8851</t>
  </si>
  <si>
    <t>Ontario Species at Risk Stewardship Fund; World Wildlife Foundation; Ontario Ministry of Natural Resources</t>
  </si>
  <si>
    <t>We thank the Ontario Badger Recovery Team, Ontario Ministry of Natural Resources, Ontario Royal Museum, Michigan Department of Natural Resources, North American Fur Auctions, B. McClymont (Alberta Fish and Wildlife), O. Dyer (British Columbia Ministry of Water, Land, and Air Protection), D. Berezanski (Manitoba Conservation), R. Weir and H. Davis (Artemis Wildlife Consultants), N. Newhouse (Sylvan Consulting Inc.), and countless field technicians for samples. We also thank S. Coulson for her assistance in the laboratory. This work was funded in part by the Ontario Species at Risk Stewardship Fund, Species at Risk Research Fund for Ontario/World Wildlife Foundation, and the Ontario Ministry of Natural Resources. Finally, we thank J. Sayers for providing comments on earlier drafts of the manuscript.</t>
  </si>
  <si>
    <t>10.1139/Z2012-029</t>
  </si>
  <si>
    <t>951PR</t>
  </si>
  <si>
    <t>WOS:000304733000010</t>
  </si>
  <si>
    <t>Poessel, SA; Breck, SW; Biggins, DE; Livieri, TM; Crooks, KR; Angeloni, L</t>
  </si>
  <si>
    <t>Poessel, Sharon A.; Breck, Stewart W.; Biggins, Dean E.; Livieri, Travis M.; Crooks, Kevin R.; Angeloni, Lisa</t>
  </si>
  <si>
    <t>Bubo virginianus; Canis latrans; coyote; great horned owl; habitat selection; Mustela nigripes; predation risk</t>
  </si>
  <si>
    <t>ECOLOGY; COYOTE; ATTRIBUTES; AVOIDANCE; SURVIVAL; RISK; FEAR</t>
  </si>
  <si>
    <t>Predation can be a critical factor influencing recovery of endangered species. In most recovery efforts lethal and nonlethal influences of predators are not sufficiently understood to allow prediction of predation risk, despite its importance. We investigated whether landscape features could be used to model predation risk from coyotes (Canis latrans) and great horned owls (Bubo virginianus) on the endangered black-footed ferret (Mustela nigripes). We used location data of reintroduced ferrets from 3 sites in South Dakota to determine whether exposure to landscape features typically associated with predators affected survival of ferrets, and whether ferrets considered predation risk when choosing habitat near perches potentially used by owls or near linear features predicted to be used by coyotes. Exposure to areas near likely owl perches reduced ferret survival, but landscape features potentially associated with coyote movements had no appreciable effect on survival. Ferrets were located within 90 m of perches more than expected in 2 study sites that also had higher ferret mortality due to owl predation. Densities of potential coyote travel routes near ferret locations were no different than expected in all 3 sites. Repatriated ferrets might have selected resources based on factors other than predator avoidance. Considering an easily quantified landscape feature (i.e., owl perches) can enhance success of reintroduction efforts for ferrets. Nonetheless, development of predictive models of predation risk and management strategies to mitigate that risk is not necessarily straightforward for more generalist predators such as coyotes.</t>
  </si>
  <si>
    <t>[Poessel, Sharon A.; Crooks, Kevin R.; Angeloni, Lisa] Colorado State Univ, Grad Degree Program Ecol, Ft Collins, CO 80523 USA; [Breck, Stewart W.] Wildlife Serv, USDA, Natl Wildlife Res Ctr, Ft Collins, CO 80521 USA; [Biggins, Dean E.] US Geol Survey, Ft Collins Sci Ctr, Ft Collins, CO 80526 USA; [Livieri, Travis M.] Prairie Wildlife Res, Wellington, CO 80549 USA; [Crooks, Kevin R.] Colorado State Univ, Dept Fish Wildlife &amp; Conservat Biol, Ft Collins, CO 80523 USA; [Angeloni, Lisa] Colorado State Univ, Dept Biol, Ft Collins, CO 80523 USA</t>
  </si>
  <si>
    <t>Colorado State University System; Colorado State University Fort Collins; United States Department of Agriculture (USDA); United States Department of the Interior; United States Geological Survey; Colorado State University System; Colorado State University Fort Collins; Colorado State University System; Colorado State University Fort Collins</t>
  </si>
  <si>
    <t>Poessel, SA (corresponding author), Utah State Univ, Dept Wildland Resources, 5230 Old Main Hill, Logan, UT 84322 USA.</t>
  </si>
  <si>
    <t>sharpoes@gmail.com</t>
  </si>
  <si>
    <t>Breck, Stewart/GWC-5825-2022; Poessel, Sharon/B-3651-2013</t>
  </si>
  <si>
    <t>Poessel, Sharon/0000-0002-0283-627X</t>
  </si>
  <si>
    <t>Colorado State University; Rocky Mountain Goat Foundation; Hill Memorial Fellowship; Women in Natural Sciences Fellowship; United States Geological Survey; Park Service; United States Forest Service</t>
  </si>
  <si>
    <t>Colorado State University(Colorado State University Fort Collins); Rocky Mountain Goat Foundation; Hill Memorial Fellowship; Women in Natural Sciences Fellowship; United States Geological Survey(United States Geological Survey); Park Service; United States Forest Service(United States Department of Agriculture (USDA)United States Forest Service)</t>
  </si>
  <si>
    <t>We especially appreciate the efforts of dedicated staff members at the National Black-footed Ferret Conservation Center (Wyoming), the Louisville Zoological Gardens, and the Phoenix Zoo for providing the ferrets we released. We thank G. Plumb of the National Park Service and B. Perry and P. McDonald of the United States Forest Service for their invaluable contributions to the radiocollaring and tracking of ferrets. We are indebted to the many technicians who spent long nights radiotracking the released ferrets. We thank C. Burdett for geographic information system assistance and R. Scherer and G. White for statistical advice. We also thank W. D. Walter and J. Resnik for providing comments on this manuscript. This study was supported by Colorado State University, the Rocky Mountain Goat Foundation, the Hill Memorial Fellowship, and the Women in Natural Sciences Fellowship. Support for the radiotelemetry work was provided by the United States Geological Survey, the National Park Service, and the United States Forest Service.</t>
  </si>
  <si>
    <t>10.1644/10-MAMM-S-061.1</t>
  </si>
  <si>
    <t>WOS:000294314900005</t>
  </si>
  <si>
    <t>Centron, D; Ramirez, B; Fasola, L; Macdonald, DW; Chehebar, C; Schiavini, A; Cassini, MH</t>
  </si>
  <si>
    <t>Centron, Daniela; Ramirez, Benjamin; Fasola, Laura; Macdonald, David W.; Chehebar, Claudio; Schiavini, Adrian; Cassini, Marcelo H.</t>
  </si>
  <si>
    <t>MITOCHONDRIAL-DNA VARIATION; LUTRA-LUTRA; CONSERVATION</t>
  </si>
  <si>
    <t>Lontra provocax is an endemic species from Patagonia that has been categorized as endangered by the International Union for Conservation of Nature. In this study, noninvasive molecular methods were used to investigate the genetic diversity and haplotype distribution of L. provocax in Argentinean Patagonia. We analyzed 150 scat samples collected from 1995 to 2006 and obtained 13 sequences of control region with 1 haplotype and 34 sequences of cytochrome b with 4 haplotypes. The population of the south of Patagonia (Tierra del Fuego and De los Estados Island) showed a relatively high haplotype diversity (h = 0.71) and was statistically different to the population of the north (analysis of molecular variance, F-ST = 0.15, P = 0.018). We concluded that there are 2 different subpopulations of L. provocax that deserve conservation attention and that the southern population appears not to have suffered a human-induced population bottleneck of the sort typically experienced by various otter species around the world.</t>
  </si>
  <si>
    <t>[Fasola, Laura; Cassini, Marcelo H.] Organ PROFAUNA, Buenos Aires, DF, Argentina; [Centron, Daniela; Ramirez, Benjamin] Univ Buenos Aires, Fac Med, Dept Microbiol Immunol &amp; Parasitol, RA-1053 Buenos Aires, DF, Argentina; [Fasola, Laura; Macdonald, David W.] Univ Oxford, Wildlife Conservat Res Unit, Dept Zool, Tubney OX13 5QL, Oxon, England; [Chehebar, Claudio] Adm Parques Nacl, San Carlos De Bariloche, Rio Negro, Argentina; [Schiavini, Adrian] Ctr Austral Invest Cient, Tierra Del Fuego, Argentina; [Cassini, Marcelo H.] Univ Nacl Lujan, Dept Ciencias Basic, RA-6700 Lujan, Argentina</t>
  </si>
  <si>
    <t>University of Buenos Aires; University of Oxford; Universidad Nacional de Lujan</t>
  </si>
  <si>
    <t>Cassini, MH (corresponding author), Organ PROFAUNA, Buenos Aires, DF, Argentina.</t>
  </si>
  <si>
    <t>mhcassini@yahoo.com.ar</t>
  </si>
  <si>
    <t>Centron, Daniela/0000-0001-9308-3762; Schiavini, Aian Carlos Miguel/0000-0001-6621-4827</t>
  </si>
  <si>
    <t>10.1093/jhered/esm117</t>
  </si>
  <si>
    <t>278NX</t>
  </si>
  <si>
    <t>WOS:000254294700016</t>
  </si>
  <si>
    <t>Wisely, SM; Santymire, RM; Livieri, TM; Mueting, SA; Howard, J</t>
  </si>
  <si>
    <t>Wisely, Samantha M.; Santymire, Rachel M.; Livieri, Travis M.; Mueting, Sara A.; Howard, JoGayle</t>
  </si>
  <si>
    <t>genetic monitoring; genetic restoration; population bottleneck; reintroduction; translocation</t>
  </si>
  <si>
    <t>INBREEDING DEPRESSION; GENETIC MANAGEMENT; ONE-MIGRANT; POPULATION; EXTINCTION; CONSERVATION; FITNESS; SIZE; TRANSLOCATION; RESTORATION</t>
  </si>
  <si>
    <t>Population augmentation with translocated individuals has been shown to alleviate the effects of bottlenecks and drift. The first step to determine whether restoration for genetic considerations is warranted is to genetically monitor reintroduced populations and compare results to those from the source. To assess the need for genetic restoration, we evaluated genetic diversity and structure of reintroduced (n = 3) and captive populations of the endangered black-footed ferret (Mustela nigripes). We measured genotypic changes among populations using seven microsatellite markers and compared phenotypic changes with eight morphometric characters. Results indicated that for the population which rapidly grew post-reintroduction, genetic diversity was equivalent to the captive, source population. When growth languished, only the population that was augmented yearly maintained diversity. Without augmentation, allelic diversity declined precipitously and phenotypic changes were apparent. Ferrets from the genetically depaupertate population had smaller limbs and smaller overall body size than ferrets from the two populations with greater diversity. Population divergence (F-ST = 0.10 +/- 0.01) was surprisingly high given the common source of populations. Thus, it appears that 5-10 years of isolation resulted in both genotypic divergence and phenotypic changes to populations. We recommend translocation of 30-40 captive individuals per annum to reintroduction sites which have not become established quickly. This approach will maximize the retention of genetic diversity, yet maintain the beneficial effects of local adaptation without being swamped by immigration.</t>
  </si>
  <si>
    <t>[Wisely, Samantha M.; Mueting, Sara A.] Kansas State Univ, Div Biol, Manhattan, KS 66506 USA; [Santymire, Rachel M.] Lincoln Pk Zoo, Davee Ctr Epidemiol &amp; Endocrinol, Chicago, IL 60614 USA; [Santymire, Rachel M.] Smithsonian Natl Zool Pk, Dept Reprod Sci Conservat &amp; Res Ctr, Front Royal, VA 22630 USA; [Livieri, Travis M.] Prairie Wildlife Res, Wellington, CO 80549 USA; [Howard, JoGayle] Smithsonian Inst, Natl Zool Pk, Dept Reprod Sci, Washington, DC 20008 USA</t>
  </si>
  <si>
    <t>Kansas State University; Smithsonian Institution; Smithsonian National Zoological Park &amp; Conservation Biology Institute; Smithsonian Institution; Smithsonian National Zoological Park &amp; Conservation Biology Institute</t>
  </si>
  <si>
    <t>Wisely, SM (corresponding author), Kansas State Univ, Div Biol, 116 Ackert Hall, Manhattan, KS 66506 USA.</t>
  </si>
  <si>
    <t>10.1007/s10592-007-9351-x</t>
  </si>
  <si>
    <t>277VI</t>
  </si>
  <si>
    <t>WOS:000254242400014</t>
  </si>
  <si>
    <t>Zagrebelnyi, SV; Fomin, VV; Burdin, AM</t>
  </si>
  <si>
    <t>Zagrebelnyi, S. V.; Fomin, V. V.; Burdin, A. M.</t>
  </si>
  <si>
    <t>RUSSIAN JOURNAL OF ECOLOGY</t>
  </si>
  <si>
    <t>sea otter; Enhydra lutris; Commander Islands; abundance; age population structure; sex population structure; migrations</t>
  </si>
  <si>
    <t>MORTALITY</t>
  </si>
  <si>
    <t>Fluctuations in the abundance of insular groups of sea otters on the Commander Archipelago are analyzed with regard to changes in meteorological conditions. The main factors responsible for the abrupt decline of the Bering Sea group between 2002 and 2004 are discussed. A statistically significant correlation has been revealed between fluctuations of sea otter abundance and the cycles of solar activity in the period since 1992. Changes in the age and sex structure of the insular groups of sea otters are evaluated.</t>
  </si>
  <si>
    <t>[Zagrebelnyi, S. V.] Komandorskii State Biosphere Reserve, Aleutskii Raion 684500, Kamchatka, Russia; [Fomin, V. V.] Russian Fed Agcy Vet Phytosantiary Inspect Rosse, Komandorskoe Div, Aleutskii Raion 684500, Kamchatka, Russia; [Burdin, A. M.] Russian Acad Sci, Petropavlovsk Kamchatski 683031, Russia</t>
  </si>
  <si>
    <t>Russian Academy of Sciences</t>
  </si>
  <si>
    <t>Zagrebelnyi, SV (corresponding author), Komandorskii State Biosphere Reserve, Ul Beringa 18,Nikol Skoe, Aleutskii Raion 684500, Kamchatka, Russia.</t>
  </si>
  <si>
    <t>beringafox@mail.iks.ru</t>
  </si>
  <si>
    <t>Fomin, Vladimir/H-8185-2015; Burdin, Alexander/G-8528-2014</t>
  </si>
  <si>
    <t>Zagrebelniy, Sergei/0009-0007-7565-3187; Burdin, Alexander/0000-0001-5701-1008;</t>
  </si>
  <si>
    <t>MOSCOW</t>
  </si>
  <si>
    <t>PLEIADES PUBLISHING INC, MOSCOW, 00000, RUSSIA</t>
  </si>
  <si>
    <t>1067-4136</t>
  </si>
  <si>
    <t>1608-3334</t>
  </si>
  <si>
    <t>RUSS J ECOL+</t>
  </si>
  <si>
    <t>Russ. J. Ecol.</t>
  </si>
  <si>
    <t>10.1134/S1067413608010074</t>
  </si>
  <si>
    <t>255YS</t>
  </si>
  <si>
    <t>WOS:000252695100007</t>
  </si>
  <si>
    <t>Hedmark, E; Ellegren, H</t>
  </si>
  <si>
    <t>Hedmark, Eva; Ellegren, Hans</t>
  </si>
  <si>
    <t>carnivores; parentage; inbreeding; non-invasive sampling; conservation genetics</t>
  </si>
  <si>
    <t>GULO-GULO; MICROSATELLITE LOCI; IDENTIFICATION; AMPLIFICATION; PRIMERS; NORWAY; TESTS</t>
  </si>
  <si>
    <t>The wolverine is an endangered carnivore that in northwestern Europe is restricted to the mountain range along the border between Sweden and Norway. The Scandinavian wolverine population experienced a severe decline in numbers due to human persecution during the 20th century, although with legislative protection the population has recently implied that the population slowly has started to recover (current population size estimate of 800 individuals). In the mid 1990s, wolverines appeared in two new and isolated areas east of the mountain range, in the forest landscape close to the Gulf of Bothnia. Using non-invasive, DNA-based monitoring, we show here that these new subpopulations were likely founded by as few as 2 and 2-4 individuals, respectively, and that little, if any, genetic contact with the main population since colonisation has been established. A high degree of genetic similarity among individuals in the two areas indicates inbreeding. We estimate the minimum number of wolverines known to be alive in these areas during the period of 2001-2005 to 5 and 17, respectively, with one subpopulation showing decreasing (currently 2) numbers and the other increasing (10). For the somewhat larger population, we infer a tentative pedigree from relatedness values and parentage tests, which indicates the occurrence of brother-sister matings. This study illustrates the usefulness of non-invasive monitoring in the management of endangered carnivore populations.</t>
  </si>
  <si>
    <t>Uppsala Univ, Dept Evolutionary Biol, SE-75236 Uppsala, Sweden</t>
  </si>
  <si>
    <t>Uppsala University</t>
  </si>
  <si>
    <t>Hedmark, E (corresponding author), Uppsala Univ, Dept Evolutionary Biol, Norbyvagen 18D, SE-75236 Uppsala, Sweden.</t>
  </si>
  <si>
    <t>10.1007/s10592-006-9231-9</t>
  </si>
  <si>
    <t>193UJ</t>
  </si>
  <si>
    <t>WOS:000248300300007</t>
  </si>
  <si>
    <t>Hajková, P; Pertoldi, C; Zemanová, B; Roche, K; Hájek, B; Bryja, J; Zima, J</t>
  </si>
  <si>
    <t>Hajkova, P.; Pertoldi, C.; Zemanova, B.; Roche, K.; Hajek, B.; Bryja, J.; Zima, J.</t>
  </si>
  <si>
    <t>microsatellites; population structure; bottleneck; effective population size; non-invasive genetic sampling; conservation management</t>
  </si>
  <si>
    <t>LUTRA-LUTRA L; MICROSATELLITE DNA VARIATION; MINK MUSTELA-VISON; AMPLIFICATION; EXPANSION; PRIMERS; SAMPLES; RATES; LOCI</t>
  </si>
  <si>
    <t>Over the latter part of the 20th century, Eurasian otter Lutra lutra populations suffered dramatic declines, resulting in extinction or fragmentation of populations in many western and central European countries. Part of the Czech otter population became totally isolated while the Slovak population remained partly connected to the relatively continuous central and eastern European otter distribution range. This paper examines the genetic structure and past demographic history of otters in the Czech and Slovak Republics, using microsatellite nuclear markers amplified from DNA extracted from tissue and faecal samples. A relatively high level of genetic differentiation was found between the Czech and Slovak populations (F-ST=0.154, P=0.0002), supported by a perfect assignment in Bayesian cluster analysis. Both the Czech and Slovak populations showed significant heterozygosity excess (assuming an infinite allele model), indicating recent population bottlenecks. A very recent population decline was also suggested by coalescent analysis, inferring a drop to c. 25% of past effective population size in both populations. The timing of the decline was in accordance with published data from otter surveys, suggesting that the strongest decline probably occurred between the 1970s and the mid-1990s. The results of this study confirm that otter populations remain vulnerable to any violent demographic change and, despite the claims of fish-farmers and anglers for legal culls, it is highly desirable that they remain a strongly protected species in both countries. The spreading and re-connection of otter populations observed recently is essential for the future health of the populations, and should be supported through habitat conservation.</t>
  </si>
  <si>
    <t>Acad Sci Czech Republ, Inst Vertebrate Biol, CS-60365 Brno, Czech Republic; Masaryk Univ, Fac Sci, Inst Biol &amp; Zool, CS-61137 Brno, Czech Republic; Aarhus Univ, Dept Ecol &amp; Genet, Aarhus C, Denmark; Natl Environm Res Inst, Dept Wildlife Ecol &amp; Biodivers, Ronde, Denmark; Czech Otter Fdn Fund, Trebon, Czech Republic; State Nat Conservancy Slovak Republ, Adm Slovensky Raj Natl Pk, Spisska Nova Ves, Slovakia</t>
  </si>
  <si>
    <t>Czech Academy of Sciences; Institute of Vertebrate Biology of the Czech Academy of Sciences; Masaryk University; Aarhus University; Aarhus University; Danish National Environmental Research Institute</t>
  </si>
  <si>
    <t>Hajková, P (corresponding author), Acad Sci Czech Republ, Inst Vertebrate Biol, Kvetna 8, CS-60365 Brno, Czech Republic.</t>
  </si>
  <si>
    <t>hajkova@ivb.cz</t>
  </si>
  <si>
    <t>; Zemanová, Barbora/A-2817-2015; Roche, Kevin/A-2816-2015; Bryja, Josef/C-3013-2008; Zima, Jan/G-1118-2011; Pertoldi, Cino/I-1746-2012</t>
  </si>
  <si>
    <t>Rolečková, Barbora/0000-0003-0088-9922; Bryja, Josef/0000-0003-0516-7742; Hajkova, Petra/0000-0001-5776-3285; Pertoldi, Cino/0000-0002-4644-8981</t>
  </si>
  <si>
    <t>10.1111/j.1469-7998.2006.00259.x</t>
  </si>
  <si>
    <t>157UA</t>
  </si>
  <si>
    <t>WOS:000245745300001</t>
  </si>
  <si>
    <t>Carter, SK; VanBlaricom, GR; Allen, BL</t>
  </si>
  <si>
    <t>Carter, Sarah K.; VanBlaricom, Glenn R.; Allen, Brian L.</t>
  </si>
  <si>
    <t>apex predator; sea otter; sea urchin fishery; community structure; benthic ecosystem; herbivory</t>
  </si>
  <si>
    <t>URCHINS STRONGYLOCENTROTUS-FRANCISCANUS; CENTRAL CALIFORNIA; COMMUNITY STRUCTURE; EASTERN CANADA; AMCHITKA-ISLAND; RANGE EXPANSION; RECRUITMENT; STABILITY; ALASKA; POPULATION</t>
  </si>
  <si>
    <t>Trophic cascade hypotheses for biological communities, linking predation by upper trophic levels to major features of ecological structure and dynamics at lower trophic levels, are widely subscribed and may influence conservation policy. Few such hypotheses have been evaluated for temporal or spatial generality. Previous studies of sea otter (Enhydra lutris) predation along the outer coast of North America suggest a pattern, often elevated to the status of paradigm, in which sea otter presence leads to reduced sea urchin (Strongylocentrotus spp.) biomass and rapid increases in abundance and diversity of annual algal species, followed by a decline in diversity as one or a few perennial algal species become dominant. Both sea otter predation and commercial sea urchin harvest are ecologically and economically important sources of urchin mortality in nearshore benthic systems in northern Washington marine waters. We recorded changes in density of macroalgae in San Juan Channel, a marine reserve in the physically protected inland waters of northern Washington, resulting from three levels of experimental urchin harvest: (1) simulated sea otter predation (monthly complete harvest of sea urchins), (2) simulated commercial urchin harvest (annual size-selective harvest of sea urchins), and (3) no harvest (control). The two experimental urchin removal treatments did not significantly increase the density of perennial (Agarum and Laminaria) or annual (Desmarestia, Costaria, Alaria and Nereocystis) species of macroalgae after 2 years, despite significant and persistent decreases in urchin densities. Our results suggest that other factors such as grazing by other invertebrates, the presence of dense Agarum stands, and recruitment frequency of macroalgae and macroinvertebrates may play a large role in influencing community structure in San Juan Channel and other physically protected marine waters within the range of sea otters.</t>
  </si>
  <si>
    <t>Univ Washington, Washington Cooperat Fish &amp; Wildlife Res Unit, Sch Aquat &amp; Fishery Sci, Seattle, WA 98195 USA</t>
  </si>
  <si>
    <t>University of Washington; University of Washington Seattle</t>
  </si>
  <si>
    <t>VanBlaricom, GR (corresponding author), Univ Washington, Washington Cooperat Fish &amp; Wildlife Res Unit, Sch Aquat &amp; Fishery Sci, Box 355020, Seattle, WA 98195 USA.</t>
  </si>
  <si>
    <t>glennvb@u.washington.edu</t>
  </si>
  <si>
    <t>10.1007/s10750-006-0403-x</t>
  </si>
  <si>
    <t>135XM</t>
  </si>
  <si>
    <t>WOS:000244187200019</t>
  </si>
  <si>
    <t>Laidre, KL; Estes, JA; Tinker, MT; Bodkin, J; Monson, D; Schneider, K</t>
  </si>
  <si>
    <t>Laidre, K. L.; Estes, J. A.; Tinker, M. T.; Bodkin, J.; Monson, D.; Schneider, K.</t>
  </si>
  <si>
    <t>age-independent mortality; age structure; Alaska; body condition; growth curves</t>
  </si>
  <si>
    <t>AMCHITKA ISLAND; AGE; SIZE; MORTALITY; SURVIVAL; ENERGETICS; LIONS</t>
  </si>
  <si>
    <t>1. Growth models for body mass and length were fitted to data collected from 1842 sea otters Enhydra lutris shot or live-captured throughout south-west Alaska between 1967 and 2004. Growth curves were constructed for each of two main year groups: 1967-71 when the population was at or near carrying capacity and 1992-97 when the population was in steep decline. Analyses of data collected from animals caught during 2004, when the population density was very low, were precluded by a small sample size and consequently only examined incidentally to the main growth curves. 2. Growth curves demonstrated a significant increase in body mass and body length at age in the 1990s. Asymptotic values of body mass were 12-18% higher in the 1990s than in the 1960s/70s, and asymptotic values for body length were 10-11% higher between the same periods. Data collected in 2004 suggest a continued increase in body size, with nearly all data points for mass and length falling significantly above the 1990s growth curves. 3. In addition to larger asymptotic values for mass and length, the rate of growth towards asymptotic values was more rapid in the 1990s than in the 1960s/70s: sea otters reached 95% of asymptotic body mass and body length 1-2 years earlier in the 1990s. 4. Body condition (as measured by the log mass/log length ratio) was significantly greater in males than in females. There was also an increasing trend from the 1960s/70s through 2004 despite much year-to-year variation. 5. Population age structures differed significantly between the 1960s/70s and the 1990s with the latter distribution skewed toward younger age classes (indicating an altered l(x) function) suggesting almost complete relaxation of age-dependent mortality patterns (i.e. those typical of food-limited populations). 6. This study spanned a period of time over which the population status of sea otters in the Aleutian archipelago declined precipitously from levels at or near equilibrium densities at some islands in the 1960s/70s to &lt; 5% of estimated carrying capacity by the late 1990s. The results of this study indicate an improved overall health of sea otters over the period of decline and suggest that limited nutritional resources were not the cause of the observed reduced population abundance. Our findings are consistent with the hypothesis that the decline was caused by increased killer whale predation.</t>
  </si>
  <si>
    <t>Univ Calif Santa Cruz, Dept Ecol &amp; Evolutionary Biol, Long Marine Lab, Santa Cruz, CA 95060 USA; USGS, Western Ecol Res Ctr, Sacramento, CA 95826 USA; Alaska SeaLife Ctr, Seward, AK 99664 USA; USGS, Alaska Sci Ctr, Div Biol Sci, Anchorage, AK 99503 USA</t>
  </si>
  <si>
    <t>University of California System; University of California Santa Cruz; United States Department of the Interior; United States Geological Survey; United States Department of the Interior; United States Geological Survey</t>
  </si>
  <si>
    <t>Laidre, KL (corresponding author), Danish Polar Ctr, Greenland Inst Nat Resources, Strandgade 100H, DK-1401 Copenhagen K, Denmark.</t>
  </si>
  <si>
    <t>kl@dpc.dk</t>
  </si>
  <si>
    <t>Tinker, Martin/D-3249-2018; Monson, Daniel/N-4469-2013</t>
  </si>
  <si>
    <t>Tinker, Martin/0000-0002-3314-839X; Monson, Daniel/0000-0002-4593-5673</t>
  </si>
  <si>
    <t>10.1111/j.1365-2656.2006.01117.x</t>
  </si>
  <si>
    <t>055YG</t>
  </si>
  <si>
    <t>WOS:000238486600015</t>
  </si>
  <si>
    <t>Cegelski, CC; Waits, LP; Anderson, NJ; Flagstad, O; Strobeck, C; Kyle, CJ</t>
  </si>
  <si>
    <t>Cegelski, C. C.; Waits, L. P.; Anderson, N. J.; Flagstad, O.; Strobeck, C.; Kyle, C. J.</t>
  </si>
  <si>
    <t>genetic diversity; Gulo gulo; population genetic structure; wolverine</t>
  </si>
  <si>
    <t>CONSERVATION GENETICS; CLADISTIC-ANALYSIS; GEOGRAPHICAL-DISTRIBUTION; PHENOTYPIC ASSOCIATIONS; COMPUTER-PROGRAM; HAPLOTYPES; FLOW; HETEROZYGOSITY; PHYLOGEOGRAPHY; INFERENCE</t>
  </si>
  <si>
    <t>The current range of wolverines (Gulo gulo) within the lower 48 states includes small, remnant populations in Idaho, Washington, Wyoming and Montana. The size and trend of each of these populations and connectivity to adjacent populations in the contiguous United States and Canada are poorly understood. In this study, levels of genetic diversity and population genetic structure were examined in three states (Idaho, Wyoming, and Montana) and two Canadian provinces (Alberta and British Columbia) using both mitochondrial (mtDNA) and nuclear microsatellite DNA. Restricted levels of gene flow were detected among these populations with mitochondrial and nuclear DNA and our observations suggest a pattern of male-mediated gene flow. Populations in the United States appear to be receiving migrants from Canada, however, substantial genetic differentiation suggests that gene flow may not be high enough to prevent genetic drift. Our analyses suggest that at least 400 breeding pairs or 1-2 effective migrants per generation would be needed to ensure genetic viability in the long-term for each of the populations in the United States. Significant matrilineal structuring and restricted female gene flow indicates that demographic viability will depend upon the movement of female wolverines into new territories. Results from this study provide guidelines for conservation and management and indicate the need for more ecological data.</t>
  </si>
  <si>
    <t>Univ Idaho, Dept Fish &amp; Wildlife Resources, Moscow, ID 83844 USA; Idaho Dept Fish &amp; Game, Eagle, ID 83616 USA; Montana Dept Fish Wildlife &amp; Parks, Bozeman, MT 59717 USA; Ctr Ecol &amp; Evolutionary Synthesis, Dept Biol, N-0316 Oslo, Norway; Univ Alberta, Dept Biol Sci, Edmonton, AB T6G 2E9, Canada; Trent Univ, Nat Resources DNA Profil &amp; Forens Ctr, Peterborough, ON K9J 8N8, Canada</t>
  </si>
  <si>
    <t>University of Idaho; University of Alberta; Trent University</t>
  </si>
  <si>
    <t>Waits, LP (corresponding author), Univ Idaho, Dept Fish &amp; Wildlife Resources, Moscow, ID 83844 USA.</t>
  </si>
  <si>
    <t>lwaits@uidaho.edu</t>
  </si>
  <si>
    <t>; Strobeck, Curtis/E-9998-2011</t>
  </si>
  <si>
    <t>Waits, Lisette/0000-0002-1323-0812;</t>
  </si>
  <si>
    <t>10.1007/s10592-006-9126-9</t>
  </si>
  <si>
    <t>049OQ</t>
  </si>
  <si>
    <t>WOS:000238026300003</t>
  </si>
  <si>
    <t>Swanson, BJ; Peters, LR; Kyle, CJ</t>
  </si>
  <si>
    <t>marten; Martes americana; microsatellites; reintroduction; translocation</t>
  </si>
  <si>
    <t>EFFECTIVE POPULATION-SIZE; MICROSATELLITE LOCI; EXTINCTION; BOTTLENECKS; VARIABILITY; DIVERSITY; PENNANTI; MODELS</t>
  </si>
  <si>
    <t>Reintroduced populations are generally smaller and more isolated than native populations; thus even when reintroduced populations are demographically stable, a lack of genetic variation may present a threat to long-term persistence. We examined the demographic structure and genetic variation of the mar-ten reintroduction into the Upper Peninsula of Michigan. Male: female and juvenile: adult female ratios indicate that the Michigan population is demographically stable. Michigan martens had higher allelic diversity (A = 7.4) compared to the average diversity found among Canadian populations (A = 5.8) and similar levels of observed heterozygosity (H-Canadian = 0.64, H-Michigan = 0.63), excluding Newfoundland martens. We found no significant differences in the allelic diversity or heterozygosity between the reintroduced Michigan population and the source population for the reintroduction, that of Chapleau, Ontario. Surprisingly, we found no evidence of a genetic bottleneck in the Michigan population. We suggest that the genetic success of this reintroduction is a result of the multiple reintroductions and subsequent intrastate translocations that mimicked gene flow. The success was further aided by the presence of small remnant populations that remained in Michigan, as evidenced by the presence of private alleles in Michigan.</t>
  </si>
  <si>
    <t>Cent Michigan Univ, Dept Biol, Mt Pleasant, MI 48859 USA; Trent Univ, Nat Resources DNA Profiling &amp; Forens Ctr, Ontario Minist Nat Resources, Peterborough, ON K9J 8N8, Canada</t>
  </si>
  <si>
    <t>Central Michigan University; Trent University; Ministry of Natural Resources &amp; Forestry</t>
  </si>
  <si>
    <t>Swanson, BJ (corresponding author), Cent Michigan Univ, Dept Biol, Mt Pleasant, MI 48859 USA.</t>
  </si>
  <si>
    <t>brad.swanson@cmich.edu</t>
  </si>
  <si>
    <t>Swanson, Bradley/0000-0002-0360-3590</t>
  </si>
  <si>
    <t>10.1644/05-MAMM-A-243R1.1</t>
  </si>
  <si>
    <t>037DB</t>
  </si>
  <si>
    <t>WOS:000237125800010</t>
  </si>
  <si>
    <t>Reisewitz, SE; Estes, JA; Simenstad, CA</t>
  </si>
  <si>
    <t>kelp; rock greenling; sea urchins; trophic cascades</t>
  </si>
  <si>
    <t>TROPHIC INTERACTIONS; POPULATION; ASSEMBLAGES; PREDATORS; PATTERNS; ISLANDS; ALASKA</t>
  </si>
  <si>
    <t>Although trophic cascades-the effect of apex predators on progressively lower trophic level species through top-down forcing-have been demonstrated in diverse ecosystems, the broader potential influences of trophic cascades on other species and ecosystem processes are not well studied. We used the overexploitation, recovery and subsequent collapse of sea otter (Enhydra lutris) populations in the Aleutian archipelago to explore if and how the abundance and diet of kelp forest fishes are influenced by a trophic cascade linking sea otters with sea urchins and fleshy macroalgae. We measured the abundance of sea urchins (biomass density), kelp (numerical density) and fish (Catch per unit effort) at four islands in the mid-1980s (when otters were abundant at two of the islands and rare at the two others) and in 2000 (after otters had become rare at all four islands). Our fish studies focused on rock greenling (Hexagrammos lagocephalus), the numerically dominant species in this region. In the mid-1980s, the two islands with high-density otter populations supported dense kelp forests, relatively few urchins, and abundant rock greenling whereas the opposite pattern (abundant urchins, sparse kelp forests, and relatively few rock greenling) occurred at islands where otters were rare. In the 2000, the abundances of urchins, kelp and greenling were grossly unchanged at islands where otters were initially rare but had shifted to the characteristic pattern of otter-free systems at islands where otters were initially abundant. Significant changes in greenling diet occurred between the mid-1980s and the 2000 although the reasons for these changes were difficult to assess because of strong island-specific effects. Whereas urchin-dominated communities supported more diverse fish assemblages than kelp-dominated communities, this was not a simple effect of the otter-induced trophic cascade because all islands supported more diverse fish assemblages in 2000 than in the mid-1980s.</t>
  </si>
  <si>
    <t>Long Marine Lab, Inst Marine Sci, Santa Cruz, CA 95060 USA; Univ Washington, Sch Aquat &amp; Fishery Sci, Seattle, WA 98195 USA</t>
  </si>
  <si>
    <t>Estes, JA (corresponding author), Long Marine Lab, Inst Marine Sci, Santa Cruz, CA 95060 USA.</t>
  </si>
  <si>
    <t>jestes@ucsc.edu</t>
  </si>
  <si>
    <t>10.1007/s00442-005-0230-1</t>
  </si>
  <si>
    <t>995ZX</t>
  </si>
  <si>
    <t>WOS:000234145300014</t>
  </si>
  <si>
    <t>Schumacher, JD; Kruse, GH</t>
  </si>
  <si>
    <t>FISHERIES OCEANOGRAPHY</t>
  </si>
  <si>
    <t>Aleutian Islands; climate change; ecosystem services; human use; integrative management approach</t>
  </si>
  <si>
    <t>NORTH PACIFIC; WESTERN STOCK; SEA OTTERS; EASTERN; VARIABILITY; CLIMATE; ALASKA; SHIFTS; OCEANOGRAPHY; MANAGEMENT</t>
  </si>
  <si>
    <t>The new research reported in this special issue of Fisheries Oceanography expands our understanding of the Aleutian Archipelago ecosystem. Yet our knowledge remains very limited, while the use of this ecosystem for commercial activities, recreation and other purposes expands. Given this situation, how can we sustain the ecosystem services (food, fuel, fibers as well as spiritual, recreational, educational and other non-material benefits to society) of this region? The region has a mixed history; healthy populations of many species exist, but so do species extinctions (e.g. Steller sea cow, Hydrodamalis gigas) and population depletions, including the sea otter (Enhydra lutris), Steller sea lion (Eumetopias jubatus), whiskered auklets (Aethia pygmaea), Pacific ocean perch (Sebastes alutus), and red king crabs (Paralithodes camtschaticus), associated with human impacts. The solution to our limited knowledge in this poorly studied region is increased funding for ecosystem research, including its responses to climate change and human impacts. Knowledge is not sufficient, however; a change in management approach is also needed. We emphasize the need to maintain a broader set of ecosystem services objectives rather than the traditional narrower focus on commercial fishery yields. To do so, we recommend the development of an integrated ecosystem services management plan for the Aleutian Islands. Such a plan requires that state and federal regulatory agencies coordinate with a broad stakeholder community involving sectors of commercial and recreational fishing, subsistence, conservation, oil and gas development, coastal development, shipping, tourism, and others.</t>
  </si>
  <si>
    <t>Two Crow Environm Inc, Gila, NM 88038 USA; Univ Alaska Fairbanks, Sch Fisheries &amp; Ocean Sci, Juneau Ctr, Juneau, AK 99801 USA</t>
  </si>
  <si>
    <t>University of Alaska System; University of Alaska Fairbanks</t>
  </si>
  <si>
    <t>Schumacher, JD (corresponding author), Two Crow Environm Inc, POB 345, Gila, NM 88038 USA.</t>
  </si>
  <si>
    <t>twocrow@gilanet.com</t>
  </si>
  <si>
    <t>1054-6006</t>
  </si>
  <si>
    <t>1365-2419</t>
  </si>
  <si>
    <t>FISH OCEANOGR</t>
  </si>
  <si>
    <t>Fish Oceanogr.</t>
  </si>
  <si>
    <t>10.1111/j.1365-2419.2005.00377.x</t>
  </si>
  <si>
    <t>Fisheries; Oceanography</t>
  </si>
  <si>
    <t>968GG</t>
  </si>
  <si>
    <t>WOS:000232149300018</t>
  </si>
  <si>
    <t>Michaux, JR; Hardy, OJ; Justy, F; Fournier, P; Kranz, A; Cabria, M; Davison, A; Rosoux, R; Libois, R</t>
  </si>
  <si>
    <t>conservation biology; microsatellites; mitochondrial DNA; Mustela lutreola; phylogeography; population genetics</t>
  </si>
  <si>
    <t>MITOCHONDRIAL-DNA PHYLOGEOGRAPHY; COMPUTER-PROGRAM; DIVERSITY; CONSEQUENCES; VARIABILITY; EVOLUTION; SEQUENCES; INFERENCE; PACKAGE; VERSION</t>
  </si>
  <si>
    <t>In species of great conservation concern, special attention must be paid to their phylogeography, in particular the origin of animals for captive breeding and reintroduction. The endangered European mink lives now in at least three well-separated populations in northeast, southeast and west Europe. Our aim is to assess the genetic structure of these populations to identify 'distinct population segments' (DPS) and advise captive breeding programmes. First, the mtDNA control region was completely sequenced in 176 minks and 10 polecats. The analysis revealed that the western population is characterized by a single mtDNA haplotype that is closely related to those in eastern regions but nevertheless, not found there to date. The northeast European animals are much more variable (pi = 0.012, h = 0.939), with the southeast samples intermediate (pi = 0.0012, h = 0.469). Second, 155 European mink were genotyped using six microsatellites. The latter display the same trends of genetic diversity among regions as mtDNA [gene diversity and allelic richness highest in northeast Europe (H-E = 0.539, R-S = 3.76), lowest in west Europe (H-E = 0.379, R-S = 2.12)], and provide evidences that the southeast and possibly the west populations have undergone a recent bottleneck. Our results indicate that the western population derives from a few animals which recently colonized this region, possibly after a human introduction. Microsatellite data also reveal that isolation by distance occurs in the western population, causing some inbreeding because related individuals mate. As genetic data indicate that the three populations have not undergone independent evolutionary histories for long (no phylogeographical structure), they should not be considered as distinct DPS. In conclusion, the captive breeding programme should use animals from different parts of the species' present distribution area.</t>
  </si>
  <si>
    <t>Univ Liege, Inst Bot, Unite Rech Zoogeog, B-4000 Liege, Sart Tilman, Belgium; CBGP, UMR 1062, F-34988 Montferrier Sur Lez, Montpellier, France; Univ Libre Bruxelles, Lab Ecoethol Evolut, B-1050 Brussels, Belgium; Inst Sci Evolut, F-34005 Montpellier, France; GREGE, F-33730 Villandraut, France; Univ Agr Sci, Dept Wildlife Biol &amp; Game Management, Vienna, Austria; Univ Basque Country, Fac Farm, Dept Zool &amp; BCA C, Vitoria 01006, Spain; Univ Nottingham, Queens Med Ctr, Genet Inst, Nottingham NG7 2UH, England; Museum Nat Sci, F-45000 Orleans, France</t>
  </si>
  <si>
    <t>University of Liege; Institut de Recherche pour le Developpement (IRD); Universite Libre de Bruxelles; Centre National de la Recherche Scientifique (CNRS); Institut de Recherche pour le Developpement (IRD); Universite de Montpellier; BOKU University; University of Basque Country; University of Nottingham</t>
  </si>
  <si>
    <t>Michaux, JR (corresponding author), Univ Liege, Inst Bot, Unite Rech Zoogeog, Bat B-22, B-4000 Liege, Sart Tilman, Belgium.</t>
  </si>
  <si>
    <t>Johan.Michaux@ulg.ac.be</t>
  </si>
  <si>
    <t>Davison, Angus/C-3156-2009; Hardy, Olivier/R-6531-2018; Cabria, Maria/C-2293-2012</t>
  </si>
  <si>
    <t>Davison, Angus/0000-0003-2554-8585; Hardy, Olivier/0000-0003-2052-1527;</t>
  </si>
  <si>
    <t>10.1111/j.1365-294X.2005.02597.x</t>
  </si>
  <si>
    <t>937YB</t>
  </si>
  <si>
    <t>WOS:000229961500011</t>
  </si>
  <si>
    <t>Baghli, A; Verhagen, R</t>
  </si>
  <si>
    <t>activity; resting sites; time budget; Mustela putorius; Luxembourg</t>
  </si>
  <si>
    <t>MUSTELA-PUTORIUS; EUROPEAN POLECAT; HOME RANGES; PINE MARTEN; SAMPLE-SIZE; FOOD-HABITS; MOVEMENTS; AUTOCORRELATION; SELECTION; ECOLOGY</t>
  </si>
  <si>
    <t>We investigated the activity and the use of resting sites of Polecats Mustela putorius in the Gutland area of Luxembourg. Three years of radio-telemetry on 10 animals provided 103 all-night tracking sessions and 262 locations of diurnal resting sites. Polecats were active during 62% of the night. Males were more active than females, and activity increased from winter to summer. During daytime, polecats were located in 53 different resting sites. Above ground shelters were used more often than underground shelters. Heaps of branches, barns and stables, garden sheds and rat dens were the most used sites, without specific preference for any one type of shelter. However, human settlements seem to be of prime importance during severe weather conditions. The selection of such resting sites appeared to be based on thermal characteristics. This pattern of resting site use suggests that presence of suitable resting sites in winter is important for the conservation of the endangered po ecat population in Luxembourg.</t>
  </si>
  <si>
    <t>Natl Museum Nat Hist, Ctr Sci Res, L-2160 Luxembourg, Luxembourg; Univ Antwerp, Dept Biol, Evolutionary Biol Grp, B-2020 Antwerp, Belgium</t>
  </si>
  <si>
    <t>University of Antwerp</t>
  </si>
  <si>
    <t>Baghli, A (corresponding author), Natl Museum Nat Hist, Ctr Sci Res, 25 Rue Munster, L-2160 Luxembourg, Luxembourg.</t>
  </si>
  <si>
    <t>adil.baghli@mnhn.lu; ron.verhagen@ua.ac.be</t>
  </si>
  <si>
    <t>10.1515/mamm.2005.018</t>
  </si>
  <si>
    <t>945ZH</t>
  </si>
  <si>
    <t>WOS:000230541000006</t>
  </si>
  <si>
    <t>Lodé, T; Peltier, D</t>
  </si>
  <si>
    <t>effective size; endangered species; European mink; Mustela lutreola; neighbourhood</t>
  </si>
  <si>
    <t>SOUTH-WESTERN-EUROPE; MATING SYSTEM; CONSERVATION; CONSEQUENCES</t>
  </si>
  <si>
    <t>Genetic neighbourhood and effective population size (N-e) are critical factors when determining the potential survival of threatened species. Carnivores have intrinsically small effective numbers, because, as top predators, they show low densities. The European mink, Mustela lutreola, is one of the most endangered carnivores in the world and has suffered continual decline and local extinctions. The genetic neighbourhood, area within which adults could randomly mate, averaged N-a = 31.7 km diameter, allowing that population size within the neighbourhood area only ranged from N-b = 16.1 to 22.8 animals. Although the population size was assessed in one of the main mink populations in the world, this neighbourhood size is far below the values regarded as critical in literature. However, in contrast with recent propositions, the ratio N-e/N only ranged between 0.09 and 0.19, estimates close to the average recognised by Frankham [(1995) Genetic Research 66: 95-107] for wildlife populations. In the context of the challenge to conserve this endangered carnivore, the studied neighbourhood provided crucial information suggesting both a low neighbourhood size and severe disturbance of breeding exchanges, emphasising the dramatically threatened status of the European mink.</t>
  </si>
  <si>
    <t>Univ Angers, Fac Sci, Lab Ecol Anim, F-49045 Angers, France; Univ Angers, Fac Sci, Genet Lab, F-49045 Angers, France</t>
  </si>
  <si>
    <t>Universite d'Angers; Universite d'Angers</t>
  </si>
  <si>
    <t>Lodé, T (corresponding author), Univ Angers, Fac Sci, Lab Ecol Anim, 2 Bd Lavoisier, F-49045 Angers, France.</t>
  </si>
  <si>
    <t>10.1007/s10531-005-5051-3</t>
  </si>
  <si>
    <t>896JF</t>
  </si>
  <si>
    <t>WOS:000226929700013</t>
  </si>
  <si>
    <t>Flagstad, O; Hedmark, E; Landa, A; Broseth, H; Persson, J; Andersen, R; Segerström, P; Ellegren, H</t>
  </si>
  <si>
    <t>capture-recapture; dispersal; feces; DNA analysis; genetic monitoring; immigration; population size; recolonization; relationship analysis</t>
  </si>
  <si>
    <t>MICROSATELLITE LOCI; MOLECULAR TRACKING; COMPUTER-PROGRAM; GENETIC-ANALYSIS; GULO-GULO; SIZE; AMPLIFICATION; DISPERSAL; EVOLUTION; WILDLIFE</t>
  </si>
  <si>
    <t>The southern Norwegian wolverine (Gulo gulo) population was considered functionally extinct in the 1960s but has partly recovered in recent years. Proper management of this population is highly dependent on reliable estimates of critical population parameters such as population size, sex ratio, immigration rate, and reproductive contribution from immigrants. We report on a large-scale population monitoring project assessing these parameters through genetic tagging of individuals, with feces as the source of DNA. Sixty-eight different individuals were detected among 147 successfully genotyped samples collected in 2000 and 2001. Sixty of these individuals were represented in the 2001 sample, which may be considered a minimum estimate of the population size. Almost 50% of these animals were sampled only once, however, indicating that the true population size may be markedly higher. Accordingly, a capture-recapture estimate based on the observed resampling rates suggested a population size of 89 wolverines (95% confidence interval [CI] = 74-104), which is approximately 35% higher than an estimate of 64 obtained from the number of active natal dens (95% CI = 46-95; p = 0.08). Indirect estimates of dispersal distances inferred from mother-offspring relationships suggested that wolverine males have the ability to disperse up to 500 km, a distance exceeding anything previously reported in the literature. Dispersal distances of more than 100 km were detected for females. Bayesian clustering analysis and subsequent assessment of individual relationships suggest that immigrants from northern Scandinavia have contributed and still contribute to the southern Norwegian gene pool, counteracting genetic erosion and reducing the risk of inbreeding depression. Additional sampling efforts will be undertaken during the coming years to allow for observations of population trends, immigration rate, and reproductive variance among individuals. Such data will provide an important basis for the design of an appropriate conservation plan for this small and vulnerable population.</t>
  </si>
  <si>
    <t>Uppsala Univ, Dept Evolutionary Biol, S-75236 Uppsala, Sweden; Norwegian Inst Nat Res, N-7485 Trondheim, Norway; Swedish Univ Agr Sci, Dept Anim Ecol, S-90183 Umea, Sweden</t>
  </si>
  <si>
    <t>Uppsala University; Norwegian Institute Nature Research; Swedish University of Agricultural Sciences</t>
  </si>
  <si>
    <t>Flagstad, O (corresponding author), Univ Oslo, Dept Biol, Ctr Ecol &amp; Evolutionary Synth, POB 1066, N-0316 Oslo, Norway.</t>
  </si>
  <si>
    <t>oystein.flagstad@bio.uio.no</t>
  </si>
  <si>
    <t>Persson, Jens/0000-0003-1405-7561; Brøseth, Henrik/0000-0003-3795-891X</t>
  </si>
  <si>
    <t>10.1111/j.1523-1739.2004.00328.x-i1</t>
  </si>
  <si>
    <t>819YU</t>
  </si>
  <si>
    <t>WOS:000221353300016</t>
  </si>
  <si>
    <t>Peltier, D; Lodé, T</t>
  </si>
  <si>
    <t>European mink; microsatellite; decline; conservation</t>
  </si>
  <si>
    <t>The European mink Mustela lutreola is regarded as one of the most endangered mammals in the world. We chose to characterize microsatellite loci in order to investigate the pattern of decline of this species. We used primer pairs developed for a related species Mustela vison to genotype individual of Mustela lutreola. Out of 19 primer pairs used 8 were useful for our purpose. The conservation of primer sequence point out the problem of neutrality of some microsatellite loci as this conservation could be related to strong selection pressure on those loci. Finally we present the first data allowing an estimation of heterozygosity of French population of European mink. (C) 2003 Academie des sciences. Published by Editions scientifiques et medicales Elsevier SAS. All rights reserved.</t>
  </si>
  <si>
    <t>Univ Angers, Genet Lab, UFR Sci, F-49045 Angers, France; Univ Angers, Lab Ecol Anim, UFR Sci, F-49045 Angers, France</t>
  </si>
  <si>
    <t>Peltier, D (corresponding author), Univ Angers, Genet Lab, UFR Sci, F-49045 Angers, France.</t>
  </si>
  <si>
    <t>S49</t>
  </si>
  <si>
    <t>S53</t>
  </si>
  <si>
    <t>10.1016/S1631-0691(03)00037-4</t>
  </si>
  <si>
    <t>WOS:000185745900009</t>
  </si>
  <si>
    <t>Gelatt, TS; Siniff, DB; Estes, JA</t>
  </si>
  <si>
    <t>activity pattern; Alaska; Amchitka Island; behavior; Enhydra lutris; equilibrium; marine mammal; radiotelemetry; sea otter; time budget</t>
  </si>
  <si>
    <t>ENHYDRA-LUTRIS; CALIFORNIA; THERMOREGULATION; ECOSYSTEMS; AGE</t>
  </si>
  <si>
    <t>Time budgets of predators may reflect population status if time spent foraging varies with local prey abundance. We assumed that the sea otter (Enhydra lutris) population at Amchitka Island, Alaska, USA, had been at equilibrium since the early 1960s and collected time budgets of otters to be used to represent future conditions of currently expanding sea otter populations. We used radiotelemetry to monitor activity-time budgets of otters from August 1992 to March 1994. Sea otter activity was directly linked to sex, age, weather condition, season, and time of day. Sea otters differed in percent time foraging among cohorts but not within cohorts. Percent time foraging ranged from 21% for females with very young (53 weeks of age) dependent pups to 52% for females with old (greater than or equal to10 weeks of age) pups. Otters foraged more and hauled out more as local sea conditions worsened. Adult males spent less time foraging during winter and spring, consistent with seasonal changes in prey selection. Time spent foraging was similar to that reported for otters in California and an established population in Prince William Sound, Alaska, but greater than that of otters in recently established populations in Oregon and Alaska. Despite current evidence indicating that the population was in decline during our study, we were unable to recognize this change using time budgets. Our results illustrate the importance of stratifying analyses of activity patterns by age and sex cohorts and the complexity inherent in comparisons of behavioral data between different populations relying on distinct prey bases.</t>
  </si>
  <si>
    <t>Univ Minnesota, Dept Fisheries &amp; Wildlife, St Paul, MN 55108 USA; Univ Minnesota, Dept Ecol Evolut &amp; Behav, St Paul, MN 55108 USA; Univ Calif Santa Cruz, US Geol Survey, Santa Cruz, CA 95064 USA</t>
  </si>
  <si>
    <t>University of Minnesota System; University of Minnesota Twin Cities; University of Minnesota System; University of Minnesota Twin Cities; University of California System; University of California Santa Cruz; United States Department of the Interior; United States Geological Survey</t>
  </si>
  <si>
    <t>Gelatt, TS (corresponding author), Alaska Dept Fish &amp; Game, Div Wildlife Conservat, 525 W 67th Ave, Anchorage, AK 99518 USA.</t>
  </si>
  <si>
    <t>10.2307/3802868</t>
  </si>
  <si>
    <t>523CK</t>
  </si>
  <si>
    <t>WOS:000173934100003</t>
  </si>
  <si>
    <t>Ruiz-Olmo, J; López-Martín, JM; Palazón, S</t>
  </si>
  <si>
    <t>otter; Lutra lutra; populations; food; abundance; breeding; reservoirs; Mediterranean ecosystems</t>
  </si>
  <si>
    <t>MINK MUSTELA-VISON; PREY SELECTION; NE SPAIN; SHETLAND; PREDATION; SCOTLAND; SPRAINTS; BEHAVIOR; FECES</t>
  </si>
  <si>
    <t>Recent studies show that the availability of prey influences the ecology of otters by regulating breeding, carrying capacity and mortality. Mediterranean habitats experience extreme seasonal variation in water flow - a stress period can occur in summer when water Rows and levels are low with long periods of drought, while torrential floods usually occur in autumn and spring. Reservoirs can affect this situation by further influencing water flow regimes and acting as a barrier. Our data show the close relationship between the amount of food (fish) available to otters and their use of a stretch of water and the otter density there. The adjustment of the number of individuals land carrying capacity) in an area can be seen from their mortality, a decrease in their reproductive success, or migration. Our results are consistent with the hypothesis that otters are food-limited. Torrential rains, summer droughts and dams for water management have repercussions for otter populations in as much as they affect their prey-species. Barbels Barbus spp. and, secondarily, nases Chondrostoma spp. are shown to be important to otter ecology and breeding in Mediterranean Iberian rivers. The conservation and management of the otter in these habitats must not ignore the management of food sources. In order not to affect otter populations, the effect of the reservoirs and their dams also must be considered. The release and cessation of floodwater from reservoirs must be progressive and mimic more closely the flow regime of natural rivers.</t>
  </si>
  <si>
    <t>Direccio Gen Patrimoni Nat Med Fis, Serv Proteccio Gestio Fauna, Barcelona 08017, Spain; Univ Barcelona, Fac Biol, Dept Biol Anim Vertebrats, E-08028 Barcelona, Spain</t>
  </si>
  <si>
    <t>Ruiz-Olmo, J (corresponding author), Direccio Gen Patrimoni Nat Med Fis, Serv Proteccio Gestio Fauna, Dr Roux 80, Barcelona 08017, Spain.</t>
  </si>
  <si>
    <t>ajruiol@correu.gencat.es</t>
  </si>
  <si>
    <t>10.1017/S0952836901000838</t>
  </si>
  <si>
    <t>454RK</t>
  </si>
  <si>
    <t>WOS:000169985400005</t>
  </si>
  <si>
    <t>Monson, DH; Estes, JA; Bodkin, JL; Siniff, DB</t>
  </si>
  <si>
    <t>OIKOS</t>
  </si>
  <si>
    <t>PRINCE-WILLIAM-SOUND; REPRODUCTIVE SUCCESS; ENHYDRA-LUTRIS; MARINE MAMMALS; KODIAK ISLAND; AGE-STRUCTURE; BODY-WEIGHT; RED DEER; ALASKA; SURVIVAL</t>
  </si>
  <si>
    <t>We contrasted body condition, and age-specific reproduction and mortality between a growing population of sea otters (Enhydra lutris) at Kodiak Island and a high-density near-equilibrium population at Amchitka Island, Alaska. We obtained data from marked individuals, population surveys, and collections of beach-cast carcasses. Mass:length ratios indicated that females (but not males) captured in 1992 at Amchitka were in poorer condition than those captured at Kodiak in 1986-1987. In 1993, the condition of females at Amchitka improved in apparent response to two factors: (1) an episodic influx of Pacific smooth lumpsuckers, Aptocyclus ventricocus, from the epi-pelagic zone, which otters consumed; and (2) an increase in the otters' benthic invertebrate prey resulting from declining otter numbers. Reproductive rates varied with age (0.37 [CI = 0.21 to 0.53] births female(-1) yr(-1) for 2-3-yr-olds, and 0.83 [CI = 0.69 to 0.90] for females greater than or equal to 4 yr old), and were similar at both areas. Weaning success (pups surviving to greater than or equal to 120 d), in contrast, was almost 50% lower at Amchitka than at Kodiak and for females greater than or equal to 4 yr of age was 0.52 (CI = 0.38 to 0.66) vs 0.94 (CI = 0.75 to 0.99), respectively. Sixty-two percent of the preweaning pup losses at Amchitka occurred within a month of parturition and 79% within two months. Postweaning survival was also low at Amchitka as only 18% of instrumented pups were known to be alive one year after mother-pup separation. Adult survival rates appeared similar at Amchitka and Kodiak. Factors affecting survival early in life thus are a primary demographic mechanism of population regulation in sea otters. By maintaining uniformly high reproductive rates over lime and limiting investment in any particular reproductive event, sea otters can take advantage of unpredictable environmental changes favorable to pup survival. This strategy is consistent with predictions of bet-hedging life history models.</t>
  </si>
  <si>
    <t>Univ Calif Santa Cruz, Inst Marine Sci, USGS, Biol Resources Div, Santa Cruz, CA 95064 USA; USGS, Biol Resources Div, Alaska Biol Sci Ctr, Anchorage, AK 99503 USA; Univ Minnesota, Dept Ecol &amp; Behav Biol, St Paul, MN 55108 USA</t>
  </si>
  <si>
    <t>United States Department of the Interior; United States Geological Survey; University of California System; University of California Santa Cruz; United States Department of the Interior; United States Geological Survey; University of Minnesota System; University of Minnesota Twin Cities</t>
  </si>
  <si>
    <t>Monson, DH (corresponding author), USGS, Biol Resources Div, Alaska Biol Sci Ctr, 1011 E Tudor Rd, Anchorage, AK 99503 USA.</t>
  </si>
  <si>
    <t>daniel_monson@usgs.gov</t>
  </si>
  <si>
    <t>0030-1299</t>
  </si>
  <si>
    <t>1600-0706</t>
  </si>
  <si>
    <t>Oikos</t>
  </si>
  <si>
    <t>10.1034/j.1600-0706.2000.900304.x</t>
  </si>
  <si>
    <t>363HQ</t>
  </si>
  <si>
    <t>WOS:000089830000004</t>
  </si>
  <si>
    <t>Konar, B</t>
  </si>
  <si>
    <t>community structure; trophic interactions; urchin barrens; Enhydra lutris; Strongylocentrotus polyacanthus; Alaria fistulosa</t>
  </si>
  <si>
    <t>COMMUNITY STRUCTURE; INTERACTION STRENGTH; BOTTOM-UP; TOP-DOWN; RECRUITMENT; PREDATION; ORGANIZATION; ASSEMBLAGES; GENERALITY; ECOLOGY</t>
  </si>
  <si>
    <t>otters are well known as a keystone species because of their ability to transform sea urchin-dominated communities into kelp-dominated communities by preying on sea urchins and thus reducing the intensity of herbivory. After being locally extinct for more than a century, sea otters re-colonized the Semichi Islands in the Aleutian Archipelago, Alaska in the early 1990s. Here, otter populations increased to about 400 individuals by 1994, but rapidly declined to about 100 by 1997. Roughly 7 yr after initial otter re-colonization, there were only marginal changes in sea urchin biomass, mean maximum test size, and kelp density. These small changes may be the first steps in the cascading effects on community structure typically found with the invasion of a keystone species. However, no wholesale change in community structure occurred following re-colonization and growth of the sea otter population. Instead, this study describes a transition state and identifies factors such as keystone species density and residence time that can be important in dictating the degree to which otter effects are manifested.</t>
  </si>
  <si>
    <t>Univ Calif Santa Cruz, US Geol Survey, Santa Cruz, CA 95064 USA</t>
  </si>
  <si>
    <t>United States Department of the Interior; United States Geological Survey; University of California System; University of California Santa Cruz</t>
  </si>
  <si>
    <t>Konar, B (corresponding author), Univ Calif Santa Cruz, US Geol Survey, Santa Cruz, CA 95064 USA.</t>
  </si>
  <si>
    <t>bkonar@ims.uaf.edu</t>
  </si>
  <si>
    <t>10.3354/meps199271</t>
  </si>
  <si>
    <t>WOS:000088434300022</t>
  </si>
  <si>
    <t>Simpson, VR; Bain, MS; Brown, R; Brown, BF; Lacey, RF</t>
  </si>
  <si>
    <t>otters; Lutra; vitamin A; PCBs; organochlorines</t>
  </si>
  <si>
    <t>TOXIC EQUIVALENCY FACTORS; MINK MUSTELA-VISON; FRACTIONS THEREOF; A LEVELS; PCBS; RAT</t>
  </si>
  <si>
    <t>Seventy-seven wild otters (Lutra (lutra) found dead in south west England between 1988 and 1996 were examined post mortem. Liver samples were analysed from 56 otters for polychlorinated hydrocarbons and from 40 for vitamin A (retinol). There was a significant decline in the levels of pollutants over the study period and this coincided with a marked increase in vitamin A levels. However, a causal relationship was not established. Low vitamin A levels were prevalent in the early years of the study but no conclusive pathological lesions due to deficiency were seen. It is suggested that vitamin A deficiency may have been widespread in Britain's otter population until recently and may have been implicated in the earlier decline. Crown Copyright (C) 2000 Published by Elsevier Science Ltd. All rights reserved.</t>
  </si>
  <si>
    <t>Vet Invest Ctr, Truro TR4 9AD, Cornwall, England; Vet Invest Ctr, Shrewsbury SY1 4HD, Salop, England; Environm Agcy, Exeter EX2 7LQ, Devon, England; WRc PLC, Marlow SL7 2HD, Bucks, England</t>
  </si>
  <si>
    <t>Simpson, VR (corresponding author), Vet Invest Ctr, Truro TR4 9AD, Cornwall, England.</t>
  </si>
  <si>
    <t>10.1016/S0269-7491(99)00307-3</t>
  </si>
  <si>
    <t>337FX</t>
  </si>
  <si>
    <t>WOS:000088347700009</t>
  </si>
  <si>
    <t>Wolf, KN; Wildt, DE; Vargas, A; Marinari, PE; Ottinger, MA; Howard, JG</t>
  </si>
  <si>
    <t>behavior; breeding; copulation; semen; mustelid</t>
  </si>
  <si>
    <t>BLACK-FOOTED FERRET; MUSTELA-PUTORIUS-FURO; SPERM; FERTILIZATION; SECRETION; BIOLOGY</t>
  </si>
  <si>
    <t>The black-footed ferret (Mustela nigripes), once considered extinct, has benefited from captive breeding and subsequent reintroduction into native habitat. A high proportion of females (&gt;90%) exhibit estrus in captivity during the spring breeding season. However, many males considered to be prime-breeding age (1-3 years old) fail to sire offspring. Breeding records in 1995 revealed that 40 of 73 males (55%) managed under the Black-Footed Ferret Species Survival Plan did not reproduce, despite being provided opportunity. The present study was conducted to determine the incidence and etiology of male reproductive failure in 1996 and 1997. In 1996, 38 of 69 (55%) 1- to 3-year-old males failed to sire offspring. Likewise, 35 of 60 (58%) males did not reproduce in 1997. Overall, 21% of adult males failed to sire young in three consecutive breeding seasons (1995-1997). Electroejaculate traits (ejaculate volume, sperm concentration, motility, morphology, and acrosomal integrity) from 29 proven breeder males were not different (P &gt; 0.05) from those of 23 males that did not sire young (nonproven breeders). However, six categories of reproductive failure were identified for the 73 prime-breeding age, nonproven males: 1) underdeveloped testes (22%); 2) improper breeding position with the female (25%); 3) excessive aggression toward estrous females (9%); 4) copulation with no sperm detected at postcoital lavage (19%); 5) copulation with sperm in the vaginal lavage but no resulting pregnancy (18%); and 6) copulation with no vaginal lavage performed and no resulting pregnancy (7%). These data indicate that combined behavioral and physiologic factors, but not overall sperm quality, influence reproductive performance in male black-footed ferrets managed in captivity. Zoo Biol 19:517-528, 2000. (C) 2000 Wiley-Liss, Inc.</t>
  </si>
  <si>
    <t>Smithsonian Inst, Natl Zool Pk, Conservat &amp; Res Ctr, Front Royal, VA USA; Univ Wyoming, US Fish &amp; Wildlife Serv, Natl Black Footed Ferret Conservat Ctr, Laramie, WY 82071 USA; Univ Maryland, Dept Anim &amp; Avian Sci, College Pk, MD 20742 USA</t>
  </si>
  <si>
    <t>Smithsonian Institution; Smithsonian National Zoological Park &amp; Conservation Biology Institute; University of Wyoming; United States Department of the Interior; US Fish &amp; Wildlife Service; University System of Maryland; University of Maryland College Park</t>
  </si>
  <si>
    <t>Howard, JG (corresponding author), Smithsonian Inst, Natl Zool Pk, Dept Reprod Sci, Washington, DC 20008 USA.</t>
  </si>
  <si>
    <t>10.1002/1098-2361(2000)19:6&lt;517::AID-ZOO4&gt;3.3.CO;2-M</t>
  </si>
  <si>
    <t>394MU</t>
  </si>
  <si>
    <t>WOS:000166528500004</t>
  </si>
  <si>
    <t>Poole, KG; Graf, RP</t>
  </si>
  <si>
    <t>FOOD-HABITS; SEXUAL DIMORPHISM; AMERICANA; SELECTION; SIZE</t>
  </si>
  <si>
    <t>We examined the winter diet of marten (Martes americana) from northern (65-67 degrees N) and southern (60-62 degrees N) regions of the western Northwest Territories from 1988-1989 to 1993-1994 during a decline in snowshoe hare (Lepus americanus) abundance that started in 1990. We used 4256 marten carcasses collected from trappers to examine changes in diet, productivity, age and sex structure of the harvest, and body and reproductive indices. Arvicoline rodents formed the greatest proportion (41-95% occurrence of total prey items) of the annual winter diet in both regions and snowshoe hares constituted 1-39% of prey items. Snowshoe hares constituted 3-64% of the diet when expressed as biomass. Dietary proportions of arvicolines increased and snowshoe hares decreased with time in the northern region but not in the southern region. Female marten took proportionately more arvicolines and males took more snowshoe hares. Juvenile marten took proportionately more snowshoe hares, while adults took more arvicolines. The proportion of juvenile marten in the harvest declined in both regions between 1991-1992 and 1993-1994. The ratio of juveniles to adult females in the harvest also declined with time in the southern region but not in the northern region. The amount of omental fat declined with time for most age and sex classes. Ovulation rates (as determined by counts of corpora lutea) declined with time among yearlings, and among adults from the southern region but not in the northern region. In utero litter size did not change. We suggest that the snowshoe hare population cycle has a significant impact on marten populations in the northern boreal forest.</t>
  </si>
  <si>
    <t>Poole, KG (corresponding author), NW TERR DEPT RENEWABLE RESOURCES,WILDLIFE MANAGEMENT DIV,600,5102-50TH AVE,YELLOWKNIFE,NT X1A 3S8,CANADA.</t>
  </si>
  <si>
    <t>10.1139/z96-053</t>
  </si>
  <si>
    <t>UE715</t>
  </si>
  <si>
    <t>WOS:A1996UE71500007</t>
  </si>
  <si>
    <t>Huang, AC; Nelson, C; Elliott, JE; Guertin, DA; Ritland, C; Drouillard, K; Cheng, KM; Schwantje, HM</t>
  </si>
  <si>
    <t>Huang, Andrew C.; Nelson, Cait; Elliott, John E.; Guertin, Daniel A.; Ritland, Carol; Drouillard, Ken; Cheng, Kimberly M.; Schwantje, Helen M.</t>
  </si>
  <si>
    <t>River otters (Lontra canadensis) trapped in a coastal environment contaminated with persistent organic pollutants: Demographic and physiological consequences</t>
  </si>
  <si>
    <t>River otter; Persistent organic pollutants; Fecal DNA genotyping; Hormone response; Ecological trap; Coastal contaminated sites</t>
  </si>
  <si>
    <t>MINK MUSTELA-VISON; ORGANOCHLORINE PESTICIDE-RESIDUES; POLYMORPHIC MICROSATELLITE LOCI; WHALES DELPHINAPTERUS-LEUCAS; SAN-FRANCISCO BAY; POLYCHLORINATED-BIPHENYLS; THYROID-HORMONE; LUTRA-LUTRA; ORGANOHALOGEN CONTAMINANTS; REPRODUCTIVE HORMONES</t>
  </si>
  <si>
    <t>Productive coastal and estuarine habitats can be degraded by contaminants including persistent organic pollutants (POPs) such as PCBs, dioxins, and organochlorine insecticides to the extent of official designation as contaminated sites. Top-predatory wildlife may continue to use such sites as the habitat often appears suitable, and thus bioaccumulate POPs and other contaminants with potential consequences on their health and fitness. Victoria and Esquimalt harbours are located on southern Vancouver Island, British Columbia (BC) and are federally designated contaminated sites due mainly to past heavy industrial activities, such as from shipyards and sawmills. We collected scat samples from river otters (Lontra canadensis) throughout an annual cycle, and combined chemical analysis with DNA genotyping to examine whether the harbour areas constituted a contaminant-induced ecological trap for otters. We confirmed spatial habitat use by radio telemetry of a subsample of otters. Fifteen percent of otter scat contained PCB concentrations exceeding levels considered to have adverse effects on the reproduction of mink (Neovison vison), and there were significant positive correlations between concentrations of PCBs and of thyroid (T3) and sex (progesterone) hormones in fecal samples. Radio telemetry data revealed that otters did not show directional movement away from the harbours, indicating their inability to recognize the contaminated site as a degraded habitat. However, analysis and modeling of the DNA genotyping data provided no evidence that the harbour otters formed a sink population and therefore were in an ecological trap. Despite the highly POP-contaminated habitat, river otters did not appear to be adversely impacted at the population level. Our study demonstrates the value of combining chemical and biological technologies with ecological theory to investigate practical conservation problems. Crown Copyright (C) 2018 Published by Elsevier Ltd. All rights reserved.</t>
  </si>
  <si>
    <t>[Huang, Andrew C.; Elliott, John E.] Environm &amp; Climate Change Canada, Sci &amp; Technol Branch, Delta, BC, Canada; [Nelson, Cait; Elliott, John E.; Cheng, Kimberly M.] Univ British Columbia, Fac Land &amp; Food Syst, Avian Res Ctr, Vancouver, BC, Canada; [Nelson, Cait; Guertin, Daniel A.; Schwantje, Helen M.] British Columbia Minist Forests Lands Nat Resourc, Victoria, BC, Canada; [Guertin, Daniel A.] Simon Fraser Univ, Biol Sci, Burnaby, BC, Canada; [Ritland, Carol] Univ British Columbia, Genet Data Ctr, Forest &amp; Conservat Sci, Vancouver, BC, Canada; [Drouillard, Ken] Univ Windsor, Great Lakes Inst Environm Res, Windsor, ON, Canada; [Huang, Andrew C.] Environm &amp; Climate Change Canada, Canadian Wildlife Serv, Delta, BC, Canada</t>
  </si>
  <si>
    <t>Environment &amp; Climate Change Canada; University of British Columbia; Simon Fraser University; University of British Columbia; University of Windsor; Environment &amp; Climate Change Canada; Canadian Wildlife Service</t>
  </si>
  <si>
    <t>Elliott, JE (corresponding author), Environm &amp; Climate Change Canada, Sci &amp; Technol Branch, Delta, BC, Canada.</t>
  </si>
  <si>
    <t>john.elliott@canada.ca</t>
  </si>
  <si>
    <t>ECCC under Georgia Basin Action Plan; Strategic Technology Applications of Genomics in the Environment (STAGE) program; British Columbia Habitat Conservation Trust Foundation, Simon Fraser University; Science Horizons Program (Government of Canada); American Society of Mammalogists</t>
  </si>
  <si>
    <t>We thank the staff of Environment and Climate Change Canada and the British Columbia Ministry of Environment for logistical support in the field. We are indebted to the numerous landowners who granted access to their land for sample collection. We thank the National Wildlife Research Centre staffs for specimen bank archiving and chemical analysis. We want to extend our gratitude to Allyson Miscampbell and Agnes Yuen from the Genetic Data Centre of UBC for providing their endless technical support and knowledge in the lab. Funding was provided by ECCC under the Georgia Basin Action Plan, the Strategic Technology Applications of Genomics in the Environment (STAGE) program, the British Columbia Habitat Conservation Trust Foundation, Simon Fraser University, the Science Horizons Program (Government of Canada), and a Grant-In-Aid from the American Society of Mammalogists.</t>
  </si>
  <si>
    <t>10.1016/j.envpol.2018.03.035</t>
  </si>
  <si>
    <t>GI8EM</t>
  </si>
  <si>
    <t>WOS:000434754600033</t>
  </si>
  <si>
    <t>Sutherland, C; Fuller, AK; Royle, JA; Hare, MP; Madden, S</t>
  </si>
  <si>
    <t>Sutherland, Chris; Fuller, Angela K.; Royle, J. Andrew; Hare, Matthew P.; Madden, Sean</t>
  </si>
  <si>
    <t>Large-scale variation in density of an aquatic ecosystem indicator species (vol 8, 8958, 2018)</t>
  </si>
  <si>
    <t>Correction</t>
  </si>
  <si>
    <t>; Sutherland, Chris/H-6624-2019</t>
  </si>
  <si>
    <t>Sutherland, Chris/0000-0003-2073-1751; Fuller, Angela/0000-0002-9247-7468;</t>
  </si>
  <si>
    <t>NOV 6</t>
  </si>
  <si>
    <t>10.1038/s41598-019-53158-6</t>
  </si>
  <si>
    <t>JK1WI</t>
  </si>
  <si>
    <t>WOS:000494637500002</t>
  </si>
  <si>
    <t>Dechner, Andrea; Flesher, Kevin M.; Lindell, Catherine; de Oliveira, Teo Veiga; Maurer, Brian A.</t>
  </si>
  <si>
    <t>Determining carnivore habitat use in a rubber/forest landscape in Brazil using multispecies occupancy models (vol 13, e0195311, 2018)</t>
  </si>
  <si>
    <t>MAY 9</t>
  </si>
  <si>
    <t>e0197397</t>
  </si>
  <si>
    <t>10.1371/journal.pone.0197397</t>
  </si>
  <si>
    <t>GF2GV</t>
  </si>
  <si>
    <t>WOS:000431757400073</t>
  </si>
  <si>
    <t>Gariano, P; Balestrieri, A</t>
  </si>
  <si>
    <t>Gariano, Pasquale; Balestrieri, Alessandro</t>
  </si>
  <si>
    <t>'Otter, come out!': taking away the stone on the southernmost Italian Lutra lutra population</t>
  </si>
  <si>
    <t>Lazarus species; rediscovery; distribution; peripheral populations; conservation; Eurasian otter</t>
  </si>
  <si>
    <t>HABITAT; MESOHABSIM; OCCUPANCY; RECOVERY</t>
  </si>
  <si>
    <t>Although Italy is among the European countries with the highest number of threatened species, since the turn of the twenty-first century some flagship species, such as Eurasian otter Lutra lutra and wolf Canis lupus, have started to recover. Since 2003 the otter has been newly recorded on the Sila Massif (S. Italy), where it had been reported to have gone extinct in the 1980s. With the aim of outlining the actual range of this population, in 2014-2017 we monitored otter occurrence on eight major rivers. Spraint surveys were carried out on 18-23 sampling stretches every July. Seven stations (Rivers Savuto and Neto-Lese) showed 75-100% positive surveys, while otters were recorded only once at three of the rivers. Monitoring allowed identifying in the catchments of the Rivers Savuto and Neto, which flow on opposite sides of the Sila Massif, otter core population at the southern edge of its Italian range. We assessed the exceptionality of the recent sightings using a surprise index based on the time distribution of pre-disappearance otter records. Analyses suggest that the otter persisted in the area and went unrecorded during the national survey carried out in 1983-1985, stressing the need for further monitoring at national scale.</t>
  </si>
  <si>
    <t>[Gariano, Pasquale; Balestrieri, Alessandro] Univ Pavia, Dept Earth &amp; Environm Sci, Via Taramelli 22, I-27100 Pavia, Italy; [Gariano, Pasquale] ProGen Soc Coop Pa, Gioiosa Ionica, Italy</t>
  </si>
  <si>
    <t>Balestrieri, A (corresponding author), Univ Pavia, Dept Earth &amp; Environm Sci, Via Taramelli 22, I-27100 Pavia, Italy.</t>
  </si>
  <si>
    <t>2376-7626</t>
  </si>
  <si>
    <t>10.1080/11956860.2018.1482699</t>
  </si>
  <si>
    <t>GP2YP</t>
  </si>
  <si>
    <t>WOS:000440704300007</t>
  </si>
  <si>
    <t>Miller, M</t>
  </si>
  <si>
    <t>Miller, Melissa</t>
  </si>
  <si>
    <t>Isolation and Characterization of a Novel Marine Brucella from a Southern Sea Otter (Enhydra lutris nereis), California, USA'' (vol 53, pg 215, 2017)</t>
  </si>
  <si>
    <t>10.7589/2015-12-326.1</t>
  </si>
  <si>
    <t>WOS:000412579200036</t>
  </si>
  <si>
    <t>Novel Bartonella infection in northern and southern sea otters (Enhydra lutris kenyoni and Enhydra lutris nereis) (vol 170, pg 325, 2014)</t>
  </si>
  <si>
    <t>[Carrasco, Sebastian E.; Chomel, Bruno B.; Miller, Melissa A.; Goldstein, Tracey; Mazet, Jonna A. K.] Univ Calif Davis, Sch Vet Med, Hlth Inst 1, Wildlife Hlth Ctr, Davis, CA 95616 USA; [Chomel, Bruno B.; Kasten, Rickie W.] Univ Calif Davis, Sch Vet Med, Dept Populat Hlth &amp; Reprod, Davis, CA 95616 USA; [Gill, Verena A.] US Fish &amp; Wildlife Serv, Marine Mammals Management, Anchorage, AK 99503 USA; [Maggi, Ricardo G.; Breitschwerdt, Edward B.] N Carolina State Univ, Coll Vet Med, Ctr Comparat Med &amp; Transit Res, Raleigh, NC 27606 USA; [Byrne, Barbara A.] Univ Calif Davis, Sch Vet Med, Dept Pathol Microbiol &amp; Immunol, Davis, CA 95616 USA; [Burek-Huntington, Kathleen A.] Alaska Vet Pathol Serv, Eagle River, AK 99577 USA; [Miller, Melissa A.] Calif Dept Fish &amp; Wildlife, Marine Wildlife Vet Care &amp; Res Ctr, Santa Cruz, CA 95060 USA</t>
  </si>
  <si>
    <t>scarrasc@umail.iu.edu</t>
  </si>
  <si>
    <t>Breitschwerdt, Edward/0000-0002-3506-0279; Maggi, Ricardo/0000-0001-7428-0138; Mazet, Jonna/0000-0002-8712-5951</t>
  </si>
  <si>
    <t>10.1016/j.vetmic.2015.11.006</t>
  </si>
  <si>
    <t>DE2MD</t>
  </si>
  <si>
    <t>WOS:000370460500025</t>
  </si>
  <si>
    <t>VanWormer, E</t>
  </si>
  <si>
    <t>VanWormer, E.</t>
  </si>
  <si>
    <t>Using Molecular Epidemiology to Track Toxoplasma gondii from Terrestrial Carnivores to Marine Hosts: Implications for Public Health and Conservation (vol 8, e2852, 2014)</t>
  </si>
  <si>
    <t>e3340</t>
  </si>
  <si>
    <t>10.1371/journal.pntd.0003340</t>
  </si>
  <si>
    <t>AS9WJ</t>
  </si>
  <si>
    <t>WOS:000344589000084</t>
  </si>
  <si>
    <t>Monson, DH; Doak, DF; Ballachey, BE; Bodkin, JL</t>
  </si>
  <si>
    <t>Monson, Daniel H.; Doak, Daniel F.; Ballachey, Brenda E.; Bodkin, James L.</t>
  </si>
  <si>
    <t>Could residual oil from the Exxon Valdez spill create a long-term population sink for sea otters in Alaska?</t>
  </si>
  <si>
    <t>AIC; ecological risk assessment; Enhydra lutris; oil spills; Prince William Sound; Alaska; USA; sea otter; source-sink models</t>
  </si>
  <si>
    <t>PRINCE-WILLIAM-SOUND; ENHYDRA-LUTRIS; HARLEQUIN DUCKS; WINTER SURVIVAL; KODIAK ISLAND; RECOVERY; HYDROCARBONS; PERSISTENCE; MORTALITY; HISTORY</t>
  </si>
  <si>
    <t>Over 20 years ago, the Exxon Valdez oil tanker spilled 42 million L of crude oil into the waters of Prince William Sound, Alaska, USA. At the time of the spill, the sea otter (Enhydra lutris) population inhabiting the spill area suffered substantial acute injuries and loss. Subsequent research has resulted in one of the best-studied species responses to an oil spill in history. However, the question remains: Is the spill still influencing the Prince William Sound sea otter population? Here we fit time-varying population models to data for the sea otter population of western Prince William Sound to quantify the duration and extent of mortality effects from the spill. We hypothesize that the patchy nature of residual oil left in the environment has created a source-sink population dynamic. We fit models using the age distributions of both living and dying animals and estimates of sea otter population size to predict the number of sea otters in the hypothesized sink population and the number lost to this sink due to chronic exposure to residual oil. Our results suggest that the sink population has remained at just over 900 individuals (95% CI: 606-960) between 1990 and 2009, during which time prime-age survival remained 2-6% below pre-spill levels. This reduced survival led to chronic losses of; 900 animals over the past two decades, which is similar in magnitude to the number of sea otter deaths documented in western Prince William Sound during the acute phase of the spill. However, the unaffected source population appears to be counterbalancing these losses, with the model indicating that the sea otter population increased from; 2150 individuals in 1990 to nearly 3000 in 2009. The most optimistic interpretation of our results suggests that mortality effects dissipated between 2005 and 2007. Our results suggest that residual oil can affect wildlife populations on time scales much longer than previously believed and that cumulative chronic effects can be as significant as acute effects. Further, source-sink population dynamics can explain the slow recovery observed in the spill-affected western Prince William Sound sea otter population and are consistent with available data.</t>
  </si>
  <si>
    <t>[Monson, Daniel H.; Ballachey, Brenda E.; Bodkin, James L.] US Geol Survey, Alaska Sci Ctr, Anchorage, AK 99508 USA; [Doak, Daniel F.] Univ Wyoming, Dept Zool &amp; Physiol, Laramie, WY 82071 USA</t>
  </si>
  <si>
    <t>United States Department of the Interior; United States Geological Survey; University of Wyoming</t>
  </si>
  <si>
    <t>Monson, DH (corresponding author), US Geol Survey, Alaska Sci Ctr, 4210 Univ Dr, Anchorage, AK 99508 USA.</t>
  </si>
  <si>
    <t>dmonson@usgs.gov</t>
  </si>
  <si>
    <t>This research was supported primarily by the Exxon Valdez Oil Spill Trustee Council. However, the findings and conclusions do not necessarily reflect the views or position of the Trustee Council. Any use of trade names is for descriptive purposes only and does not represent endorsement by the U.S. government. Carcasses collections were conducted by walking countless miles of beach each spring beginning in the 1970s under the direction of Ancel Johnson (USFWS, retired). Follow-up collections began in the spring of 1990 following the EVOS; many people assisted in these efforts including D. Bruden, H. Coletti, T. Dean, J. DeGroot, J. de la Bruere, A. Doroff, G. Esslinger, M. Fedorko, C. Gorbics, K. Kloecker, K. Modla, K. Millstein, and C. Robbins, among others. We thank P. Kearney for safely piloting many hundreds of hours over nearly 20 years of flying sea otter surveys. We also thank M. Udevitz, J. Bromaghin, T. Tinker, and two anonymous reviewers for valuable reviews.</t>
  </si>
  <si>
    <t>10.1890/11-0152.1</t>
  </si>
  <si>
    <t>877GU</t>
  </si>
  <si>
    <t>WOS:000299166300007</t>
  </si>
  <si>
    <t>Santos, MJ; Matos, HM; Baltazar, C; Grilo, C; Santos-Reis, M</t>
  </si>
  <si>
    <t>Santos, Maria J.; Matos, Hugo M.; Baltazar, Carla; Grilo, Clara; Santos-Reis, Margarida</t>
  </si>
  <si>
    <t>Is polecat (Mustela putorius) diet affected by mediterraneity?</t>
  </si>
  <si>
    <t>European polecat; Wild rabbit; Conservation; Alqueva dam; Guadiana basin</t>
  </si>
  <si>
    <t>BADGER MELES-MELES; TROPHIC NICHE OVERLAP; EUROPEAN POLECAT; FELIS-SILVESTRIS; FEEDING-HABITS; FOOD; CONSERVATION; POPULATIONS; IDENTIFICATION; DISTRIBUTIONS</t>
  </si>
  <si>
    <t>Carnivores in Mediterranean ecosystems respond to the inherent heterogeneity of these systems by tracking the spatial and temporal availability of food resources. This feeding strategy, however, has been associated primarily with generalist carnivores and little is known for specialist species such as the European polecat. We collected polecat scat to determine the diet of this species, how it matches the seasonal availability of food resources, and how it is affected by population spatial structure and anthropogenic disturbance. Polecats were present in only 34% of the surveyed area and were clumped into three main population nuclei. Despite the spatial segregation of the populations, they had no significant differences in food items consumed. Polecats mostly fed on mammals (percentage of occurrence (P.O.)= 43%) and arthropods (P.O. = 49%). Biomass intake was also mostly from mammals (percentage of biomass (P.B.) = 96%), followed by birds (P.B. = 3%), with arthropods contributing less than 1%. Lagomorphs were the most consumed prey (P.O. = 25% and P.B. = 87%). which is consistent with the marked spatial overlap between scat with high content in lagomorphs and the areas with high wild rabbit availability. These results indicate that polecats are specialists in the consumption of wild rabbits, spatially track the availability of this prey, and may be affected by the decrease in abundance of the prey populations. Future conservation of polecats in Mediterranean regions of southern Portugal may be achieved through the restoration of hunted and diseased wild rabbit populations. (C) 2009 Deutsche Gesellschaft fur Saugetierkunde. Published by Elsevier GmbH. All rights reserved.</t>
  </si>
  <si>
    <t>Univ Lisbon, Fac Ciencias, Ctr Biol Ambiental, P-1749016 Lisbon, Portugal; Dept Biol Anim, P-1749016 Lisbon, Portugal</t>
  </si>
  <si>
    <t>Santos, MJ (corresponding author), Univ Calif Davis, Dept Land Air &amp; Water Resources, 1 Shields Ave, Davis, CA 95616 USA.</t>
  </si>
  <si>
    <t>mjsantos@fc.ul.pt</t>
  </si>
  <si>
    <t>Santos-Reis, Margarida/H-4064-2011; Santos, Maria Joao/M-5034-2013; Grilo, Clara/H-2002-2012</t>
  </si>
  <si>
    <t>Santos-Reis, Margarida/0000-0002-0337-963X; Santos, Maria Joao/0000-0002-6558-7477; Grilo, Clara/0000-0001-9870-3115</t>
  </si>
  <si>
    <t>EDIA; SA - Empresa de Infraestruturas de Alqueva</t>
  </si>
  <si>
    <t>We are thankful to EDIA, SA - Empresa de Infraestruturas de Alqueva for providing funding. We would like to thank Dr. Johnny Birks for insightful comments regarding polecat ecology and methodological suggestions. We are especially thankful to Ana Teresa Candido, Iris Pereira, Joaquim Pedro Ferreira, Nuno Miguel Pedroso, Teresa Sales Luis, Carla Azeda and Carla Barrinha for their help during field work, particularly during the rabbit surveys. We would also like to thank Matthias Falk for the translation of the abstract to German and Margaret Andrew for the English revision.</t>
  </si>
  <si>
    <t>10.1016/j.mambio.2009.08.007</t>
  </si>
  <si>
    <t>515QV</t>
  </si>
  <si>
    <t>WOS:000271488600003</t>
  </si>
  <si>
    <t>Amstislavsky, S; Lindeberg, H; Aalto, J; Kennedy, MW</t>
  </si>
  <si>
    <t>Amstislavsky, S.; Lindeberg, H.; Aalto, J.; Kennedy, M. W.</t>
  </si>
  <si>
    <t>Conservation of the European mink (Mustela lutreola):: Focus on reproduction and reproductive technologies</t>
  </si>
  <si>
    <t>REPRODUCTION IN DOMESTIC ANIMALS</t>
  </si>
  <si>
    <t>DISEASE PARVOVIRUS; SURGICAL TRANSFER; EMBRYO-TRANSFER; AMERICAN MINK; GENETICS; CRYOPRESERVATION; BIOLOGY; STRESS; WILD; HYBRIDIZATION</t>
  </si>
  <si>
    <t>The European mink (Mustela lutreola) is a small mammal, which belongs to the Mustelidae family (Carnivora). Earlier, the range of distribution of this species encompassed much of the European continent. During the 20th century, the numbers of European mink declined and the range of its distribution became reduced to three fragmented populations; today this species faces extinction. The urgent necessity for effective conservation efforts to protect the European mink is accepted by the governmental organizations as well as scientific communities of most European countries. In this paper, the reasons for the disappearance of European mink are reviewed and results of past conservation efforts based on captive breeding and reintroduction programmes are critically evaluated in the broad context of modern concepts of conservation genetics and reproductive biology. The data recently obtained on the reproduction and pre-implantation development of European mink and the prospects of incorporation of modern reproductive technologies into the conservation programme of this species are discussed.</t>
  </si>
  <si>
    <t>[Amstislavsky, S.] Russian Acad Sci, Inst Cytol &amp; Genet, Siberian Dept, Novosibirsk 630090, Russia; [Amstislavsky, S.; Lindeberg, H.; Aalto, J.] Univ Kuopio, Dept Biosci, FIN-70211 Kuopio, Finland; [Kennedy, M. W.] Univ Glasgow, Inst Biomed &amp; Life Sci, Glasgow, Lanark, Scotland</t>
  </si>
  <si>
    <t>Russian Academy of Sciences; Siberian Branch of the Russian Academy of Sciences; Institute of Cytology &amp; Genetics ICG SB RAS; University of Eastern Finland; University of Glasgow</t>
  </si>
  <si>
    <t>Amstislavsky, S (corresponding author), Russian Acad Sci, Inst Cytol &amp; Genet, Siberian Dept, Prosp Lavrentjeva 10, Novosibirsk 630090, Russia.</t>
  </si>
  <si>
    <t>amstis@bionet.nsc.ru</t>
  </si>
  <si>
    <t>0936-6768</t>
  </si>
  <si>
    <t>1439-0531</t>
  </si>
  <si>
    <t>REPROD DOMEST ANIM</t>
  </si>
  <si>
    <t>Reprod. Domest. Anim.</t>
  </si>
  <si>
    <t>10.1111/j.1439-0531.2007.00950.x</t>
  </si>
  <si>
    <t>Agriculture, Dairy &amp; Animal Science; Reproductive Biology; Veterinary Sciences</t>
  </si>
  <si>
    <t>Agriculture; Reproductive Biology; Veterinary Sciences</t>
  </si>
  <si>
    <t>331CW</t>
  </si>
  <si>
    <t>WOS:000257991300020</t>
  </si>
  <si>
    <t>Santos, MJ; Pedroso, NM; Ferreira, JP; Matos, HM; Sales-Luís, T; Pereira, I; Baltazar, C; Grilo, C; Cândido, AT; Sousa, I; Santos-Reis, M</t>
  </si>
  <si>
    <t>Santos, Maria J.; Pedroso, Nuno M.; Ferreira, Joaquim P.; Matos, Hugo M.; Sales-Luis, Teresa; Pereira, Iris; Baltazar, Carla; Grilo, Clara; Candido, Ana T.; Sousa, Ines; Santos-Reis, Margarida</t>
  </si>
  <si>
    <t>Assessing dam implementation impact on threatened carnivores:: the case of Alqueva in SE Portugal</t>
  </si>
  <si>
    <t>conservation; impacts; deforestation; flooding; Guadiana river basin; Iberian lynx; otter; polecat; wildcat</t>
  </si>
  <si>
    <t>OTTER LUTRA-LUTRA; RABBIT ORYCTOLAGUS-CUNICULUS; POLECAT MUSTELA-PUTORIUS; WILDCAT FELIS-SILVESTRIS; TERRESTRIAL MAMMALS; NORTHERN SCOTLAND; CONSERVATION; ECOLOGY; VEGETATION; ABUNDANCE</t>
  </si>
  <si>
    <t>Large dam construction in water deficient areas is a management decision often controversial. Besides providing water storage, economical benefits, and a source of renewable energy, the construction and flooding caused by large dams cause disruptions in natural systems. We monitored the pre- and post-Alqueva dam impacts on the threatened carnivore species (polecat, otter, wildcat and Iberian lynx) populations in SE Portugal, and assessed which factors mostly contribute to post-dam distribution. Major short term impacts of large dams are: (1) increase in accessibility and human presence; (2) movement of heavy machinery and dam-workers; (3) deforestation with habitat loss and fragmentation; (4) change from lotic to lentic system; (5) lower prey availability and harsher capture; and (6) changes in land use adjacent to the reservoir. Thus, the response to those impacts can be predicted as a decline of polecat, wildcat and lynx distribution ranges, and a recovery of the otter from the severe short term impacts. Our results corroborate this hypothesis for all the species, especially during deforestation/early flooding. Otter's distribution range increased in the phase of greater impact, with a subsequent decrease with flooding. Our results suggest carnivores used escape areas with favourable habitat and prey conditions, however, the areas with higher probability of species presence decreased by two fold showing a drastic range reduction. To ensure populations' survival of these charismatic threatened carnivore populations of Mediterranean landscapes of south-east Portugal, we propose continuing the monitoring program and the development of a conservation program for the subsisting areas of optimal and suboptimal habitats.</t>
  </si>
  <si>
    <t>[Santos, Maria J.; Pedroso, Nuno M.; Ferreira, Joaquim P.; Matos, Hugo M.; Sales-Luis, Teresa; Pereira, Iris; Baltazar, Carla; Grilo, Clara; Candido, Ana T.; Sousa, Ines; Santos-Reis, Margarida] Univ Lisbon, Fac Ciencias, Ctr Biol Ambiental, Dept Biol Anim, P-1749016 Lisbon, Portugal; [Santos, Maria J.] Univ Calif Davis, Dept Land Air &amp; Water Resources, Davis, CA 95616 USA; [Pedroso, Nuno M.; Ferreira, Joaquim P.] Ctr Estudos Avifauna Iber, P-7002506 Evora, Portugal</t>
  </si>
  <si>
    <t>Universidade de Lisboa; University of California System; University of California Davis</t>
  </si>
  <si>
    <t>Santos, MJ (corresponding author), Univ Lisbon, Fac Ciencias, Ctr Biol Ambiental, Dept Biol Anim, Ed C2 Campo Grande, P-1749016 Lisbon, Portugal.</t>
  </si>
  <si>
    <t>; Grilo, Clara/H-2002-2012; Santos-Reis, Margarida/H-4064-2011; Santos, Maria Joao/M-5034-2013; Peoso, Nuno M/I-6295-2013; Ferreira, Joaquim/KDU-0684-2024; Cândido, Ana/L-9217-2013</t>
  </si>
  <si>
    <t>Girão Meireles de Sousa, Inês/0000-0001-6983-8870; Grilo, Clara/0000-0001-9870-3115; Santos-Reis, Margarida/0000-0002-0337-963X; Santos, Maria Joao/0000-0002-6558-7477; Peoso, Nuno M/0000-0001-6486-130X; Ferreira, Joaquim/0000-0002-0469-1529;</t>
  </si>
  <si>
    <t>10.1007/s10661-007-9907-8</t>
  </si>
  <si>
    <t>309PA</t>
  </si>
  <si>
    <t>WOS:000256471500005</t>
  </si>
  <si>
    <t>Leuchtenberger, C; Mourao, G</t>
  </si>
  <si>
    <t>Leuchtenberger, Caroline; Mourao, Guilherme</t>
  </si>
  <si>
    <t>Social organization and territoriality of giant otters (Carnivora: Mustelidae) in a seasonally flooded savanna in Brazil</t>
  </si>
  <si>
    <t>SOCIOBIOLOGY</t>
  </si>
  <si>
    <t>Pteronura brasiliensis; association; territory size; territory fidelity</t>
  </si>
  <si>
    <t>GROUP-SIZE; DISPERSAL; PHILOPATRY; EVOLUTION; ASSOCIATION</t>
  </si>
  <si>
    <t>Giant otters live in family groups, formed by an alpha couple and their offspring of different ages. The objectives of this research were to investigate the association between individuals, the fidelity of groups to their territories and to investigate if there were changes in the numbers of individuals and groups, and the size and distribution of their territories between two consecutive low-water seasons, in an area of the Pantanal of Brazil. We monitored giant otter groups monthly, between July/2006 and November/2007, on the Vermelho River and on one section of the Miranda River, over a total of 75.8 km. We identified 43 individuals in seven groups. Most association indices between individuals of the same group varied from 1.0 to 0.5. The association levels between the individuals in the two low-water seasons were not random; i.e. groups persisted across seasons. We observed more dispersion of individuals and establishment of new groups during the low-water seasons, and this contributed to the decrease in association of individuals. The average linear size of territories was an 11.4 km stretch of river. There was an average of 10.8 km between the centers of group territories. There was no significant correlation between group size and territory size (r=0.35, n= 12). However, the number oflatrines (F-(1,F-11) = 13.846, P=0.003; r(2)= 0.56) and the number of scent-marks (F-(1,F-11) = 13.236, P=0.004; r(2)= 0.55) increased linearly with the territory size. During the low-water season of 2007, the groups generally maintained the same territories used during the low-water season of 2006, but two of them apparently exchanged their territories. The number of groups was stable in the study area since 2003, suggesting that the giant otter population is near carrying capacity in the area and has recovered from depletion caused by the poaching from the 1980's in the Pantanal.</t>
  </si>
  <si>
    <t>[Leuchtenberger, Caroline] Univ Fed Mato Grosso do Sul, PPG Ecol &amp; Conservacao, Ctr Ciencias Biol &amp; Saude, BR-79070900 Campo Grande, MS, Brazil; [Mourao, Guilherme] Lab Vida Selvagem, BR-79320900 Corumba, MS, Brazil</t>
  </si>
  <si>
    <t>Universidade Federal de Mato Grosso do Sul</t>
  </si>
  <si>
    <t>Mourao, G (corresponding author), Univ Fed Mato Grosso do Sul, PPG Ecol &amp; Conservacao, Ctr Ciencias Biol &amp; Saude, BR-79070900 Campo Grande, MS, Brazil.</t>
  </si>
  <si>
    <t>gui@cpap.embrapa.br</t>
  </si>
  <si>
    <t>Leuchtenberger, Caroline/NMK-5822-2025; Mourão, Guilherme/C-3319-2013</t>
  </si>
  <si>
    <t>Leuchtenberger, Caroline/0000-0002-1639-2593; Mourão, Guilherme/0000-0002-8300-4191</t>
  </si>
  <si>
    <t>University of Mato Grosso do Sul and Erribrapa Pantanal; CNPq/Peld [520056/06-1]</t>
  </si>
  <si>
    <t>University of Mato Grosso do Sul and Erribrapa Pantanal; CNPq/Peld(Conselho Nacional de Desenvolvimento Cientifico e Tecnologico (CNPQ))</t>
  </si>
  <si>
    <t>We thank the University of Mato Grosso do Sul and Erribrapa Pantanal for logistic support and CNPq/Peld (process n 520056/06-1) for financial Support. CAPES provided a scholarship to C. L. Waldorniro de Lima e Silva, who assisted Lis in the field. Arnaud Desbiez and William Magnusson made many useful suggestions and improved the English of a draft manuscript.</t>
  </si>
  <si>
    <t>UNIV ESTADUAL FEIRA SANTANA</t>
  </si>
  <si>
    <t>FEIRA DE SANTANA</t>
  </si>
  <si>
    <t>AV TRANSORDESTINA S N NOVO HORIZONTE, FEIRA DE SANTANA, BAHAI CEP44036-900, BRAZIL</t>
  </si>
  <si>
    <t>0361-6525</t>
  </si>
  <si>
    <t>Sociobiology</t>
  </si>
  <si>
    <t>Entomology</t>
  </si>
  <si>
    <t>347TF</t>
  </si>
  <si>
    <t>WOS:000259163300003</t>
  </si>
  <si>
    <t>Trophic flexibility of the otter (Lutra lutra) in southern Italy</t>
  </si>
  <si>
    <t>Lutra lutra; Italy; diet shift; alternative food sources; Mediterranean area</t>
  </si>
  <si>
    <t>FRESH-WATER HABITATS; NATIONAL-PARK; FOOD-HABITS; PREY FISH; FEEDING-HABITS; EURASIAN OTTER; MELES-MELES; DIET; POPULATIONS; SCOTLAND</t>
  </si>
  <si>
    <t>Diet composition of otters (Lutra lutra) was investigated in 2001 by spraints analysis (N = 1323) on five rivers of southern Italy, with the aim of assessing the influence of fish availability, elevation and discharge on the consumption of food resources alternative to fish. Data were expressed as per cent frequency of occurrence (%FO) and per cent volume (%V). The study confirmed the great feeding adaptability of the otter that, in rivers partially interconnected and flowing on a small area, showed a strong fish eating habit in some rivers (Sinni and Mercure-Lao) and a diet mainly constituted by alternative resources in other ones (amphibians in the rivers Cogliandrino and Frido, crustaceans in the River Battendiero). Fish consumption for the five rivers was significantly correlated with fish biomass and with mean summer discharge, while it was inversely correlated with the mean altitude of the five rivers. The lack of a clear seasonality in the consumption of food sources alternative to fish together with the correlation between fish use and fish biomass for each river indicated fish availability as the main factor affecting otter relying to non-fish preys. Otter diet seemed influenced by the characteristics of river habitats (altitude, discharge and consequently fish biomass) more than by summer drought, typical of Mediterranean regions. The %FO and the %V allowed to drawn a similar picture of otter diet. Nonetheless the %V was useful for better illustrating diet variation among the different rivers and we argue that it could be useful in habitats where the otter feeds on preys with different proportions of indigestible remains. (c) 2007 Deutsche Gesellschaft fur Saugetierkunde. Published by Elsevier GmbH. All rights reserved.</t>
  </si>
  <si>
    <t>[Remonti, Luigi; Prigioni, Claudio; Balestrieri, Alessandro; Sgrosso, Silvia; Priore, Giuseppe] Univ Pavia, Dipartimento Biol Anim, I-27100 Pavia, Italy</t>
  </si>
  <si>
    <t>10.1016/j.mambio.2007.04.004</t>
  </si>
  <si>
    <t>331QI</t>
  </si>
  <si>
    <t>WOS:000258027200006</t>
  </si>
  <si>
    <t>Sepúlveda, MA; Bartheld, JL; Monsalve, R; Gómez, V; Medina-Vogel, G</t>
  </si>
  <si>
    <t>Sepulveda, Maximiliano A.; Bartheld, Jose Luis; Monsalve, Rene; Gomez, Vicente; Medina-Vogel, Gonzalo</t>
  </si>
  <si>
    <t>Habitat use and spatial behaviour of the endangered Southern river otter (Lontra provocax) in riparian habitats of Chile:: Conservation implications</t>
  </si>
  <si>
    <t>territoriality; home range; ranging behaviour; radiotracking; Lontra provocax</t>
  </si>
  <si>
    <t>HOME-RANGE; TEMPERATE FORESTS; AONYX-CAPENSIS; WOODY DEBRIS; LUTRA-LUTRA; PATTERNS; AVAILABILITY; DENSITY; ECOLOGY; MAMMALS</t>
  </si>
  <si>
    <t>The spatial behaviour of 10 Southern river otters Lontra provocax was analysed using radio-tracking data collected in the Queule River, Southern Chile. The estimated otter density was 0.25 individuals km(-1). Females with cubs and adult otters displaying mating behaviours were the only social group recorded. Studied otters were solitary and observed behaviour patterns suggest an intrasexual territoriality. No home range overlap among males existed while an average of 33% and 87% home range overlapped among females and between sexes, respectively In the situation of core areas, only one case of overlapping between an adult male and an adult female was observed. Average home range and core area lengths were 11.3 km and 0.9 km, respectively. Otters used rivers more frequently than expected, whereas they avoided small streams. Low intensity livestock farming, without canalization of watercourses and riparian vegetation extraction practices, seems compatible with the presence of Southern river otter populations since the spatial behaviour of the studied otters was not affected under these circumstances. Based on the present official reserve sizes and distribution within the country, and also the increase of variant anthropogenic land uses outside these areas that result with consequent habitat loss and deterioration, we strongly recommend considering the importance of spatial dimension in quantity and quality habitats in further conservation planning for the Southern river otter using an integrated catchment management. (c) 2007 Elsevier Ltd. All rights reserved.</t>
  </si>
  <si>
    <t>N Carolina State Univ, Coll Vet Med, Raleigh, NC 27606 USA; Comite Nacl Pro Defensa Fauna &amp; Flora, Programa Biodivers, Valdivia 842, Chile; Ines Gallardo, Puerto Montt 2129, Chile; Univ Andres Bello, Escuela Med Vet, Santiago 252, Chile; Univ Austral Chile, Fac Ciencias, Inst Ecol &amp; Evol, Valdivia, Chile</t>
  </si>
  <si>
    <t>North Carolina State University; Universidad Andres Bello; Universidad Austral de Chile</t>
  </si>
  <si>
    <t>Sepúlveda, MA (corresponding author), N Carolina State Univ, Coll Vet Med, 4700 Hillsborough St, Raleigh, NC 27606 USA.</t>
  </si>
  <si>
    <t>masepulv@ncsu.edu</t>
  </si>
  <si>
    <t>Medina-Vogel, Gonzalo/0000-0002-1579-9463; Sepulveda, Maximiliano/0000-0003-4295-7890</t>
  </si>
  <si>
    <t>10.1016/j.biocon.2007.08.026</t>
  </si>
  <si>
    <t>235CJ</t>
  </si>
  <si>
    <t>WOS:000251210800013</t>
  </si>
  <si>
    <t>Rosas, FCW; de Mattos, GE; Cabral, MMM</t>
  </si>
  <si>
    <t>Rosas, Fernando C. W.; de Mattos, Galia Ely; Cabral, Marcia Munick Mendes</t>
  </si>
  <si>
    <t>The use of hydroelectric lakes by giant otters Pteronura brasiliensis:: Balbina lake in central Amazonia, Brazil</t>
  </si>
  <si>
    <t>Amazonia; Balbina hydroelectric lake; Brazil; giant otter; habitat use; Pteronura brasiliensis</t>
  </si>
  <si>
    <t>ECOLOGY</t>
  </si>
  <si>
    <t>Data on the occurrence and habitat use of giant otters Pteronura brasiliensis in the 4,437 km(2) of Balbina hydroelectric take in central Amazonia, Brazil, were collected from September 2001 to December 2005. Twenty-nine groups of giant otters were recorded in an area corresponding to 10% of the total reservoir. Despite the fact that it is a hydroelectric lake, the water level can vary annually by up to 3.5 m with the Amazonian seasonal flood pulse. A total of 210 dens, communal latrines and campsites of giant otters were located. An average of 37% of the dens observed were classified as in use, and the species was recorded in the lake throughout the year. Giant otters started their daily activities between 05.23 and 08.05. The average height of den openings was 28.77 +/- SD 10.00 cm, with an average width of 56.11 +/- SD 19.17 cm. Births in Balbina occur mainly during the period of high and receding water level, as reported for giant otters in other Amazonian areas. There are at least two conditions that enable the species to inhabit hydroelectric reservoirs: (1) presence of the species in the area before dam construction and (2) absence or low numbers of human communities around the reservoir. The potential use of hydroelectric lakes for the conservation of the giant otter in the Amazon is discussed.</t>
  </si>
  <si>
    <t>[Rosas, Fernando C. W.; de Mattos, Galia Ely; Cabral, Marcia Munick Mendes] Inst Nacl de Pesquisas da Amazonia, Lab Mamiferos Aquat, BR-69011970 Manaus, Amazonas, Brazil</t>
  </si>
  <si>
    <t>Rosas, FCW (corresponding author), Inst Nacl de Pesquisas da Amazonia, Lab Mamiferos Aquat, Caixa Postal 478, BR-69011970 Manaus, Amazonas, Brazil.</t>
  </si>
  <si>
    <t>Cabral, Marcia/F-3732-2014</t>
  </si>
  <si>
    <t>Cabral, Marcia/0000-0002-2229-9061; Weber Rosas, Fernando Cesar/0000-0001-6715-5689</t>
  </si>
  <si>
    <t>10.1017/S0030605307005121</t>
  </si>
  <si>
    <t>250JG</t>
  </si>
  <si>
    <t>WOS:000252295300022</t>
  </si>
  <si>
    <t>Williams, BW; Scribner, KT</t>
  </si>
  <si>
    <t>Williams, Bronwyn W.; Scribner, Kim T.</t>
  </si>
  <si>
    <t>Demographic and genetic evaluation of an American marten reintroduction: A comment on Swanson et al.</t>
  </si>
  <si>
    <t>effective population size; genetic variability; marten; Martes americana; microsatellites; reintroduction; translocation</t>
  </si>
  <si>
    <t>MICROSATELLITE DNA; POPULATIONS; REMNANT</t>
  </si>
  <si>
    <t>Molecular genetic techniques have been widely used to evaluate management actions, including the success of species reintroductions. However, conclusions drawn from genetic characterizations must be interpreted in the context of the sampling design and degree of uncertainty underlying genetic parameter estimation and assumptions of analyses performed. For example, failure to correctly identify and sample appropriate groups of individuals for comparative analyses will bias estimates of summary measures of genetic diversity, intersample variance in gene frequency, and derivations of effective population size or degree of reduction or bottlenecks in numerical abundance. We critically evaluate the foundational assumptions underlying the sampling design and analytical methods employed by Swanson and colleagues. Inaccuracies in reporting the founding population history of American marten (Martes americana) in Michigan and high levels of uncertainty underlying estimates of effective population size, bottleneck history, and demographic sustainability suggest that the authors' genetic data are misrepresented.</t>
  </si>
  <si>
    <t>Michigan State Univ, Dept Fisheries &amp; Wildlife, E Lansing, MI 48824 USA</t>
  </si>
  <si>
    <t>Michigan State University</t>
  </si>
  <si>
    <t>Williams, BW (corresponding author), Univ Alberta, Dept Biol Sci, Edmonton, AB T6G 2E9, Canada.</t>
  </si>
  <si>
    <t>bwwillia@ualberta.ca</t>
  </si>
  <si>
    <t>10.1644/06-MAMM-A-291R1.1</t>
  </si>
  <si>
    <t>222QI</t>
  </si>
  <si>
    <t>WOS:000250311600024</t>
  </si>
  <si>
    <t>Thomas, NJ; Dubey, JP; Lindsay, DS; Cole, RA; Meteyer, CU</t>
  </si>
  <si>
    <t>Thomas, N. J.; Dubey, J. P.; Lindsay, D. S.; Cole, R. A.; Meteyer, C. U.</t>
  </si>
  <si>
    <t>Protozoal meningoencephalitis in sea otters (Enhydra lutris):: a histopathological and immunohistochemical study of naturally occurring cases</t>
  </si>
  <si>
    <t>Enhydra lutris; sea otter; immunohistochemistry; meningoencephalitis; Sarcocystis neurona; Toxoplasma gondii</t>
  </si>
  <si>
    <t>TOXOPLASMA-GONDII INFECTION; SARCOCYSTIS-NEURONA; NEOSPORA-CANINUM; TISSUE; NEREIS; MYELOENCEPHALITIS; MYOCARDITIS; MORTALITY; PATTERNS; GROWTH</t>
  </si>
  <si>
    <t>Protozoal meningoencephalitis is considered to be all important cause of mortality, in the California sea otter (Enhydra lutris). Thirty nine of 344 (11.3%) California (CA) and Washington state (WA) sea otters examined front 1985 to 2004 had histopathological evidence of significant protozoal meningoencephalitis. The aetiological agents and histopathological changes associated with these protozoal infections are described. The morphology of the actively multiplicative life stages of the organisms (tachyzoites for Toxoplasma gondii and merozoites for Sarcocystis neurona) and immunohistochemical labelling were used to identify infection with S. neurona (n = 22, 56.4%) T. gondii (n = 57 12.8%) or dual infection with both organisms (n = 12, 30.8%). Active S. neurona was present in all dual infections. while most had only the latent form of T. gondii. In S. neurona meningoencephalitis, multifocal to diffuse gliosis vas widespread in grey matter and consistently present in the molecular layer of the cerebellum. Ill T gondii meningoencephalitis, discrete foci of gliosis and malacia were more widely separated, sometimes incorporated pigment-laden macrophages and mineral, and were found predominantly in the cerebral cortex. Quiescent tissue cysts of T. gondii were considered to be incidental and not a cause of clinical disease and mortality. Protozoal meningoencephalitis was diagnosed more frequently in the expanding population of WA sea otters (10 of 31, 32.3%) than in the declining C A population (29 of 313, 9.3%). Among sea otters with protozoal memingoencephalitis, those that had displayed neurological signs prior to death had active S. neurona encephalitis, supporting, the conclusion that S. neurona is the most significant protozoal pathogen in the central nervous system of sea otters. (c) 2007 Elsevier Ltd. All rights reserved.</t>
  </si>
  <si>
    <t>Natl Wildlife Hlth Res Ctr, US Geol Survey, Dept Interior, Madison, WI 53711 USA; USDA ARS, Beltsville Agr Res Ctr, Anim Parasite Dis Lab, Anim &amp; Nat Resources Inst, Beltsville, MD 20705 USA; Virginia Tech, Virginia Maryland Reg Coll Vet Med, Dept Biomed Sci &amp; Pathobiol, Ctr Mol Med &amp; Infect Dis, Blacksburg, VA USA</t>
  </si>
  <si>
    <t>United States Department of the Interior; United States Geological Survey; United States Department of Agriculture (USDA); Virginia Polytechnic Institute &amp; State University</t>
  </si>
  <si>
    <t>Thomas, NJ (corresponding author), Natl Wildlife Hlth Res Ctr, US Geol Survey, Dept Interior, Madison, WI 53711 USA.</t>
  </si>
  <si>
    <t>nancy.thomas@usgs.gov</t>
  </si>
  <si>
    <t>Lindsay, David/G-8891-2016</t>
  </si>
  <si>
    <t>Lindsay, David/0000-0002-0592-8321; Cole, Rebecca A/0000-0003-2923-1622</t>
  </si>
  <si>
    <t>1532-3129</t>
  </si>
  <si>
    <t>10.1016/j.jcpa.2007.05.001</t>
  </si>
  <si>
    <t>215NV</t>
  </si>
  <si>
    <t>WOS:000249817200003</t>
  </si>
  <si>
    <t>Ruiz-Olmo, J; Jiménez, J; Chacón, W</t>
  </si>
  <si>
    <t>Ruiz-Olmo, Jordi; Jimenez, Juan; Chacon, William</t>
  </si>
  <si>
    <t>The importance of ponds for the otter (Lutra lutra) during drought periods in Mediterranean ecosystems:: A case study in Bergantes River</t>
  </si>
  <si>
    <t>droughts; Lutra lutra; Mediterranean ecosystems; otter; ponds</t>
  </si>
  <si>
    <t>HABITATS</t>
  </si>
  <si>
    <t>During drought, otters live under extreme conditions for a semiaquatic mammal, with none or very little water available. These conditions also affect its prey species. To understand the ecological and behavioural adaptive mechanisms of the otter to seasonal river streams, a study was carried out in the Bergantes River, Spain. We compared pond use by radiotracked otters during a normal and a dry period. The otters were detected significantly more often at ponds and their surroundings during the dry period. Pond use was mainly explained by the total biomass available (fish, crayfish, amphibians), and this was mostly correlated with the maximum depth of the pond. Some evidence of progressive pond depletion was obtained. Sprainting behaviour was mainly linked to predation activities (number of prey remains) and to total biomass available. We discuss the importance of these findings in the design of otter and freshwater habitat management and conservation strategies.</t>
  </si>
  <si>
    <t>Direccio Gen Medi Nat, Gen Catalunya, Barcelona 08017, Spain; Direcc Gen Gest Medio Nat, Gen Valenciana, Valencia 46011, Spain</t>
  </si>
  <si>
    <t>Ruiz-Olmo, J (corresponding author), Direccio Gen Medi Nat, Gen Catalunya, Dr Roux 80, Barcelona 08017, Spain.</t>
  </si>
  <si>
    <t>ajruiol@gencat.net</t>
  </si>
  <si>
    <t>10.1515/MAMM.2007.003</t>
  </si>
  <si>
    <t>217KD</t>
  </si>
  <si>
    <t>WOS:000249945900003</t>
  </si>
  <si>
    <t>Estes, JA; Tinker, MT; Doroff, AM; Burn, DM</t>
  </si>
  <si>
    <t>Continuing sea otter population declines in the Aleutian archipelago</t>
  </si>
  <si>
    <t>US Geol Survey, Ctr Ocean Hlth, Long Marine Lab, Santa Cruz, CA 95060 USA; Univ Calif Santa Cruz, Dept Ecol &amp; Evolut Biol, Santa Cruz, CA 95064 USA; US Fish &amp; Wildlife Serv, Off Marine Mammal Management, Anchorage, AK 99503 USA</t>
  </si>
  <si>
    <t>United States Department of the Interior; United States Geological Survey; University of California System; University of California Santa Cruz; United States Department of the Interior; US Fish &amp; Wildlife Service</t>
  </si>
  <si>
    <t>Estes, JA (corresponding author), US Geol Survey, Ctr Ocean Hlth, Long Marine Lab, 100 Shaffer Rd, Santa Cruz, CA 95060 USA.</t>
  </si>
  <si>
    <t>10.1111/j.1748-7692.2005.tb01218.x</t>
  </si>
  <si>
    <t>888BW</t>
  </si>
  <si>
    <t>WOS:000226350200015</t>
  </si>
  <si>
    <t>Fournier-Chambrillon, C; Berny, PJ; Coiffier, O; Barbedienne, P; Dassé, B; Delas, G; Galineau, H; Mazet, A; Pouzenc, P; Rosoux, R; Fournier, P</t>
  </si>
  <si>
    <t>Evidence of secondary poisoning of free-ranging riparian mustelids by anticoagulant rodenticides in France:: Implications for conservation of European mink (Mustela lutreola)</t>
  </si>
  <si>
    <t>bromadiolone; chlorophacinone; Lutra lutra; Mustela lutreola; Mustela putorius; Mustela vison; secondary poisoning</t>
  </si>
  <si>
    <t>2ND-GENERATION RODENTICIDES; BARN OWLS; PUTORIUS; BRITAIN; RESIDUES; ANIMALS</t>
  </si>
  <si>
    <t>Because of the rapid decline of the endangered European mink (Mustela lutreola) populations in France, a national conservation program has been put into action, including research to understand the causes of decline. As part of this research, concentrations of eight anticoagulant rodenticides were examined in livers from 122 carcasses Of four species of free-ranging mustelids collected between 1990 and 2002 in Southwestern France. Bromadiolone residue was found in all species and 9 % of the sample (one of 31 European mink, three of 47 American mink [Mustela vison], five of 33 polecats [Mustela putorius], and two of 11 European otters [Lutra lutra]). Liver concentrations ranged from 0.6 mug/g to 9.0 mug/g. Chlorophachione residue was found in two species and 4 % of the sample (in four of the American mink and in one of the otters), with liver concentrations ranging from 3.4 mug/g to 8.5 mug/g. Two polecats and one American mink, had lesions and liver residues indicating bromadiolone was directly responsible for their death. However, most of our study animals survived secondary poisoning until they were caught; this study certainly underestimates the extent of fatal exposure of mustelids to rodenticides. Moreover, anticoagulant poisoning could increase their vulnerability to other causes of death. The current status of the endangered European mink population is such that any additional risk factor for mortality is important, and it is this urgent to monitor and reduce the extensive use of bromadiolone and chlorophacinone against field rodents in France.</t>
  </si>
  <si>
    <t>Grp Rech &amp; Etude Gest Environm, F-33730 Villandraut, France; Ecole Natl Vet, Toxicol Lab, F-69280 Marcy Letoile, France; Societe Etude Protect &amp; Amenagement Nat Sud Quest, F-33800 Bordeaux, France; Reserve Nat Courant Huchet, F-40550 Leon, France; Assoc Piegeurs Agrees Gironde, F-33190 Montgauzy, France; Fed Dept Chasseurs Charente, F-16000 Angouleme, France; Off Natl Chasse &amp; Faune Sauvage, Serv Dept Gironde, F-33141 Saillans, France; Museum Natl Hist Nat, Soc Francaise Etude &amp; Protect Mammiferes, F-75231 Paris 05, France</t>
  </si>
  <si>
    <t>VetAgro Sup; Museum National d'Histoire Naturelle (MNHN)</t>
  </si>
  <si>
    <t>10.7589/0090-3558-40.4.688</t>
  </si>
  <si>
    <t>889PD</t>
  </si>
  <si>
    <t>WOS:000226454000007</t>
  </si>
  <si>
    <t>Soulé, ME; Estes, JA; Berger, J; Del Rio, CM</t>
  </si>
  <si>
    <t>Ecological effectiveness:: Conservation goals for interactive species</t>
  </si>
  <si>
    <t>WHITE-TAILED DEER; SEA OTTERS; KELP FOREST; NATURAL REGULATION; PRAIRIE DOGS; POPULATION; COMMUNITY; PREDATION; DYNAMICS; ASPEN</t>
  </si>
  <si>
    <t>The rarity or absence of highly interactive species leaves a functional void that can trigger linked changes leading to degraded or simplified ecosystems. A preliminary analysis indicates a relatively high frequency of such interactive species among endangered mammals. Rapid environmental change is likely to increase the interactivity of some species and reduce that of others over relatively short intervals. The current implementation of environmental policies and laws, such as the U. S. Endangered Species Act, generally ignores interspecific effects; recovery goals are autecological, short term, and numerically and spatially minimalistic. Moreover, by failing to account for interspecific interactions, recovery objectives are becoming indefensible in light of increasing knowledge from community ecology. Using the sea otter (Enhydra lutris) and wolf (Canis lupus) as examples, we argue that conservation plans should call for recovery or repatriation of such interactive species at ecologically effective densities in as many places as are currently realistic. It will be prudent and beneficial to estimate ecologically effective densities where there is disagreement among experts and interested parties about the desirability of restoring an interactive species to a particular region and to a particular density.</t>
  </si>
  <si>
    <t>Univ Calif Santa Cruz, US Geol Survey, Santa Cruz, CA 95060 USA; Wildlife Conservat Soc, Moose, WY 83012 USA; Univ Wyoming, Dept Zool, Laramie, WY 82071 USA</t>
  </si>
  <si>
    <t>University of California System; University of California Santa Cruz; United States Department of the Interior; United States Geological Survey; Wildlife Conservation Society; University of Wyoming</t>
  </si>
  <si>
    <t>rewild@tds.net</t>
  </si>
  <si>
    <t>10.1046/j.1523-1739.2003.01599.x</t>
  </si>
  <si>
    <t>724DZ</t>
  </si>
  <si>
    <t>WOS:000185473000010</t>
  </si>
  <si>
    <t>Bowyer, RT; Blundell, GM; Ben-David, M; Jewett, SC; Dean, TA; Duffy, LK</t>
  </si>
  <si>
    <t>Effects of the Exxon Valdez oil spill on river otters:: Injury and recovery of a sentinel species</t>
  </si>
  <si>
    <t>WILDLIFE MONOGRAPHS</t>
  </si>
  <si>
    <t>Alaska; biomarkers; body mass; demography; diet; Exxon Valdez oil spill; habitat selection; home range; hydrocarbons; Lontra canadensis; pollution; river otter</t>
  </si>
  <si>
    <t>PRINCE-WILLIAM-SOUND; MINK MUSTELA-VISON; BAY CRUDE-OIL; LUTRA-LUTRA POPULATIONS; LINEAR HOME RANGES; SEA OTTERS; PORPHYRIN PROFILES; NUTRITIONAL-STATUS; CHLORINATED HYDROCARBONS; MARINE-ENVIRONMENT</t>
  </si>
  <si>
    <t>Integration of individual-based and population-level studies is essential to understanding effects of pollution on populations and ecosystems. Here we provide an example of such integration from our exploration of effects of the Exxon Valdez oil spill (EVOS) on river otters (Lontra canadensis) inhabiting the terrestrial-marine interface in Prince William Sound, Alaska, USA. Our research was divided into 2 phases: an early phase (1989-92) immediately following the oil spill; and a late phase (1996-99), which focused on potential chronic effects of oil contamination in the Sound. We used a variety of measurements that considered the physiological status and health of individual river otters, as well as aspects of their ecology, behavior, and demography. We then conducted meta-analysis to explore interactions between individual-based and population-level data in demonstrating injury and subsequent recovery of otters from ill effects of EVOS. During both phases of our studies, we first conducted intensive research at 2 study sites, which we believed to be oiled and nonoiled, and then expanded our investigations throughout similar areas of Prince William Sound. Nonetheless, our data are best interpreted as differences between heavily oiled areas and lightly oiled sites because later information indicated that our reference sites were lightly oiled. Thus we refer to heavily oiled sites as oiled and lightly oiled sites as nonoiled. In the later phase, we were part of a broader ecosystem-based project (Nearshore Vertebrate Predators) designed to assess long-term effects of EVOS on a suite of key organisms, and to determine whether those species had recovered from that catastrophic accident. We used radiotelemetry to locate carcasses of animals that died from natural causes, and documented that searching beaches immediately following the spill was not a reliable method for locating dead river otters. Our early research (1989-92) demonstrated that river otters living in oiled areas had lower body mass (P &lt; 0.04) and elevated biomarkers (P &lt; 0.05) in their blood (e.g., haptoglobin [Hp], interleukin-6 immunoreactive [IL-6 ir], aspartate aminotransferase [AST]) than otters inhabiting nonoiled areas. Likewise, otters from oiled areas had higher levels of fecal porphyrins (P &lt; 0.001), ate a less-diverse diet (P &lt; 0.001), had larger home ranges (P &lt; 0.05), and selected habitats differently (P &lt; 0.01) than otters living in areas that were not heavily oiled. A mark-recapture analysis based on radiotracers in otter feces during 1990 indicated no difference (P &gt; 0.10) between density of otters in Herring Bay (oiled) or Esther Passage (nonoiled), but no prespill data were available. Likewise, by 1992, biomarkers (Hp, IL-6 ir, AST) did not differ (P &gt; 0.05) between oiled and nonoiled areas. During the later phase of research, hydrocarbons on the pelage of river otters and the elevation of endothelial P450-1A, a biomarker sensitive to hydrocarbon exposure, indicated that river otters were exposed to oil still present in Prince William Sound. Nonetheless, body mass of otters continued to increase on oiled areas over tune (P &lt; 0.05), and eventually did not differ from otters living in nonoiled sites (P &gt; 0.05). All blood biomarkers (Hp, IL-6 ir, AST) were markedly reduced from the early phase of our research, and no longer differed (P &gt; 0.10) between oiled and nonoiled sites. We used principal component analysis (PCA) to determine that few differences existed in an array of blood characteristics for otters inhabiting oiled and nonoiled sites, and those differences that did exist likely were related to diet. Corpoporphyrin III, a key biomarker in home synthesis, was reduced (P = 0.008) from post-spill collections made in 1990 in the oiled area, and no longer differed (P &gt; 0.05) between oiled and nonoiled areas in 1996. We used stable isotope analysis to investigate differences in diet of river otters inhabiting oiled and nonoiled areas in 1996-97. When we controlled for otters inhabiting extensive freshwater habitats (which did not occur in our early studies), no differences in diet or the trophic level of otters were identified (P &gt; 0.20) for otters living in oiled versus nonoiled sites. Similarly, density of marine fishes (greater than or equal to8 con in total length) on underwater transects did not differ (P = 0.97) between oiled and nonoiled areas, although an area by year interaction occurred (P = 0.01). Habitat selection by otters also was altered from the early phase; river otters on both study areas selected vegetated slopes that were not steep, and selected sites with more understory (brush) and greater exposure; selection for those characteristics was more pronounced in the oiled area. Otters on both sites avoided (use &lt; availability) gravel and small rocks. Although selected variables differed between oiled and nonoiled sites (P &lt; 0.001), the direction of selection did not differ between areas. Moreover, tidal slope did not enter any of the models, in contrast to our early studies, indicating that differences in selection were not related to avoidance of oiled shores. Hone-range size declined (P &lt; 0.05) for otters living in oiled areas, and no longer differed (P &gt; 0.7) from animals inhabiting nonoiled sites. We enumerated populations from oiled and nonoiled areas using a combination of live-captured individuals and DNA fingerprinting using microsatellite from otter feces at latrines. We also performed a conventional reconstruction based on age structure to calculate population size in 1997. Those methods indicated that most animals in the population were recruited following the oil spill and both methods characterized slowly (lambda = 1.03-1.06) growing or stable population in the oiled area. Age structure of river otters in the Sound differed neither between oiled and nonoiled areas (P &gt; 0.36), nor from a harvested population of river otters in Maine (P &gt; 0.49). Finally, survivorship of river otters did not differ (P &gt; 0.2) between oiled and nonoiled areas of Prince William Sound and was high compared with data on other otter populations in North America. Our data indicate that although river otters continued to be exposed to low levels of crude oil, effects of that exposure were no longer sufficient to cause obvious injury. We cautiously conclude that river otters have recovered from the more pernicious effects of EVOS. Based on our experiences in this research, we provide theoretical considerations for use of biomarkers in wildlife studies and describe statistical approaches, including principal component analysis of blood variables, which may assist researchers with interpreting complicated results of multiple variables and datasets. Likewise, we describe how dose-response curves should be used in understanding population-level responses to pollutants. We hope that this monograph will provide valuable insights for other wildlife biologists on the process of integration of toxicological data with that of ecological data useful for studying effects of pollution on wildlife populations and their habitats.</t>
  </si>
  <si>
    <t>ffrtb@uaf.edu</t>
  </si>
  <si>
    <t>0084-0173</t>
  </si>
  <si>
    <t>1938-5455</t>
  </si>
  <si>
    <t>WILDLIFE MONOGR</t>
  </si>
  <si>
    <t>Wildl. Monogr.</t>
  </si>
  <si>
    <t>703WD</t>
  </si>
  <si>
    <t>WOS:000184304100001</t>
  </si>
  <si>
    <t>An endangered species as indicator of freshwater quality:: fractal diagnosis of fragmentation within a European mink, Mustela lutreola, population</t>
  </si>
  <si>
    <t>ARCHIV FUR HYDROBIOLOGIE</t>
  </si>
  <si>
    <t>pollution; water quality; indicator species; Mustela lutreola; fractal</t>
  </si>
  <si>
    <t>CONSERVATION; DISPERSAL; DECLINE; LANDSCAPES; RANGES; MODELS</t>
  </si>
  <si>
    <t>Decline of endangered species may be regarded as an indication of a deteriorating environment. European mink Mustela lutreola are freshwater predator populations which suffered a severe decline and are currently restricted to only two areas in Europe. A survey on distribution revealed that mink western population was highly fragmented. Watercourses occupied by mink significantly differed by their quality from watercourses where no mink were evidenced, with regard to most physicochemical parameters studied, organic and oxidizable matters, nitrogenous matters, phosphorus concentration, heavy metals, pesticides and other micropollutants, and hydrobiological quality. A Gaussian representation of mink breeding dispersal was performed and, based on a In-In regression analysis, the fractal dimension D provided an accurate quantitative evaluation of the subdivision level. As revealed by low fractal dimension (D = 1.40), subdivision within the mink population may be reaching a critical threshold for European mink conservation. Fractal investigation constitutes a resourceful method for relating environmental deterioration and breeding dispersal in endangered species. Moreover, mink were found to avoid some watercourses which still provide domestic water supplies for human people and the level of fragmentation should be seen as a warning of the deterioration of freshwater ecosystems.</t>
  </si>
  <si>
    <t>E SCHWEIZERBARTSCHE VERLAGSBUCHHANDLUNG</t>
  </si>
  <si>
    <t>STUTTGART</t>
  </si>
  <si>
    <t>NAEGELE U OBERMILLER, SCIENCE PUBLISHERS, JOHANNESSTRASSE 3A, D 70176 STUTTGART, GERMANY</t>
  </si>
  <si>
    <t>0003-9136</t>
  </si>
  <si>
    <t>ARCH HYDROBIOL</t>
  </si>
  <si>
    <t>Arch. Hydrobiol.</t>
  </si>
  <si>
    <t>Limnology; Marine &amp; Freshwater Biology</t>
  </si>
  <si>
    <t>589XM</t>
  </si>
  <si>
    <t>WOS:000177786900009</t>
  </si>
  <si>
    <t>Lodé, T; Cormier, JP; Le Jacques, D</t>
  </si>
  <si>
    <t>Decline in endangered species as an indication of anthropic pressures:: The case of European mink Mustela lutreola western population</t>
  </si>
  <si>
    <t>decline; endangered species; habitat change; mustelid; Mustela lutreola</t>
  </si>
  <si>
    <t>LUTRA-LUTRA; AMERICAN MINK; CONSERVATION BIOLOGY; VISON; DIET</t>
  </si>
  <si>
    <t>Populations of threatened species, especially predators at the top of the food chain, may be affected by anthropic pressures. The endangered western population of European mink Mustela lutreola has shown a large decline over 50% of its natural range. M. lutreola disappeared from northwestern France between 1984 and 1997, and the decline was associated with an increase in mustelid trapping, changes in watercourse quality, and habitat modifications due to agricultural practices. The pattern of decline showed a fragmentation restricting the minks into very small areas. Trapping was the first known cause of mortality. Although feral American mink Mustela vison may compete with autochthonous carnivores, M. lutreola had disappeared from streams before the introduction of the American species, suggesting that competitive interactions were not responsible. Furthermore, American mink has never been found or has remained rare in 62.4% of the area from which M, lutreola has disappeared. During the past 25 years, permanent grassland surfaces were reduced by 40%, whereas fodder culture increased by 470%, causing considerable habitat changes, Furthermore, 55.7% of water courses were classified as being of bad quality or polluted. Therefore, our data suggests that a conjunction of intensive trapping, alterations in water quality and habitat modification was critical for the European mink's decline. Although there are difficulties in ascribing specific cause to distribution changes in a top predator, this decline can be regarded as an indication for anthropic pressures on natural habitats.</t>
  </si>
  <si>
    <t>Univ Angers, UFR Sci, Lab Ecol Anim, F-49045 Angers, France</t>
  </si>
  <si>
    <t>10.1007/s002670010257</t>
  </si>
  <si>
    <t>489KM</t>
  </si>
  <si>
    <t>WOS:000171990600003</t>
  </si>
  <si>
    <t>Gorbics, CS; Bodkin, JL</t>
  </si>
  <si>
    <t>Stock structure of sea otters (Enhydra lutris kenyoni) in Alaska.</t>
  </si>
  <si>
    <t>distribution; genetics; management unit; phenotype; phylogeographic; population response; stock; sea otter; Enhydra lutris; Alaska</t>
  </si>
  <si>
    <t>PRINCE-WILLIAM-SOUND; REPRODUCTION; CONSERVATION; POPULATIONS; CALIFORNIA; MANAGEMENT; MOVEMENTS; PATTERNS; SURVIVAL</t>
  </si>
  <si>
    <t>Sea otters in Alaska are recognized as a single subspecies (Enhydra lutris kenyoni) and currently managed as a single, interbreeding population. However, geographic and behavioral mechanisms undoubtably constrain sea otter movements on much smaller scales. This pager applies the phylogeographic method (Dizon et al. 1992) and considers distribution, population response, phenotype and genotype data to identify stocks of sea otters within Alaska. The evidence for separate stock identity is genotypic tall stocks), phenotypic (Southcentral and Southwest stocks), and geographic distribution (Southeast stock), whereas population response data are equivocal tall stocks). Differences in genotype frequencies and the presence of unique genotypes among areas indicate restricted gene flow. Genetic exchange may be limited by little or no movement across proposed stock boundaries and discontinuities in distribution at proposed stock boundaries. Skull size differences (phenotypic) between Southwest and Southcentral Alaska populations further support stock separation. Population response information was equivocal in either supporting or refuting stock identity. On the basis of this review, we suggest the following: (1) a Southeast stock extending from Dixon Entrance to Cape Yakataga; (2) a Southcentral stock extending from Cage Yakataga to Cape Douglas including Prince William Sound and Kenai peninsula cease; and (3) a Southwest stock including Alaska Peninsula coast, the Aleutians to Attu Island, Barren, Kodiak, Pribilof Islands, and Bristol Bay.</t>
  </si>
  <si>
    <t>US Fish &amp; Wildlife Serv, Carlsbad, CA 92008 USA; US Geol Survey, Alaska Biol Sci Ctr, Anchorage, AK 99503 USA</t>
  </si>
  <si>
    <t>United States Department of the Interior; US Fish &amp; Wildlife Service; United States Department of the Interior; United States Geological Survey</t>
  </si>
  <si>
    <t>Gorbics, CS (corresponding author), US Fish &amp; Wildlife Serv, 2730 Loker Ave W, Carlsbad, CA 92008 USA.</t>
  </si>
  <si>
    <t>10.1111/j.1748-7692.2001.tb01009.x</t>
  </si>
  <si>
    <t>443AW</t>
  </si>
  <si>
    <t>WOS:000169318000012</t>
  </si>
  <si>
    <t>Virgós, E</t>
  </si>
  <si>
    <t>Role of isolation and habitat quality in shaping species abundance:: a test with badgers (Meles meles L.) in a gradient of forest fragmentation</t>
  </si>
  <si>
    <t>abundance; habitat quality; isolation; landscape pattern; Meles meles</t>
  </si>
  <si>
    <t>EUROPEAN BADGER; EURASIAN BADGERS; POPULATION; MODELS; EXTINCTION; SIZE; AVAILABILITY; CONSERVATION; PERSPECTIVES; BOUNDARIES</t>
  </si>
  <si>
    <t>Aim This paper describes badger (Meles meles L. 1758) abundance in remnant forests of the two Iberian plateaux. The relative role of factors related to habitat quality and to isolation were tested in order to explain variations in badger abundance according to forest-scrubland cover at the landscape scale. It was predicted that isolation would be more important where there is less forest cover (greater fragmentation), while habitat quality would predominate in areas where forest cover is greater (less fragmentation). Location Thirty-six forests (&gt; 90 ha) were sampled, 16 in the North and 20 in the South plateau. Twelve forests were sampled in each one of the following categories of regional forest-scrubland cover in the landscape (10 x 10 km): &lt; 20%, 20-30%, &gt; 30%. Methods In each forest, 4-km transects were followed to look for badger setts. The number of badger setts km(-1) was used as a surrogate of badger abundance. The transects were divided into 250 m segments in which a series of environmental variables related to habitat quality were estimated. Moreover, for each forest patch three variables related to isolation on a landscape or regional scale were measured on forest maps (1 : 400,000): the distance to riparian woodland, distance to the mountains of Central Spain and distance to other large forests on the plateau (&gt; 10,000 ha). The prediction through Pearson correlations was tested and forward stepwise multiple regressions performed with the different subsets of data (different forest-scrubland categories). Results The results support the established prediction, in areas with under 20% forest cover, that isolation was the best predictor of badger abundance in forest fragments, while in areas with over 20% cover, the most important predictors were those associated with intraforest habitat quality (shrub cover and rock cover). Main conclusions Data for badger abundance in fragmented forests indicate that factors determining species distribution and numbers in heterogeneous environments are highly dependent on landscape pattern. Isolation is the main factor explaining distribution in highly fragmented situations in which the pattern can be explained through metapopulation models. However, in less fragmented situations, distribution models are more easily described in terms of habitat suitability (niche models).</t>
  </si>
  <si>
    <t>Virgós, E (corresponding author), CSIC, UCLM, JCCM, IREC, C Libertad 7 A, E-13004 Ciudad Real, Spain.</t>
  </si>
  <si>
    <t>10.1046/j.1365-2699.2001.00552.x</t>
  </si>
  <si>
    <t>449MJ</t>
  </si>
  <si>
    <t>WOS:000169689800009</t>
  </si>
  <si>
    <t>Garshelis, DL; Johnson, CB</t>
  </si>
  <si>
    <t>Sea otter population dynamics and the Exxon Valdez oil spill:: disentangling the confounding effects</t>
  </si>
  <si>
    <t>activity time budgets; boat-based counts; Enhydra lutris; foraging; pup production</t>
  </si>
  <si>
    <t>PRINCE-WILLIAM-SOUND; BOTTOM PREY COMMUNITIES; SOUTH-CENTRAL ALASKA; ENVIRONMENTAL IMPACTS; CATASTROPHIC DECLINE; AMPHIBIAN DECLINES; MASS MORTALITY; ENHYDRA-LUTRIS; POWER ANALYSIS; LARGE MAMMALS</t>
  </si>
  <si>
    <t>1. Oil that spilled after the grounding of the Exxon Valdez in 1989 killed large numbers of sea otters in western Prince William Sound, Alaska, USA. However, our boat-based counts of sea otters during 1990-96 at oiled sites were as high or higher than boat-based counts in the same area in the early 1980s. 2. Another study reported a significant decline in sea otter numbers after the spill, but our reanalysis of that data produced results very similar to ours. Counts of otters were higher than pre-spill counts in the oiled area; the only detectable decline was in the northern part of the sound, outside the area of oiling. 3. We suggest that otter numbers in the western sound may have been increasing during the late 1980s, masking the loss due to the spill. Direct evidence for such an increase is lacking because no counts were conducted during this period. However, for several years after the spill pup production was higher than normal, which, if characteristic of the period immediately pre-spill, could have spurred a population increase. 4. Heightened pup production may have been caused by increased food supplies: after the spill, otters obtained more and larger clams per dive and spent less time feeding per day than in the early 1980s. 5. We postulate that in the early 1980s clams were still recovering from the uplift caused by the 1964 earthquake, which resulted in massive clam mortality and habitat change in the western sound. Lingering effects of previous catastrophic events, like the earthquake and even 19th-century fur harvests, have hampered attempts to assess the impacts of the oil spill on sea otter population dynamics. The effects of uncontrolled and unreplicated environmental incidents, even major disasters, may be difficult to assess because of confounding factors.</t>
  </si>
  <si>
    <t>ABR Inc, Fairbanks, AK 99708 USA</t>
  </si>
  <si>
    <t>Garshelis, DL (corresponding author), Minnesota Dept Nat Resources, 1201 E Hwy 2, Grand Rapids, MI USA.</t>
  </si>
  <si>
    <t>dave.garshelis@dnr.state.mn.us</t>
  </si>
  <si>
    <t>10.1046/j.1365-2664.2001.00563.x</t>
  </si>
  <si>
    <t>418KJ</t>
  </si>
  <si>
    <t>WOS:000167890300003</t>
  </si>
  <si>
    <t>Effenberger, S; Suchentrunk, F</t>
  </si>
  <si>
    <t>RFLP analysis of the mitochondrial DNA of otters (Lutra lutra) from Europe -: implications for conservation of a flagship species</t>
  </si>
  <si>
    <t>otter; Lutra lutra; genetic diversity; RFLP; mitochondrial DNA</t>
  </si>
  <si>
    <t>EVOLUTION; SEQUENCE</t>
  </si>
  <si>
    <t>The distribution of otters (Lutra lutra) in Europe is largely fragmented, mainly due to historic anthropogenic causes. Nevertheless, in eastern Germany a large coherent area is inhabited by a viable otter population. In this paper, the mitochondrial genome of 81 otters is studied by RFLP analysis of PCR-amplified 1.5 and 2.5 kb long fragments, particularly to estimate the amount of genetic variability of European otters, and to identify possible geographical population subsets for conservation management. No restriction site polymorphism was detected within the control region (1.5 kb), but polymorphism of cleaving sites in the 2.5 kb fragment could be assigned to three haplotypes. Two occurred exclusively in a comparatively small area northwest and west of Berlin, which may be considered a region of increased genetic variability in otters. The low level of mtDNA variability in European otters might be due to genetic drift in postglacial founder populations with long-term low densities, and continuous historical overhunting. (C) 1999 Elsevier Science Ltd. All rights reserved.</t>
  </si>
  <si>
    <t>Vet Univ Vienna, Res Inst Wildlife Ecol, A-1160 Vienna, Austria</t>
  </si>
  <si>
    <t>University of Veterinary Medicine Vienna</t>
  </si>
  <si>
    <t>Effenberger, S (corresponding author), Vet Univ Vienna, Res Inst Wildlife Ecol, Savoyenstr 1, A-1160 Vienna, Austria.</t>
  </si>
  <si>
    <t>10.1016/S0006-3207(99)00042-7</t>
  </si>
  <si>
    <t>209UD</t>
  </si>
  <si>
    <t>WOS:000081066500008</t>
  </si>
  <si>
    <t>MACASKIE, I</t>
  </si>
  <si>
    <t>UPDATED STATUS OF THE SEA OTTER, ENHYDRA-LUTRIS, IN CANADA</t>
  </si>
  <si>
    <t>An air and sea census off the west coast of Vancouver, British Columbia, in May 1984, recorded 345 Sea Otters (Enhydra lutris) in two colonies, the result of transplanting 89 animals from Alaska [USA] during 1969-72.</t>
  </si>
  <si>
    <t>MACASKIE, I (corresponding author), W COAST WHALE RES FDN, VANCOUVER V7X 1L3, BC, CANADA.</t>
  </si>
  <si>
    <t>K9695</t>
  </si>
  <si>
    <t>WOS:A1987K969500025</t>
  </si>
  <si>
    <t>source</t>
  </si>
  <si>
    <t>kingdom</t>
  </si>
  <si>
    <t>phylum</t>
  </si>
  <si>
    <t>class</t>
  </si>
  <si>
    <t>order</t>
  </si>
  <si>
    <t>genus</t>
  </si>
  <si>
    <t>["Central and Western Europe"]</t>
  </si>
  <si>
    <t>["Animalia"]</t>
  </si>
  <si>
    <t>["Chordata"]</t>
  </si>
  <si>
    <t>["Mammalia"]</t>
  </si>
  <si>
    <t>["Carnivora"]</t>
  </si>
  <si>
    <t>["Lutra"]</t>
  </si>
  <si>
    <t>["Aonyx Lesson", "Hydrictis"]</t>
  </si>
  <si>
    <t>["Pekania", "Martes"]</t>
  </si>
  <si>
    <t>["Martes", "Mustela"]</t>
  </si>
  <si>
    <t>["Mustela"]</t>
  </si>
  <si>
    <t>["Pekania"]</t>
  </si>
  <si>
    <t>["Meles"]</t>
  </si>
  <si>
    <t>["Mustela eversmanii"]</t>
  </si>
  <si>
    <t>["Lutrogale"]</t>
  </si>
  <si>
    <t>["Taxidea"]</t>
  </si>
  <si>
    <t>["Martes"]</t>
  </si>
  <si>
    <t>["Southern Africa"]</t>
  </si>
  <si>
    <t>["Aonyx"]</t>
  </si>
  <si>
    <t>["South America"]</t>
  </si>
  <si>
    <t>["Eira"]</t>
  </si>
  <si>
    <t>["Hydrictis"]</t>
  </si>
  <si>
    <t>["Lutra", "Lutrogale"]</t>
  </si>
  <si>
    <t>["Pteronura"]</t>
  </si>
  <si>
    <t>["Mesoamerica"]</t>
  </si>
  <si>
    <t>["Lontra"]</t>
  </si>
  <si>
    <t>["Lutra", "Mustela"]</t>
  </si>
  <si>
    <t>["Enhydra"]</t>
  </si>
  <si>
    <t>["West Africa"]</t>
  </si>
  <si>
    <t>["East Africa and adjacent islands"]</t>
  </si>
  <si>
    <t>["Tanzania, the United Republic of"]</t>
  </si>
  <si>
    <t>["Hydrictis", "Aonyx"]</t>
  </si>
  <si>
    <t>["Gulo"]</t>
  </si>
  <si>
    <t>["Lyncodon"]</t>
  </si>
  <si>
    <t>["South-East Asia"]</t>
  </si>
  <si>
    <t>["Aonyx", "Lutra", "Lutrogale"]</t>
  </si>
  <si>
    <t>["Eastern Europe"]</t>
  </si>
  <si>
    <t>["Russian Federation (the)"]</t>
  </si>
  <si>
    <t>["Lutra", "Aonyx", "Lutrogale"]</t>
  </si>
  <si>
    <t>["Enhydra", "Lontra"]</t>
  </si>
  <si>
    <t>["North-East Asia"</t>
  </si>
  <si>
    <t>["Lutra", "Martes", "Mustela", "Meles"]</t>
  </si>
  <si>
    <t>["Pekania", "Gulo"]</t>
  </si>
  <si>
    <t>["Meles", "Martes"]</t>
  </si>
  <si>
    <t>["Lutra", "Aonyx"]</t>
  </si>
  <si>
    <t>["Netherlands (the)"]</t>
  </si>
  <si>
    <t>["Galictis"]</t>
  </si>
  <si>
    <t>["Gulo", "Pekania"]</t>
  </si>
  <si>
    <t>["Lutra", "Martes", "Mustela"]</t>
  </si>
  <si>
    <t>["North-East Asia"]</t>
  </si>
  <si>
    <t>["Lontra", "Pteronura"]</t>
  </si>
  <si>
    <t>["Aonyx", "Lutrogale", "Lutra"]</t>
  </si>
  <si>
    <t>["Lutra", "Meles"]</t>
  </si>
  <si>
    <t>["Aonyx", "Mustela", "Martes"]</t>
  </si>
  <si>
    <t>["Martes", "Meles"]</t>
  </si>
  <si>
    <t>["Aonyx", "Lutrogale"]</t>
  </si>
  <si>
    <t>["Lontra", "Mustela"]</t>
  </si>
  <si>
    <t>["Lutra", "Lontra"]</t>
  </si>
  <si>
    <t>["North Africa"]</t>
  </si>
  <si>
    <t>["Mustela", "Lutra"]</t>
  </si>
  <si>
    <t>["Mustela", "Lontra"]</t>
  </si>
  <si>
    <t>["Lutra", "Mustela", "Lontra"]</t>
  </si>
  <si>
    <t>["Martes", "Meles", "Mustela"]</t>
  </si>
  <si>
    <t>["Mustela", "Meles", "Martes"]</t>
  </si>
  <si>
    <t>["Martes", "Pekania"]</t>
  </si>
  <si>
    <t>["Melogale"]</t>
  </si>
  <si>
    <t>["Eira",  "Galictis"]</t>
  </si>
  <si>
    <t>["Martes", "Pekania", "Gulo"]</t>
  </si>
  <si>
    <t>["Pteronura", "Lontra"]</t>
  </si>
  <si>
    <t>["Vormela", "Mustela"]</t>
  </si>
  <si>
    <t>["Vormela"]</t>
  </si>
  <si>
    <t>Breeding system, reproductive efficiency and weed potential of Acacia baileyana</t>
  </si>
  <si>
    <t>Acacia baileyana F. Muell. is a native environmental weed which has invaded bush areas of south-eastern Australia from ornamental plantings. There are two main colour forms, the typical green-leaf form and the variety 'purpurea', which has purple new growth. Only the green form appears to have invaded natural bush. The weed potential of A. baileyana was investigated in terms of its breeding system and seed production. It was found that the purple form is as reproductively efficient as the green form. Both forms were outcrossing, highly self-incompatible, grew very rapidly and flowered by two years of age. For open, natural pollination, final pod set was low-less than 0.41%. However, seed production was high due to the high number of flowers present. Maximum flower production for a 2-year-old plant was over 300 000, resulting in more than 8000 seeds. Precocity and high flower numbers appear to be the reasons for the weed status of A. baileyana. Given the similarity in reproductive efficiency between both forms, it is postulated that the absence of the purple form as a weed could be due to it being a relatively new horticultural variety, or to the purple colour being a recessive trait.</t>
  </si>
  <si>
    <t>10.1071/BT01088</t>
  </si>
  <si>
    <t>Lowry et al</t>
  </si>
  <si>
    <t>WOS:000176169400008</t>
  </si>
  <si>
    <t>["Plantae"]</t>
  </si>
  <si>
    <t>["Tracheophyta"]</t>
  </si>
  <si>
    <t>["Magnoliopsida"]</t>
  </si>
  <si>
    <t>["Fabales"]</t>
  </si>
  <si>
    <t>["Acacia"]</t>
  </si>
  <si>
    <t>["Acacia baileyana F. Muell."]</t>
  </si>
  <si>
    <t>["Acacia baileyana"]</t>
  </si>
  <si>
    <t>Barn Swallows Hirundo rustica disperse seeds of Rooikrans Acacia cyclops, an invasive alien plant in the Fynbos Biome</t>
  </si>
  <si>
    <t>Rooikrans Acacia cyclops is an invasive plant species in the coastal region of South Africa, especially the Fynbos Biome. It is endemic to southwestern Australia. Seeds are bird-dispersed, mostly by frugivores and granivores. We report that at one locality in South Africa, Barn Swallows Hirundo rustica, normally regarded as obligate foragers of aerial arthropods, also consumed the seeds and associated arils of Rooikrans shrubs and trees. The seeds were voided and the arils digested. Three thousand Barn Swallows in the region where this was observed conceivably consumed and voided two million Rooikrans seeds during the 5-month non-breeding period. Barn Swallows are therefore dispersers of Rooikrans seeds. Many of the bird species known to consume Rooikrans seeds are territorial, so that seeds are not dispersed far beyond existing acacia stands. Barn Swallows cover large distances between feeding areas and roosts, and could therefore disperse seeds far from existing stands. This development adds urgency to the need to eradicate Rooikrans from the Fynbos Biome.</t>
  </si>
  <si>
    <t>10.1111/j.1474-919X.2007.00598.x</t>
  </si>
  <si>
    <t>WOS:000247818000002</t>
  </si>
  <si>
    <t>["Acacia cyclops"]</t>
  </si>
  <si>
    <t>Attraction of ants by an invasive Acacia</t>
  </si>
  <si>
    <t>1. Invasive plants are often released from the herbivores of their native range, but may also be deprived of their co-evolved mutualists. In southern Portugal Acacia dealbata has become naturalised in secondary woodland habitats and is apparently not damaged by local herbivores. It possesses inactive extra-floral nectaries (EFNs). 2. Artificial damage to leaves, mimicking herbivore attack, induced extra-floral nectar production on both adult trees and seedlings. This response was restricted to individual leaves rather than systemic. 3. Following EFN activation, trees were tended by the invasive Argentine ant Linepithema humile. Seedlings received a tenfold greater visitation rate from either L. humile or the native ant Plagiolepis pygmaea, which appears to displace the former. Eight days after the damage treatment the ants and nectar had largely gone. 4. There was no indication that either species of ant would defend the plant against potential herbivores. 5. This is the first recorded ant-plant interaction among two invasive species. Given the lack of natural herbivore damage and the absence of suitable ants in this novel community, nectar induction by A. dealbata is likely to be a dysfunctional response to damage in its invasive range, with little possibility of developing into a mutualism.</t>
  </si>
  <si>
    <t>10.1111/j.1752-4598.2010.00121.x</t>
  </si>
  <si>
    <t>WOS:000292885900008</t>
  </si>
  <si>
    <t>["Acacia dealbata"]</t>
  </si>
  <si>
    <t>Belowground mutualists and the invasive ability of Acacia longifolia in coastal dunes of Portugal</t>
  </si>
  <si>
    <t>The ability to form symbiotic associations with soil microorganisms and the consequences for plant growth were studied for three woody legumes grown in five different soils of a Portuguese coastal dune system. Seedlings of the invasive Acacia longifolia and the natives Ulex europaeus and Cytisus grandiflorus were planted in the five soil types in which at least one of these species appear in the studied coastal dune system. We found significant differences between the three woody legumes in the number of nodules produced, final plant biomass and shoot N-15 content. The number of nodules produced by A. longifolia was more than five times higher than the number of nodules produced by the native legumes. The obtained N-15 values suggest that both A. longifolia and U. europaeus incorporated more biologically-fixed nitrogen than C. grandiflorus which is also the species with the smallest distribution. Finally, differences were also found between the three species in the allocation of biomass in the different studied soils. Acacia longifolia displayed a lower phenotypic plasticity than the two native legumes which resulted in a greater allocation to aboveground biomass in the soils with lower nutrient content. We conclude that the invasive success of A. longifolia in the studied coastal sand dune system is correlated to its capacity to nodulate profusely and to use the biologically-fixed nitrogen to enhance aboveground growth in soils with low N content.</t>
  </si>
  <si>
    <t>10.1007/s10530-008-9280-8</t>
  </si>
  <si>
    <t>WOS:000263128000016</t>
  </si>
  <si>
    <t>["Acacia longifolia"]</t>
  </si>
  <si>
    <t>Biogenic disturbance determines invasion success in a subtidal soft-sediment system</t>
  </si>
  <si>
    <t>Theoretically, disturbance and diversity can influence the success of invasive colonists if (1) resource limitation is a prime determinant of invasion success and (2) disturbance and diversity affect the availability of required resources. However, resource limitation is not of overriding importance in all systems, as exemplified by marine soft sediments, one of Earth's most widespread habitat types. Here, we tested the disturbance-invasion hypothesis in a marine soft-sediment system by altering rates of biogenic disturbance and tracking the natural colonization of plots by invasive species. Levels of sediment disturbance were controlled by manipulating densities of burrowing spatangoid urchins, the dominant biogenic sediment mixers in the system. Colonization success by two invasive species (a gobiid fish and a semelid bivalve) was greatest in plots with sediment disturbance rates &lt;500 cm(3).m(-2).d(-1), at the low end of the experimental disturbance gradient (0 to &gt;9000 cm(3).m(-2).d(-1)). Invasive colonization declined with increasing levels of sediment disturbance, counter to the disturbance-invasion hypothesis. Increased sediment disturbance by the urchins also reduced the richness and diversity of native macrofauna, (particularly small, sedentary, surface feeders), though there was no evidence of increased availability of resources with increased disturbance that would have facilitated invasive colonization: sediment food resources (chlorophyll a and organic matter content) did not increase, and space and access to overlying water were not limited (low invertebrate abundance). Thus, our study revealed the importance of biogenic disturbance in promoting invasion resistance in a marine soft-sediment community, providing further evidence of the valuable role of bioturbation in soft-sediment systems (bioturbation also affects carbon processing, nutrient recycling, oxygen dynamics, benthic community structure, and so on.). Bioturbation rates are influenced by the presence and abundance of large burrowing species (like spatangoid urchins). Therefore, mass mortalities of large bioturbators could inflate invasion risk and alter other aspects of ecosystem performance in marine soft-sediment habitats.</t>
  </si>
  <si>
    <t>10.1890/07-0421.1</t>
  </si>
  <si>
    <t>WOS:000256101200013</t>
  </si>
  <si>
    <t>["Perciformes"]</t>
  </si>
  <si>
    <t>["Acentrogobius"]</t>
  </si>
  <si>
    <t>["Acentrogobius p&amp;#64258", "aumi"]</t>
  </si>
  <si>
    <t>A cross-continental test of the Enemy Release Hypothesis: leaf herbivory on Acer platanoides (L.) is three times lower in North America than in its native Europe</t>
  </si>
  <si>
    <t>Acer platanoides (Norway maple) is a widespread native tree species in Europe. It has been introduced to North America where it has often established dense stands in both secondary woodlands and relatively undisturbed mature woodlands. In Europe A. platanoides is also extending its original range, but generally seems to exist at much lower densities. One explanation for the 'aggressiveness' of invasive plants such as A. platanoides is that they have left behind pests and diseases which limit their population densities in their native lands (the enemy release hypothesis or ERH). To assess the ERH for Norway maple, a large network of collaborators assessed leaf herbivory rates in populations throughout Europe and North America. We found significantly lower total leaf herbivory (1.6% +/- A 0.19, n = 21 vs. 7.4% +/- A 1.94, n = 34) and lower fungal damage (1.0% +/- A 0.35, n = 13 vs. 3.7% +/- A 0.85, n = 34) in North America than in Europe over a 2 year period, which is consistent with the predictions of the Enemy Release Hypothesis. Across years, the average total leaf herbivory was significantly correlated with average annual temperature of the site (P &lt; 0.05), although this was mostly due to sites in Europe (P &lt; 0.001), and not sites in North America (P &gt; 0.05). Furthermore, only populations in Europe showed very high levels of herbivory (e.g., nine sites had total leaf herbivory ranging from 10.0 to 51.2% in at least 1 year) or leaf fungal damage (only one site in North America showed high levels of fungal damage in 1 year), suggesting the possibility of more frequent episodic outbreaks in the native range. Leaf herbivory and fungal damage are only two aspects of consumer pressure and we do not know whether the differences reported here are enough to actually elicit release from top-down population control, but such large scale biogeographic differences in herbivory contribute towards understanding exotic invasions.</t>
  </si>
  <si>
    <t>10.1007/s10530-008-9312-4</t>
  </si>
  <si>
    <t>WOS:000263785700021</t>
  </si>
  <si>
    <t>["Sapindales"]</t>
  </si>
  <si>
    <t>["Acer"]</t>
  </si>
  <si>
    <t>["Acer platanoides"]</t>
  </si>
  <si>
    <t>Biotic resistance to an invasive spider conferred by generalist insectivorous birds on Hawai'i Island</t>
  </si>
  <si>
    <t>A central problem for ecology is to understand why some biological invasions succeed while others fail. Species interactions frequently are cited anecdotally for establishment failure, but biotic resistance is not well supported by quantitative experimental studies in animal communities. In a 33-month experiment on Hawaii Island, exclusion of native and alien forest birds resulted in a 25- to 80-fold increase in the density of a single non-indigenous spider species (Theridiidae: Achaearanea cf. riparia). Caged plots held large aggregations of juveniles and more large-bodied individuals, suggesting potential reproductive individuals are more susceptible to bird predation. Most examples of biotic resistance involve competition for limiting resources among sessile marine animals or terrestrial plants. The present results show that generalist predators can limit the success of introductions, even on oceanic islands, generally assumed less resistant to invasion.</t>
  </si>
  <si>
    <t>10.1007/s10530-004-2509-2</t>
  </si>
  <si>
    <t>WOS:000228920500014</t>
  </si>
  <si>
    <t>["Arthropoda"]</t>
  </si>
  <si>
    <t>["Arachnida"]</t>
  </si>
  <si>
    <t>["Araneae"]</t>
  </si>
  <si>
    <t>["Achaearanea"]</t>
  </si>
  <si>
    <t>["Achaearanea cf. riparia"]</t>
  </si>
  <si>
    <t>Achaearanea riparia</t>
  </si>
  <si>
    <t>A geographically variable model of hemlock woolly adelgid spread</t>
  </si>
  <si>
    <t>The hemlock woolly adelgid (HWA) (Adelges tsugae) has spread through the range of eastern hemlock (Tsuga canadensis) leaving dead hemlock trees in its wake. We combined county and previously unavailable township level infestation records with geographic variables including plant hardiness zone, elevation, forest cover type, urbanization, precipitation, temperature, and hemlock range in a geographic information system to build models linking HWA spread to the structure and characteristics of the environment. We explored the connections between site variables and spread rate using quantile regression, Tobit regression, a parametric model for heterogeneous error variance, and classification and regression tree modeling. The results show that since 1990 HWA has spread at a rate closer to 12.5 km/yr rather than the 20-30 km/yr previously estimated, however spread rates vary significantly with environmental variables. County-based data show a faster rate of range expansion in the south, 15.6 km/yr, and very slow spread in the northern part of the current range of HWA. The rate of spread based on township records for Pennsylvania and north is 8.13 km/yr. Our study suggests that HWA spreads more slowly in colder areas, with a mean minimum temperature of -26.1 degrees C (plant hardiness zone 5B) delineating areas of slower range expansion. HWA also spreads more slowly during cold years, those with lower than average mean January temperatures. Our analysis demonstrates the value of quantile regression, Tobit regression, and classification and regression tree models for understanding the spread of invasive, exotic insects.</t>
  </si>
  <si>
    <t>10.1007/s10530-006-9039-z</t>
  </si>
  <si>
    <t>WOS:000246351300002</t>
  </si>
  <si>
    <t>["Insecta"]</t>
  </si>
  <si>
    <t>["Hemiptera"]</t>
  </si>
  <si>
    <t>["Adelges"]</t>
  </si>
  <si>
    <t>["Adelges tsugae"]</t>
  </si>
  <si>
    <t>Vertebrate community composition and diversity declines along a defaunation gradient radiating from rural villages in Gabon</t>
  </si>
  <si>
    <t>1. Anthropocene defaunation is the global phenomenon of human-induced animal biodiversity loss. Understanding the patterns and process of defaunation is critical to predict outcomes for wildlife populations and cascading consequences for ecosystem function and human welfare. 2. We investigated a defaunation gradient in north-eastern Gabon by establishing 24 transects at varying distances (2-30 km) to rural villages and surveying the abundance and composition of vertebrate communities. Distance from village was positively correlated with observations of hunting (shotgun shells, campfires, hunters), making it a good proxy for hunting pressure. 3. Species diversity declined significantly with proximity to village, with mammal richness increasing by roughly 1 similar to 5 species every 10 km travelled away from a village. Compared to forest far from villages, the wildlife community near villages consisted of higher abundances of large birds and rodents and lower abundances of large mammals like monkeys and ungulates. 4. Distance to nearest village emerged as a key driver of the relative abundance of five of the six taxonomic guilds, indicating that the top-down force of hunting strongly influences large vertebrate community composition and structure. Several measures of vegetation structure also explained animal abundance, but these varied across taxonomic guilds. Forest elephants were the exception: no measured variable or combination of variables explained variation in elephant abundances. 5. Synthesis and applications. Hunting is concentrated within 10 km around villages, creating a hunting halo characterized by heavily altered animal communities composed of relatively small-bodied species. Although the strongest anthropogenic effects are relatively distance-limited, the linear increase in species richness shown here even at distances 30 km from villages suggests that hunting may have altered vertebrate abundances across the entire landscape. Central African forests store &gt; 25% of the carbon in tropical forests and are home to 3000 endemic species, but roughly 53% of the region lies within the village hunting halo. Resource management strategies should take into account this hunting-induced spatial variation in animal communities. Near villages, resource management should focus on sustainable community-led hunting programmes that provide long- term supplies of wild meat to rural people. Resource management far from villages should focus on law enforcement and promoting industry practices that maintain remote tracts of land to preserve ecosystem services like carbon storage and biodiversity.</t>
  </si>
  <si>
    <t>10.1111/1365-2664.12798</t>
  </si>
  <si>
    <t>Benitez lopez et al</t>
  </si>
  <si>
    <t>WOS:000401239100014</t>
  </si>
  <si>
    <t>["Mammalia", "Aves"]</t>
  </si>
  <si>
    <t>["Galliformes", "Bucerotiformes", "Musophagiformes", "Psittaciformes", "Cetartiodactyla", "Primates", "Proboscidea", "Rodentia"]</t>
  </si>
  <si>
    <t>["Agelastes", "Bycanistes", "Ceratogymna", "Corythaeola", "Peliperdix", "Psittacus", "Tauraco", "Lophoceros", "Horizocerus", "Cephalophus", "Cercocebus", "Cercopithecus", "Colobus", "Gorilla", "Lophocebus", "Loxodonta", "Pan", "Philantomba", "Potamochoerus", "Protoxerus"]</t>
  </si>
  <si>
    <t>["Agelastes niger", "Bycanistes albotibialis", "Bycanistes fistulator", "Ceratogymna atrata", "Corythaeola cristata", "Francolinus lathami", "Psittacus erithacus", "Tauraco macrorhynchus", "Tauraco persa", "Tockus camurus", "Tockus fasciatus", "Tropicranus albocristatus", "Cephalophus callipygus, C. leucogaster, and C. dorsalis castaneus", "Cephalophus nigrifons", "Cephalophus silvicultor", "Cercocebus agilis", "Cercopithecus cephus", "Cercopithecus nictitans", "Cercopithecus pogonias", "Colobus guereza", "Gorilla gorilla", "Lophocebus albigena", "Loxodonta africana", "Pan troglodytes", "Philantomba monticola", "Potamochoerus porcus", "Protoxerus stangeri", "Xerinae spp."]</t>
  </si>
  <si>
    <t>Analysis of spatial patterns and spatial association between the invasive tree-of-heaven (Ailanthus altissima) and the native black locust (Robinia pseudoacacia)</t>
  </si>
  <si>
    <t>Invasive exotic plants can persist and successfully spread within ecosystems and negatively affect the recruitment of native species. The exotic invasive Ailanthus altissima and the native Robinia pseudoacacia are frequently found in disturbed sites and exhibit similar growth and reproductive characteristics, yet each has distinct functional roles such as allelopathy and nitrogen fixation, respectively. Spatial point pattern analysis of trees in a silvicultural experiment was used to analyze the potential intraspecific and interspecific interference between these two species by looking at their individual spatial distribution and their spatial association. Analysis of spatial point patterns in the field with Ripley's K indicated that A. altissima and R. pseudoacacia were positively associated with each other along the highly disturbed skid trails in the majority of the field sites. Robinia pseudoacacia was clumped in the majority of the sites, whereas A. altissima was randomly distributed in most sites. Locally, increased disturbances could lead to more opportunities for A. altissima to invade, interact with R pseudoacacia and other native species and potentially have an effect on the native plant community.</t>
  </si>
  <si>
    <t>10.1674/0003-0031(2003)150[0001:AOSPAS]2.0.CO;2</t>
  </si>
  <si>
    <t>WOS:000183990100001</t>
  </si>
  <si>
    <t>["Ailanthus"]</t>
  </si>
  <si>
    <t>["Ailanthus altissima"]</t>
  </si>
  <si>
    <t>Assessing the relative importance of disturbance, herbivory, diversity, and propagule pressure in exotic plant invasion</t>
  </si>
  <si>
    <t>The current rate of invasive species introductions is unprecedented, and the dramatic impacts of exotic invasive plants on community and ecosystem properties have been well documented. Despite the pressing management implications, the mechanisms that control exotic plant invasion remain poorly understood. Several factors, such as disturbance, propagule pressure, species diversity, and herbivory, are widely believed to play a critical role in exotic plant invasions. However, few studies have examined the relative importance of these factors, and little is known about how propagule pressure interacts with various mechanisms of ecological resistance to determine invasion success. We quantified the relative importance of canopy disturbance, propagule pressure, species diversity, and herbivory in determining exotic plant invasion in 10 eastern hemlock forests in Pennsylvania and New Jersey (USA). Use of a maximum-likelihood estimation framework and information theoretics allowed us to quantify the strength of evidence for alternative models of the influence of these factors on changes in exotic plant abundance. In addition, we developed models to determine the importance of interactions between ecosystem properties and propagule pressure. These analyses were conducted for three abundant, aggressive exotic species that represent a range of life histories: Alliaria petiolata, Berberis thunbergii, and Microstegium vimineum. Of the four hypothesized determinants of exotic plant invasion considered in this study, canopy disturbance and propagule pressure appear to be the most important predictors of A. petiolata, B. thunbergii, and M. vimineum invasion. Herbivory was also found to be important in contributing to the invasion of some species. In addition, we found compelling evidence of an important interaction between propagule pressure and canopy disturbance. This is the first study to demonstrate the dominant role of the interaction between canopy disturbance and propagule pressure in determining forest invasibility relative to other potential controlling factors. The importance of the disturbance-propagule supply interaction, and its nonlinear functional form, has profound implications for the management of exotic plant species populations. Improving our ability to predict exotic plant invasions will require enhanced understanding of the interaction between propagule pressure and ecological resistance mechanisms.</t>
  </si>
  <si>
    <t>10.1890/08-0221.1</t>
  </si>
  <si>
    <t>WOS:000265421200005</t>
  </si>
  <si>
    <t>["Magnoliopsida", "Liliopsida"]</t>
  </si>
  <si>
    <t>["Brassicales", "Ranunculales", "Poales"]</t>
  </si>
  <si>
    <t>["Alliaria", "Berberis", "Microstegium"]</t>
  </si>
  <si>
    <t>["Alliaria petiolata", "Berberis thunbergii", "Microstegium vimineum"]</t>
  </si>
  <si>
    <t>Aspects of the ecology of an invasive plant, garlic mustard (Alliaria petiolata), in central Illinois</t>
  </si>
  <si>
    <t>Alliaria petiolata (garlic mustard), an exotic plant species, has invaded woodlands in several areas in mid-western and northeastern United States and adjacent Canada, and it is displacing the indigenous under-story flora. This study was conducted to provide information about the species' biology that might be useful in controlling its spread in native woodlands. The plant is a strict biennial in North America, spending the first year of growth as a basal rosette. This period of relatively slow growth is followed by a period of rapid shoot elongation (1.9 cm/day) during early spring of the second growing season. The plant is capable of cross- and self-pollination, although pollination and stigma receptivity occur before the flower is open, so autogamy is the most likely breeding system. Garlic mustard invests 20.4% of its biomass in reproductive effort, with an annual seed rain of 15,000 seeds/m(2). Seed dispersal from fruits begins in early July and continues into October. Most seeds germinate in the spring following the year in which they were produced. Seedling recruitment is high (8.3-18.0 seedlings/dm(2)), but only about 7.5% of the plants survive to maturity. The success of the plant in invading woodlands appears to be related to (1) its autogamous breeding system that allows a single individual, or a few individuals, to establish populations of genetically similar but interfertile individuals; (2) high seed production, permitting establishment of large numbers of individuals; and (3) rapid growth during the second growing season, which increases its competitive ability. Because of garlic mustard's ability to occupy understory habitats successfully, it may be unrealistic to expect to eliminate the plant from many habitats it has already invaded.</t>
  </si>
  <si>
    <t>10.1111/j.1526-100X.1996.tb00118.x</t>
  </si>
  <si>
    <t>WOS:A1996UR75400007</t>
  </si>
  <si>
    <t>["Brassicales"]</t>
  </si>
  <si>
    <t>["Alliaria"]</t>
  </si>
  <si>
    <t>["Alliaria petiolata"]</t>
  </si>
  <si>
    <t>GEOGRAPHIC-VARIATION IN DENSITIES AND DIVERSITIES OF NON-FLYING MAMMALS IN AMAZONIA</t>
  </si>
  <si>
    <t>Non-flying mammals were surveyed by trapping and transect census at 7 localities in Peru, Ecuador and Brazil. Relative numbers of individuals of smaller species varied dramatically from site to site while those of large species tended to be quite constant. The observed pattern of variation in numbers of individuals is mirrored by species richness differences between western Amazonia and the Guiana Shield region of Brazil, suggesting that similar environmental factors may regulate both the numbers of individuals and species in a locality. Soil fertility and undergrowth density are positively correlated with the density and species richness of mammals in the locality but quantity or pattern of rainfall does not seem to account for any of the observed differences. Competition, home range size and diet are discussed as possible causes of the differential reduction in density and species richness of small, compared to large species in unfavorable habitats. Hunting has extirpated or severely reduced populations of large mammals, especially primates, at 5 of the 7 localities surveyed.</t>
  </si>
  <si>
    <t>10.2307/2388054</t>
  </si>
  <si>
    <t>WOS:A1984TR49200005</t>
  </si>
  <si>
    <t>["Aves"]</t>
  </si>
  <si>
    <t>["Primates", "Carnivores", "Pilosa", "Didelphimorphia", "Rodentia", "Cingulata", "Cetartiodactyla"]</t>
  </si>
  <si>
    <t>["Alouatta", "Aotus", "Ateles", "Bassaricyon", "Bradypus", "Callicebus", "Caluromysiops", "Cebuella", "Cebus", "Cuniculus", "Dactylomys", "Dasypus", "Didelphis", "Leopardus", "Micoureus", "Marmosa", "Marmosops", "Mazama", "Metachirus", "Oryzomys", "Panthera", "Philander", "Potos", "Proechimys", "Puma", "Saguinus", "Saimiri", "Sapajus", "Sciurus"]</t>
  </si>
  <si>
    <t>["Alouatta spp", "Aotus trivirgatus", "Ateles spp", "Bassaricyon medius", "Bradypus variegatus", "Callicebus spp", "Caluromysiops irrupta", "Cebuella pygmaea", "Cebus albifrons", "Cuniculus paca", "Dactylomys dactylinus", "Dasypus novemcinctus", "Didelphis marsupialis", "Leopardus pardalis and L. wiedii", "Marmosa demerarae", "Marmosa spp", "Marmosops noctivagus and M. parvidens", "Mazama americana", "Metachirus nudicaudatus", "Oryzomys spp.", "Panthera onca", "Philander opossum", "Potos flavus", "Potos flavus or Bassaricyon spp", "Proechimys spp", "Puma concolor", "Saguinus spp", "Saimiri spp", "Sapajus apella", "Sciurus spp", "Sciurus spp (small)"]</t>
  </si>
  <si>
    <t>Diversity, abundance and the impact of hunting on large mammals in two contrasting forest sites in northern amazon</t>
  </si>
  <si>
    <t>A variety of Amazonian mammals serve as sources of food for its human inhabitants, but hunting can have a strong negative impact on them. Diversity, abundance, biomass, and average group size of medium-sized and large mammals are compared across two forest areas of the northern Amazon: the Virua National Park (protected) and the Novo Paraiso settlement (a human settlement where hunting is permitted). Hunting pressure was also characterized in Novo Paraiso. A total of 33 mammal species were recorded. There were no significant differences in the sighting rates, relative abundance and biomass, and mammal group sizes between the two areas, although the totals of all these variables were higher in Virua due to the higher abundance of Tayassu pecari, which was not recorded at Novo Paraiso. It is suggested that T. pecari may be on the verge of local extinction, as it was the most hunted species in the settlement area. Through interviews with 50 hunters, we estimate that 541 mammals of 20 species were hunted during the study year, resulting in an estimated biomass take of 8517 kg. While the hunting intensity in Novo Paraiso may be sustainable in the short term, the reported decline of hunting efficiency, combined with the extirpation of T. pecari, suggests that mammal abundance may decline there in the near future. In the study year, 849 hunts were carried out in a hunting effort of 4575 hours, with a maximum distance travelled of 5.4 km. There was an average of 4.82 consumers for each hunt, and a per capita harvest rate of 2.24 individuals/consumer year. Hunting was not only for subsistence, but also for retaliation, although some species may not be hunted due to cultural taboos. The need for quantification of harvesting rates to maintain hunting at sustainable levels is highlighted.</t>
  </si>
  <si>
    <t>10.2981/wlb.00095</t>
  </si>
  <si>
    <t>WOS:000363668300001</t>
  </si>
  <si>
    <t>["Primates", "Carnivores", "Rodentia", "Cingulata", "Cetartiodactyla", "Pilosa", "Perissodactyla"]</t>
  </si>
  <si>
    <t>["Alouatta", "Aotus", "Ateles", "Cerdocyon", "Chiropotes", "Cuniculus", "Dasyprocta", "Dasypus", "Eira", "Mazama", "Myoprocta", "Nasua", "Panthera", "Pecari", "Pithecia", "Potos", "Saguinus", "Saimiri", "Sapajus", "Sciurus", "Tamandua", "Tapirus", "Tayassu"]</t>
  </si>
  <si>
    <t>["Alouatta macconnelli", "Aotus trivirgatus", "Ateles paniscus", "Cerdocyon thous", "Chiropotes chiropotes", "Cuniculus paca", "Dasyprocta leporina", "Dasypus novemcinctus", "Eira barbara", "Mazama americana", "Mazama nemorivaga", "Myoprocta acouchy", "Nasua nasua", "Panthera onca", "Pecari tajacu", "Pithecia pithecia", "Potos flavus", "Saguinus midas", "Saimiri sciureus", "Sapajus apella", "Sciurus aestuans", "Tamandua tetradactyla", "Tapirus terrestris", "Tayassu pecari"]</t>
  </si>
  <si>
    <t>Monitoring mammal populations in Costa Rican protected areas under different hunting restrictions</t>
  </si>
  <si>
    <t>If is necessary to assess whether the management of protected areas is achieving the objectives set for them. In particular, changes and trends in wildlife populations should be documented. We compared the 1990 abundance of mammals in two Costa Rican protected areas Corcovado National Park (CNP) and Golfo Dulce Forest Reserve (GDFR), with similar environmental characteristics bat different hunting restrictions and levels of protection. We also monitored the abundance of mammals in CNP over a 4-year period. We also devised an inexpensive method of monitoring tropical rainforest mammal populations in a timely and efficient manner. The method is based on the use of mammal track records and arboreal mammal sightings and requires little effort. With this method 20 mammal species were recorded at CNP and 15 at GDFR. Species were consistently less abundant in GDFR than in CNP, principally those species preferred by hunters. Species were grouped according to whether or not they are used as food and whether they are locally or globally threatened or not threatened. The abundance of all these groups of species in GDFR was 6-28% the abundance in CNP. During 1990-1994, overall mammal abundance in CNP remained relatively stable, but there was considerable variability among species. As a group, both species used for food and globally threatened species declined in abundance during that period in CNP. The abundance of all groups of species declined from 1992 to 1994, coinciding with a reduction in hunting vigilance at CNP. Evidence suggests that the main factor differentiating the abundance of mammals in the two protected areas, and at CNP during the study period, was the level of hunting. Golfo Dulce Forest Reserve seems to be achieving only partial success in protecting wildlife, whereas Corcovado National Park seems to be considerably more effective, although not entirely successful.</t>
  </si>
  <si>
    <t>10.1046/j.1523-1739.2000.99103.x</t>
  </si>
  <si>
    <t>WOS:000166035800007</t>
  </si>
  <si>
    <t>["Primates", "Rodentia", "Cingulata", "Didelphimorphia", "Carnivores", "Cetartiodactyla", "Pilosa", "Perissodactyla"]</t>
  </si>
  <si>
    <t>["Alouatta", "Ateles", "Cebus", "Cuniculus", "Dasyprocta", "Dasypus", "Didelphis", "Leopardus", "Lontra", "Mazama", "Nasua", "Panthera", "Pecari", "Procyon", "Puma", "Saimiri", "Tamandua", "Tapirella", "Tayassu"]</t>
  </si>
  <si>
    <t>["Alouatta palliata", "Ateles geoffroyi", "Cebus capuchinus", "Cuniculus paca", "Dasyprocta punctata", "Dasypus novemcinctus", "Didelphis marsupialis", "Leopardus pardalis", "Leopardus wiedii", "Lontra longicaudis", "Mazama americana", "Nasua narica", "Panthera onca", "Pecari tajacu", "Procyon cancrivorous and P. lotor", "Puma concolor", "Saimiri oerstedii", "Tamandua mexicana", "Tapirus bairdii", "Tayassu pecari"]</t>
  </si>
  <si>
    <t>Hunting in northern French Guiana and its impact on primate communities</t>
  </si>
  <si>
    <t>The Guianas contain one of the largest single remaining tracts of undisturbed tropical rainforest in the world, but this forest and its fauna are facing increased threats. In the north of French Guiana both anthropogenic pressures and conflicts between settlements related to the use of natural resources are growing. Based on surveys in 17 forest sites we show that hunting pressure was the main factor determining current primate species richness, masking the effects of logging or forest type. Three of the larger species, the red howler monkey Alotialta smicitilits, black spider monkey Ateles pain. and tufted capuchin Cebus apella, were less abundant in hunted areas. In the areas around four settlements the harvested biomass of primates was low compared to other game species, but the harvests were close to or beyond the maximal sustainable thresholds for the red howler monkey and tufted capuchin. In French Guiana primates are either fully protected by law (the spider monkey and white-faced saki Pithecia pithecia), or their hunting is restricted to subsistence use (howler monkey, tufted capuchin and wedge-capped capuchin Cebus olivaceus). Most hunted meat is, however, destined for sale. Current conservation policy in French Guiana is limited to legal protection for some species and areas, and laws are poorly enforced. Although large areas of forest and its wildlife are protected simply by their remoteness, there is an increasingly urgent need for the legal protection of all primate species, and the establishment of large protected areas and efficient forest management schemes to minimize the impacts of logging and hunting.</t>
  </si>
  <si>
    <t>10.1017/S0030605305000384</t>
  </si>
  <si>
    <t>WOS:000228944800017</t>
  </si>
  <si>
    <t>["Primates"]</t>
  </si>
  <si>
    <t>["Alouatta", "Ateles", "Cebus", "Pithecia", "Saguinus", "Sapajus"]</t>
  </si>
  <si>
    <t>["Alouatta seniculus", "Ateles paniscus", "Cebus olivaceus", "Pithecia pithecia", "Saguinus midas", "Sapajus apella"]</t>
  </si>
  <si>
    <t>Do levels of income explain differences in game abundance? An empirical test in two Honduran villages</t>
  </si>
  <si>
    <t>Although researchers have documented the role of anthropogenic hunting pressure on the abundance of game, few have measured the direct effects of income or economic development on game abundance. Economic theory tends to predict an ambiguous causal relation between income and the abundance of game. Here we test whether income (a standard proxy of economic development) erodes the abundance of game in two Tawahka Amerindian villages in the rain forest of Honduras. The two villages have similar ecologies and weather and lie 17 km apart but differ in income, population size, wealth, the presence of outside institutions, and hunting pressure. A census of animals done over 2 continuous years suggests that the richer village had less game and relatively fewer large-bodied animals. At the level of animal groups (e. g., mammals) or individual species, or when we include controls for the simultaneous effect of vegetation type, distance from the start of the hunting trail, and time of the year through a random-effect probit model, the two villages display no statistically significant differences in game abundance. A random-effect, multivariate tobit model, in fact, suggests that being in the more remote village correlated with 43.5% fewer animals seen in any one encounter; results were significant at the 99% confidence level. The conclusions contain a discussion of why income might produce ambiguous effects on game abundance and the tradeoffs of using bivariate and multivariate techniques to analyze the covariates of game abundance in the tropical rain forests of the New World.</t>
  </si>
  <si>
    <t>10.1023/A:1020305903156</t>
  </si>
  <si>
    <t>WOS:000178204300010</t>
  </si>
  <si>
    <t>["Psittaciformes", "Columbiformes", "Galliformes", "Piciformes", "Tinamiformes", "Primates", "Carnivores", "Rodentia", "Cingulata", "Cetartiodactyla", "Perissodactyla"]</t>
  </si>
  <si>
    <t>["Amazona", "Ara", "Aratinga", "Claravis", "Crax", "Odontophorus", "Ortalis", "Penelope", "Pionus", "Pteroglossus", "Ramphastos", "Tinamus", "Alouatta", "Ateles", "Cebus", "Conepatus", "Dasyprocta", "Dasypus", "Mazama", "Nasua", "Panthera", "Pecari", "Sciurus", "Tapirella", "Tayassu", "Columbina", "Cuniculus"]</t>
  </si>
  <si>
    <t>["Amazona ochrocephala", "Ara ambiguus", "Ara macao", "Aratinga spp", "Claravis mondetoura and C. pretiosa", "Crax rubra", "Odontophorus spp", "Ortalis vetula", "Penelope purpurascens aequatorialis", "Pionus senilis", "Pteroglossus torquatus", "Ramphastos ambiguus swainsonii", "Ramphastos sulfuratus", "Tinamus major", "Alouatta palliata", "Ateles geoffroyi", "Cebus capuchinus", "Conepatus semistriatus", "Dasyprocta punctata", "Dasypus novemcinctus", "Mazama gouazoubira", "Nasua narica", "Panthera onca", "Pecari tajacu", "Sciurus spp", "Tapirus bairdii", "Tayassu pecari", "Columbina passerina", "Cuniculus paca"]</t>
  </si>
  <si>
    <t>Effects of hunting on guianan forest game birds</t>
  </si>
  <si>
    <t>To assess the effect of on-going and of previous or near by hunting pressure on game birds in a neotropical rain forest (French Guiana), I compared species abundances between six hunted and disturbed areas, seven non-hunted and pristine areas and eight intermediate areas, undisturbed and not currently hunted, but formerly hunted or close to current hunting areas. I recorded all birds detected within 100 m-wide strip transects, walked at random through every forest type all day long. The frequency of records per 10 h and flock sizes on each transect were averaged over all surveys in each study site (N = 3025 h). Censused groups included terrestrial (tinamous, woodquails, curassow and trumpeter) and arboreal species (guans, macaws, parrots, toucans), but not waterbirds. The abundance of all game birds was higher in non-hunted than in hunted areas, though not always significantly for secretive understorey species (tinamous, guans, wood-quail) or canopy frugivores (parrots, macaws, toucans). The Black Curassow and Gray-winged Trumpeter exhibited the highest and most consistent increases (7-10-fold) and more so between intermediate and non-hunted sites than between hunted and intermediate sites. The mean flock size also increased along the hunting gradient, especially in flocking species (macaws, parrots, trumpeter). Low reproductive rates and/or seasonal movements may explain that hunting pressure could still be felt after hunting has ceased or when it persists only away from a given area. Such a persistent effect would affect some populations in small protected areas.</t>
  </si>
  <si>
    <t>10.1007/s10531-004-8412-4</t>
  </si>
  <si>
    <t>WOS:000228507100007</t>
  </si>
  <si>
    <t>["Psittaciformes", "Galliformes", "Tinamiformes", "Gruiformes", "Piciformes"]</t>
  </si>
  <si>
    <t>["Amazona", "Ara", "Crax", "Crypturellus", "Odontophorus", "Penelope", "Psophia", "Ramphastos", "Tinamus"]</t>
  </si>
  <si>
    <t>["Amazona amazonica, A. farinosa, A. dufresniana and A. ochrocephala", "Ara chloroptera and A. macao", "Crax alector", "Crypturellus variegatus", "Odontophorus gujanensis", "Penelope marail and Pipile cumanensis", "Psophia crepitans", "Ramphastos tucanus and R. vitellinus", "Tinamus major"]</t>
  </si>
  <si>
    <t>["Amblonyx", "Lutra", "Lutrogale"]</t>
  </si>
  <si>
    <t>["Amblonyx", "Lutrogale", "Lutra"]</t>
  </si>
  <si>
    <t>["Amblonyx", "Lutrogale"]</t>
  </si>
  <si>
    <t>["Amblonyx"]</t>
  </si>
  <si>
    <t>Adaptive divergence for a fitness-related trait among invasive Ambrosia artemisiifolia populations in France</t>
  </si>
  <si>
    <t>The impact of natural selection on the adaptive divergence of invasive populations can be assessed by testing the null hypothesis that the extent of quantitative genetic differentiation (Q(ST)) would be similar to that of neutral molecular differentiation (F-ST). Using eight microsatellite loci and a common garden approach, we compared Q(ST) and F-ST among ten populations of an invasive species Ambrosia artemisiifolia (common ragweed) in France. In a common garden study with varying water and nutrient levels, we measured Q(ST) for five traits (height, total biomass, reproductive allocation, above- to belowground biomass ratio, and days to flowering). Although low F-ST indicated weak genetic structure and strong gene flow among populations, we found significant diversifying selection (Q(ST) &gt; F-ST) for reproductive allocation that may be closely related to fitness. It suggests that abiotic conditions may have exerted selection pressure on A. artemisiifolia populations to differentiate adaptively, such that populations at higher altitude or latitude evolved greater reproductive allocation. As previous studies indicate multiple introductions from various source populations of A. artemisiifolia in North America, our results suggest that the admixture of introduced populations may have increased genetic diversity and additive genetic variance, and in turn, promoted the rapid evolution and adaptation of this invasive species.</t>
  </si>
  <si>
    <t>10.1111/j.1365-294X.2011.05013.x</t>
  </si>
  <si>
    <t>WOS:000288705300008</t>
  </si>
  <si>
    <t>["Asterales"]</t>
  </si>
  <si>
    <t>["Ambrosia"]</t>
  </si>
  <si>
    <t>["Ambrosia artemisiifolia"]</t>
  </si>
  <si>
    <t>Alien pollinator promotes invasive mutualism in an insular pollination system</t>
  </si>
  <si>
    <t>The alien predatory lizard, Anolis carolinensis, has reduced the insect fauna on the two main islands of the Ogasawara archipelago in Japan. As a result of this disturbance, introduced honeybees are now the dominant visitors to flowers instead of endemic bees on these islands. On the other hand, satellite islands not invaded by alien anoles have retained the native flower visitors. The effects of pollinator change on plant reproduction were surveyed on these contrasting island groups. The total visitation rates and the number of interacting visitor groups on main islands were 63% and 30% lower than that on satellite islands, respectively. On the main islands, the honeybees preferred to visit alien flowers, whereas the dominant endemic bees on satellite islands tended to visit native flowers more frequently than alien flowers. These results suggest that alien anoles destroy the endemic pollination system and caused shift to alien mutualism. On the main islands, the natural fruit set of alien plants was significantly higher than that of native plants. In addition, the natural fruit set was positively correlated with the visitation rate of honeybees. Pollen limitation was observed in 53.3% of endemic species but only 16.7% of alien species. These data suggest that reproduction of alien plants was facilitated by the floral preference of introduced honeybees.</t>
  </si>
  <si>
    <t>10.1007/s10530-010-9882-9</t>
  </si>
  <si>
    <t>WOS:000288448400014</t>
  </si>
  <si>
    <t>["Squamata"]</t>
  </si>
  <si>
    <t>["Anolis"]</t>
  </si>
  <si>
    <t>["Anolis carolinensis"]</t>
  </si>
  <si>
    <t>Changes of community composition at multiple trophic levels due to hunting in Nigerian tropical forests</t>
  </si>
  <si>
    <t>Hunting in tropical forests decimates large mammals, and this may have direct and indirect effects on other trophic levels and lead to trophic cascades. We compared replicated sites of hunted and protected forests in southeastern Nigeria, with respect to community composition of primates, other mammals, birds, plant seedlings, and mature trees. We make predictions regarding the community composition at the different trophic levels. In forests where large primates are rare, we hypothesize that their ecological role will not be fully compensated for by small frugivores. We apply multivariate methods to assess changes in community composition of mammals, birds, and seedlings, controlling for any differences between sites in the other groups, including mature trees. Medium and large (4-180 kg) primates were much rarer in hunted sites, while porcupine and rock hyrax increased in abundance with hunting. In contrast, the community composition of birds was similar in both types of forests. Seedling communities were significantly related to the community composition of mammals, and thus strongly affected by hunting. In protected forests primate dispersed plant seedling species dominated, whereas in hunted forests the seedling community was shifted towards one dominated by abiotically dispersed species. This was probably both a consequence of reduced seed dispersal by primates, and increased seed predation by rodents and hyrax. Hence we found no evidence for buffering effects on tree regeneration through functional compensation by non-hunted animals (such as birds). Our results highlight how seedling communities are changed by the complex plant-animal intera ctions, triggered by the loss of seed dispersers. The results predict a rarity of primate-dispersed trees in future tropical forest canopies; a forest less diverse in timber and non-timber resources.</t>
  </si>
  <si>
    <t>10.1111/j.1600-0587.2013.00359.x</t>
  </si>
  <si>
    <t>WOS:000333608400007</t>
  </si>
  <si>
    <t>["Rodentia", "Primates", "Hyracoidea"]</t>
  </si>
  <si>
    <t>["Anomalurus", "Atherurus", "Cercopithecus", "Mandrillus", "Procavia"]</t>
  </si>
  <si>
    <t>["Anomalurus sp", "Atherurus africanus", "Cercopithecus mona", "Cercopithecus nictitans", "Mandrillus leucophaeus", "Procavia capensis"]</t>
  </si>
  <si>
    <t>Biological invasion of a refuge habitat: Anthriscus caucalis (Apiaceae) decreases diversity, evenness, and survival of native herbs in the Chilean matorral</t>
  </si>
  <si>
    <t>In central Chile, the bur beak chervil (Anthriscus caucalis M. Bieb.; Apiaceae) is an annual naturalized herb introduced from Europe at least 120 years ago. Anthriscus is distributed in vegetation formations such as sclerophyllous shrublands (locally known as matorral) and spiny savannas of Acacia caven (locally known as espinal). In matorral formations, Anthriscus grows at the edge of native woody fragments. Because these fragments are refuges where native herbs recruit, we studied the impact of Anthriscus on the diversity and survival of native forbs established in these sheltering microsites. First, we characterized the spatial distribution of Anthriscus in the matorral, sampling in different micro-habitat types. We differentiated three microhabitat types: under the canopy of a fragment, at the edge of the canopy of a fragment, and in open sites outside the fragments. A total of 40 1 x 1 m quadrates were randomly distributed in each habitat type. Inside each of them, we recorded the number of seedlings and established plants, including Anthriscus. Then we evaluated experimentally the effect of Anthriscus on diversity and evenness of the local herb assemblages. For this purpose we conducted a field trial using 34 metallic enclosures (0.5 x 0.5 m) arranged in pairs. In each pair, Anthriscus individuals were removed from one plot, the other paired plot acting as control. We periodically recorded the presence and abundance of the remanent species of herbs inside the plots, and then we characterized the species diversity and evenness over time (Shannon's index, H' and Pielou's index, J'). Finally, in a second experiment we measured experimentally the presence or absence of Anthriscus against the survival of four native herb species (Bowlesia incana, Bromus berteroanus, Pectocarya linearis, and Moscharia pinnatifida). Here we used 20 0.5 x 0.5 m plots where we randomly transplanted seedlings of native herbs and Arnthiscus. Then, for each species and plot we determined their survival (%) according to the number of seedlings initially transplanted. The samplings show strong association between the presence of Anthriscus on edge habitat in the matorral. The maximum densities were noted in these microhabitat types whereas in open areas and under-fragment sites Anthriscus shows very low or null densities. At the end of the first trials, the plots with Anthriscus showed a Shannon diversity index H' = 0.41 (+/- 0.11 SE), while in plots without Anthriscus this value was 1.19 (+/- 0.1 SE), both as averages. Pielou's evenness index (J') yielded values of 0.23 (+/- 0.06 SE) and 0.59 (+/- 0.04 SE) for treatments with and without Anthriscus, respectively. Similarly, the second trials shows that the survival of the four native herbs was drastically decreased in the presence of Anthriscus: by 64% for Bowlesia incana, 43% for Bromus berteroanus, 46% for Moscharia pinnatifida, and 76% for Pectocaria linearis. Our study shows that the effects of Anthriscus include an inhibition of the establishment of native plants and a decrease in their survival in edge habitats, therefore affecting the composition and diversity of the local herb layer. Thus, Anthriscus is invading a refuge habitat for native herbs in the Chilean matorral, decreasing the native herb diversity and survival.</t>
  </si>
  <si>
    <t>10.1007/s10530-009-9547-8</t>
  </si>
  <si>
    <t>WOS:000276509400030</t>
  </si>
  <si>
    <t>["Apiales"]</t>
  </si>
  <si>
    <t>["Anthriscus"]</t>
  </si>
  <si>
    <t>["Anthriscus caucalis"]</t>
  </si>
  <si>
    <t>Aspects of the life history and reproductive biology of the introduced terrestrial amphipod Arcitalitrus dorrieni (Hunt) at two sites in Co Galway, Ireland</t>
  </si>
  <si>
    <t>The reproductive biology of Arcitalitrus dorrieni (Hunt) was investigated over a period of 25 months at a deciduous and a coniferous forest site at Kylemore, Co. Galway, Ireland. The species has an annual, univoltine reproductive cycle with ovigerous females found throughout the year. Recruitment of juveniles begins in May-June with a peak of reproductive activity in August-September. The populations at each site show a bimodal size-distribution for most of the year, with a unimodal distribution in March, April and May. Mortality occurs exponentially, and the life-span is 20-22 months. Mean fecundity was 5.65 eggs per female and was dependent on female size, egg size and brood stage. Brood mortality was 37.5% at Addergoole and 29.8% at Tullywee Bridge.</t>
  </si>
  <si>
    <t>10.1080/00222939700770631</t>
  </si>
  <si>
    <t>WOS:A1997XP22900002</t>
  </si>
  <si>
    <t>["Malacostraca"]</t>
  </si>
  <si>
    <t>["Amphipoda"]</t>
  </si>
  <si>
    <t>["Arcitalitrus"]</t>
  </si>
  <si>
    <t>["Arcitalitrus dorrieni"]</t>
  </si>
  <si>
    <t>["Arctonyx", "Mustela", "Martes", "Amblonyx"]</t>
  </si>
  <si>
    <t>["Arctonyx"]</t>
  </si>
  <si>
    <t>Australian scallops do not recognise the introduced predatory seastar Asterias amurensis</t>
  </si>
  <si>
    <t>Escape responses of Australian scallops (Pecten fumatus and Chlamys asperrima) to native and introduced predatory seastars were compared in laboratory and field trials. The native seastar Coscinasterias muricata elicited an almost immediate escape response by scallops in all trials. In contrast, there was a low frequency of escape response exhibited by scallops when held in contact with the introduced seastar Asterias amurensis. These results are consistent with the hypothesis that escape response in invertebrates has evolved relative to predation risk. The absence of predator recognition in marine invertebrates may have serious implications for wild and farmed populations in southern Australia where introduced predators are prevalent.</t>
  </si>
  <si>
    <t>10.3354/meps298305</t>
  </si>
  <si>
    <t>WOS:000231905600027</t>
  </si>
  <si>
    <t>["Echinodermata"]</t>
  </si>
  <si>
    <t>["Asteroidea"]</t>
  </si>
  <si>
    <t>["Forcipulatida"]</t>
  </si>
  <si>
    <t>["Asterias"]</t>
  </si>
  <si>
    <t>["Asterias amurensis"]</t>
  </si>
  <si>
    <t>Impact of village hunting on wildlife populations in the western Dia Reserve, Cameroon</t>
  </si>
  <si>
    <t>The Dja Biosphere Reserve, a lowland rainforest in southern Cameroon, supports extensive biotic communities with a high proportion of endemic fauna and flora. A growing human population afflicted by an economic crisis and a predilection for game meat has augmented pressures on the faunal resources. We conducted a 2-year study to assess the spatial distribution and intensity of hunting in the western Dja Reserve and the implications for the management of these activities. We mapped the area where the villagers hunt, determined snare densities, and collected biological data on species killed. Surveys using standard line-transect methodology were conducted on mammalian game species in the various hunting zones across strata of human-disturbed and less-disturbed areas. In the three hunting zones of the village of Mekas, snare density decreased as distance from the village increased. Despite a 64% lower snare density, the monthly overall capture rate was four times higher there than in the zone closest to the village. The number of animals that rotted on snares was three times higher in the farthest hunting region from the village. Except for the four common arboreal primates, encounter rates and densities of game species tended to decrease with proximity to human activity and with an increase in snare densities. Duikers (Cephalophus spp.) comprised 63.5% of animals killed. We used Robinson and Redford's (1991) production model to determine the sustainability of the present harvest rates. Harvest rates of C. monticola, C. dorsalis, and C. callipygus in two of the hunting zones were between one and three times higher than the populations can theoretically sustain. As species are depleted, hunters will journey even further into the forest to hunt. To reduce waste, subsistence hunting should be limited to within 15 km of the village. Ecological studies to determine stochastic and deterministic influences on the duiker populations are required to ensure their conservation within the Dja Reserve.</t>
  </si>
  <si>
    <t>10.1046/j.1523-1739.1999.013002385.x</t>
  </si>
  <si>
    <t>WOS:000079472000022</t>
  </si>
  <si>
    <t>["Rodentia", "Cetartiodactyla", "Primates", "Carnivores"]</t>
  </si>
  <si>
    <t>["Atherurus", "Cephalophus", "Cercopithecus", "Colobus", "Gorilla", "Lophocebus", "Pan", "Philantomba", "Potamochoerus", "Sciurus", "Syncerus", "Thryonomys", "Tragelaphus"]</t>
  </si>
  <si>
    <t>["Atherurus africanus", "Cephalophus callipygus, C. dorsalis, C. leucogaster and C. nigrifrons", "Cephalophus silvicultor", "Cercopithecus cephus", "Cercopithecus nictitans", "Cercopithecus pogonias", "Colobus guereza", "Gorilla gorilla", "Herpestidae spp", "Lophocebus albigena", "Pan troglodytes", "Philantomba monticola", "Potamochoerus porcus", "Sciurus spp", "Syncerus caffer", "Thryonomys swinderianus", "Tragelaphus spekii"]</t>
  </si>
  <si>
    <t>Bushmeat hunting in Dwesa and Cwebe Nature Reserves, Eastern Cape, South Africa</t>
  </si>
  <si>
    <t>Reports of bushmeat hunting as a threatening process are almost entirely restricted to tropical biomes and developing countries. Mammalian fauna within South Africa's fenced reserves could be considered immune to such threats; however, there has been no study testing this. Transects were conducted throughout the fenced, temperate coastal indigenous forested reserves of Dwesa and Cwebe to detect sign (observations, footprints, faeces) of medium and large mammals, and evidence of poaching (snares, human footprints, bullet cartridges). I used generalized linear models of relative abundance data to identify the most likely causes of population decline and presence/absence data to identify the most likely causes of local extinction. Two of the largest mammals (white rhinoceros, Ceratotherium simum and eland, Tragelaphus oryx, were the only species that had distance to the reserve boundary (and hunting humans) as the most important factors affecting their distribution; however, three other ungulates avoided humans (avoided reserve boundary or roads). Highly unusual habitat use (forest restriction) was observed for several normally grassland inhabitants, illustrating the perceived risks associated with open habitats. This study illustrates that bushmeat hunting is not a threat restricted to the Third World tropics and that conservation areas require monitoring, as well as fencing, to ensure poaching does not threaten wildlife.</t>
  </si>
  <si>
    <t>10.3957/056.039.0108</t>
  </si>
  <si>
    <t>WOS:000269692700008</t>
  </si>
  <si>
    <t>["Carnivores", "Primates", "Cetartiodactyla", "Rodentia", "Perissodactyla"]</t>
  </si>
  <si>
    <t>["Atilax", "Chlorocebus", "Connochaetes", "Cryptomys", "Equus", "Genetta", "Philantomba", "Potamochoerus", "Sylvicapra", "Tragelaphus", "Ceratotherium", "Hystrix", "Taurotragus"]</t>
  </si>
  <si>
    <t>["Atilax paludinosus", "Chlorocebus aethiops", "Connochaetes taurinus", "Cryptomys hottentotus and Amblysomus hottentotus", "Equus quagga", "Genetta tigrina", "Philantomba monticola", "Potamochoerus larvatus", "Sylvicapra grimmia", "Tragelaphus scriptus", "Ceratotherium simum", "Hystrix africaeaustralis", "Tragelaphus oryx"]</t>
  </si>
  <si>
    <t>Abiotic and biotic resistance to grass invasion in serpentine annual plant communities</t>
  </si>
  <si>
    <t>Biological invasions severely impact native plant communities, causing dramatic shifts in species composition and the restriction of native species to spatially isolated refuges. Competition from resident species and the interaction between resource limitation and competition have been overlooked as mechanisms of community resistance in refugia habitats. We examined the importance of these factors in determining the resistance of California serpentine plant communities to invasion by three common European grasses, Avena barbata, Bromus diandrus, and Hordeum murinum. We added seeds of each of these grasses to plots subjected to six levels of resource addition (N, P, Ca, H2O, all resources together, and a no-addition control) and two levels of competition (with resident community present or removed). Resource limitation and competition had strong effects on the biomass and reproduction of the three invaders. The addition of all resources together combined with the removal of the resident community yielded individual plants that were fourfold to 20-fold larger and sixfold to 20-fold more fecund than plants from control plots. Competitor removal alone yielded invaders that were twofold to sevenfold larger and twofold to ninefold more fecund. N addition alone or in combination with other resources led to a twofold to ninefold increase in the biomass and fecundity of the invaders. No other resource alone significantly affected native or invader performance, suggesting that N was the key limiting resource during our experiment. We found a significant interaction between abiotic and biotic resistance for Bromus, which experienced increased competitive suppression in fertilized plots. The threefold increase in resident biomass with N addition was likely responsible for this result. Our results confirm that serpentine plant communities are severely N limited, which, in combination with competition from resident species, promotes the resistance of these systems to invasions. Our work suggests that better understanding the relative sensitivities of invaders and residents to the physical environment is critical to predicting how abiotic and biotic factors interact to determine community resistance.</t>
  </si>
  <si>
    <t>10.1007/s00442-008-1264-y</t>
  </si>
  <si>
    <t>WOS:000264103800015</t>
  </si>
  <si>
    <t>["Liliopsida"]</t>
  </si>
  <si>
    <t>["Poales"]</t>
  </si>
  <si>
    <t>["Avena", "Bromus", "Hordeum"]</t>
  </si>
  <si>
    <t>["Avena barbata", "Bromus diandrus", "Hordeum murinum"]</t>
  </si>
  <si>
    <t>Alien aquatic plants in a thermally abnormal river and their assembly to neophyte-dominated macrophyte stands (River Erft, Northrhine-Westphalia)</t>
  </si>
  <si>
    <t>Floristic surveys, vegetation mapping, and detailed transect analyses rendered a macrophyte flora of 14 native and five alien taxa of flowering plants in the River Erft, a contributory of the River Rhine in Northrhine-Westphalia. Water temperatures of this river do not fall below 10 degrees C all the year round, for reasons of geothermically heated water discharged from nearby opencast mining areas. Macrophyte stand structures, composed of the neophytes Azolla filiculoides and Lemna minuta (floating) and Myriophyllum aquaticum, Egeria densa, and Vallisneria spiralis (rooted in the muddy or sandy ground of the river) are described and the ecological requirements of these taxa are characterized. The alien species can be seen as elements that increase the alpha-diversity of the aquatic vegetation of the River Erft. They do not replace any of the native species, even if shifts in the competition dynamics occur. The colonization by neophytes of the abnormally warmed River Erft can be appreciated as paradigmatic for trends in the macrophyte vegetation or medium-sized rivers in Central Europe when climate-related or discharge-based heating or the waterbody occurs and propagules of alien plants imported by waterfowl or - more important - plants from aquarium waste will find suitable places of existence and spread. (C) 2005 Elsevier GmbH. All rights reserved.</t>
  </si>
  <si>
    <t>10.1016/j.limno.2005.01.001</t>
  </si>
  <si>
    <t>WOS:000229543000002</t>
  </si>
  <si>
    <t>["Polypodiopsida", "Liliopsida", "Magnoliopsida"]</t>
  </si>
  <si>
    <t>["Salviniales", "Alismatales", "Saxifragales"]</t>
  </si>
  <si>
    <t>["Azolla", "Lemna", "Myriophyllum", "Elodea", "Vallisneria"]</t>
  </si>
  <si>
    <t>["Azolla filiculoides", "Lemna minuta", "Myriophyllum aquaticum", "Egeria densa", "Vallisneria spiralis"]</t>
  </si>
  <si>
    <t>Age-based differential host acceptability and human mediated disturbance prevent establishment of an invasive species and displacement of a native competitor</t>
  </si>
  <si>
    <t>Establishment failure by immigrant species, while believed to be a common occurrence, is difficult to observe and so factors contributing to failure are poorly explored. Human mediated disturbance is a key element in facilitating biological invasions, but its role in preventing establishment is rarely considered. In Australia, the whitefly, Bemisia tabaci biotype B was first detected in 1994 and has since spread widely and displaced an indigenous competitor. However, in one location it has failed to establish permitting an indigenous competitor to persist. In this area, the dominant plant host is Euphorbia cyathophora. Through a combination of laboratory and field experimentation we show that while both can utilise the young, upper leaves only the indigenous competitor can use the older lower leaves. We then demonstrate that the removal of the upper leaves as part of foreshore vegetation management is the key factor in preventing the establishment of the invader and subsequent displacement of its competitor. While human mediated disturbance coupled with complex biological interactions may promote invasion they may equally well retard rather than facilitate invasion, a factor that appears to have been largely ignored. Complexities of this kind must be conceived in our thinking to achieve a comprehensive understanding of biological invasion.</t>
  </si>
  <si>
    <t>10.1007/s10530-010-9741-8</t>
  </si>
  <si>
    <t>WOS:000281977200006</t>
  </si>
  <si>
    <t>["Bemisia"]</t>
  </si>
  <si>
    <t>["Bemisia tabaci"]</t>
  </si>
  <si>
    <t>Assessing the influence of historical factors, contemporary processes, and environmental conditions on the distribution of invasive species</t>
  </si>
  <si>
    <t>Despite concern over potential detrimental effects of non-native invasive species on human and natural systems, the factors controlling regional distributions of invasive species remain unresolved. Few studies have evaluated the influence of both environmental factors and disturbance history on invasive species distributions, or assessed synthetically the importance of landscape-level disturbances like historical land-use, forest harvesting, and contemporary forest fragmentation. We analyzed vegetation, soils, and recent and historical land-use and landscape context for forests across central and western Massachusetts to identify controls on invasive species distributions. Almost half (49.3%) of 148 randomly selected sites had at least one non-native invasive plant present, and invasive species occurred more frequently on former agricultural sites than in continuous woodlands. We used logistic regression to model the probability of finding the four most common species: Japanese barberry (Berberis thunbergii DC), glossy buckthorn (Rhamnus frangula L.), multiflora rose (Rosa multiflora Thunb. ex Murr.), and oriental bittersweet (Celastrus orbiculata Thunb.). Soil richness was the most important predictor of invasive presence, with rich soils (i.e., lower C:N) being more likely to have these species. The structure of the current forested landscape (i.e., the amount of forest within a 10 km buffer around a site) is also important, with sites that are surrounded by more forest being less likely to have invasives. After accounting for variation in C:N ratios and the structure of the current forested landscape, historical land-use was not a significant predictor of non-native species occurrence; however, C:N ratios may be influenced by historical land-use and by current vegetation, thus complicating interpretations of this edaphic variable. Recent forest harvesting increased the likelihood of invasive occurrence for some but not all species. Overall, our results suggest that regional patterns of invasive plant distributions result from a complex function of edaphic conditions, and present and historical land-uses.</t>
  </si>
  <si>
    <t>10.3159/08-RA-012.1</t>
  </si>
  <si>
    <t>WOS:000257900200010</t>
  </si>
  <si>
    <t>["Ranunculales", "Rosales", "Celastrales"]</t>
  </si>
  <si>
    <t>["Berberis", "Frangula", "Rosa", "Celastrus"]</t>
  </si>
  <si>
    <t>["Berberis thunbergii", "Rhamnus frangula", "Rosa multiflora", "Celastrus orbiculata"]</t>
  </si>
  <si>
    <t>A 19-year study of the dynamics of an invasive alien tree, Bischofia javanica, on a subtropical oceanic island</t>
  </si>
  <si>
    <t>A 19-yr study of the dynamics of an invasive alien species, Bischofia javanica Blume, in a secondary forest was conducted in the Bonin Islands, Japan. The study was begun in 1984 when another alien species, Pinus luchuensis Mayer, had begun to die because of infection by a pine nematode as well as typhoon damage in 1983. Diameters at breast height (DBHs) of all trees in a 20 by 20 in plot and heights of all saplings (&lt; 1.3 m, &gt;= 03 m in height) were measured almost every 3 yr. The total basal area of P. luchuensis decreased over time, and all trees had fallen over by 1998. The total basal area of B. javanica increased more than 10-fold over 19 yr without changes in tree or sapling density. Up to 1990, growth rates of trees of B. javanica were higher than those of two native canopy trees (Pouteria obovata and Machilus kobu), but a third native canopy tree (Schima mertensiana) had growth rates comparable with those of B. javanica. After 1990, there were few differences between growth rates of B. javanica and native species. However, mortality and recruitment of B. javanica were lower than those of native species of canopy trees during the survey period. The higher growth rate, lower mortality, and lower recruitment led to a shift from a skewed size distribution of the individuals of B. javanica toward a more bell-shaped size distribution. Our results suggest that regeneration and maintenance of B. javanica populations in the secondary forests depend on canopy gaps occasionally created by disturbances.</t>
  </si>
  <si>
    <t>10.1353/psc.2006.0029</t>
  </si>
  <si>
    <t>WOS:000240665600003</t>
  </si>
  <si>
    <t>["Malpighiales"]</t>
  </si>
  <si>
    <t>["Bischofia"]</t>
  </si>
  <si>
    <t>["Bischofia javanica"]</t>
  </si>
  <si>
    <t>ALIEN BUMBLE BEE AFFECTS NATIVE PLANT REPRODUCTION THROUGH INTERACTIONS WITH NATIVE BUMBLE BEES</t>
  </si>
  <si>
    <t>The invasive alien bumble bee Bombus terrestris may hinder the reproduction of native plants that have established specialized pollination systems with native bumble bees. To test this hypothesis, we examined the visitation frequency and behavior of native and alien bumble bee species and resultant seed production in Corydalis ambigua, a native plant in Hokkaido, Japan. This species is self-incompatible: the flower has a spur and requires visitation by bumble bees for effective seed production. We compared visitation frequency as well as fruit and seed set after cross- and open pollination at five sites of C. ambigua. Four of these sites occurred near a residential district and included naturalized populations of B. terrestris, and the fifth site was located in a forested habitat with no B. terrestris. The native species B. ardens and B. hypocrita and the alien B. terrestris frequently visited C. ambigua. Bombus ardens legitimately consumed nectar, whereas B. hypocrita and B. terrestris rob nectar by perforating spurs. The legitimate pollinator B. ardens produced fruits and seeds more efficiently than the nectar robbers. At three sites, the proportion of robbed flowers per inflorescence gradually increased through the flowering period, which may be caused by the intrusion of alien B. terrestris into the native plant-pollinator interactions. At these sites, C. ambigua suffered from pollen limitation, as seed production from open pollination was lower than from cross- pollination, despite the fact that the total abundance of three bumble bees was higher than in the other two sites. Legitimate B. ardens visited fewer flowers within inflorescences with more robbed flowers, suggesting that nectar robbing may reduce the frequency of visitations by B. ardens within inflorescences, and resulting in decreased fruit set. Furthermore, reduced seed set implies a reduction in the pollination quality by B. ardens, probably due to decreases in visiting time per flower. Thus, introduction of alien B. terrestris may alter the native plant-pollinator mutualism: C. ambigua could establish a novel pollination relationship with B. terrestris because of its nonzero pollination efficiency, similar to the native robber B. hypocrita.</t>
  </si>
  <si>
    <t>10.1890/07-1491.1</t>
  </si>
  <si>
    <t>WOS:000261053500013</t>
  </si>
  <si>
    <t>["Hymenoptera"]</t>
  </si>
  <si>
    <t>["Bombus"]</t>
  </si>
  <si>
    <t>["Bombus terrestris"]</t>
  </si>
  <si>
    <t>A chemical trait creates a genetic trade-off between intra- and interspecific competitive ability</t>
  </si>
  <si>
    <t>The importance of non-resource-based mechanisms of competition between plant species has been increasingly recognized, but little is known about how genetic variation and evolutionary changes in the underlying competitive traits might affect species coexistence. I found that genetic variation in sinigrin concentration, a putative allelopathic agent in Brassica nigra, affected the fitness of three heterospecific neighbor species but did not affect neighboring B. nigra individuals. Investment in sinigrin led to a negative genetic correlation between intra- and interspecific competitive ability, which over many generations could provide a strong stabilizing force maintaining both species and genetic diversity in this system.</t>
  </si>
  <si>
    <t>10.1890/07-1541.1</t>
  </si>
  <si>
    <t>WOS:000256101200001</t>
  </si>
  <si>
    <t>["Brassica"]</t>
  </si>
  <si>
    <t>["Brassica nigra"]</t>
  </si>
  <si>
    <t>Apparent competition with an exotic plant reduces native plant establishment</t>
  </si>
  <si>
    <t>Biological invasions can change ecosystem function, have tremendous economic costs, and impact human health; understanding the forces that cause and maintain biological invasions is thus of immediate importance. A mechanism by which exotic plants might displace native plants is by increasing the pressure of native consumers on native plants, a form of indirect interaction termed ''apparent competition.'' Using experimental exclosures, seed addition, and monitoring of small mammals in a California grassland, we examined whether exotic Brassica nigra increases the pressure of native consumers on a native bunchgrass, Nassella pulchra. Experimental plots were weeded to focus entirely on indirect effects via consumers. We demonstrate that B. nigra alters the activity of native small-mammal consumers, creating a gradient of consumption that dramatically reduces N. pulchra establishment. Previous work has shown that N. pulchra is a strong competitor, but that it is heavily seed limited. By demonstrating that consumer pressure is sufficient to curtail establishment, our work provides a mechanism for this seed limitation and suggests that, despite being a good competitor, N. pulchra cannot reestablish close to B. nigra within its old habitats because exotic-mediated consumption preempts direct competitive exclusion. Moreover, we find that apparent competition has a spatial extent, suggesting that consumers may dictate the rate of invasion and the area available for restoration, and that nonspatial studies of apparent competition may miss important dynamics.</t>
  </si>
  <si>
    <t>10.1890/07-0223.1</t>
  </si>
  <si>
    <t>WOS:000255580200030</t>
  </si>
  <si>
    <t>Bryophyte mats inhibit germination of non-native species in burnt temperate native grassland remnants</t>
  </si>
  <si>
    <t>Species-rich native grasslands in western Victoria, Australia, are often small, have a high perimeter to area ratio and are surrounded by non-native species. Few non-native species, however, have invaded them. A feature of species-rich grasslands is the presence of a bryophyte mat (composed of mosses and liverworts) that carpets the intertussock spaces. I assessed the role of these mats in plant invasions by sowing three non-native species (Briza maxima, Hypochoeris radicata, Plantago lanceolata) in replicated disturbed (mats removed) and undisturbed (mats intact) microsites at three grassland remnants (two recently burnt, one unburnt for 3 years) and followed seedling emergence, survival and growth for 5 months. Three native species were also sown for comparison. The rate of germination and total percent germination of non-native species were significantly enhanced at both burnt sites when the mat was disturbed. The large-seeded Briza maxima failed to germinate at both burnt sites in the absence of soil disturbance. The native species generally did not show a strong germination or growth response to soil disturbance in burnt areas. At the unburnt site, where monthly percent soil moisture was highest, final percent germination of the non-native and native species was greatest of any site in both microsites, and germination was not significantly affected by soil disturbance. Differences in the seed morphology of native and non-native species may play an important role in their ability to establish on bryophyte mats in moisture-limiting environments. Any activity that disrupts the mats in the frequently burnt, species-rich grassland remnants is likely to significantly enhance the germination and subsequent growth by non-natives. However, where burning is infrequent, germination of some non-native species may be expected, regardless of disturbance, although growth will likely be favoured in disturbed areas.</t>
  </si>
  <si>
    <t>10.1007/s10530-004-2881-y</t>
  </si>
  <si>
    <t>WOS:000234309500005</t>
  </si>
  <si>
    <t>["Liliopsida", "Magnoliopsida"]</t>
  </si>
  <si>
    <t>["Poales", "Asterales", "Lamiales"]</t>
  </si>
  <si>
    <t>["Briza", "Hypochoeris", "Plantago"]</t>
  </si>
  <si>
    <t>["Briza maxima", "Hypochoeris radicata", "Plantago lanceolata"]</t>
  </si>
  <si>
    <t>A native nitrogen-fixing shrub facilitates weed invasion</t>
  </si>
  <si>
    <t>Invasions by exotic weedy plants frequently occur in highly disturbed or otherwise anthropogenically altered habitats. Here we present evidence that, within California coastal prairie, invasion also can be facilitated by a native nitrogen-fixing shrub, bush lupine (Lupinus arboreus). Bush lupines fix nitrogen and grow rapidly, fertilizing the sandy soil with nitrogen-rich litter. The dense lupine canopy blocks light, restricting vegetative growth under bushes. Heavy insect herbivory kills lupines, opening exposed nitrogen-rich sites within the plant community. Eventual re-establishment of lupine occurs because of an abundant and long-lived seed bank. Lupine germination, rapid growth, shading and fertilization of sites, and then death after only a few years, results in a mosaic of nutrient-rich sites that are available to invading species. To determine the role of bush lupine death and nitrogen enrichment in community composition, we examined nutrient dynamics and plant community characteristics within a site only recently colonized by lupine, comparing patches where lupines had recently died or were experimentally killed with adjacent areas lacking lupine. In experimentally killed patches, instantaneous pool sizes of exchangeable ammonium and nitrate nitrogen were higher than in adjacent sites free of lupine. Seedlings of the introduced grass Bromus diandrus accumulated 48% greater root biomass and 93% more shoot biomass when grown in a greenhouse in soil collected under experimentally killed lupines compared to B. diandrus seedlings grown in soil collected at least 1 m away from lupines. At the end of the spring growing season, total above-ground live plant biomass was more than twice as great in dead lupine patches as in the adjacent lupine-free grassland, but dead lupine patches contained 47% fewer plant species and 57% fewer native species. Sites where lupines have repeatedly died and reestablished during recent decades support an interstitial grassland community high in productivity but low in diversity, composed of mostly weedy introduced annual plants. In contrast, at a site only recently colonized by bush lupines, the interstitial grassland consists of a less productive but more diverse set of native and introduced species. We suggest that repeated bouts of lupine germination, establishment, and death can convert a rich native plant community into a less diverse collection of introduced weeds.</t>
  </si>
  <si>
    <t>10.1007/BF00328732</t>
  </si>
  <si>
    <t>WOS:A1996TV85000004</t>
  </si>
  <si>
    <t>["Bromus"]</t>
  </si>
  <si>
    <t>["Bromus diandrus"]</t>
  </si>
  <si>
    <t>Alien smooth brome (Bromus inermis Leyss) in a tallgrass prairie remnant: Seed bank, seedling establishment, and growth dynamics</t>
  </si>
  <si>
    <t>The natural diversity of tallgrass prairie remnants in the northern Great Plains of North America is being threatened by alien smooth brome (Bromus inermis Leyss.). We report the results of two studies designed to increase our knowledge of the Invasion dynamics of this species. Smooth brome seedling establishment in unbroken native tallgrass vegetation did not occur even when conditions for establishment were optimal. The soil at a lowland smooth brome site had finer texture, greater percent water, lower pH, and lower potassium than did the soil at an upland site. Tiller, stem base, and root biomass were greater in smooth brome individuals transplanted into the lowland site than in individuals transplanted into the upland site. Although the total length of rhizomes of individuals was not different between the two sites, rhizome length per tiller was greater at the upland site. This result indicates that the rate of horizontal spread of smooth brome may be greater at upland sites than at lowland sites.</t>
  </si>
  <si>
    <t>WOS:A1996VP61800003</t>
  </si>
  <si>
    <t>["Bromus inermis"]</t>
  </si>
  <si>
    <t>An experimental test of resistance to cheatgrass invasion: limiting resources at different life stages</t>
  </si>
  <si>
    <t>Variable densities of an invasive species may represent variation in invasion resistance. due to variation in resource availability. This study determined. whether low- and high-density cheat-grass (Bromus tectorum L.) patches within a shadscale-bunchgrass community of western Utah, USA, can be explained by variation in resource availability. It also explored the possible role of seed limitation and enemy pressure on invasion patterns. Two parallel field experiments were conducted: (1) increasing resources within low-density cheatgrass patches and, conversely; (2) reducing resources within high-density cheatgrass patches. Treatments were applied at three life stages separately and across all stages. In low-density cheatgrass patches (assumed to represent high resistance), a disturbance that reduced soil compaction had the strongest positive effect, significantly increasing biomass by 250% and density by 104% in comparison to the control. The second strongest effect was reducing neighbors (native grasses), which significantly increased cheatgrass biomass and density. These results indicate that resources are present in low-density cheatgrass patches, but they are unavailable without disturbance and/or are exploited by competitors, and hence represent resistance to invasion. In high-density cheatgrass patches (assumed to represent low resistance), nitrogen availability was important in maintaining cheatgrass densities. Reducing nitrogen (via sucrose addition) significantly decreased density (by 37%) but not biomass. Life stages of cheatgrass were differentially affected by these resource manipulations. In addition, herbivore (primarily grasshoppers) and pathogen (head smut) pressures were documented to affect cheatgrass density, but did not explain resistance patterns. Instead, we found that differential resource availability explains the observed variation in cheatgrass density, and variation in natural resistance.</t>
  </si>
  <si>
    <t>10.1023/B:BINV.0000041557.92285.43</t>
  </si>
  <si>
    <t>WOS:000226583000003</t>
  </si>
  <si>
    <t>["Bromus tectorum"]</t>
  </si>
  <si>
    <t>An evaluation of the diet of Mysis relicta using gut contents and fatty acid profiles in lakes with and without the invader Bythotrephes longimanus (Onychopoda, Cercopagidae)</t>
  </si>
  <si>
    <t>Diets of Mysis relicta from four lakes in central Ontario that had been invaded by Bythotrephes longimanus and three lakes that had not been invaded were investigated using gut content analysis and fatty acid (FA) composition. Gut content analysis of M. relicta revealed a high incidence of cannibalism in all lakes, and consumption of B. longimanus and native zooplanktivorous midges in the genus Chaoborus in lakes where these were present. Cladocera other than B. longimanus were present in the guts of all M. relicta examined except those from Bernard Lake, the lake with the most B. longimanus. In that lake, B. longimanus was the most frequent diet item. Copepod remains were found in 60-100% of M. relicta guts with the lowest frequency occurring in Bernard Lake. Fatty acids (FA) that contributed strongly to the variation in FA composition in M. relicta, as revealed by a principal component analysis, were C16:0 (palmitic acid), C16:1n7 (palmitoleic acid), C18:1n9c (oleic acid), C20:4n6 (arachidonic acid), C20:5n3 (eicosapentaenoic acid), and C22:6n3 (docosahexaenoic acid). Significant differences in FA amount and composition of M. relicta were found between invaded and non-invaded lakes, and among lakes within these groups. Generally, M. relicta in non-invaded lakes had higher concentrations of C16:0, C18:1n9c, C18:2n6c (linoleic acid), C18:3n3 (alpha-linolenic acid) and C20:4n6, while M. relicta in invaded lakes had higher concentrations of C22:6n3. Two of the non-invaded lakes had lower water transparency, as measured by Secchi depth, which may be the reason why mysids and abundant populations of Chaoborus spp. could be found in the water column during the day. However, differences in FA profiles and gut contents of M. relicta between invaded and non-invaded lakes are consistent with competition for Cladocera in the presence of the invader rather than pre-existing differences among lakes. We conclude that the diet of M. relicta is affected by the invasion of B. longimanus.</t>
  </si>
  <si>
    <t>10.1007/s10452-007-9098-y</t>
  </si>
  <si>
    <t>WOS:000258323200009</t>
  </si>
  <si>
    <t>["Branchiopoda"]</t>
  </si>
  <si>
    <t>["Diplostraca"]</t>
  </si>
  <si>
    <t>["Bythotrephes"]</t>
  </si>
  <si>
    <t>["Bythotrephes longimanus"]</t>
  </si>
  <si>
    <t>An introduced invertebrate predator (Bythotrephes) reduces zooplankton species richness</t>
  </si>
  <si>
    <t>Rarely do ecologists have the data needed to assess the impacts of invading species on biodiversity, i.e. pre- and post-invasion census information from both invaded and control sites. Using a 21-year time series, we demonstrate that the invasion of Harp Lake, Ontario, Canada, by the Eurasian spiny water flea, Bythotrephes longimanus , a zooplanktivore, was accompanied by a rapid and long-lasting reduction in the average species richness of crustacean zooplankton, particularly of cladoceran taxa. No such reduction was observed in seven nearby un-invaded lakes over the same two decades. If the Harp Lake results are typical, we predict a widespread reduction in crustacean zooplankton richness on the Canadian Shield for three reasons. Shield lakes provide the invader with good habitat. Its dispersal rates and colonization success are high. Zooplankton richness in Harp Lake is now unusually low for a Shield Lake of its size and acidity.</t>
  </si>
  <si>
    <t>10.1046/j.1461-0248.2002.00348.x</t>
  </si>
  <si>
    <t>WOS:000176644900004</t>
  </si>
  <si>
    <t>Application of a lower food web ecosystem productivity model for investigating dynamics of the invasive species Bythotrephes longimanus in Lake Michigan</t>
  </si>
  <si>
    <t>A Lake Michigan Ecosystem Model (LM-Eco) that includes a detailed description of trophic levels and their interactions was developed for Lake Michigan. The LM-Eco model constitutes a first step toward a comprehensive Lake Michigan ecosystem productivity model to investigate ecosystem-level responses and effects within the lower food web of the lake. The effect of the invasive species Bythotrephes longimanus on individual zooplankton species was investigated based upon extensive field data collected at multiple locations in Lake Michigan during the 1994-1995 Lake Michigan Mass Balance Study. Field data collected at 15 sampling stations within Lake Michigan over a series of 8 sampling cruises throughout a 2 year period demonstrated that over 65% of zooplankton species exhibited a decline with the occurrence of Bythotrephes in the sample. The LM-Eco model was successfully applied to simulate the trends of Bythotrephes and zooplankton abundance as observed in the collected field data. Model simulations allowed for examination of interactions between the invader Bythotrephes and native zooplankton groups on a 5 km by 5 km resolution throughout Lake Michigan. Analysis was completed as a time series specific to individual field sampling locations within the lake, and also on a lake-wide scale.</t>
  </si>
  <si>
    <t>10.1007/s10530-010-9748-1</t>
  </si>
  <si>
    <t>WOS:000281977200013</t>
  </si>
  <si>
    <t>Activity budget and foraging behavior of introduced Callosciurus finlaysonii (Rodentia, Sciuridae) in Italy</t>
  </si>
  <si>
    <t>We studied seasonal activity patterns and feeding behavior of a population of Finlayson's squirrel (Callosciurus finlaysonii) native to Indochina and introduced into Italy. Squirrels spent the majority of active time foraging, switching between resources according to availability. In winter, they fed mainly on buds or stripped bark, shifting to flowers when plants bloomed in spring, and to mature seeds and fruits from June to October. By November-December, bark-stripping became progressively more important. This activity accounted for 36.5% of the yearly feeding time. The flexibility to exploit a wide range of foods, the ability to change food habits throughout the year, and hoarding behavior are factors that could indicate a proclivity to use different habitats successfully.</t>
  </si>
  <si>
    <t>10.1644/BPR-009</t>
  </si>
  <si>
    <t>WOS:000220884600008</t>
  </si>
  <si>
    <t>["Rodentia"]</t>
  </si>
  <si>
    <t>["Callosciurus"]</t>
  </si>
  <si>
    <t>["Callosciurus finlaysonii"]</t>
  </si>
  <si>
    <t>Breeding system and pollen limitation in two supergeneralist alien plants invading Mediterranean shrublands</t>
  </si>
  <si>
    <t>Many widely known invasive plants are well integrated into native plant-pollinator networks. Typically, these invaders have entomophilous flowers which are visited by a diverse array of pollinators. The type of breeding system and the role that pollination services play in the reproductive success of invasive plants have, however, received little attention. We studied the breeding system and pollen limitation of two entomophilous invasive plants, Carpobrotus affine acinaciformis and Opuntia stricta, in different Mediterranean coastal localities in north-eastern Spain. Both species are, to some degree self-compatible; however, because of frequent visitation, open pollination increased the seed set in both species by at least 50%. Whereas O. stricta showed no pollen limitation, some populations of C. aff. acinaciformis had a lower seed set in open-pollinated flowers than in flowers where supplementary hand-pollination ensured out-crossing. This local pollen limitation in C. aff. acinaciformis could be due to the low efficiency of its visitors (mainly beetles) or its hybrid status. On the basis of previous studies on Carpobrotus sp. hybrid complexes, we suggest that the variability among sites in the seed set of open-pollinated flowers is caused by different degrees of hybrid introgression. Not withstanding, we found the C. aff. acinaciformis seed sets studied were higher than those reported in other regions. Further research is needed to assess the invasion potential of these hybrids in Mediterranean shrublands.</t>
  </si>
  <si>
    <t>10.1071/BT08169</t>
  </si>
  <si>
    <t>WOS:000265927400004</t>
  </si>
  <si>
    <t>["Caryophyllales"]</t>
  </si>
  <si>
    <t>["Carpobrotus", "Opuntia"]</t>
  </si>
  <si>
    <t>["Carpobrotus affine acinaciformis", "Opuntia stricta"]</t>
  </si>
  <si>
    <t>The sustainability of subsistence hunting of peccaries in the Argentine Chaco</t>
  </si>
  <si>
    <t>Subsistence hunting practiced by poor rural and indigenous people in Latin America differentially affects the three species of peccaries (Artiodactyla: Tayassuidae). Sustainability of subsistence hunting of peccaries in the Argentine semi-arid Chaco, where the three species coexist, was unknown. My objectives were to determine the importance of peccaries for the local people, describe the current pattern of hunting and its impact on the three species of peccary and identify the factors that affect hunting sustainability. I found that many rural (70%) and village people (40%) consumed peccaries. White-lipped and chacoan peccaries were more susceptible to overharvesting than collared peccary. Current rates of hunting of white-lipped and chacoan peccaries are likely not sustainable because: (a) density of both species was between two to three times higher inside a protected area than outside; (b) populations have declined near larger villages and in older settlements; (c) herds sizes were small in comparison with other regions; (d) large number of juveniles less than one year old were harvested; (e) hunting did not discriminate based on sex or reproductive status and (f) The unified harvest model indicated unsustainable harvest because more than 40% of the reproductive production was taken and populations densities were less than 60% carrying capacities. In contrast, harvest of collared peccary seems sustainable at the current rates of hunting by rural peasants. Other threats such as forest exploitation, however, are accelerating, and are likely to reduce sustainability. (c) 2005 Elsevier Ltd. All rights reserved.</t>
  </si>
  <si>
    <t>10.1016/j.biocon.2005.06.024</t>
  </si>
  <si>
    <t>WOS:000232993900006</t>
  </si>
  <si>
    <t>["Cetartiodactyla"]</t>
  </si>
  <si>
    <t>["Catagonus", "Pecari", "Tayassu"]</t>
  </si>
  <si>
    <t>["Catagonus wagneri", "Pecari tajacu", "Tayassu pecari"]</t>
  </si>
  <si>
    <t>An introduced and a native vertebrate hybridize to form a genetic bridge to a second native species</t>
  </si>
  <si>
    <t>The genetic impacts of hybridization between native and introduced species are of considerable conservation concern, while the possibility of reticulate evolution affects our basic understanding of how species arise and shapes how we use genetic data to understand evolutionary diversification. By using mitochondrial NADH dehydrogenase subunit 2 (ND2) sequences and 467 amplified fragment-length polymorphism nuclear DNA markers, we show that the introduced white sucker (Catostomus commersoni) has hybridized with two species native to the Colorado River Basin-the flannelmouth sucker (Catostomus latipinnis) and the bluehead sucker (Catostomus discobolus). Hybrids between the flannelmouth sucker and white sucker have facilitated introgression between the two native species, previously isolated by reproductive barriers, such that individuals exist with contributions from all three genomes. Most hybrids had the mitochondrial haplotype of the introduced white sucker, emphasizing its pivotal role in this three-way hybridization. Our findings highlight how introduced species can threaten the genetic integrity of not only one species but also multiple previously reproductively isolated species. Furthermore, this complex three-way reticulate (as opposed to strictly bifurcating) evolution suggests that seeking examples in other vertebrate systems might be productive. Although the present study involved an introduced species, similar patterns of hybridization could result from natural processes, including stream capture or geological formations (e.g., the Bering land bridge).</t>
  </si>
  <si>
    <t>10.1073/pnas.0712002105</t>
  </si>
  <si>
    <t>WOS:000258308500040</t>
  </si>
  <si>
    <t>["Cypriniformes"]</t>
  </si>
  <si>
    <t>["Catostomus"]</t>
  </si>
  <si>
    <t>["Catostomus commersoni"]</t>
  </si>
  <si>
    <t>Biogeographical variation in community response to root allelochemistry: novel weapons and exotic invasion</t>
  </si>
  <si>
    <t>Centaurea diffusa is one of the most destructive invasive weeds in the western USA and allelopathy appears to contribute to its invasiveness (Callaway &amp; Aschehoug 2000). Here we identify a chemical from the root exudates of C. diffusa, 8-hydroxyquinoline, not previously reported as a natural product, and find that it varies biogeographically in its natural concentration and its effect as an allelochemical. 8-Hydroxyquinoline is at least three times more concentrated in C. diffusa-invaded North American soils than in this weed's native Eurasian soils and has stronger phytotoxic effects on grass species from North America than on grass species from Eurasia. Furthermore, experimental communities built from North American plant species are far more susceptible to invasion by C. diffusa than communities built from Eurasian species, regardless of the biogeographical origin of the soil biota. Sterilization of North American soils suppressed C. diffusa more than sterilization of Eurasian soils, indicating that North American soil biota may also promote invasion by C. diffusa. Eurasian plants and soil microbes may have evolved natural resistance to 8-hydroxyquinoline while North American plants have not, suggesting a remarkable potential for evolutionary compatibility and homeostasis among plants within natural communities and a mechanism by which exotic weeds destroy these communities.</t>
  </si>
  <si>
    <t>10.1111/j.1461-0248.2004.00576.x</t>
  </si>
  <si>
    <t>WOS:000220306500003</t>
  </si>
  <si>
    <t>["Centaurea"]</t>
  </si>
  <si>
    <t>["Centaurea diffusa"]</t>
  </si>
  <si>
    <t>A molecular approach to understanding plant-plant interactions in the context of invasion biology</t>
  </si>
  <si>
    <t>Competition is a major determinant of plant community structure, and can influence the size and reproductive fitness of a species. Therefore, competitive responses may arise from alterations in gene expression and plant function when an individual is confronted with new competitors. This study explored competition at the level of gene expression by hybridising transcripts from Centaurea maculosa Lam., one of North America's most invasive exotic plant species, to an Arabidopsis thaliana (L.) Heynh microarray chip. Centaurea was grown in competition with Festuca idahoensis Elmer, a native species that generally has weak competitive effects against Centaurea; Gaillardia aristata Pursh, a native species that tends to be a much stronger competitor against Centaurea; and alone (control). Some transcripts were induced or repressed to a similar extent regardless of the plant neighbour grown with Centaurea. Other transcripts showed differential expression that was specific to the competitor species, possibly indicating a species-specific aspect of the competitive response of Centaurea. These results are the first to identify genes in an invasive plant that are induced or repressed by plant neighbours and provide a new avenue of insight into the molecular aspects of plant competitive ability.</t>
  </si>
  <si>
    <t>10.1071/FP08155</t>
  </si>
  <si>
    <t>WOS:000261175700004</t>
  </si>
  <si>
    <t>["Centaurea maculosa"]</t>
  </si>
  <si>
    <t>Advantages in water relations contribute to greater photosynthesis in Centaurea maculosa compared with established grasses</t>
  </si>
  <si>
    <t>Semiarid steppe communities in North America appear particularly vulnerable to persistent infestations by exotic, taprooted forbs, such as European spotted knapweed (Centaurea maculosa). We determined whether species differences in ecophysiological response to water availability could help link traits of Centaurea with invasibility of steppe communities. Plant-soil water relations and photosynthesis were measured under three water levels in a greenhouse and at two sites over two years in the field for Centaurea and dominant rangeland species of southwestern Montana: Pseudoregneria spicata, Pascopyron smithii, and Bromus inermis. Centaurea had greater and more seasonally persistent photosynthesis than the other species under field conditions but not in the greenhouse, where water availability was similar for the species. Centaurea had no greater water use efficiency, except under unusually dry conditions, but maintained greater water potentials despite greater transpiration than the grasses. Changes in soil water indicated uptake from deeper and wetter soils in Centaurea than in grasses. Greater photosynthesis in Centaurea compared with grasses may result from uptake of deeper soil water and corresponding drought avoidance. Interspecific differences in resource use may therefore contribute to the success of Centaurea, and Centaurea's ecological requirement for water matches an available resource niche in the communities we examined.</t>
  </si>
  <si>
    <t>10.1086/499505</t>
  </si>
  <si>
    <t>WOS:000236006900010</t>
  </si>
  <si>
    <t>Allelopathy and exotic plant invasion: From molecules and genes to species interactions</t>
  </si>
  <si>
    <t>Here we present evidence that Centaurea maculosa (spotted knapweed), an invasive species in the western United States, displaces native plant species by exuding the phytotoxin (-)-catechin from its roots. Our results show inhibition of native species' growth and germination in field soils at natural concentrations of (-)- catechin. In susceptible species such as Arabidopsis thaliana, the allelo-chemical triggers a wave of reactive oxygen species (ROS) initiated at the root meristem, which leads to a Ca2+ signaling cascade triggering genome-wide changes in gene expression and, ultimately, death of the root system. Our results support a novel weapons hypothesis for invasive success.</t>
  </si>
  <si>
    <t>10.1126/science.1083245</t>
  </si>
  <si>
    <t>WOS:000185116400041</t>
  </si>
  <si>
    <t>Allelopathy and plant invasions: traditional, congeneric, and bio-geographical approaches</t>
  </si>
  <si>
    <t>A relatively small subset of exotic plant species competitively exclude their neighbors in invaded recipient communities but coexist with neighbors in their native habitat. Allelopathy has been argued as one of the mechanisms by which such exotics may become successful invaders. Three approaches have been used to examine allelopathy as a mechanism for invasion. The traditional approach examines exotic invasives in the same way that other native plants also suspected of allelopathic activities are studied. In this approach dose, fate, and replenishment of chemicals can provide powerful evidence for allelopathic processes. The bio-geographical approach often does not provide as much mechanistic evidence for allelopathy, but comparing the allelopathic effects of exotic invasives on species from their native and invaded communities yields stronger evidence than the traditional approach for whether or not allelopathy actually contributes to invasive success. The congeneric, or phylogenetic, approach involves comparative studies of exotic species with natives in the same genus or that are as closely related as possible. Congeneric approaches are limited in inference and have been used to study the role of natural enemies in exotic invasion, but this approach has not been widely used to study allelopathy and invasion. We discuss these three approaches and present a data set for congeneric Lantana and Prosopis to illustrate how the congeneric approach can be used, and use Centaurea maculosa and (+/-)-catechin to demonstrate experimentally how traditional and bio-geographic approaches can be integrated to shed light on allelopathy in exotic plant invasions.</t>
  </si>
  <si>
    <t>10.1007/s10530-008-9239-9</t>
  </si>
  <si>
    <t>WOS:000257367400009</t>
  </si>
  <si>
    <t>An invader differentially affects leaf physiology of two natives across a gradient in diversity</t>
  </si>
  <si>
    <t>Little is known about how exotics influence the ecophysiology of co-occurring native plants or how invader impact on plant physiology may be mediated by community diversity or resource levels. We measured the effect of the widespread invasive forb spotted knapweed (Centaurea maculosa) on leaf traits (leaf dry matter content, specific leaf area, leaf nitrogen percentage, leaf C:N ratios, and delta C-13 as a proxy for water use efficiency) of two co-occurring native perennial grassland species, Monarda fistulosa (bee balm) and Koeleria macrantha (Junegrass). The impact of spotted knapweed was assessed across plots that varied in functional diversity and that either experienced ambient rainfall or received supplemental water. Impact was determined by comparing leaf traits between identical knapweed-invaded and noninvaded assemblages. Virtually all M. fistulosa leaf traits were affected by spotted knapweed. Knapweed impact, however, did not scale with its abundance; the impact of knapweed on M. fistulosa was similar across heavily invaded low-diversity assemblages and lightly invaded high-diversity assemblages. In uninvaded assemblages, M. fistulosa delta C-13, leaf nitrogen, and C:N ratios were unaffected by native functional group richness, whereas leaf dry matter content significantly increased and specific leaf area significantly decreased across the diversity gradient. The effects of spotted knapweed on K. macrantha were weak; instead native functional group richness strongly affected K. macrantha leaf C:N ratio, delta C-13, and specific leaf area, but not leaf dry matter content. Leaf traits for both species changed in response to spotted knapweed or functional richness, and in a manner that may promote slower biomass accumulation and efficient conservation of resources. Taken together, our results show that an invader can alter native plant physiology, but that these effects are not a simple function of how many invaders exist in the community.</t>
  </si>
  <si>
    <t>10.1890/07-0716.1</t>
  </si>
  <si>
    <t>WOS:000256101200017</t>
  </si>
  <si>
    <t>["Centaurea stoebe"]</t>
  </si>
  <si>
    <t>Arbuscular mycorrhizal fungi enhance spotted knapweed growth across a riparian chronosequence</t>
  </si>
  <si>
    <t>Arbuscular mycorrhizal fungi (AMF) mediate nutrient uptake that accelerates plant growth and reproduction. Thus, AMF may promote plant invasions often observed along rivers. We assessed the importance of AMF in improving growth of the invasive species, spotted knapweed (Centaurea stoebe), during succession of riparian vegetation along a flood plain in Montana, USA. We grew spotted knapweed with and without AMF in soils collected from riparian sites ranging from 1 to 72 years old and measured the plant's growth response to AMF. We observed variability in relative effects of AMF, with greatest growth benefits in recently deposited alluvial sediments. We then separated effects of soil and inoculum source by growing spotted knapweed with soils and inocula collected from young or old sites and found that growth responses were greatest in young soils regardless of inoculum source. Our results demonstrate that AMF directly benefit growth of spotted knapweed, especially in soils that typify early successional sites on this alluvial flood plain.</t>
  </si>
  <si>
    <t>10.1007/s10530-009-9559-4</t>
  </si>
  <si>
    <t>WOS:000277410800007</t>
  </si>
  <si>
    <t>Factors influencing the distribution of large mammals within a protected central African forest</t>
  </si>
  <si>
    <t>This paper presents the analyses of data obtained from eight permanent 20 km transects to determine the relative effect of local human populations and ecological factors on the distribution of large mammals within the Dzanga sector of the Dzanga-Ndoki National Park and the adjacent area of the Dzanga-Sangha Dense Forest Special Reserve in south-west Central African Republic. Principal component analysis indicated that human activities significantly influence the distribution of large mammals, even within this protected area. Distance from the village and the main road as well as the distance from secondary roads appeared to have the greatest influence. Elephants in particular were significantly less common in areas related to human use. Our study showed that poachers use roads, both primary and secondary, to penetrate into the National Park. Thus increasing anti-poaching efforts along these roads could be an effective protection measure.</t>
  </si>
  <si>
    <t>10.1017/S0030605305001080</t>
  </si>
  <si>
    <t>WOS:000234153500009</t>
  </si>
  <si>
    <t>["Cetartiodactyla", "Primates", "Proboscidea"]</t>
  </si>
  <si>
    <t>["Cephalophus", "Cercocebus", "Cercopithecus", "Gorilla", "Lophocebus", "Loxodonta", "Pan", "Philantomba"]</t>
  </si>
  <si>
    <t>["Cephalophus callipygus, C. dorsalis, C. leucogaster and C. nigrifrons", "Cercocebus agilis", "Cercopithecus cephus", "Cercopithecus nictitans", "Cercopithecus pogonias", "Gorilla gorilla", "Lophocebus albigena", "Loxodonta africana", "Pan troglodytes", "Philantomba monticola"]</t>
  </si>
  <si>
    <t>Relative densities of mammals in response to different levels of bushmeat hunting in the Udzungwa Mountains, Tanzania.</t>
  </si>
  <si>
    <t>Bushmeat hunting constitutes the most immediate threat to wildlife populations in the Udzungwa Mountains of the Eastern Afromontane biodiversity hotspot. This study assesses the impact of hunting by comparing densities of mammalian species between the little hunted West Kilombero Scarp Forest Reserve (WKSFR), the medium-hunted Udzungwa Scarp Forest Reserve (USFR) and the intensively hunted New Dabaga Ulongambi Forest Reserve (NDUFR). Of the 22 species recorded, 20 were present in WKSFR, 17 in USFR and 12 in NDUFR. Most large species (&gt;40 kg.) were absent from hunted areas, while medium-sized species were reduced more than smaller species. Few traces of Abbott's duiker were observed in hunted areas and bush pig was reduced by more than 85% in hunted areas. Hunting appears to have little effect on relative abundance of primates, blue duiker, Harvey's duiker, aardvark, eastern tree hyrax, and giant pouched rat in USFR, at least for those areas surveyed. In NDUFR relative abundance of most mammals are reduced compared to the less hunted reserves. The exception is red colobus which were no less abundant than USFR. However in NDUFR, transects were placed in the best quality habitat for these habitat-sensitive monkeys, thus emphasising the additional role of habitat degradation. The effect of hunting appears to be proportional to the size of the species and the intensity of hunting, although effects of life history strategy, forest fragment size, isolation, and previous logging cannot be excluded. Reduction of hunting levels are paramount to the survival of large bodied species in USFR and for the continued presence of most species in NDUFR. This study furthermore constitutes an important baseline for monitoring the effect of current efforts to implement joint forest management in the Udzungwa Mountains.</t>
  </si>
  <si>
    <t>10.1177/194008290900200108</t>
  </si>
  <si>
    <t>WOS:000208241500007</t>
  </si>
  <si>
    <t>["Cetartiodactyla", "Primates", "Rodentia", "Proboscidea", "Tubulidentata"]</t>
  </si>
  <si>
    <t>["Cephalophus", "Cercopithecus", "Colobus", "Cricetomys", "Loxodonta", "Orycteropus", "Philantomba", "Potamochoerus", "Piliocolobus", "Syncerus"]</t>
  </si>
  <si>
    <t>["Cephalophus harveyi", "Cephalophus spadix", "Cercopithecus mitis", "Colobus angolensis", "Cricetomys gambianus", "Loxodonta africana", "Orycteropus afer", "Philantomba monticola, Neotragus moschatus", "Potamochoerus larvatus", "Procolobus gordonorum", "Syncerus caffer"]</t>
  </si>
  <si>
    <t>Primate and ungulate abundance in response to multi-use zoning and human extractive activities in a Central African Reserve</t>
  </si>
  <si>
    <t>This study examines the abundance of key mammal species at the Dzanga-Sangha Reserve (RDS) in the Central African Republic with respect to conservation zoning and human activities in the reserve. RDS has been funded as an integrated conservation and development project since the mid-1980s. This study illustrates distinct wildlife responses to logging and hunting in RDS sectors that vary in protection and enforcement levels and the erosion of some critical animal communities across the RDS in the face of challenges of increasing human populations and flows of arms and ammunitions there. Our results show elephants (Loxodonta africana cyclotis) to be appreciably absent close to human settlements, and increasingly vulnerable to hunting in the more integrally protected sectors far from town. We have found that duikers (Cephalophus sp.) and western lowland gorillas (Gorilla g. gorilla) make use of recently logged areas but are vulnerable to hunting there. These species are now most abundant farthest from human settlements. Our results have implications for the formulation of adaptive management plans that would benefit from the inclusion of nuanced understandings of site-specific and species-specific responses to microhabitats and the particular kinds of human extractive activities and challenges in the region.Resume Cette etude examine l'abondance d'especes cles de mammiferes dans la Reserve de Dzanga-Sangha (RDS), en Republique centrafricaine, en fonction du zonage de la conservation et des activites humaines dans la reserve. La RDS est financee comme un projet de conservation et de developpement integre (PCDI) depuis le milieu des annees 1980. Cette etude illustre diverses reponses de la faune sauvage aux coupes d'arbres et a la chasse dans des secteurs de la RDS ou le niveau de protection et de maintien de la loi varie, ainsi que l'erosion de certaines communautes animales critiques dans toute la RDS face aux defis que representent l'augmentation des populations humaines et l'afflux d'armes et de munitions. Nos resultats montrent que l'elephant (Loxodonta africana cyclotis) est significativement absent a proximite des installations humaines, et de plus en plus vulnerable a la chasse dans les secteurs mieux proteges loin des localites. Nous avons decouvert que les cephalophes (Cephalophus sp.) et les gorilles des plaines de l'Ouest (Gorilla g. gorilla) frequentent les zones fraichement exploitees mais qu'ils y sont vulnerables a la chasse. Ces especes sont desormais plus abondantes loin des installations humaines. Nos resultats ont des implications pour la conception de plans de gestion adaptative, qui auraient tout a gagner a inclure apprehension nuancee des reponses specifiques des especes et des sites aux conditions de microhabitats et aux types particuliers d'activites extractives humaines et de defis dans la region.</t>
  </si>
  <si>
    <t>10.1111/j.1365-2028.2010.01229.x</t>
  </si>
  <si>
    <t>WOS:000287094000009</t>
  </si>
  <si>
    <t>["Cephalophus", "Cercopithecus", "Gorilla", "Lophocebus", "Loxodonta", "Pan", "Philantomba", "Tragelaphus"]</t>
  </si>
  <si>
    <t>["Cephalophus callipygus, C. dorsalis, C. leucogaster and C. nigrifrons", "Cephalophus silvicultor", "Cercopithecus nictitans", "Gorilla gorilla", "Lophocebus albigena", "Loxodonta africana", "Pan troglodytes", "Philantomba monticola", "Tragelaphus eurycerus"]</t>
  </si>
  <si>
    <t>Mammal distribution in a Central African logging concession area</t>
  </si>
  <si>
    <t>We used data collected during a routine forest inventory to prepare a management plan for a logging concession in Gabon to identify the biophysical and human factors that better explain the distribution of mammal species within the logged-over landscape. Results of a Multiple Correspondence Analysis show that the distribution of mammals within the forest concession is more influenced by roads and hunting than by the direct effects of logging. The structure of the canopy and that of the understorey are also important factors explaining the distribution of mammals within the concession. Linear regressions and Spearman correlation tests were computed to assess the significance of the correlation between the probability of encounter for a particular species and the distance from main roads. Small diurnal monkeys were found far from the villages and between 3 and 10 km from the main roads. Elephants were equally found close or far from roads and do not seem to be affected by hunting activities. Red duikers and the yellow back duikers avoided hunted zones and were significantly more abundant far from roads. Other species like gorillas, chimpanzees or forest buffaloes show no negative relationship with distance to roads and were observed close to villages. We show also how using routinely collected data without research purposes, can be used to propose practical recommendations to managers to limit the negative impacts of logging activities within the concession.</t>
  </si>
  <si>
    <t>10.1007/s10531-007-9300-5</t>
  </si>
  <si>
    <t>WOS:000255998100017</t>
  </si>
  <si>
    <t>["Cephalophus", "Cercopithecus", "Loxodonta", "Philantomba"]</t>
  </si>
  <si>
    <t>["Cephalophus callipygus, C. dorsalis, C. leucogaster, C. nigrifrons and C. ogilbyi", "Cephalophus silvicultor", "Cercopithecus cephus, C. nictitans, C. pogonias and Lophocebus albigena", "Loxodonta africana", "Philantomba monticola"]</t>
  </si>
  <si>
    <t>Importance, cause and effect of bushmeat hunting in the Udzungwa Mountains, Tanzania: Implications for community based wildlife management</t>
  </si>
  <si>
    <t>Community Based Wildlife Management (CBWM) has been suggested as a conservation strategy in response to bushmeat hunting in the Udzungwa Mountains within the Eastern Afromontane biodiversity hotspot. The feasibility of CBWM based on meat cropping was therefore evaluated in New Dabaga/Ulangambi Forest Reserve (NDUFR). Comparison of relative wildlife densities with West Kilombero Scarp Forest Reserve, which is subject to only low hunting pressure, indicate that most relevant populations are severely depleted (Cephalophus monticola, C. harueyi and C. spadix, Potamochoerus larvatus) and hence that sustainable harvesting currently is not possible in NDUFR. Records of catch from hunters in the villages surrounding NDUFR indicate that bushmeat is of relatively low importance in terms of use and contribution to protein intake. Proximity to NDUFR and secondarily population size in the different villages is positively correlated with hunting intensity and depletion of wildlife. Comparisons between hunters and non-hunters in terms of wealth measures show that hunting is linked to poverty and low protein intake. An estimation of maximum sustainable harvest in NDUFR reveals that CBWM only has limited capacity to reduce these causes of hunting, maintain the communities' interest and offset the opportunity costs of conservation. Results of this study suggest that conservation efforts in NDUFR should focus on protecting wildlife against exploitation instead of encouraging use and dependence through CBWM. Supporting efforts should attempt to facilitate a complete shift to domestic sources of meat, by increasing the number of domestic animals in the poorest part of the population. (c) 2005 Elsevier Ltd. All rights reserved.</t>
  </si>
  <si>
    <t>10.1016/j.biocon.2005.10.017</t>
  </si>
  <si>
    <t>WOS:000236100800009</t>
  </si>
  <si>
    <t>["Cetartiodactyla", "Rodentia"]</t>
  </si>
  <si>
    <t>["Cephalophus", "Cricetomys", "Philantomba"]</t>
  </si>
  <si>
    <t>["Cephalophus harveyi", "Cricetomys gambianus", "Philantomba monticola"]</t>
  </si>
  <si>
    <t>Impacts of roads and hunting on central African rainforest mammals</t>
  </si>
  <si>
    <t>Road expansion and associated increases in hunting pressure are a rapidly growing threat to African tropical wildlife. In the rainforests of southern Gabon, we compared abundances of larger (&gt; 1 kg) mammal species at varying distances from forest roads and between hunted and unhunted treatments (comparing a 130-km(2) oil concession that was almost entirely protected from hunting with nearby areas outside the concession that had moderate hunting pressure). At each of 12 study sites that were evenly divided between hunted and unhunted areas, we established standardized 1-km transects at five distances (50, 300, 600, 900, and 1200 m) from an unpaved road, and then repeatedly surveyed mammals during the 2004 dry and wet seasons. Hunting had the greatest impact on duikers (Cephalophus spp.), forest buffalo (Syncerus caffer nanus), and red river bogs (Potamochoerus porcus), which declined in abundance outside the oil concession, and lesser effects on lowland gorillas (Gorilla gorilla gorilla) and carnivores. Roads depressed abundances of duikers, sitatungas (Tragelaphus spekei gratus), and forest elephants (Loxondonta africana cyclotis), with avoidance of roads being stronger outside than inside the concession. Five monkey species showed little response to roads or hunting, whereas some rodents and pangolins increased in abundance outside the concession, possibly in response to greater forest disturbance. Our findings suggest that even moderate hunting pressure can markedly alter the structure of mammal communities in central Africa. Roads had the greatest impacts on large and small ungulates, with the magnitude of road avoidance increasing with local bunting pressure.</t>
  </si>
  <si>
    <t>10.1111/j.1523-1739.2006.00420.x</t>
  </si>
  <si>
    <t>WOS:000239545500036</t>
  </si>
  <si>
    <t>["Cetartiodactyla", "Proboscidea"]</t>
  </si>
  <si>
    <t>["Cephalophus", "Loxodonta"]</t>
  </si>
  <si>
    <t>["Cephalophus callipygus, C. dorsalis, C. leucogaster, C. nigrifrons and C. ogilbyi", "Loxodonta africana"]</t>
  </si>
  <si>
    <t>The use of camera-trap data to model habitat use by antelope species in the Udzungwa Mountain forests, Tanzania</t>
  </si>
  <si>
    <t>The ecology of many species of duiker, and other African forest antelope, is poorly known and yet knowledge of the factors determining their distribution and abundance is critical to the conservation of this increasingly threatened group. Camera-trapping was used to investigate forest antelope ecology in the biologically diverse Udzungwa Mountains, Tanzania. The relationship between camera-trapping rates and vegetation (and other habitat variables) was investigated using generalized linear modelling. Over 630 photographs of antelope were obtained, with Harvey's duiker being the most recorded species. The camera-trap rate of Harvey's duiker was positively related to the species diversity of small plant stems and negatively related to an index of visibility, while that of suni antelope was negatively related to the percentage ground cover of leaf-litter. The camera-trap rate of Harvey's duiker was also negatively related to distance to the nearest village, as predicted for a species targeted for subsistence hunting. Camera-traps also recorded bushbuck and the threatened Tanzanian endemic Abbott's duiker, but there were insufficient captures to model habitat use for these species. Results of this study illustrate the potential of camera-trapping for modelling habitat requirements and providing guidelines for the conservation management of threatened antelope populations in forest habitats.</t>
  </si>
  <si>
    <t>10.1111/j.1365-2028.2007.00881.x</t>
  </si>
  <si>
    <t>WOS:000261243500004</t>
  </si>
  <si>
    <t>["Cephalophus", "Neotragus"]</t>
  </si>
  <si>
    <t>["Cephalophus harveyi", "Cephalophus spadix", "Neotragus moschatus"]</t>
  </si>
  <si>
    <t>Bushmeat hunting changes regeneration of African rainforests</t>
  </si>
  <si>
    <t>To assess ecological consequences of bushmeat hunting in African lowland rainforests, we compared paired sites, with high and low hunting pressure, in three areas of southeastern Nigeria. In hunted sites, populations of important seed dispersers-both small and large primates (including the Cross River gorilla, Gorilla gorilla diehli)-were drastically reduced. Large rodents were more abundant in hunted sites, even though they are hunted. Hunted and protected sites had similar mature tree communities dominated by primate-dispersed species. In protected sites, seedling communities were similar in composition to the mature trees, but in hunted sites species with other dispersal modes dominated among seedlings. Seedlings emerging 1 year after clearing of all vegetation in experimental plots showed a similar pattern to the standing seedlings. This study thus verifies the transforming effects of bushmeat hunting on plant communities of tropical forests and is one of the first studies to do so for the African continent.</t>
  </si>
  <si>
    <t>10.1098/rspb.2013.0246</t>
  </si>
  <si>
    <t>WOS:000317482100017</t>
  </si>
  <si>
    <t>["Cephalophus", "Philantomba"]</t>
  </si>
  <si>
    <t>["Cephalophus callipygus", "Cephalophus dorsalis", "Cephalophus leucogaster", "Cephalophus nigrifons", "Cephalophus silvicultor", "Philantomba monticola"]</t>
  </si>
  <si>
    <t>The influence of forest variation and possible effects of poaching on duiker abundance at Ngogo, Kibale National Park, Uganda</t>
  </si>
  <si>
    <t>Duikers were censused at the Ngogo study area, Kibale National Park, Uganda, between July 2002 and August 2004. Censuses were conducted along three transects, of which, two (colonizing forests 1 and 2) were located in colonizing forests naturally replacing anthropogenic grasslands and one in old growth forest. Colonizing forest 1 was more prone to poaching than both colonizing forest 2 and the old growth forest that were closest to the research camp. Duikers that were actually sighted were identified to species, red or blue. However, on some occasions, duikers were detected by alarm calls and/or movements as they fled; these were simply recorded as duikers. Duiker abundance, regardless of species or mode of detection, was higher in colonizing forest 2 than colonizing forest 1 and the old growth forest. However, when the analysis was restricted only to duikers that were sighted, and hence identified to species, red duiker abundance was highest in colonizing forest 2 followed by the old growth forest and was lowest in colonizing forest 1; all these differences were significant. Blue duiker abundance was lowest in the old growth forest despite its proximity to the research camp; however, this was only significantly lower than in colonizing forest 2. Apart from colonizing forest 1, red duikers were significantly more abundant than blue duikers in the other two forest sections. This study suggests that forests colonizing anthropogenic grasslands may support more duikers than old growth forests; poaching in colonizing forest 1 has a severe impact on the duiker population and, red duikers are affected more severely by poaching than blue duikers.</t>
  </si>
  <si>
    <t>10.1111/j.1365-2028.2006.00629.x</t>
  </si>
  <si>
    <t>WOS:000237691500011</t>
  </si>
  <si>
    <t>["Cephalophus weynsi", "Philantomba monticola"]</t>
  </si>
  <si>
    <t>Ancestral populations perform better in a novel environment: domestication of Mediterranean fruit fly populations from five global regions</t>
  </si>
  <si>
    <t>Geographically isolated populations of a species may differ in several aspects of life history, morphology, behaviour and genetic structure as a result of adaptation in ecologically diverse habitats. We used a global invasive species, the Mediterranean fruit fly (medfly), to investigate whether adaptation to a novel environment differs among geographically isolated populations that vary in major life history components, such as life span and reproduction. We used wild populations from five global regions (Kenya, Hawaii, Guatemala, Portugal and Greece). Adult demographic traits were monitored in the F-2, F-5, F-7 and F-9 generations in captivity. Although domestication in constant laboratory conditions had a different effect on the mortality and reproductive rates of the different populations, a general trend of decreasing life span and age of first reproduction was observed for most medfly populations tested. However, taking into account the longevity of both sexes, age-specific reproductive schedules and average reproductive rates, we found that the ancestral Kenyan population kept the above life history traits stable during domestication compared with the other populations tested. These findings provide important insights into the life history evolution of this model species, and suggest that ancestral medfly populations perform better than the derived, invasive ones in a novel environment. (C) 2011 The Linnean Society of London, Biological Journal of the Linnean Society, 2011, 102, 334-345.</t>
  </si>
  <si>
    <t>10.1111/j.1095-8312.2010.01579.x</t>
  </si>
  <si>
    <t>WOS:000286225000008</t>
  </si>
  <si>
    <t>["Diptera"]</t>
  </si>
  <si>
    <t>["Ceratitis"]</t>
  </si>
  <si>
    <t>["Ceratitis capitata"]</t>
  </si>
  <si>
    <t>Hunting or habitat degradation? Decline of primate populations in Udzungwa Mountains, Tanzania: An analysis of threats</t>
  </si>
  <si>
    <t>Hunting and habitat degradation are universal threats to primates across the tropics, thus deciphering the relative impact of threats on population relative abundance is critical to predicting extinction risk and providing conservation recommendations. We studied diurnal primates over a period of nearly 6 years in the Udzungwa Mountains of Tanzania, a site of global importance for primate conservation. We assessed how population relative abundance of five species (of which two are endemic and IUCN-Endangered) differed between two forest blocks that are similar in size and habitat types but contrast strongly in protection level, and how abundance changed during 2004-2009. We also measured habitat and disturbance parameters and, in the unprotected forest, evaluated hunting practices. We found significant differences in primates' abundance between protected and unprotected forests, with the greater contrast being the lower abundance of colobine monkeys (Udzungwa red colobus and Angolan colobus) in the unprotected forest. At this site moreover, colobines declined to near-extinction over the study period. In contrast, two cercopithecines (Sanje mangabey and Sykes' monkey) showed slightly higher abundance in the unprotected forest and did not decline significantly. We argue that escalating hunting in the unprotected forest has specifically impacted the canopy-dwelling colobus monkeys, although habitat degradation may also have reduced their abundance. In contrast, cercopithecines did not seem affected by the current hunting, and their greater ecological adaptability may explain the relatively higher abundance in the unprotected forest. We provide recommendations towards the long-term protection of the area. (C) 2011 Elsevier Ltd. All rights reserved.</t>
  </si>
  <si>
    <t>10.1016/j.biocon.2011.09.017</t>
  </si>
  <si>
    <t>WOS:000301814300010</t>
  </si>
  <si>
    <t>["Cercocebus", "Cercopithecus", "Colobus", "Papio", "Piliocolobus"]</t>
  </si>
  <si>
    <t>["Cercocebus sanjei", "Cercopithecus mitis", "Colobus angolensis", "Papio cynocephalus", "Procolobus gordonorum"]</t>
  </si>
  <si>
    <t>Differential impact of bushmeat hunting on monkey species and implications for primate conservation in Korup National Park, Cameroon</t>
  </si>
  <si>
    <t>Bushmeat hunting is one of the primary threats to many large-bodied vertebrate species in African forests. However, species vary in their degree of vulnerability to hunting. We investigated the impact of hunting on monkey species in Cameroon's Korup National Park (KNP) and examined how vulnerability to hunting varies among species. Data on primate abundance and hunting intensity were collected along 10 line transects, distributed across three survey areas in KNP. We assessed how the relative abundance of seven monkey species spatially varied between heavily and lightly hunted areas and evaluated temporal changes in the relative abundance and proportional representation of these species at a single hunted forest site and in bushmeat harvests. The putty-nosed and mona monkeys are most tolerant to heavy hunting pressure whereas the crowned monkey, drill, and red colobus are among the most vulnerable. At our heavily hunted survey site, the overall relative density of monkey groups increased through time but primate species richness declined. The proportional representation of Cercopithecus species, especially putty-nosed monkeys, increased through time, possibly due to competitive release. We also observed an increase in the proportional representation of the putty-nosed and mona monkeys and a reduced percent contribution of the red colobus and drill in hunter harvests. We conclude that hunting is driving some of Africa's most threatened primate species (e.g.. Preuss's red colobus and the drill) to local extinction in KNP. We discuss intrinsic factors of species that might influence their degree of vulnerability and strategies to improve protection efforts in KNP. (C) 2010 Elsevier Ltd. All rights reserved.</t>
  </si>
  <si>
    <t>10.1016/j.biocon.2010.10.023</t>
  </si>
  <si>
    <t>WOS:000287897100013</t>
  </si>
  <si>
    <t>["Cercocebus", "Cercopithecus", "Mandrillus", "Piliocolobus"]</t>
  </si>
  <si>
    <t>["Cercocebus torquatus", "Cercopithecus erythrotis", "Cercopithecus mona", "Cercopithecus nictitans", "Cercopithecus pogonias", "Mandrillus leucophaeus", "Procolobus pennantii"]</t>
  </si>
  <si>
    <t>Hunting of mammals reduces seed removal and dispersal of the afrotropical tree Antrocaryon klaineanum (Anacardiaceae)</t>
  </si>
  <si>
    <t>Throughout the tropics, mammalian seed dispersers are being driven to local extinction by intense hunting pressure, generating concern not only about the loss of these species, but also about the consequences for the plants they disperse. We compared two rain forest sites in Cameroon-one with heavy hunting pressure and one protected from hunting-to appraise the loss of mammalian seed dispersers and to assess the impact of this loss on seed removal and seed dispersal of Antrocaryon klaineanum (Anacardiaceae), a mammal-dispersed tree. Surveys of arboreal frugivores indicate that three of the five monkey species, as well as chimpanzee and gorilla, have been extirpated from the hunted forest. Diaspore counts underneath A. klaineanum adults (six trees per site) indicate that seed removal is severely reduced in the hunted forest. Finally, genetic maternity exclusion analysis (using 3-7 nuclear microsatellite loci) of maternally inherited endocarp tissue from diaspores collected under the canopies of 12 fruiting mother trees (six trees per site) revealed that seed dispersal in the hunted forest is also greatly reduced. In the hunted forest with reduced mammal dispersal agents, only 1 of the 53 assayed endocarps (2%) did not match the mother and was determined to be from a dispersed diaspore. By contrast, in the protected forest, 20 of the 48 assayed endocarps (42%) were from dispersed diaspores. This study provides strong evidence that loss of dispersal agents can lead to reduced seed removal and loss of seed dispersal, disrupting the seed dispersal cycle.</t>
  </si>
  <si>
    <t>10.1111/j.1744-7429.2007.00275.x</t>
  </si>
  <si>
    <t>WOS:000245939300006</t>
  </si>
  <si>
    <t>["Cercopithecus", "Colobus", "Lophocebus", "Pan"]</t>
  </si>
  <si>
    <t>["Cercopithecus cephus", "Cercopithecus nictitans", "Cercopithecus pogonias", "Colobus guereza", "Lophocebus albigena", "Pan troglodytes"]</t>
  </si>
  <si>
    <t>Monkey abundance and social structure in two high-elevation forest reserves in the Udzungwa Mountains of Tanzania</t>
  </si>
  <si>
    <t>The effects of human activity on population and social structure are a pantropical concern for primate conservation. We compare census data and social group counts from two forests in the Udzungwa Mountains, Tanzania. The main aim is to relate differences within and between the forests to current theory on the effect of human disturbance on primate abundance and group size. The survey reveals the presence of the restricted-range red colobus, Procolobus gordonorum, in New Dabaga/Ulangambi Forest Reserve (NDUFR). The primate community of NDUFR is impoverished compared to that in Ndundulu forest. Red colobus and black-and-white colobus (Colobus angolensis palliatus) abundance and group size are lowest in NDUFR. Fission-fusion of red colobus social groups may be occurring in previously logged areas of both forests. Our observations are consistent with current theory on the effect of habitat degradation and hunting on primates, but the relative effects of the 2 factors could not be differentiated. We pooled the results with previous data to show that abundance of red colobus in the Udzungwa Mountains is lowest at high elevations. Low red colobus group sizes appear to be related to human activity rather than elevation. Black-and-white colobus and Sykes monkeys ( Cercopithecus mitis) show no relationship with elevation. Future studies will require more detailed information on vegetation, diet and ranging patterns to interpret fully intraspecific variation in population demography and social structure in the Udzungwa Mountains.</t>
  </si>
  <si>
    <t>10.1007/s10764-005-0011-z</t>
  </si>
  <si>
    <t>WOS:000227362900006</t>
  </si>
  <si>
    <t>["Cercopithecus", "Colobus", "Piliocolobus"]</t>
  </si>
  <si>
    <t>["Cercopithecus mitis", "Colobus angolensis", "Procolobus gordonorum"]</t>
  </si>
  <si>
    <t>Impact of gun-hunting on diurnal primates in continental Equatorial Guinea</t>
  </si>
  <si>
    <t>Bushmeat hunting is threatening wildlife populations across west-central Africa, and now poses a greater threat to primates than habitat loss or degradation does in some areas. However, species vary in their abilities to withstand hunting, either because hunters target them differentially or they vary in their vulnerability to a given level of hunting. We studied the impact of current levels of gun-hunting on diurnal primate species in the little-studied Monte Mitra area of Monte Alen National Park, continental Equatorial Guinea. Most bushmeat is currently trapped, but gun-hunting is increasing as shotguns become more available and affordable, allowing targeting of arboreal as well as terrestrial prey. We collected data over 15-mo, via hunter interviews, gun-hunter follows, an offtake survey recording 9374 individuals, and primate surveys covering 408 km of line transects in 2 sites with differing gun-hunting histories. Inside the park, where gun-hunting pressure was recent and light, we found high primate diversity, density, and biomass, with black colobus (Colobus satanas) particularly abundant at 57 individuals/km(2). However, around the village, where gun-hunting was longer-established, though other species such as the guenons still persisted (albeit at lower densities), Colobus satanas were virtually absent. Being slow and large-bodied, Colobus satanas are preferred and susceptible prey, and an early indicator of overhunting. Monte Alen National Park is currently an important stronghold for primates, particularly Colobus satanas, but regulation of the trade and enforcement of hunting bans in the park are urgently needed to safeguard their future and that of other vulnerable species.</t>
  </si>
  <si>
    <t>10.1007/s10764-008-9254-9</t>
  </si>
  <si>
    <t>WOS:000258959800015</t>
  </si>
  <si>
    <t>["Cercopithecus", "Colobus"]</t>
  </si>
  <si>
    <t>["Cercopithecus cephus", "Cercopithecus nictitans", "Cercopithecus pogonias", "Colobus satanas"]</t>
  </si>
  <si>
    <t>A method for censusing the greater white-nosed monkey in northeastern Gabon using the population density gradient in relation to roads</t>
  </si>
  <si>
    <t>This paper-presents a method for estimating monkey numbers in a large area of forest where there is a gradient of monkey densities. The method is illustrated using data collected in the northeastern forests of Gabon during an earlier project. These forests:are sparsely populated and there are few roads. The density of Cercopithecus nictitans increases with distance from the nearest road. A geographic information system (GIS) divided the forest into bands of increasing distance from the nearest road. The number of monkeys in each band is the product of the monkey density in that band and the area of the band. Summing across bands gives the population estimate; the standard error can be estimated by bootstrapping. The optimum sample size can be estimated by simulation. Combining estimates of the density-gradient with a GIS is a cost-effective method of censusing primates in extensive forests.</t>
  </si>
  <si>
    <t>10.1017/S0266467498000443</t>
  </si>
  <si>
    <t>WOS:000077020100005</t>
  </si>
  <si>
    <t>["Cercopithecus"]</t>
  </si>
  <si>
    <t>["Cercopithecus nictitans"]</t>
  </si>
  <si>
    <t>Alien plant threatens Nile crocodile (Crocodylus niloticus) breeding in Lake St. Lucia, South Africa.</t>
  </si>
  <si>
    <t>We observed that the majority of Lake St. Lucia's nesting Nile crocodiles (Crocodylus niloticus) selected open, sunny, sandy areas in which to deposit their eggs. Nests were only found in shaded sites in the Mpate River breeding area and these nests were shaded primarily by an alien plant Chromolaena odorata. Soil temperatures of shaded sites at 25-cm depth, were on average 5.0-6.0 degreesC cooler than in sunny sites at the same depth. They were well below the pivotal temperature for nests of St. Lucia's Nile crocodiles, i.e. they probably produced a female-biased sex ratio, and may have prevented embryonic development altogether. Many females abandoned nesting sites when they encountered the fibrous root mats of Chromolaena odorata while digging egg chambers. When additional nesting sites were experimentally created, the percent of sites utilized increased, indicating that suitable nesting sites were in short supply. This alien plant is posing a very serious threat to the continued survival of the Nile crocodile in Greater St. Lucia Wetland Park, and unless immediate action is taken, a female-biased sex ratio will result in eventual extirpation of the species from this recently acclaimed Word Heritage Site. (C) 2001 Elsevier Science Ltd. All rights reserved.</t>
  </si>
  <si>
    <t>10.1016/S0006-3207(00)00177-4</t>
  </si>
  <si>
    <t>WOS:000167608300010</t>
  </si>
  <si>
    <t>["Chromolaena"]</t>
  </si>
  <si>
    <t>["Chromolaena odorata"]</t>
  </si>
  <si>
    <t>Artificial marine structures facilitate the spread of a non-indigenous green alga, Codium fragile ssp tomentosoides, in the north Adriatic Sea</t>
  </si>
  <si>
    <t>1. Artificial structures have become ubiquitous features of coastal landscapes. Although they provide novel habitats for the colonization of marine organisms, their role in facilitating biological invasions has been largely unexplored. 2. We investigated the distribution and dynamics of the introduced green alga, Codium fragile ssp. tomentosoides, at a variety of spatial scales on breakwaters in the north Adriatic Sea, and analysed experimentally the mechanisms underlying its establishment. We assessed the provision of sheltered habitats by breakwaters, the role of disturbance (e.g. from recreational harvesting and storms) acting at different times of the year, and the interactions between Codium and the dominant native space-occupier, the mussel Mytilus galloprovincialis. 3. Codium fragile ssp. tomentosoides has established viable populations on artificial structures along the shores investigated. The density, cover and size (length, branching and weight) of annual erect thalli of Codium was enhanced in sheltered conditions, resulting in the monopolization of landward low-shore habitats of breakwaters. 4. On the landward sides of breakwaters, disturbance enhanced recruitment of Codium. The time when bare space was provided within mussels beds was crucial. Removal of mussels in April or January did not affect the recruitment of Codium, whereas harvest in August, shortly before Codium gamete release, doubled its success. On the seaward sides of breakwaters, the effects of disturbance were more complex because mussels both inhibited recruitment of Codium and provided shelter from wave action to adult thalli. 5. Synthesis and applications. Artificial structures can provide suitable habitats for non-indigenous marine species and function as corridors for their expansion. Physical (wave exposure) and biotic (resident assemblages) features of artificial habitats can be important determinants of their susceptibility to biological invasions. Alternative options in the design of artificial structures and effective management of native assemblages could minimize their role in biological invasions. In particular, increased water motion and retention of space by mussels in spring-summer would be effective in reducing the ability of C. fragile ssp. tomentosoides to persist on the breakwaters investigated in this study.</t>
  </si>
  <si>
    <t>10.1111/j.1365-2664.2005.01096.x</t>
  </si>
  <si>
    <t>WOS:000233515200007</t>
  </si>
  <si>
    <t>["Chlorophyta"]</t>
  </si>
  <si>
    <t>["Ulvophyceae"]</t>
  </si>
  <si>
    <t>["Bryopsidales"]</t>
  </si>
  <si>
    <t>["Codium"]</t>
  </si>
  <si>
    <t>["Codium fragile ssp. tomentosoides"]</t>
  </si>
  <si>
    <t>Anti-grazing activity and seasonal variation of dimethylsulfoniopropionate-associated compounds in the invasive alga Codium fragile ssp tomentosoides</t>
  </si>
  <si>
    <t>In this study, we present evidence that the invasive alga Codium fragile ssp. tomentosoides is chemically defended against grazing by a wound-activated chemical defense involving dimethylsulfoniopropionate (DMSP) and the products of its cleavage, dimethylsulfide (DMS), and acrylic acid (AA). DMSP in C. fragile ssp. tomentosoides was present throughout the year, but concentrations varied seasonally and were highest in the winter. Intra-thallus variation was neither large, nor consistent over time. High DMSP concentrations were uncommon among northwestern Atlantic macrophytes. Of 26 other species tested, only two, Ulva lactuca and Polysiphonia harveyi contained concentrations comparable to, or higher than, those of C. fragile ssp. tomentosoides. DMS and AA, both individually and together, deterred grazing by the green sea urchin Strongylocentrotus droebachiensis at natural concentrations. These results suggest that DMS and AA contribute to the avoidance of C. fragile ssp. tomentosoides by S. droebachiensis. As a result, the production of DMSP and its subsequent cleavage, upon injury, may reduce herbivory on C. fragile ssp. tomentosoides and contribute to its success.</t>
  </si>
  <si>
    <t>10.1007/s00227-007-0795-9</t>
  </si>
  <si>
    <t>WOS:000250980500007</t>
  </si>
  <si>
    <t>["Codium fragile"]</t>
  </si>
  <si>
    <t>Arthropod Assemblages on Native and Nonnative Plant Species of a Coastal Reserve in California</t>
  </si>
  <si>
    <t>Biological invasions by nonnative plant species are a widespread phenomenon. Many studies have shown strong ecological impacts of plant invasions on native plant communities and ecosystem processes. Far fewer studies have examined effects on associated animal communities. From the perspective of a reserve's land management, I addressed the question of whether arthropod assemblages on two nonnative plant species of concern were impoverished compared with those assemblages associated with two predominant native plant species of that reserve. If the nonnative plant species, Conium maculatum L., and Phalaris aquatica L., supported highly depauperate arthropod assemblages compared with the native plant species, Baccharis pilularis De Candolle and Lemma triticoides (Buckley) Pilger, this finding would provide additional support for prioritizing removal of nonnatives and restoration of natives. I assessed invertebrate assemblages at the taxonomic levels of arthropod orders, Coleoptera families, and Formicidae species, using univariate analyses to examine community attributes (richness and abundance) and multivariate techniques to assess arthropod assemblage community composition differences among plant species. Arthropod richness estimates by taxonomic level between native and nonnative vegetation showed varying results. Overall, arthropod richness of the selected nonnative plants, examined at higher taxonomic resolution, was not necessarily less diverse than two of common native plants found on the reserve, although differences were found among plant species. Impacts of certain nonnative plant species on arthropod assemblages may be more difficult to elucidate than those impacts shown on native plants and ecosystem processes.</t>
  </si>
  <si>
    <t>10.1603/EN09185</t>
  </si>
  <si>
    <t>WOS:000278319100003</t>
  </si>
  <si>
    <t>["Apiales", "Poales"]</t>
  </si>
  <si>
    <t>["Conium", "Phalaris"]</t>
  </si>
  <si>
    <t>["Conium maculatum", "Phalaris aquatica"]</t>
  </si>
  <si>
    <t>Architectural strategies of Cornus sericea, a native but invasive shrub of Southern Quebec, Canada, under an open or a closed canopy</t>
  </si>
  <si>
    <t>Qualitative and quantitative studies of the pattern of invasive plant development is considered a key aspect in understanding invasiveness. An architectural analysis was therefore performed in order to understand the relationship between shoot architecture and invasiveness in red-osier dogwood, Cornus sericea (Cornaceae). The structural and ontogenic characteristics of individuals in invading and non-invading populations in the native range of the species were compared to test the implication of developmental plasticity on invasiveness. The results show that the shrub has a modular architecture governed by strong developmental rules. Cornus sericea is made up of two levels of organization, each with its own intrinsic sequence of differentiation. These intrinsic mechanisms were used as a framework for comparison and it was found that, in response to the light environment, developmental plasticity was elevated, resulting in two architectural strategies. This developmental plasticity concerns the growth direction and the size of the modules, the speed of their time-course changes, their branching and flowering. Under an open canopy, C. sericea rapidly develops large vertical structures and abundant flowering. This strategy leads the plant to be invasive by excluding competitors and disseminating in the landscape. In the understorey, C. sericea slowly develops long horizontal structures which creep across the soil surface, while assimilating structures are poorly developed. This strategy does not lead to invasiveness but may allow the plant to survive in the understorey and reach sunny patches.</t>
  </si>
  <si>
    <t>10.1093/aob/mcp273</t>
  </si>
  <si>
    <t>WOS:000274347000014</t>
  </si>
  <si>
    <t>["Cornales"]</t>
  </si>
  <si>
    <t>["Cornus"]</t>
  </si>
  <si>
    <t>["Cornus sericea"]</t>
  </si>
  <si>
    <t>Large vertebrate responses to forest cover and hunting pressure in communal landholdings and protected areas of the Yucatan Peninsula, Mexico</t>
  </si>
  <si>
    <t>Although tropical forest vertebrate populations are often heavily impacted by both habitat loss and subsistence hunting, in many human-dominated landscapes their fate depends on the wider habitat matrix outside protected areas. This study used line-transect surveys to examine patterns of vertebrate species richness and encounter rates (ER) throughout Mexico's Yucatan Peninsula across a broad spectrum of anthropogenic forest disturbances. Censuses were carried out at eight forest sites, including two localities within the Sian Ka'an Biosphere Reserve, a communally managed protected area, a private forest reserve and three communal-tenure landholding units. Species richness increased with increasing forest cover in the surrounding landscape, but was not affected by the degree of hunting pressure. Responses to different forms of disturbance varied markedly across species and functional groups. Aggregate ER of old-growth specialists were positively correlated with forest cover, but unrelated to hunting pressure. Hunting pressure was strongly related to aggregate ER of game species, particularly of preferred prey, and a meta-analysis of species-specific correlations showed a significant effect of hunting pressure on the ER across individual game species. Sampling within old-growth forest of Sian Ka'an yielded relatively high ER for almost all species. In comparison, low ER were obtained for several species at Sian Ka'an sites consisting of a higher proportion of open habitat. Landholding units showed low relative abundances, but species ER varied depending on disturbance type. The communally managed reserve exhibited high ER for both game and non-game species. Synthesis of these results with comparable data from 19 additional Mesoamerican sites shows that species-specific ER found across the Yucatan Peninsula are within the ranges observed elsewhere, with a consistent pattern of lower abundances in hunted sites. It is critical that private, communal and public-sector reserves are integrated into a coordinated management approach across the wider landscape in this biodiversity hotspot and throughout the Mesoamerican Biological Corridor.</t>
  </si>
  <si>
    <t>10.1111/j.1469-1795.2010.00426.x</t>
  </si>
  <si>
    <t>WOS:000291040800011</t>
  </si>
  <si>
    <t>["Galliformes", "Tinamiformes", "Piciformes", "Rodentia", "Carnivores", "Cetartiodactyla", "Primates", "Pilosa"]</t>
  </si>
  <si>
    <t>["Crax", "Crypturellus", "Meleagris", "Ortalis", "Ramphastos", "Dasyprocta", "Eira", "Mazama", "Nasua", "Odocoileus", "Pecari", "Sciurus", "Tayassu", "Alouatta", "Ateles", "Tamandua"]</t>
  </si>
  <si>
    <t>["Crax rubra", "Crypturellus spp.", "Meleagris ocellata", "Ortalis vetula", "Ramphastos sulfuratus", "Dasyprocta punctata", "Eira barbara", "Mazama americana and M. pandora", "Nasua narica", "Odocoileus virginianus", "Pecari tajacu", "Sciurus spp", "Tayassu pecari", "Alouatta pigra", "Ateles geoffroyi", "Tamandua mexicana"]</t>
  </si>
  <si>
    <t>Hunting for Sustainability in Tropical Secondary Forests</t>
  </si>
  <si>
    <t>The interaction between land-use change and the sustainability of hunting is poorly understood but is critical for sustaining hunted vertebrate populations and a protein supply for the rural poor. We investigated sustainability of hunting in an Amazonian landscape mosaic, where a small human population had access to large areas of both primary and secondary forest. Harvestable production of mammals and birds was calculated from density estimates. We compared production with offtake from three villages and used catch-per-unit-effort as an independent measure of prey abundance. Most species were hunted unsustainably in primary forest, leading to local depletion of the largest primates and birds. The estimated sustainable supply of wild meat was higher for primary (39 kg center dot km(-2) center dot yr(-1)) than secondary forest (22 kg center dot km(-2) center dot yr(-1)) because four species were absent and three species at low abundance in secondary forests. Production of three disturbance-tolerant mammal species was 3 times higher in secondary than in primary forest, but hunting led to overexploitation of one species. Our data suggest that an average Amazonian smallholder would require &gt;= 3.1 km(2) of secondary regrowth to ensure a sustainable harvest of forest vertebrates. We conclude that secondary forests can sustainably provide only 2% of the required protein intake of Amazonian smallholders and are unlikely to be sufficient for sustainable hunting in other tropical forest regions.</t>
  </si>
  <si>
    <t>10.1111/j.1523-1739.2009.01224.x</t>
  </si>
  <si>
    <t>WOS:000269802200030</t>
  </si>
  <si>
    <t>["Galliformes", "Tinamiformes", "Gruiformes", "Primates", "Rodentia", "Cetartiodactyla"]</t>
  </si>
  <si>
    <t>["Crax", "Crypturellus", "Ortalis", "Penelope", "Psophia", "Tinamus", "Alouatta", "Ateles", "Dasyprocta", "Mazama", "Pecari", "Sapajus"]</t>
  </si>
  <si>
    <t>["Crax alector", "Crypturellus spp.", "Ortalis motmot", "Penelope marail", "Psophia crepitans", "Tinamus spp", "Alouatta macconnelli", "Ateles paniscus", "Dasyprocta leporina", "Mazama americana", "Mazama gouazoubira", "Pecari tajacu", "Sapajus apella"]</t>
  </si>
  <si>
    <t>Impact of game hunting by the Kayapo of south-eastern Amazonia: implications for wildlife conservation in tropical forest indigenous reserves</t>
  </si>
  <si>
    <t>Indigenous forest reserves represent approximately one fifth of Brazilian Amazonia and pose enormous challenges for sustainable natural resource management by native Amazonians. In collaboration with the Kayapo Indians of A'Ukre of southeastern Amazonia, we obtained a game harvest profile of over 1360 forest vertebrates consumed at this village over a 20-month period, including 743 mammals, 361 forest tortoises and 256 birds from a minimum of 42 game species. This amounted to a total of 13,775 kg of game animals harvested over the entire study (mean = 26.2 kg d(-1)supercript stop). We also obtained some 450 km of line transect census data of midsized to large-bodied vertebrates within the core hunting catchment of this village and in an unhunted but otherwise comparable site upriver of A'Ukre. Population density estimates of 16 of the 18 species censused were significantly depressed by hunting by central place foragers within the village catchment, and a number of harvest-sensitive prey species showed clear evidence of local depletion. For the time being, however, we can conclude that hunting was sustainable at the landscape scale largely because source-sink dynamics in the context of low village catchment density is made possible by large surrounding tracts of primary forest that remain unharvested or underharvested.</t>
  </si>
  <si>
    <t>10.1007/s10531-005-5406-9</t>
  </si>
  <si>
    <t>WOS:000241168900016</t>
  </si>
  <si>
    <t>["Galliformes", "Tinamiformes", "Gruiformes", "Primates", "Rodentia", "Cetartiodactyla", "Carnivores", "Cingulata", "Perissodactyla"]</t>
  </si>
  <si>
    <t>["Crax", "Crypturellus", "Penelope", "Pipile", "Psophia", "Tinamus", "Alouatta", "Chiropotes", "Cuniculus", "Dasyprocta", "Mazama", "Nasua", "Pecari", "Priodontes", "Sapajus", "Tapirus", "Tayassu"]</t>
  </si>
  <si>
    <t>["Crax fasciolata and Mitu tuberosum", "Crypturellus spp.", "Penelope pileata and P. superciliaris", "Pipile cujubi", "Psophia viridis", "Tinamus spp.", "Alouatta belzebul", "Chiropotes utahickae", "Cuniculus paca", "Dasyprocta leporina", "Mazama americana and M. gouazoubira", "Nasua nasua", "Pecari tajacu", "Priodontes maximus", "Sapajus apella", "Tapirus terrestris", "Tayassu pecari"]</t>
  </si>
  <si>
    <t>Assessing host specialization among aecial and telial hosts of the white pine blister rust fungus, Cronartium ribicola</t>
  </si>
  <si>
    <t>The white-pine blister rust fungus, Cronartium ribicola Fisch. in Rabenh., continues to spread in North America, utilizing various aecial (primary) and telial (alternate) hosts, some of which have only recently been discovered. This introduced pathogen has been characterized as having low genetic diversity in North America, yet it has demonstrated a capacity to invade diverse environments. The recent discovery of this rust fungus on the telial host Pedicularis racemosa Dougl. ex Benth., raises questions of whether this host association represents a recent acquisition by C. ribicola or a long-standing host association that was overlooked. Here we explore two questions: (i) is host specialization detectable at a local scale and (ii) is the capacity to infect Pedicularis racemosa local or widespread? Genetic analysis of C. ribicola isolates from different aecial and telial hosts provided no evidence for genetic differentiation and showed similar levels of expected heterozygosity within a geographic population. An inoculation test showed that diverse C. ribicola sources from across North America had the capacity to infect Pedicularis racemosa. These results support a hypothesis that ability to infect Pedicularis racemosa is common in C. ribicola from North America. Utilization of Pedicularis racemosa by C. ribicola may be dependent on the co-occurrence of this host, inoculum, and favorable environments.</t>
  </si>
  <si>
    <t>10.1139/B07-031</t>
  </si>
  <si>
    <t>WOS:000247999900006</t>
  </si>
  <si>
    <t>["Fungi"]</t>
  </si>
  <si>
    <t>["Basidiomycota"]</t>
  </si>
  <si>
    <t>["Pucciniomycetes"]</t>
  </si>
  <si>
    <t>["Pucciniales"]</t>
  </si>
  <si>
    <t>["Cronartium"]</t>
  </si>
  <si>
    <t>["Cronartium ribicola"]</t>
  </si>
  <si>
    <t>Game Vertebrate Densities in Hunted and Nonhunted Forest Sites in Manu National Park, Peru</t>
  </si>
  <si>
    <t>Manu National Park of southern Peru is one of the most renowned protected areas in the world, yet large-bodied vertebrate surveys conducted to date have been restricted to Cocha Cashu Biological Station, a research station covering &lt;0.06 percent of the 1.7Mha park. Manu Park is occupied by &gt;460 settled Matsigenka Amerindians, 300-400 isolated Matsigenka, and several, little-known groups of isolated hunter-gatherers, yet the impact of these native Amazonians on game vertebrate populations within the park remains poorly understood. On the basis of 1495 km of standardized line-transect censuses, we present density and biomass estimates for 23 mammal, bird, and reptile species for seven lowland and upland forest sites in Manu Park, including Cocha Cashu. We compare these estimates between hunted and nonhunted sites within Manu Park, and with other Neotropical forest sites. Manu Park safeguards some of the most species-rich and highest biomass assemblages of arboreal and terrestrial mammals ever recorded in Neotropical forests, most likely because of its direct Andean influence and high levels of soil fertility. Relative to Barro Colorado Island, seed predators and arboreal folivores in Manu are rare, and generalist frugivores specializing on mature fruit pulp are abundant. The impact of such a qualitative shift in the vertebrate community on the dynamics of plant regeneration, and therefore, on our understanding of tropical plant ecology, must be profound. Despite a number of external threats, Manu Park continues to serve as a baseline against which other Neotropical forests can be gauged.</t>
  </si>
  <si>
    <t>10.1111/j.1744-7429.2009.00546.x</t>
  </si>
  <si>
    <t>WOS:000275215700017</t>
  </si>
  <si>
    <t>["Tinamiformes", "Galliformes", "Gruiformes", "Primates", "Rodentia", "Cetartiodactyla", "Carnivores", "Perissodactyla"]</t>
  </si>
  <si>
    <t>["Crypturellus", "Mitu", "Odontophorus", "Penelope", "Pipile", "Psophia", "Tinamus", "Alouatta", "Ateles", "Plecturocebus", "Cebus", "Dasyprocta", "Lagothrix", "Mazama", "Myoprocta", "Pecari", "Leontocebus", "Saimiri", "Sapajus", "Sciurus", "Speothos", "Tapirus", "Tayassu"]</t>
  </si>
  <si>
    <t>["Crypturellus atrocapillus, C. bartletti, C. cinereus, C.soui, C. strigulosus, C. undulatus and C. variegatus", "Mitu tuberosum", "Odontophorus gujanensis", "Penelope jacquacu", "Pipile cumanensis", "Psophia leucoptera", "Tinamus major, T. guttatus and T. tao", "Alouatta sara", "Ateles chamek", "Callicebus brunneus", "Cebus albifrons", "Dasyprocta punctata", "Lagothrix cana", "Mazama americana and M. gouazoubira", "Myoprocta pratti", "Pecari tajacu", "Saguinus fuscicollis", "Saimiri boliviensis", "Sapajus apella", "Sciurus spadiceus and S.sanborni.", "Speothos venaticus", "Tapirus terrestris", "Tayassu pecari"]</t>
  </si>
  <si>
    <t>A modelling approach to estimate the effect of exotic pollinators on exotic weed population dynamics: bumblebees and broom in Australia</t>
  </si>
  <si>
    <t>The role of mutualisms in contributing to species invasions is rarely considered, inhibiting effective risk analysis and management options. Potential ecological consequences of invasion of non-native pollinators include increased pollination and seed set of invasive plants, with subsequent impacts on population growth rates and rates of spread. We outline a quantitative approach for evaluating the impact of a proposed introduction of an invasive pollinator on existing weed population dynamics and demonstrate the use of this approach on a relatively data-rich case study: the impacts on Cytisus scoparius (Scotch broom) from proposed introduction of Bombus terrestris. Three models have been used to assess population growth (matrix model), spread speed (integrodifference equation), and equilibrium occupancy (lattice model) for C. scoparius. We use available demographic data for an Australian population to parameterize two of these models. Increased seed set due to more efficient pollination resulted in a higher population growth rate in the density-independent matrix model, whereas simulations of enhanced pollination scenarios had a negligible effect on equilibrium weed occupancy in the lattice model. This is attributed to strong microsite limitation of recruitment in invasive C. scoparius populations observed in Australia and incorporated in the lattice model. A lack of information regarding secondary ant dispersal of C. scoparius prevents us from parameterizing the integrodifference equation model for Australia, but studies of invasive populations in California suggest that spread speed will also increase with higher seed set. For microsite-limited C. scoparius populations, increased seed set has minimal effects on equilibrium site occupancy. However, for density-independent rapidly invading populations, increased seed set is likely to lead to higher growth rates and spread speeds. The impacts of introduced pollinators on native flora and fauna and the potential for promoting range expansion in pollinator-limited 'sleeper weeds' also remain substantial risks.</t>
  </si>
  <si>
    <t>10.1111/j.1366-9516.2006.00239.x</t>
  </si>
  <si>
    <t>WOS:000239798200014</t>
  </si>
  <si>
    <t>["Cytisus"]</t>
  </si>
  <si>
    <t>["Cytisus scoparius, Bombus terrestris"]</t>
  </si>
  <si>
    <t>Biotic and abiotic limits to the spread of exotic revegetation species</t>
  </si>
  <si>
    <t>Natural habitats vary in the degree to which they are invaded by exotic species, but it is unclear whether they differ in the mechanisms underlying the spatial spread of a given exotic species. To compare the dynamics of invasion in highly invaded nonserpentine oak woodlands and less-invaded serpentine habitats, we used an historical experiment consisting of the introduction of several normative species for post-mining revegetation, supplemented by a pot experiment and a factorial field experiment. Three species showed significant declines in abundance on transects from revegetated zones into natural habitats, indicating that these species had spread into the natural habitats from revegetated zones. Dactylis glomerata and Trifolium hirtum were found up to 95 m into oak woodland, 35 m into serpentine meadows, and 0-25 m into serpentine seeps and chaparral, while Elytrigia pontica was found up to 45 m into serpentine seeps. The pot experiment showed that this pattern of distribution for Dactylis was not caused or limited by variation in soil properties. The field experiment showed that Dactylis invasion in both oak woodland and serpentine meadow habitats was limited by disturbance and seed supply. Dactylis success was negatively correlated with species richness in oak woodlands, but positively correlated with richness in serpentine meadows, suggesting that the relationships between diversity, invasion, and underlying habitat suitability differed between these habitats. Our results show that in harsh serpentine soils, the spread of recently introduced exotic species is slower than in more fertile and more invaded oak woodlands. However, disturbance and propagule addition are equally important in promoting the spread of invaders in both environments.</t>
  </si>
  <si>
    <t>10.2307/3061135</t>
  </si>
  <si>
    <t>WOS:000173549600005</t>
  </si>
  <si>
    <t>["Dactylis"]</t>
  </si>
  <si>
    <t>["Dactylis glomerata (orchard grass), Trifolium hirtum (rose clover), and Elytrigia pontica (wheatgrass), Bromus madritensis ssp. madritensis, Bromus hordeaceus, and Lolium multiflorum"]</t>
  </si>
  <si>
    <t>Impact of hunting on large vertebrates in the Mbaracayu reserve, Paraguay</t>
  </si>
  <si>
    <t>Over 1,400,000 m of line transect data were collected in collaboration with Ache Indians to determine encounter rates with all large vertebrates in the Mbaracayu Reserve Paraguay. The data were analyzed using logistic regression in order to determine the impact of human hunting on animal encounter rates in the reserve. The method controlled for effects of season, weather, time of day, and habitat in order to statistically isolate the human predation effect. Encounters with the animals themselves ns well as fresh signs of their activity allowed us to determine whether lower encounter rates in hunted zones are simply due to increased wariness by target species. Our results show that areas near hunters are hunted more frequently, and that Dasypus novemcinctus, Cebus apella, Tapirus terrestris, and Mazama spp. are all encountered at lower rates in those areas than in unhunted zones. We were unable to show that encounter rates with other important game species have been affected by human hunting. Demonstration of local depletion by central place foragers is expected, however and cannot be used to conclude that prey species are in danger of regional extirpation.</t>
  </si>
  <si>
    <t>10.1046/j.1523-1739.1997.96048.x</t>
  </si>
  <si>
    <t>WOS:A1997YK80600014</t>
  </si>
  <si>
    <t>["Cingulata", "Cetartiodactyla", "Primates", "Perissodactyla", "Rodentia", "Carnivores"]</t>
  </si>
  <si>
    <t>["Dasypus", "Mazama", "Sapajus", "Tapirus", "Cuniculus", "Nasua", "Pecari", "Tayassu"]</t>
  </si>
  <si>
    <t>["Dasypus novemcinctus", "Mazama americana and M. gouazoubira", "Sapajus cay", "Tapirus terrestris", "Cuniculus paca", "Nasua nasua", "Pecari tajacu", "Tayassu pecari"]</t>
  </si>
  <si>
    <t>An experimental test of colonization ability in the potentially invasive Didemnum perlucidum (Tunicata, Ascidiacea)</t>
  </si>
  <si>
    <t>Exotic species invasions are one of the greatest threats to marine systems and ascidians have many characteristics that favor transport, colonization and establishment into new regions. Didemnum perlucidum is a widespread species that has been introduced into tropical ports around the world. Here we examine the colonizing ability of D. perlucidum by experimental use of artificial plates in a shellfish culture. The experiment comprised paired plates for colonization (bare and occupied) in 16 monthly replicates. Recruitment and space occupation were compared between bare and occupied plates and an estimation of reproductive effort was based on the number of larvae produced in each of ten colonies collected on the culture structures. D. perlucidum reproduced continuously but greatest reproduction occurred between December 2006 and May 2007. While recruitment was somewhat greater (number of new colonies) on bare plates, this species can colonize already occupied substrates and, surprisingly, colony area was always similar between treatments. Thus, while fewer colonies formed on occupied plates, once formed, colonies grew at rates similar to those on clean plates. Thus, D. perlucidum colonizes substrates very efficiently, especially when unoccupied space is available.</t>
  </si>
  <si>
    <t>10.1007/s10530-009-9571-8</t>
  </si>
  <si>
    <t>WOS:000277410800016</t>
  </si>
  <si>
    <t>["Ascidiacea"]</t>
  </si>
  <si>
    <t>["Aplousobranchia"]</t>
  </si>
  <si>
    <t>["Didemnum"]</t>
  </si>
  <si>
    <t>["Didemnum perlucidum"]</t>
  </si>
  <si>
    <t>Benthic macroinvertebrate communities in southwestern Lake Ontario following invasion of Dreissena and Echinogammarus: 1983 to 2000</t>
  </si>
  <si>
    <t>Benthic macroinvertebrate communities were quantified at natural cobble and artificial reef sites in Lake Ontario in 1983 (7 y pre-Dreissena invasion) and in 1991 to 1992 and 1999 to 2000 (1-2 and 9-10 y post-Dreissena invasion, respectively). Overall, the cobble community had higher diversity and abundance than the reef community. In both communities, diversity and abundance of non-Dreissena taxa rose sharply between 1983 and 1991 to 1992 and declined to 1983 levels by 1999 to 2000. However, taxonomic composition (excluding Dreissena and the recent invader Echinogammarus ischnus) was consistent across study years. Between 1983 and 1999 to 2000, Stagnicola catascopium and Physella spp. increased in abundance, several taxa (Musculium partumeium, Bithynia tentaculata, Elimia livescens, Trichoptera, and Chironomidae) decreased in abundance, and changes in the abundance of many taxa were correlated with Dreissena abundance. Dreissena continued to make up &gt;40% of total macroinvertebrate abundance at the cobble site and &gt;60%, at the reef site in 1999 to 2000, however, numbers dropped sharply and the size of individual mussels increased as D. bugensis largely replaced D. polymorpha between 1991 to 1992 and 1999 to 2000. Dreissena biomass dropped sharply at the reef site between 1991 to 1992 and 1999 to 2000, but not at the cobble site. The exotic amphipod E. ischnus was abundant in 1999 to 2000, but any effect on the abundance of the related amphipod Gammarus fasciatus was unclear. At the time of this study, the round goby Neogobius melanostomus was not present. We conclude that the transition from D. polymorpha to D. bugensis and processes associated with the ongoing oligotrophication of Lake Ontario are responsible for reduced density of larger-bodied Dreissena in the nearshore region, and that changes in the Dreissena population are largely responsible for changes in the non-Dreissena benthic macroinvertebrate communities.</t>
  </si>
  <si>
    <t>10.1899/0887-3593(2005)024&lt;0148:BMCISL&gt;2.0.CO;2</t>
  </si>
  <si>
    <t>WOS:000227149900011</t>
  </si>
  <si>
    <t>["Mollusca", "Arthropoda"]</t>
  </si>
  <si>
    <t>["Bivalvia", "Malacostraca"]</t>
  </si>
  <si>
    <t>["Myida", "Amphipoda"]</t>
  </si>
  <si>
    <t>["Dreissena", "Echinogammarus"]</t>
  </si>
  <si>
    <t>["Dreissena polymorpha", "Echinogammarus ischnu"]</t>
  </si>
  <si>
    <t>HABITAT PREFERENCES AND ACTIVITY PATTERNS OF THE LARGER MAMMAL COMMUNITY IN PHNOM PRICH WILDLIFE SANCTUARY, CAMBODIA</t>
  </si>
  <si>
    <t>The northern and eastern plains of Cambodia support one of the largest extents of lowland deciduous forest in South-east Asia and are globally significant for mammal conservation. Between Dec.2008 and Aug.2009 intensive camera-trapping was conducted within mosaic deciduous dipterocarp and mixed-deciduous/semi-evergreen forest in the east of Phnom Prich Wildlife Sanctuary, Mondulkiri province, Cambodia. Forty camera-trap locations were set up for &gt;2700 camera-trap nights producing 707 independent encounters of 23 mammal species. Eight globally threatened species of mammals were recorded including the Asian elephant (Elephas maximus), banteng (Bos javanicus) and dhole (Cuon alpinus). Two species, the gaur (Bos gaurus) and pig-tailed macaque (Macaca nemestrina), showed significant preference for forest type (higher Relative Abundance Index of both species in mixed-deciduous/semi-evergreen forest). The mix of drier deciduous dipterocarp forest and wetter mixed-deciduous and semi-evergreen forest appears important for maintaining the conservation value of the site. Camera trap encounter rates were lower in areas within a day's walk from villages at the periphery of the protected area whilst cathemeral species displayed higher proportions of nocturnal activity than in similar studies from elsewhere in South-east Asia. We suggest disturbance and hunting may therefore be affecting the distribution and activity patterns of key species. Managing the Non Timber Forest Product (NTFP) collectors as well as finalising, and enforcing, zonation within the protected area are recommended conservation measures for the mammal community.</t>
  </si>
  <si>
    <t>WOS:000301312200022</t>
  </si>
  <si>
    <t>["Columbiformes", "Bucerotiformes"]</t>
  </si>
  <si>
    <t>["Ducula", "Rhyticeros", "Anthracoceros", "Buceros"]</t>
  </si>
  <si>
    <t>["Ducula aenea", "Ducula badia", "Aceros undulatus", "Anthracoceros albirostris", "Buceros bicornis"]</t>
  </si>
  <si>
    <t>["Eira", "Galictis"]</t>
  </si>
  <si>
    <t>Beavers indirectly enhance the growth of Russian olive and tamarisk along eastern Montana Rivers</t>
  </si>
  <si>
    <t>Russian olive and tamarisk are introduced woody plants invading western North American riparian communities. Beavers can play an important role in structuring these communities by removing the dominant cottonwood trees. Our study explored the way in which beavers interact with cottonwood, Russian olive, and tamarisk along 4 rivers on the Great Plains of eastern Montana. We sampled cottonwood stands that supported populations of 1 or both exotic species, recording beaver damage and density in addition to size and age of cottonwood, Russian olive, and tamarisk. In stands where beaver had been present, they felled an average of 80% of cottonwood trees while rarely using Russian olive or tamarisk. Beaver foraging was apparent in nearly 90% of stands within 50 m of the river channel but only 21% of stands farther away, creating a sunny corridor along the river channel that may increase the invasive potential of Russian olive and tamarisk. Growth rates of both Russian olive and tamarisk were substantially higher where beavers had reduced the cottonwood canopy cover. Managers wishing to reintroduce beavers should consider the potential effect on invasive exotic plants.</t>
  </si>
  <si>
    <t>WOS:000189267500012</t>
  </si>
  <si>
    <t>["Rosales", "Caryophyllales"]</t>
  </si>
  <si>
    <t>["Elaeagnus", "Tamarix"]</t>
  </si>
  <si>
    <t>["Elaeagnus angustifolia", "Tamarix spp."]</t>
  </si>
  <si>
    <t>Habitat selection and the change in distribution of Asian elephants in Mengyang Protected Area, Yunnan, China</t>
  </si>
  <si>
    <t>Elephants were confined to Mengyang Protected Area in China and their distribution range had reduced greatly compared to past records. A preliminary study of habitat selection by Asian elephants Elephas maximus Linnaeus, 1758 and their distribution was conducted in Mengyang Protected Area and its surrounds using site visits and transect surveys from July 2003 to December 2006. Although no variable significantly influenced their habitat selection, elephants still showed preference for altitudes between 900 and 1200 in, gradients &lt; 30 degrees, and orientations to the south-east, south and south-west. Human activities, including habitat transformation and degradation, disturbance by large infrastructure and poaching were considered to be the main factors inducing elephant distribution changes.</t>
  </si>
  <si>
    <t>10.1007/BF03195197</t>
  </si>
  <si>
    <t>WOS:000260556500005</t>
  </si>
  <si>
    <t>["Proboscidea"]</t>
  </si>
  <si>
    <t>["Elephas"]</t>
  </si>
  <si>
    <t>["Elephas maximus"]</t>
  </si>
  <si>
    <t>A shift toward early reproduction in an introduced herbivorous ladybird</t>
  </si>
  <si>
    <t>1. In May 1971, fifteen male and thirty female overwintering adults of a thistle-feeding ladybird Epilachna niponica were taken from the Asiu Experimental Forest of Kyoto University and introduced into the Botanical Garden of Kyoto University, 30 km south of Asiu and 10 km south of the southern limits of its distribution. The introduced population established successfully and thereafter maintained densities sufficiently high to defoliate their host plants. 2. Reproductive parameters (reproductive lifespan of females, overall fecundity, and oviposition schedules) of the introduced population were compared with those of the source population 10 years after the introduction. Comparisons were made in the laboratory under five temperature regimes. 3. The lifespan of females differed significantly with temperature, decreasing linearly with increasing temperature. Temperature also had a significant effect on overall fecundity for both populations; overall fecundity at 15 and 30 degrees C was significantly lower than that at the 20-25 degrees C regimes. 4. The oviposition activity of the introduced population was significantly higher than that of the source population at 23 and 25 degrees C. The lifespan of females of the introduced population was also significantly shorter than those of the source population at 20 and 25 degrees C. 5. The reduced lifespan and higher oviposition activity of introduced females indicate that they directed greater reproductive efforts early in their reproductive lifetime than those of the source population.</t>
  </si>
  <si>
    <t>10.1046/j.1365-2311.1997.00024.x</t>
  </si>
  <si>
    <t>WOS:A1997WJ17400012</t>
  </si>
  <si>
    <t>["Coleoptera"]</t>
  </si>
  <si>
    <t>["Epilachna"]</t>
  </si>
  <si>
    <t>["Epilachna niponica"]</t>
  </si>
  <si>
    <t>Assessing why two introduced Conyza differ in their ability to invade Mediterranean old fields</t>
  </si>
  <si>
    <t>Researchers have suggested that species-community interactions determine invasion success. Therefore, it is likely that small biological differences between species interact with habitat characteristics to produce distinct patterns of distribution and abundance throughout a new range. In this study we test the hypothesis that differences in the distribution and abundance of species sharing an identical set of ''ideal weed characteristics'' are explicable in terms of species-specific responses to environmental variation within their new range. Using multifactor experiments, we investigated some of the ecological interactions influencing reproductive success in two very closely related species of annuals having invaded the French Mediterranean region for &gt;150 yr and showing marked differences in their local distribution and abundance patterns. We transplanted seedlings of Conyza canadensis (a species restricted to recently disturbed areas) and C. sumatrensis (a species colonizing early- to mid-successional old fields) at equal densities in three contrasting old fields (6 mo, 4 yr, 17-yr abandonment, respectively) during 1991-1992, a growing season with average rainfall. Individual performances (measured as survivorship, reproductive timing, and reproductive output) were evaluated with respect to: (1) competition with plant neighbors (tested with a weeding treatment), (2) resource availability (tested with nutrient and water addition), and (3) herbivory (tested with chemical limitation). Manipulated factors interacted in a rather complex fashion to influence survivorship and reproduction in both species. However, patterns of relative performance were consistent with relative distribution patterns across Mediterranean landscapes: C. sumatrensis performed better than C. canadensis in all fields, including the youngest one (6 mo old). Herbivory only slightly affected transplant performances. In contrast, competition with plant neighbors had substantial effects on either Conyza species and may be the most important determinant of performance in Mediterranean old fields. The experiment showed unambiguously that the two species differ markedly in their competitive ability, with C. sumatrensis performing better than C. canadensis in the presence of neighboring vegetation. In addition, C. sumatrensis displayed a superior ability to take up and/or to use water and nutrient resources when they become available in competitive environments. We argue that potential physiological or anatomical species differences responsible for this differential susceptibility to local resource reduction by neighbors could involve differences in constructional organization, leaf morphology, and reproductive phenologies.</t>
  </si>
  <si>
    <t>10.2307/2265502</t>
  </si>
  <si>
    <t>WOS:A1996UC98500016</t>
  </si>
  <si>
    <t>["Erigeron", "Conyza"]</t>
  </si>
  <si>
    <t>["Conyza canadensis", "Conyza sumatrensis"]</t>
  </si>
  <si>
    <t>Adaptive rather than non-adaptive evolution of Mimulus guttatus in its invasive range</t>
  </si>
  <si>
    <t>Adaptive and non-adaptive evolutionary processes are likely to play important roles in biological invasions but their relative importance has hardly ever been quantified. Moreover, although genetic differences between populations in their native versus invasive ranges may simply reflect different positions along a genetic latitudinal cline, this has rarely been controlled for. To study non-adaptive evolutionary processes in invasion of Mimulus guttatus, we used allozyme analyses on offspring of seven native populations from western North America, and three and four invasive populations from Scotland and New Zealand, respectively. To study quantitative genetic differentiation, we grew 2474 plants representing 17 native populations and the seven invasive populations in a common greenhouse environment under temporarily and permanently wet soil conditions. The absence of allozyme differentiation between the invasive and native range indicates that multiple genotypes had been introduced to Scotland and New Zealand, and suggests that founder effects and genetic drift played small, if any, roles in shaping genetic structure of invasive M. guttatus populations. Plants from the invasive and native range did not differ in phenology, floral traits and sexual and vegetative reproduction, and also not in plastic responses to the watering treatments. However, plants from the invasive range produced twice as many flower-bearing upright side branches than the ones from the native populations. Further, with increasing latitude of collection, vegetative reproduction of our experimental plants increased while sexual reproduction decreased. Plants from the invasive and native range shared these latitudinal clines. Because allozymes showed that the relatedness between native and invasive populations did not depend on latitude, this suggests that plants in the invasive regions have adapted to the local latitude. Overall, our study indicates that quantitative genetic variation of M. guttatus in its two invasive regions is shaped by adaptive evolutionary processes rather than by non-adaptive ones. (C) 2007 Gesellschaft fur Okologie. Published by Elsevier GmbH. All rights reserved.</t>
  </si>
  <si>
    <t>10.1016/j.baae.2007.03.006</t>
  </si>
  <si>
    <t>WOS:000256734600003</t>
  </si>
  <si>
    <t>["Lamiales"]</t>
  </si>
  <si>
    <t>["Erythranthe"]</t>
  </si>
  <si>
    <t>["Mimulus guttatus"]</t>
  </si>
  <si>
    <t>A new mechanism of invader success: Exotic plant inhibits natural vegetation restoration by changing soil microbe community</t>
  </si>
  <si>
    <t>Since the 1950s of the last century, the exotic plant, Eupatorium adenophorum, has spread rapidly across southwest China, damaging native ecosystems and causing great economic losses. We examined the pH, N, P, K, and organic matter concentrations, and the bacterial community character (by Biolog EcoPlate (TM)) in soils from sites heavily and lightly invaded by this exotic species. Also, soil from the lightly invaded site was treated with a water extract of E. adenophorum roots to examine the effect of the plant on soil properties. We grew three plant species, one native and two exotic, in pot experiment using soil from heavily invaded site to examine the effects of the soil on these plants growth. The soil analysis demonstrated that the pH, organic matter, total N, total P and total K in soils from the heavily invaded site were only slightly different from those of the lightly invaded site, but concentrations of NH4+, NO3- and available P and K in the heavily invaded site were greater than those in the lightly invaded site. The catabolic activity of soil bacterial community in the heavily invaded site was different from that in the lightly invaded site. The catabolic activity of bacterial community in soils treated by the water extract of E. adenophorum roots changed and became similar to that in soils from the heavily invaded site. The pot experiment showed that the exotic plants growth in heavily invaded soil were not different from in lightly invaded soil; however, the native plant biomass decreased dramatically when grown in soil from the heavily invaded site as compared to soil from the lightly invaded site; and the same phenomenon was found when any potential allelopathic effects by E. adenophorum were eliminated by added activated carbon to those soils. Difference in soil nutrient availability and allelopathy could not explain this phenomenon of the native plant in the soils from the heavily and lightly invaded sites. Changes observed in the soil bacterial community were obviously related to native plant growth in those tow soils. Those results suggest that changing soil microbial community may be an important part of E. adenophorum invasion process. Since the soil microbial community serves as bridge in connection of exotic and natural plants, the exotic plant could inhibit the natural plant growth and reproduction by changing the soil microbial community in invaded site.</t>
  </si>
  <si>
    <t>10.1360/04WC0280</t>
  </si>
  <si>
    <t>WOS:000231712400010</t>
  </si>
  <si>
    <t>["Eupatorium"]</t>
  </si>
  <si>
    <t>["Eupatorium adenophorum"]</t>
  </si>
  <si>
    <t>A species invasion mediated through habitat structure, intraguild predation, and parasitism</t>
  </si>
  <si>
    <t>With field, laboratory, and modeling approaches, we examined the interplay among habitat structure, intraguild predation (IGP), and parasitism in an ongoing species invasion. Native Gammarus duebeni celticus (Crustacea: Amphipoda) are often, but not always, replaced by the invader Gammarus pulex through differential IGP. The muscle-wasting microsporidian parasite Pleistophora mulleri infects the native but not the invader. We found a highly variable prevalence of P. mulleri in uninvaded rivers, with 0-91% of hosts parasitized per sample. In addition, unparasitized natives dominated fast-flowing riffle patches of river, whereas parasitized individuals dominated slower-flowing, pooled patches. We examined the survivorship of invader and native in single and mixed-species microcosms with high, intermediate, and zero parasite prevalence. G. pulex survivorship was high in all treatments, whereas G. duebeni subsp. celticus survivorship was significantly lower in the presence of the invader. Further, parasitized G. duebeni subsp. celticus experienced near-total elimination. Models of the species replacement process implied that parasite-enhanced IGP would make invasion by G. pulex more likely, regardless of habitat and parasite spatial structure. However, where heterogeneity in parasite prevalence creates a landscape of patches with different susceptibilities to invasion, G. pulex may succeed in cases where invasion would not be possible if patches were equivalent. The different responses of parasitized and unparasitized G. duebeni subsp. celticus to environmental heterogeneity potentially link landscape patterns to the success or failure of the invasion process.</t>
  </si>
  <si>
    <t>10.4319/lo.2004.49.5.1848</t>
  </si>
  <si>
    <t>WOS:000224979900036</t>
  </si>
  <si>
    <t>["Gammarus"]</t>
  </si>
  <si>
    <t>["Gammarus pulex"]</t>
  </si>
  <si>
    <t>An acanthocephalan parasite mediates intraguild predation between invasive and native freshwater amphipods (Crustacea)</t>
  </si>
  <si>
    <t>1. The balance of predation between closely related invasive and native species can be an important determinant of the success or failure of biological invasions. In Irish freshwaters, the introduced amphipod Gammarus pulex has replaced the native G. duebeni celticus, possibly through differential mutual intraguild predation (IGP). Theoretically, parasitism could mediate such predation and hence the invasion outcome. However, this idea remains poorly studied. 2. In a field survey, we show that the acanthocephalan parasite Echinorynchus truttae is present in more G. pulex populations than G. d. celticus populations. In addition, within parasitised populations, E. truttae is more prevalent in the invader than in the native. 3. We show for the first time that an acanthocephalan parasite mediates predation between its intermediate macroinvertebrate hosts. In a field experiment, E. truttae parasitism of the invader lowered IGP upon the unparasitised native. In laboratory experiments, parasitism of G. pulex significantly reduced their predatory impact on recently moulted female G. d. celticus. Parasitism also appeared to cause reduction in predatory behaviour, such as attacks per contact on precopula guarded female natives. 4. We conclude that higher parasite prevalence in invaders as compared with natives, by mediation of interspecific interactions, could promote species coexistence, or at least slow species replacements, in this particular biological invasion.</t>
  </si>
  <si>
    <t>10.1046/j.1365-2427.2003.01145.x</t>
  </si>
  <si>
    <t>WOS:000186697000001</t>
  </si>
  <si>
    <t>Antagonistic effects of large- and small-scale disturbances on exotic tree invasion in a native tussock grassland relict</t>
  </si>
  <si>
    <t>It is generally accepted that disturbances increase community invasibility. Yet the role of disturbance in plant invasions may be less predictable than often assumed, due to the influence of environmental stochasticity and interactions between disturbance regimes. We evaluated the single and interactive effects of prescribed burning (large-scale, infrequent event) and animal diggings (small-scale, frequent events) on the invasion success of Gleditsia triacanthos L. in a tussock grassland relict of the Inland Pampa, Argentina. Tree seedling emergence and survival were monitored over 4 years, after adjusting for propagule pressure through copious seed addition to all disturbance treatments. Burning altered community structure by suppressing tussock grasses and promoting exotic forbs, whereas simulated, armadillo-like diggings had little impact on herbaceous composition. Overall, seedling emergence rather than survival represented the main demographic bottleneck for tree invasion. Tree establishment success varied among seedling cohorts emerged in different climatic years. In a dry year, emergence was only slightly affected by disturbances. In contrast, for two consecutive wet years, initial burning and armadillo-like diggings exerted strong, antagonistic effects on tree recruitment. Whereas fire alone increased recruitment, the simulated burrowing regime prevented seedling emergence in both burned and unburned plots. The latter effect might be explained by reduced soil moisture, and increased seed burial and predation in excavated patches. Thus, the impact of a single, large-scale perturbation promoting woody plant invasion was overridden by a regime of small-scale, frequent disturbances. Our results show that grassland invasibility was contingent on inter-annual climatic variation as well as unexpected interactions between natural and anthropogenic disturbance agents.</t>
  </si>
  <si>
    <t>10.1007/s10530-010-9702-2</t>
  </si>
  <si>
    <t>WOS:000280892600024</t>
  </si>
  <si>
    <t>["Gleditsia"]</t>
  </si>
  <si>
    <t>["Gleditsia triacanthos"]</t>
  </si>
  <si>
    <t>Monitoring Great Ape and Elephant Abundance at Large Spatial Scales: Measuring Effectiveness of a Conservation Landscape</t>
  </si>
  <si>
    <t>Protected areas are fundamental to biodiversity conservation, but there is growing recognition of the need to extend beyond protected areas to meet the ecological requirements of species at larger scales. Landscape-scale conservation requires an evaluation of management impact on biodiversity under different land-use strategies; this is challenging and there exist few empirical studies. In a conservation landscape in northern Republic of Congo we demonstrate the application of a large-scale monitoring program designed to evaluate the impact of conservation interventions on three globally threatened species: western gorillas, chimpanzees and forest elephants, under three land-use types: integral protection, commercial logging, and community-based natural resource management. We applied distance-sampling methods to examine species abundance across different land-use types under varying degrees of management and human disturbance. We found no clear trends in abundance between land-use types. However, units with interventions designed to reduce poaching and protect habitats irrespective of land-use type - harboured all three species at consistently higher abundance than a neighbouring logging concession undergoing no wildlife management. We applied Generalized-Additive Models to evaluate a priori predictions of species response to different landscape processes. Our results indicate that, given adequate protection from poaching, elephants and gorillas can profit from herbaceous vegetation in recently logged forests and maintain access to ecologically important resources located outside of protected areas. However, proximity to the single integrally protected area in the landscape maintained an overriding positive influence on elephant abundance, and logging roads - even subject to anti-poaching controls - were exploited by elephant poachers and had a major negative influence on elephant distribution. Chimpanzees show a clear preference for unlogged or more mature forests and human disturbance had a negative influence on chimpanzee abundance, in spite of anti-poaching interventions. We caution against the pitfalls of missing and confounded co-variables in model-based estimation approaches and highlight the importance of spatial scale in the response of different species to landscape processes. We stress the importance of a stratified design-based approach to monitoring species status in response to conservation interventions and advocate a holistic framework for landscape-scale monitoring that includes smaller-scale targeted research and punctual assessment of threats.</t>
  </si>
  <si>
    <t>10.1371/journal.pone.0010294</t>
  </si>
  <si>
    <t>WOS:000277079300006</t>
  </si>
  <si>
    <t>["Primates", "Proboscidea"]</t>
  </si>
  <si>
    <t>["Gorilla", "Loxodonta", "Pan"]</t>
  </si>
  <si>
    <t>["Gorilla gorilla", "Loxodonta africana", "Pan troglodytes"]</t>
  </si>
  <si>
    <t>Human impact on wildlife populations within a protected Central African forest</t>
  </si>
  <si>
    <t>This paper addresses the effect of human activities on the density of large mammals in the Dzanga-Ndoki National Park and the adjacent Dzanga-Sangha Reserve in the Central African Republic. Between six and eight 20 km long permanent transects were walked on a monthly basis from January 1997 to August 1999 to assess large mammal populations as well as human intrusion. There were no obvious seasonal or monthly trends in elephant, gorilla or non-human primate densities. Overall, it appears that human activities negatively influence the distribution of most of the large forest animals in Dzanga-Sangha. Elephants in particular were significantly less common in areas used by humans, but also other species such as non-human primates showed lower densities closer to the main road and the town of Bayanga. This study confirms the findings of previous studies that roads have a negative impact on wildlife populations. Results of this study stress the need for conservation of large uninterrupted forest blocks to maintain wildlife populations at normal levels. Simply creating roads, even within a protected Central African forest, is likely to have negative impacts on wildlife populations.</t>
  </si>
  <si>
    <t>10.1111/j.0141-6707.2004.00441.x</t>
  </si>
  <si>
    <t>WOS:000220627900003</t>
  </si>
  <si>
    <t>["Gorilla", "Loxodonta"]</t>
  </si>
  <si>
    <t>["Gorilla gorilla", "Loxodonta africana"]</t>
  </si>
  <si>
    <t>Discriminating between village and commercial hunting of apes</t>
  </si>
  <si>
    <t>Hunting is the major driver of large mammal decline in Central African forests. in slowly reproducing species even low hunting pressure leaves spatial gradients with wildlife density increasing with distance from transport routes and human settlements. Park management can use this pattern formation to identify sources of threats, but also to discriminate between different threat scenarios, such as the impact of subsistence vs. commercial hunting. We conducted an ape survey in the mountainous Moukalaba Doudou National Park, Gabon, to evaluate whether potential population gradients would emanate from the three human population centers in the region or the villages surrounding the park. Using generalized linear modeling we found hill slope as a good predictor of ape nest occurrence probability and the distance to human population centers a better predictor of ape nest density and ape nest group size than distance to villages. In fact ape nest density was three times lower at the park borders close to the human population centers than in the park's interior. The results indicate that Moukalaba's ape population is more impacted by commercial than subsistence hunting and suggest that park management should focus conservation efforts on the human population centers. We conclude that in particular for slowly reproducing species geographic information on wildlife population gradients are of additional value for guiding protected area management. The hunting impact on those species might be easily underestimated, if derived only from market surveys or transport route controls, where they are only rarely found. (C) 2009 Elsevier Ltd. All rights reserved.</t>
  </si>
  <si>
    <t>10.1016/j.biocon.2009.02.032</t>
  </si>
  <si>
    <t>WOS:000266752500026</t>
  </si>
  <si>
    <t>["Gorilla", "Pan"]</t>
  </si>
  <si>
    <t>["Gorilla gorilla", "Pan troglodytes"]</t>
  </si>
  <si>
    <t>A validated bioenergetics model for ruffe Gymnocephalus cernuus and its application to a northern lake</t>
  </si>
  <si>
    <t>A bioenergetics model was constructed for ruffe Gymnocephalus cernuus, and the model was used to estimate the food consumption of a native G. cernuus stock in Pyhajarvi, a large mesotrophic lake in south-west Finland. The parameters for the bioenergetics model were determined through laboratory experiments conducted at several temperatures between 5 and 22 degrees C for different sized G. cernuus (from 6 to 27 g). The model was verified and validated with independent laboratory growth experiments. The validated model was applied to field data from Pyhajarvi to estimate the food consumption of G. cernuus and its effects on the zoobenthos community during the years 2002-2004. The total annual food consumption of the G. cernuus stock ranged from 11.6 to 15.7 g m(-2) (wet mass). Chironomidae was the most abundant prey, 81% of the total consumption. The annual total production of zoobenthos in Pyhajarvi was 15.2 g m(-2) (wet mass). Therefore, it can be concluded that G. cernuus stock is likely to exert a significant influence on the zoobenthos community in this lake, indicating a potential role of G. cernuus as an influential invasive species in many freshwater ecosystems in Europe and North America. (C) 2008 The Authors Journal compilation (C) 2008 The Fisheries Society of the British Isles.</t>
  </si>
  <si>
    <t>10.1111/j.1095-8649.2008.01953.x</t>
  </si>
  <si>
    <t>WOS:000258169800005</t>
  </si>
  <si>
    <t>["Gymnocephalus"]</t>
  </si>
  <si>
    <t>["Gymnocephalus cernuus"]</t>
  </si>
  <si>
    <t>Activity, aggression, and habitat use of ruffe (Gymnocephalus cernuus) and round goby (Apollonia melanostoma) under laboratory conditions</t>
  </si>
  <si>
    <t>Potential negative ecological interactions between ruffe Gymnocephalus cernuus and round goby Apollonia melanostoma (formerly Neogobius melanostomus) might affect the colonization dynamics of these invasive species where they are sympatric in the Great Lakes. In order to determine the potential for ecological interactions between these species, we examined the activity, aggression, and habitat use of round gobies and ruffe in single species and mixed species laboratory experiments. Trials included conditions in which food was concentrated (in light or darkness) or scattered. Results showed that ruffe were more active than gobies, particularly when food was scattered. Activity of both species was significantly lower during darkness. Round gobies were significantly more aggressive than ruffe, and total aggression was lower in mixed species trials. Habitat use by ruffe and round gobies overlapped considerably, but we observed significant differences between species in their use of specific habitats that depended on experimental conditions. Overall, ruffe used open habitats more often than did round gobies, primarily when food was scattered. Round gobies used rocks significantly more frequently than did ruffe, but their use of rock habitat decreased during dark conditions. Ruffe were found more often in plant habitats and less often near the wall of the pool in trials during daylight with concentrated food. Activity and habitat use of ruffe and round goby did not significantly differ between single and mixed species trials. Overall, we found little evidence,for negative ecological interactions between ruffe and round goby in these laboratory experiments.</t>
  </si>
  <si>
    <t>10.3394/0380-1330(2007)33[326:AAAHUO]2.0.CO;2</t>
  </si>
  <si>
    <t>WOS:000248196000004</t>
  </si>
  <si>
    <t>Biological traits and life table of the exotic Harmonia axyridis compared with Hippodamia variegata, and Adalia bipunctata (Col., Coccinellidae)</t>
  </si>
  <si>
    <t>As part of an environmental risk assessment study of exotic natural enemies used in inundative biological control, life-history characteristics of Harmonia axyridis (Pallas), Hippodamia variegata (Goeze) and Adalia bipunctata (L.) (Col., Coccinellidae) were quantified under laboratory conditions at 25degreesC on Myzus persicae (Sulzer) as prey. Comparative studies showed significant differences among pre-adult development times: H. axyridis developed slower ((X) over tilde = 19.8 days) than H. variegata ((X) over tilde = 18.1 days) and A. bipunctata ((X) over tilde = 18.4 days). Differences were also evident in the duration of egg, larval and pupal stages. No measurable differences among the three species were found for fecundity, oviposition rate and adult longevity. Harmonia axyridis exhibited the longest pre-oviposition ((X) over tilde = 7.4 days) and interoviposition ((X) over tilde = 3.6 days) periods and the shortest oviposition period ((X) over tilde = 13.7 days). The Bieri model was used to describe age-specific fecundity for the three species of coccinellids. The intrinsic rate of increase (r(m)), net reproductive rate (R-0) and mean generation time (T) were higher for H. variegata (r(m) = 0.114, R-0 = 52.75, T = 41.88 days) than for H. axyridis (r(m) = 0.089, R-0 = 26.27, T = 38.81 days) or A. bipunctata (r(m) = 0.081, R-0 = 18.49, T = 40.06 days). Our findings show that the biological traits of H. axyridis do not seem to be factors that may contribute to the invasiveness of this coccinellid.</t>
  </si>
  <si>
    <t>10.1111/j.1439-0418.2004.00847.x</t>
  </si>
  <si>
    <t>WOS:000221425100010</t>
  </si>
  <si>
    <t>["Harmonia"]</t>
  </si>
  <si>
    <t>["Harmonia axyridis"]</t>
  </si>
  <si>
    <t>Amplified fragment length polymorphism and sequence analyses reveal massive gene introgression from the European fungal pathogen Heterobasidion annosum into its introduced congener H. irregulare</t>
  </si>
  <si>
    <t>The paucity of fungal species known to be currently hybridizing has significantly hindered our understanding of the mechanisms driving gene introgression in these eukaryotic microbes. Here, we describe an area of hybridization and gene introgression between the invasive plant pathogen Heterobasidion irregulare (introduced from North America) and the native H. annosum in Italy. A STRUCTURE analysis of amplified fragment length polymorphism data for 267 individuals identified gene introgression in 8-42% of genotypes in the invasion area, depending on site. Data indicate that introgression is mostly occurring unilaterally from the native to the invasive species and is responsible for 5-45% of genomes in admixed individuals. Sequence analysis of 11 randomly selected and unlinked loci for 30 individuals identified introgression at every locus, thus confirming interspecific gene flow involves a large number of loci. In 37 cases, we documented movement of entire alleles between the two species, but in 7 cases, we also documented the creation of new alleles through intralocus recombination. Sequence analysis did not identify enrichment of either transcriptionally different nonsynonymous alleles or of transcriptionally identical synonymous alleles. These findings may suggest introgression is occurring randomly for extant alleles without an obvious enrichment process driven by selection. However, further studies are needed to ensure selection is not at work elsewhere in the genome.</t>
  </si>
  <si>
    <t>10.1111/j.1365-294X.2011.05121.x</t>
  </si>
  <si>
    <t>WOS:000292200700009</t>
  </si>
  <si>
    <t>["Agaricomycetes"]</t>
  </si>
  <si>
    <t>["Russulales"]</t>
  </si>
  <si>
    <t>["Heterobasidion"]</t>
  </si>
  <si>
    <t>["Heterobasidion irregulare"]</t>
  </si>
  <si>
    <t>Biogeochemical impact of Hieracium invasion in New Zealand's grazed tussock grasslands: Sustainability implications</t>
  </si>
  <si>
    <t>The establishment and spread of invasive plants could be enhanced by plant-soil feedbacks that alter the cycling of biologically important elements. In New Zealand. overgrazing of tussock grasslands in the South Island has led to land degradation and simultaneous invasion of exotic weeds (primarily Hieracium spp.) over large areas. While Hieracium continues to spread rapidly, little is known about variation in the impact of Hieracium across landscapes characterized by a range of environmental conditions. We examined the impact of Hieracium invasion on soil and ecosystem processes first at the scale of individual patches under one disturbance regime and uniform environment (i.e.. one aspect and elevation), and then under different environmental conditions (aspects) and disturbance regimes (long-term grazing, no grazing since 1978). Around individual plants on heavily grazed north-facing slopes with significant bare ground, Hieracium invasion increased total soil C and N and lowered soil pH and mineral N relative to the adjacent herb-field vegetation. Soil C mineralization was higher, and net N mineralization was lower under Hieracium than under the adjacent herb-field vegetation. Litter quality differences did not explain differences in net N mineralization. However, results from C-13 NMR spectroscopy suggest qualitative differences in organic-matter inputs under Hieracium compared to native vegetation. These results suggest that Hieracium may lower N availability by outcompeting native plants for mineral N, making it difficult for native species to reestablish and promoting the spread of Hieracium. Our results differed on cooler, wetter, less heavily grazed south-facing slopes, where soil C and N pools and cycling rates were lower under Hieracium than under the native herb-field vegetation (which differed across aspects). Whether the (longer term) impact of Hieracium on the south aspect resembles that on the north aspect may depend on management. Our results suggest that Hieracium invasion can alter ecosystem processes, but the impact of invasion may depend on the ecological context (aspect and disturbance) prior to invasion.</t>
  </si>
  <si>
    <t>10.1890/1051-0761(2001)011[1311:BIOHII]2.0.CO;2</t>
  </si>
  <si>
    <t>WOS:000171417700006</t>
  </si>
  <si>
    <t>["Hieracium"]</t>
  </si>
  <si>
    <t>["Hieracium spp."]</t>
  </si>
  <si>
    <t>An experimental simulation of an exotic aquatic macrophyte invasion and its influence on foraging behavior of bluegill</t>
  </si>
  <si>
    <t>We investigated the hypothesis that a shift from a native aquatic plant bed to an exotic invasive Hydrilla verticillata (hydrilla) plant bed would alter spatial complexity and light transmittance and therefore alter Lepomis macrochirus (bluegill) foraging success. Experimental treatments included: (i) intermediate densities of native-mixed plants and (ii) 50% native - 50% hydrilla, (iii) hydrilla, (iv) high density of hydrilla, and (v) no plants. Spatial complexity and light transmittance were influenced by increasing the homogeneity of hydrilla in vegetated aquatic habitat. In addition, bluegill foraging efficiency was affected negatively by increasing spatial complexity of a hydrilla dominated habitat. As a result bluegill searched faster, exhibited 60% more mean foraging bouts, and recognized 38% more food items in a native diverse habitat versus a hydrilla dominated habitat.</t>
  </si>
  <si>
    <t>10.1080/02705060.2008.9664559</t>
  </si>
  <si>
    <t>WOS:000253388900008</t>
  </si>
  <si>
    <t>["Alismatales"]</t>
  </si>
  <si>
    <t>["Hydrilla"]</t>
  </si>
  <si>
    <t>["Hydrilla verticillata"]</t>
  </si>
  <si>
    <t>Avian vacuolar myelinopathy linked to exotic aquatic plants and a novel cyanobacterial species</t>
  </si>
  <si>
    <t>Invasions of exotic species have created environmental havoc through competition and displacement of native plants and animals. The introduction of hydrilla (Hydrilla verticillata) into the United States in the 1960s has been detrimental to navigation, power generation, water intake, and water quality (McCann et al., 1996). Our field surveys and feeding studies have now implicated exotic hydrilla and associated epiphytic cyanobacterial species as a link to avian vacuolar myelinopathy (AVM), an emerging avian disease affecting herbivorous waterbirds and their avian predators. AVM, first reported in 1994, has caused the death of at least 100 bald eagles (Haliaeetus leucocephalus) and thousands of American coots (Fulica americana) at 11 sites from Texas to North Carolina (Thomas et al., 1998; Rocke et al., 2002). Our working hypothesis is that the agent of this disease is an uncharacterized neurotoxin produced by a novel cyanobacterial epiphyte of the order Stigonematales. This undescribed species covers up to 95% of the surface area of leaves in reservoirs where bird deaths have occurred from the disease. In addition, this species is rare or not found on hydrilla collected at sites where AVM disease has not been diagnosed. Laboratory feeding trials and a sentinel bird study using naturally occurring blooms of cyanobacteria on hydrilla leaves and farm-raised mallard ducks (Anas platyrhynchos) induced the disease experimentally. Since 1994 AVM has been diagnosed in additional sites from Texas to North Carolina. Specific site-characteristics that produce the disjunct distribution of AVM are unknown, but it is probable that the incidence of this disease will increase with the introduction of hydrilia and associated cyanobacterial species into additional ponds, lakes, and reservoirs. (c) 2005 Wiley Periodicals, Inc.</t>
  </si>
  <si>
    <t>10.1002/tox.20111</t>
  </si>
  <si>
    <t>WOS:000229897500019</t>
  </si>
  <si>
    <t>Adaptation of native syrphid flies to new exotic plant (Impatiens spp.)-aphid-ant associations in Central Europe (Dipt., Syrphidae; Hom., Aphididae; Hym., Formicidae)</t>
  </si>
  <si>
    <t>Impatiens parviflora and I. glandulifera, two invasive touch-me-not species of exotic origin were found to be associated with two aphid groups in Central Europe: a) Exotic species subsequently following their invasive plant hosts (Impatientinum asiaticum NEVSKY), b) native species secondarily adapted to the new exotic hosts (Aphis fabae cirsiiacanthoidis SCOP.). The species number (listed) of associated syrphid flies in the newly developed guilds was rather high, consisting of broadly oligophagous species. The plant phenology and adaptation of the aphids have resulted in associations which apparently represent seasonally significant sources of prey, their importance apparently increasing with the decreasing season. Ant-attendance was determined in both aphid species, and no adverse interference with the preying syrphid larvae was observed. In spite of an overall classification of the target plants as expansive weeds, they are classified positively as contributing to the enhancement of syrphid fly populations in the biocorridors in the cultivated landscape.</t>
  </si>
  <si>
    <t>10.1007/BF02770648</t>
  </si>
  <si>
    <t>WOS:000081558300004</t>
  </si>
  <si>
    <t>["Plantae", "Animalia"]</t>
  </si>
  <si>
    <t>["Tracheophyta", "Arthropoda"]</t>
  </si>
  <si>
    <t>["Magnoliopsida", "Insecta"]</t>
  </si>
  <si>
    <t>["Ericales", "Hemiptera"]</t>
  </si>
  <si>
    <t>["Impatiens", "Impatientinum"]</t>
  </si>
  <si>
    <t>["Impatiens parviflora", "Impatiens glandulifera", "Impatientinum asiaticum"]</t>
  </si>
  <si>
    <t>Assessing the impact of Impatiens glandulifera on riparian habitats: partitioning diversity components following species removal</t>
  </si>
  <si>
    <t>1. Attempts to quantify the impact of non-native plants on the vegetation of invaded habitats have often been criticized because of the frequent use of observational assessments (invaded/uninvaded comparisons) focused on local- rather than community-level effects. This study highlights how removal experiments combined with partitioning of diversity components across spatial scales can provide key insights into invasive species' impacts. 2. Impatiens glandulifera (Balsaminaceae) is a widespread invasive riparian weed, yet few quantitative assessments of its impact on natural vegetation exist. Thus replicated experiments were used to compare the impact of Impatiens removal on alpha, beta, gamma components of species richness, diversity and evenness in open riparian habitats in north-east England. 3. Plant community response to Impatiens removal was rapid, with a significant increase in seedling recruitment resulting in an average increase of four species m(-2). The impact of Impatiens invasion was most marked for light-demanding species. Eight non-native species (in addition to Impatiens) occurred in the community and these responded proportionally more to Impatiens removal than native species. As a result the proportion of non-native species in removal plots was higher than in invaded plots. 4. The increase in alpha richness and diversity following Impatiens removal was matched by a similar increase in the gamma components. Thus the effect of Impatiens was significant at both the local plot scale and at the scale of the riparian community, although the former effect was more marked. Species accumulation curves suggested that extensive Impatiens stands may reduce species richness by as much as 25%. 5. Synthesis and applications. Removal experiments appear particularly well suited to assess the impacts of herbaceous non-native plants on ruderal communities. By partitioning diversity components, impacts were consistently assessed at local and community scales and, when combined with analysis of species accumulation curves, provided a comprehensive assessment of impact on the plant community. The approach adopted in this study highlights that although Impatiens reduces native species diversity in open and frequently disturbed riparian vegetation, many of the species negatively influenced by Impatiens are widespread ruderal species. Furthermore, management may lead to a compensatory increase in the abundance of other non-native species and thus fail to achieve desired conservation goals.</t>
  </si>
  <si>
    <t>10.1111/j.1365-2664.2005.01102.x</t>
  </si>
  <si>
    <t>WOS:000235220900006</t>
  </si>
  <si>
    <t>["Ericales"]</t>
  </si>
  <si>
    <t>["Impatiens"]</t>
  </si>
  <si>
    <t>["Impatiens glandulifera"]</t>
  </si>
  <si>
    <t>Biodiversity and belowground interactions mediate community invasion resistance against a tall herb invader</t>
  </si>
  <si>
    <t>Aims Species-rich plant communities are hypothesized to be more resistant against plant invasions because they use resources in a more efficient way. However, the relative contributions of aboveground competition and belowground interactions for invasion resistance are still poorly understood. Methods We compared the performance of Knautia arvensis transplants growing in plots differing in plant diversity both under full competition and with shoots of neighbors tied back to determine the relative strength of aboveground competition in suppressing this test invader without the confounding effect of shading. In addition, we assessed the effects of belowground competition and soil-borne pathogens on transplant performance. Important Findings Both aboveground competition and plant species richness strongly and independently affected invader performance. Aboveground biomass, height, leaf mass per area and flowering of transplanted individuals of K. arvensis decreased with increasing species richness of the host community. Species-rich and species-poor communities both imposed equally strong aboveground competition on K. arvensis. However, belowground interactions (especially belowground root competition) had strong negative effects on transplant performance. In addition, the presence of grasses in a plant community further reduced the performance of K. arvensis. Our results suggest that belowground competition can render species-rich host communities more suppressive to newly arriving species, thus enhancing community invasion resistance.</t>
  </si>
  <si>
    <t>10.1093/jpe/rtq003</t>
  </si>
  <si>
    <t>WOS:000278732500004</t>
  </si>
  <si>
    <t>["Dipsacales"]</t>
  </si>
  <si>
    <t>["Knautia"]</t>
  </si>
  <si>
    <t>["Knautia arvensis"]</t>
  </si>
  <si>
    <t>Annual growth of invasive Larix kaempferi seedlings with reference to microhabitat and ectomycorrhizal colonization on a volcano</t>
  </si>
  <si>
    <t>To investigate the seedling growth of a biologically invasive larch Larix kaempferi (Lamb.) Carr. on Mount Koma, Japan, seedlings were excavated from three microhabitats (bareground = BA, Salix reinii patch = SP, and Larix understory = LU) in three elevational zones. Seedlings showed the highest ectomycorrhizal (ECM) colonization percentage in the most shaded microhabitat, LU. ECM colonization percentages in BA and SP were found to decrease with decreasing elevation. These results inferred that the ECM colonization percentages were related to seedling growth, particularly in BA and SP. However, the annual seedling growth was not synchronized with the increases in either elevational gradients. Although ECM colonization was most evident in LU, the seedling growth was the lowest. We concluded that the effects of ECM colonization on seedling growth were reduced mostly by microhabitat characteristics.</t>
  </si>
  <si>
    <t>10.1007/s10265-006-0052-1</t>
  </si>
  <si>
    <t>WOS:000244857000018</t>
  </si>
  <si>
    <t>["Pinopsida"]</t>
  </si>
  <si>
    <t>["Pinales"]</t>
  </si>
  <si>
    <t>["Larix"]</t>
  </si>
  <si>
    <t>["Larix kaempferi"]</t>
  </si>
  <si>
    <t>Acroptilon repens, an Asian invader, has stronger competitive effects on species from America than species from its native range</t>
  </si>
  <si>
    <t>The ability to competitively suppress native species is key to successful invasion. Since invasions involve an increase in abundance or dominance of a species in its non-native range, competitive effects might be expected to be stronger in the non-native range of an invader; however, there have been few comparisons of the competitive effects of invasive plants on species from invaded ranges versus species from native ranges. We compared the competitive and allelopathic effects of Acroptilon repens on native North American species to effects on related species from the native range of Acroptilon in Uzbekistan. We also compared the competitive interactions among these North American and Eurasian species, in the absence of Acroptilon, examining the hypothesis that particular regional species pools may show differences in competitive ability. The results showed that Acroptilon had stronger competitive effects against native North American species than against species native to Uzbekistan. There was no difference in the competitive effects among Eurasians and North Americans. The effects of leachates collected from Acroptilon roots were weak but more negative on species from North America than on species from Uzbekistan. Our results suggest that inherently stronger competitive and allelopathic effects of Acroptilon on North American plants than on plants from its native range may contribute to its invasive success.</t>
  </si>
  <si>
    <t>10.1007/s10530-010-9759-y</t>
  </si>
  <si>
    <t>WOS:000286581200002</t>
  </si>
  <si>
    <t>["Leuzea"]</t>
  </si>
  <si>
    <t>["Acroptilon repens"]</t>
  </si>
  <si>
    <t>AVIAN DISPERSAL AND REPRODUCTIVE SUCCESS OF 2 SPECIES OF LIGUSTRUM (OLEACEAE) IN A SUBTROPICAL FOREST RELICT IN ARGENTINA</t>
  </si>
  <si>
    <t>Flowering, fruit production, and seed dispersal by birds of two exotic plants (Ligustrum lucidum Ait. and Ligustrum sinense Lour.) were studied from 1986 to 1988 in a riparian forest relict located in central Argentina. L. lucidum has heavily invaded this forest whereas L. sinense has been less successful. This fact is not clearly explained either by L. sinense's lower fruit/flower ratio (14% vs. 21%) or by its lower seed production. Eleven native bird species living permanently in the ama eat fruits of both introduced plants. Of these, only three species are important for effective seed dispersal, while two others destroy the seeds. The population of the main seed predator increases considerably during the availability period of ripe Ligustrum fruits. Dispersal mode varies according to different species (isolated seeds or clumps of seeds). Migrant fruit-eating birds are not involved in seed dispersal of these plants. Ligustrum lucidum and L. sinense are perfectly naturalized in the area. Avian seed dispersal is apparently not essential for Ligustrum perpetuation although such dispersal was probably instrumental in colonization. There were no significant differences in germination between bird-dispersed seeds and those that had not passed through the birds' digestive tracts.</t>
  </si>
  <si>
    <t>WOS:A1993LG36000005</t>
  </si>
  <si>
    <t>["Ligustrum"]</t>
  </si>
  <si>
    <t>["Ligustrum lucidum", "Ligustrum sinense"]</t>
  </si>
  <si>
    <t>An experimental study of the relative humidity preference and survival of the Argentine ant, Linepithema humile (Hymenoptera, Formicidae): comparisons with a native Iridomyrmex species in South Australia</t>
  </si>
  <si>
    <t>The Argentine ant, Linepithema humile (Mayr), is a widespread invasive ant species that commonly displaces native ants and other ground-dwelling invertebrates in its introduced range. Previous studies have documented a relationship between the spread of Argentine ants and abiotic conditions (particularly water availability) in invaded areas, suggesting that the invasion success of Argentine ants may be related to specific abiotic factors. This study describes the relative humidity preferences and survival of Argentine ants and a dominant native ant, Iridomyrmex 'rufoniger' sp. group, in the laboratory. In a preference experiment, Argentine ant workers showed a significantly greater propensity than Iridomyrmex to locate themselves in containers with the highest relative humidity. A series of survival trials revealed that the survival of both species was related to the relative humidities within experimental containers. The survival of Argentine ant colonies was reduced in comparison with those of Iridomyrmex sp. after 4 h, however by 24 h both species displayed similar levels of survival in all relative humidity conditions. These findings confirm a relationship between the level of available moisture and the distribution and survival of Argentine ants, and may help to account for the current distribution and invasion success of Argentine ants in Australia.</t>
  </si>
  <si>
    <t>10.1007/s00040-003-0685-1</t>
  </si>
  <si>
    <t>WOS:000187185500009</t>
  </si>
  <si>
    <t>["Linepithema"]</t>
  </si>
  <si>
    <t>["Linepithema humile"]</t>
  </si>
  <si>
    <t>Argentine ants displace floral arthropods in a biodiversity hotspot</t>
  </si>
  <si>
    <t>Argentine ant (Linepithema humile (Mayr)) invasions are often associated with the displacement of ground-dwelling arthropods. Argentine ant invasions can also exert other effects on the community through interactions with plants and their associated arthropods. For example, carbohydrate resources (e.g. floral or extrafloral nectar) may influence foraging behaviour and interactions among ants and other arthropods. In South Africa's Cape Floristic Region, Argentine ants and some native ant species are attracted to the floral nectar of Leucospermum conocarpodendron Rourke (Proteaceae), a native tree that also has extrafloral nectaries (EFNs). Despite having relatively low abundance in pitfall traps, Argentine ants visited inflorescences more frequently and in higher abundance than the most frequently observed native ants, Camponotus spp., though neither native nor Argentine ant floral foraging was influenced by the EFNs. Non-metric multidimensional scaling revealed significant dissimilarity in arthropod communities on inflorescences with Argentine ants compared to inflorescences with native or no ants, with Coleoptera, Diptera, Hymenoptera, Arachnida, Orthoptera, and Blattaria all being underrepresented in inflorescences with Argentine ants compared to ant-excluded inflorescences. Native honeybees (Apis mellifera capensis Eschscholtz) spent 75% less time foraging on inflorescences with Argentine ants than on inflorescences without ants. Neither Argentine ant nor native ant visits to inflorescences had a detectable effect on seed set of Le. conocarpodendron. However, a pollen supplementation experiment revealed that like many other proteas, Le. conocarpodendron is not pollen-limited. Flower predation was negatively associated with increased ant visit frequency to the inflorescences, but did not differ among inflorescences visited by native and Argentine ants. Displacement of arthropods appears to be a consistent consequence of Argentine ant invasions. The displacement of floral arthropods by Argentine ants may have far-reaching consequences for this biodiversity hotspot and other regions that are rich in insect-pollinated plants.</t>
  </si>
  <si>
    <t>10.1111/j.1472-4642.2007.00410.x</t>
  </si>
  <si>
    <t>WOS:000252966500014</t>
  </si>
  <si>
    <t>An invasive plant-fungal mutualism reduces arthropod diversity</t>
  </si>
  <si>
    <t>Ecological theory holds that competition and predation are the most important biotic forces affecting the composition of communities. Here, we expand this framework by demonstrating that mutualism can fundamentally alter community and food web structure. In large, replicated field plots, we manipulated the mutualism between a dominant plant (Lolium arundinaceum) and symbiotic fungal endophyte (Neotyphodium coenophialum). The presence of the mutualism reduced arthropod abundance up to 70%, reduced arthropod diversity nearly 20%, shifted arthropod species composition relative to endophyte-free plots and suppressed the biomass and richness of other plant species in the community. Herbivorous arthropods were more strongly affected than carnivores, and for both herbivores and carnivores, effects of the mutualism appeared to propagate indirectly via organisms occurring more basally in the food web. The influence of the mutualism was as great or greater than previously documented effects of competition and predation on arthropod communities. Our work demonstrates that a keystone mutualism can significantly reduce arthropod biodiversity at a broad community scale.</t>
  </si>
  <si>
    <t>10.1111/j.1461-0248.2008.01201.x</t>
  </si>
  <si>
    <t>WOS:000257655400008</t>
  </si>
  <si>
    <t>["Plantae", "Fungi"]</t>
  </si>
  <si>
    <t>["Tracheophyta", "Ascomycota"]</t>
  </si>
  <si>
    <t>["Liliopsida", "Sordariomycetes"]</t>
  </si>
  <si>
    <t>["Poales", "Hypocreales"]</t>
  </si>
  <si>
    <t>["Lolium", "Epichloe"]</t>
  </si>
  <si>
    <t>["Lolium arundinaceum", "Neotyphodium coenophialum"]</t>
  </si>
  <si>
    <t>Additive effects of a potentially invasive grass and water stress on the performance of seedlings of gypsum specialists</t>
  </si>
  <si>
    <t>Question: What is the combined effect of two drivers of local biodiversity changes (presence of a potentially invasive species and seasonal drought) oil the performance of seedlings of plants front gypsum habitats under experimental conditions'? Location: A controlled microcosm reconstruction of natural assemblages of gypsum plant communities from central Spain. Methods: We evaluated the effects of a potentially invasive grass (Lolium rigidum) and water stress oil the survival, height growth and biomass of five woody species (Colutea hispanica, Gypsophila struthium, Thymus lacaitae, Lepidium subulatum and Helianthemum squamatum) from semi-arid gypsum ecosystems. Seedlings of the five species were grown with or without the potential invader and under three watering regimes: early stress - Simulating an advanced summer, late stress - simulating the characteristic timing Of Current summer drought and well-watered. Results: Seedling survival and performance were negatively affected by the presence of the potential invader. Early stress had larger impacts on the gypsum species than late stress, No interactions were found between factors for any of the study variables, and responses to both factors were found to be species-specific. Conclusions: The lack of interactions between factors indicates that the presence of the potentially invasive grass and water stress had additive effects in Our Study system. The negative impact of early water stress draws attention to the possible consequences of the advances of summer drought predicted for Mediterranean ecosystems. Finally, the differential responses found for the study species suggest that plant communities will not respond as a unit to global change, leading to significant changes in species composition and dominance.</t>
  </si>
  <si>
    <t>10.3170/2008-7-18425</t>
  </si>
  <si>
    <t>WOS:000263168800001</t>
  </si>
  <si>
    <t>["Lolium"]</t>
  </si>
  <si>
    <t>["Lolium rigidum"]</t>
  </si>
  <si>
    <t>Avian seed dispersal of an invasive shrub</t>
  </si>
  <si>
    <t>The incorporation of an animal-dispersed exotic plant species into the diet of native frugivores can be an important step to that species becoming invasive. We investigated bird dispersal of Lonicera maackii, an Asian shrub invasive in eastern North America. We (i) determined which species of birds disperse viable L. maackii seeds, (ii) tested the effect of gut passage on L. maackii seeds, and (iii) projected the seed shadow based on habitat use by a major disperser. We found that four native and one exotic bird species dispersed viable L. maackii seeds. Gut passage through American robins did not inhibit germination, but gut passage through cedar waxwings did. American robins moved mostly along woodlot edges and fencerows, leading us to project that most viable seeds would be defecated in such habitats, which are very suitable for L. maackii. We conclude that L. maackii has been successfully incorporated into the diets of native and exotic birds and that American robins preferentially disperse seeds to suitable habitat.</t>
  </si>
  <si>
    <t>10.1007/s10530-005-3634-2</t>
  </si>
  <si>
    <t>WOS:000239742900004</t>
  </si>
  <si>
    <t>["Lonicera"]</t>
  </si>
  <si>
    <t>["Lonicera maackii"]</t>
  </si>
  <si>
    <t>Use of mineral licks by mammals and birds in hunted and non-hunted areas of Yasuni National Park, Ecuador</t>
  </si>
  <si>
    <t>Mineral licks are sites where a diverse array of mammals and birds consume soil or drink water, likely for mineral supplementation. Many of those same animals are targets of hunters. Camera traps triggered by heat and motion were used to document use of mineral licks by birds and mammals over approximately 2 months at two lowland forest sites in eastern Ecuador, one that has experienced considerable hunting by indigenous Waorani (four mineral licks) and one that is largely unaffected by hunting (five licks). We obtained 264 photographs representing nine mammal species and one photograph of a bird at the hunted site; 1123 photographs of 12 mammal species and 73 of three bird species were obtained at the site without hunting. Photographs were counted if at least 30min elapsed between photographs of the same species at the same camera location. Activity (photographs/100 trap-days) was higher at all licks at the site without hunting (mean=436; range 276-665/100 trap-days) than at the hunted site (mean=123; range 89-151/100 trap-days). Diurnal activity was, overall, lower at the hunted site, particularly during the middle of the day. Species not recorded at the hunted site included two primates (white-bellied spider monkey Ateles belzebuth; Venezuelan red howler monkey Alouatta seniculus), white-lipped peccary, Tayassu pecari and two large-bodied birds (common piping-guan, Pipile pipile; Salvin's curassow, Mitu salvini); all are common prey of local hunters. Red brocket deer, Mazama americana was the most frequently photographed species at both sites, but was less active during the day at the hunted site.</t>
  </si>
  <si>
    <t>10.1111/acv.12012</t>
  </si>
  <si>
    <t>WOS:000323101700011</t>
  </si>
  <si>
    <t>["Proboscidea", "Galliformes", "Columbiformes", "Primates", "Rodentia", "Cingulata", "Cetartiodactyla", "Pilosa", "Carnivores", "Perissodactyla"]</t>
  </si>
  <si>
    <t>["Loxodonta", "Mitu", "Patagioenas", "Pipile", "Alouatta", "Ateles", "Cuniculus", "Dasyprocta", "Dasypus", "Mazama", "Myoprocta", "Myrmecophaga", "Pecari", "Procyon", "Tapirus", "Tayassu"]</t>
  </si>
  <si>
    <t>["Loxodonta africana", "Mitu salvini", "Patagioenas plumbea", "Pipile pipile", "Alouatta seniculus", "Ateles belzebuth", "Cuniculus paca", "Dasyprocta fuliginosa", "Dasypus novemcinctus", "Mazama americana", "Myoprocta pratti", "Myrmecophaga tridactyla", "Pecari tajacu", "Procyon cancrivorus", "Tapirus terrestris", "Tayassu pecari"]</t>
  </si>
  <si>
    <t>Distribution of savannah elephants (Loxodonta africana africana Blumenbach 1797) within Nazinga game ranch, Southern Burkina Faso</t>
  </si>
  <si>
    <t>We tested the hypothesis that elephant distribution inside the Nazinga Game Ranch (Southern Burkina Faso) during the wet season is influenced by villages outside, while in the dry season elephants are restricted only by water. Occupancy was evaluated by recording elephant dung-piles on 54 line transects in each of three seasons: wet 2006, dry 2007 and dry 2008. We measured the distance of each transect from nearest villages, nearest permanent water sources, nearest guard posts and tourist camps. The results were unexpected: elephant occupancy in the wet season was independent of villages but influenced by poaching, while their occupancy in both dry seasons was determined by the proximity of villages as well as water. In the dry season, elephants were attracted to villages by grain stores and fruiting trees. There has been a dramatic shift in the dry season distribution of elephants, and consequently in browsing pressure, over the last two decades. We suggest that this change is a consequence of the expansion of human activities outside the ranch. This study shows that the effects of growing human disturbance on elephant populations in small protected areas are not predictable. Correcting for spatial autocorrelation had a negligible effect upon the models.Resume Nous avons teste l'hypothese selon laquelle la distribution des elephants dans le Ranch de Gibier de Nazinga (dans le sud du Burkina Faso) etait influencee, durant la saison des pluies, par des villages situes a l'exterieur, tandis que, en saison seche, les elephants ne sont limites que par l'eau. On a evalue l'occupation en enregistrant les tas de crottes d'elephant sur 54 transects lineaires pendant trois saisons: saison pluvieuse 2006, saison seche 2007 et saison seche 2008. Nous avons mesure la distance entre chaque transect par rapport aux villages les plus proches, les points d'eau les plus proches, les postes de gardes et les camps de touristes les plus proches. Les resultats furent inattendus : l'occupation des elephants en saison des pluies ne dependait pas des villages mais plutot du braconnage alors que pendant les deux saisons seches, leur taux d'occupation etait determine par la proximite des villages et de l'eau. En saison seche, les elephants etaient attires vers les villages par les stocks de grain et les arbres qui fructifiaient. Il y a eu un spectaculaire changement de la distribution saisonniere des elephants, et par consequent la pression de broutage en saison seche, au cours des deux dernieres decennies. Nous suggerons que ce changement est une consequence de l'expansion des activites humaines hors du ranch. Cette etude montre que les effets des croissantes perturbations humaines sur les populations d'elephants dans de petites aires protegees ne sont pas previsibles. Le fait d'apporter une correction pour l'autocorrelation spatiale n'avait qu'un effet negligeable sur les modeles.</t>
  </si>
  <si>
    <t>10.1111/j.1365-2028.2010.01239.x</t>
  </si>
  <si>
    <t>WOS:000290171900002</t>
  </si>
  <si>
    <t>["Loxodonta"]</t>
  </si>
  <si>
    <t>["Loxodonta africana"]</t>
  </si>
  <si>
    <t>A survey of elephants (Loxodonta africana) in the Kahuzi-Biega National Park lowland sector and adjacent forest in eastern Zaire</t>
  </si>
  <si>
    <t>There has been considerable uncertainty about the abundance estimation of Loxodonta africana within tropical lowland moist forests in Zaire. We surveyed a 15,570 km(2) area within the forests of eastern Zaire using transect sampling methods and estimated the elephant population to be 3720 (range 2300-5000) individuals. Dung pile densities were significantly different between adjacent settlement, deep forest, and deep forest core strata, with the most remote area harbouring the highest density. Evidence of elephant poaching was encountered throughout the survey area suggesting that elephant populations continue to be at severe risk.</t>
  </si>
  <si>
    <t>10.1111/j.1365-2028.1997.088-89088.x</t>
  </si>
  <si>
    <t>WOS:000072183400004</t>
  </si>
  <si>
    <t>A POPULATION SURVEY OF FOREST ELEPHANTS (LOXODONTA-AFRICANA-CYCLOTIS) IN NORTHERN CONGO</t>
  </si>
  <si>
    <t>From February to April of 1989 transects were run in four forested areas of northern Congo (Brazzaville) to census elephant populations using dung counts. A total of 401.0 km of line transects was completed during the survey. An overall extrapolated density of 0.7 elephants/km2 was obtained with a variation from 0.3 to 0.9 elephants/km2. This study shows for the first time that elephants occur in high densities in a number of sites in northern Congo. When elephant dung density is plotted against distance from the nearest village for each transect a significant positive linear correlation results. Based on this correlation we hypothesize that the population of elephants in much of northern Congo is high. Local reports and our own observations indicate that elephant poaching is heavy in northern Congo and that the CITES ban on trade in African elephant ivory has had a limited effect on the level of poaching.</t>
  </si>
  <si>
    <t>10.1111/j.1365-2028.1991.tb01000.x</t>
  </si>
  <si>
    <t>WOS:A1991HC73800001</t>
  </si>
  <si>
    <t>["Lutra", "Amblonyx"]</t>
  </si>
  <si>
    <t>["Lutra", "Lutrogale", "Amblonyx"]</t>
  </si>
  <si>
    <t>A brief history of Purple Loosestrife, Lythrum salicaria, in Manitoba and its status in 2001</t>
  </si>
  <si>
    <t>Purple Loosestrife (Lythrum salicaria L.) has become recognized as an invasive alien plant having deleterious impacts on Manitoba's natural areas. The first herbarium specimen of Purple Loosestrife was collected in 1896 near Neepawa followed by infestations in 1944 at Lockport and in 1951 in Winnipeg. As of 1991 there were 38 known populations of Purple Loosestrife in Manitoba. By the fall of 2001. there were a known 492 populations covering an estimated 5575 ha of habitat. These data indicate a 13-fold increase in the number of Purple Loosestrife infestations between 1991 and 2001 in Manitoba. The majority of Purple Loosestrife (77.6%) was found in central Manitoba infesting 4324 ha. The Netley-Libau Marsh, located in central Manitoba, accounted for 26% of all Purple Loosestrife in Manitoba. Central Manitoba (42.6%) had the majority of all Purple Loosestrife infestations followed by the city of Winnipeg (41.4%). eastern Manitoba (9.9%) and western Manitoba (6.1%). Purple Loosestrife was commonly found in roadside ditches (46%), river banks (25%) and wetland habitats (10%). Typha spp., Phalaris arundinacea and Carex spp. were commonly associated with Purple Loosestrife infestations. Infestations ranged from one plant to thousands of plants. Of the infestations purveyed, 9% had over 1000 plants while 52% had under 100 plants.</t>
  </si>
  <si>
    <t>WOS:000185905300016</t>
  </si>
  <si>
    <t>["Myrtales"]</t>
  </si>
  <si>
    <t>["Lythrum"]</t>
  </si>
  <si>
    <t>["Lythrum salicaria"]</t>
  </si>
  <si>
    <t>Benign environments do not explain the increased vigour of non-indigenous plants: a cross-continental transplant experiment</t>
  </si>
  <si>
    <t>Invasive plants tend to be taller and produce more biomass in their introduced range than conspecifics growing in their native range. Such observations are usually explained by more 'benign' environments, implying that plastic, phenotypic responses are responsible for increased vigour: We compared the growth of 10 Lythrum salicaria,populations from indigenous and non-indigenous distributions in two gardens. one located in Ern ope (indigenous range), the other in North America (non-indigenous range). Spearman rank correlations of different growth variables were generally significant, suggesting that certain genotypes show increased vigour regardless of growing location. More benign climates or the absence of natural enemies are not sufficient to explain this increased vigour. Plant performance tended to be higher in populations from the introduced range, though few differences were statistically significant. To test alternative hypotheses of 'increased vigour' larger sample sizes will be required which was not attempted in this study.</t>
  </si>
  <si>
    <t>10.1080/09583159929523</t>
  </si>
  <si>
    <t>WOS:000085254100011</t>
  </si>
  <si>
    <t>Aquatic invertebrate communities associated with purple loosestrife (Lythrum salicaria), cattail (Typha latifolia), and bulrush (Scirpus acutus) in central Washington, USA</t>
  </si>
  <si>
    <t>Purple loosestrife (Lythrum salicaria) is an invasive wetland perennial that is thought to threaten the ecological integrity of North American wetlands by forming monotypic stands and altering the diversity of native wetland ecosystems. To determine if purple loosestrife infestation alters aquatic invertebrate communities, the abundance and size distribution of aquatic invertebrates associated with purple loosestrife were quantified during the spring and summer and compared to those within stands of two other commonly occurring emergents, cattail (Typha latifolia) and bulrush (Scirpus acutus). Aquatic invertebrates representing 10 taxa (classes or orders) were collected using four different sampling techniques. Individuals from each taxa were collected in all three vegetation types, although the size of the individuals of some orders was smaller in Lythrum. Measurements of water quality indicated no significant (p less than or equal to 0.05) differences among the three vegetation types, despite the fact that Scirpus tended to be established in deeper water than Lythrum. Results indicate that monotypic stands of purple loosestrife are not lacking in aquatic invertebrates however, because our study was conducted in a mixed vegetation wetland at an intermediate stage of purple loosestrife infestation, our findings may not be representative of more extreme purple loosestrife invasions.</t>
  </si>
  <si>
    <t>10.1672/0277-5212(2001)021[0593:AICAWP]2.0.CO;2</t>
  </si>
  <si>
    <t>WOS:000172918700013</t>
  </si>
  <si>
    <t>["Purple loosestrife (Lythrum salicaria)"]</t>
  </si>
  <si>
    <t>["Melogale", "Arctonyx", "Martes"]</t>
  </si>
  <si>
    <t>Biomass allocation, growth, and photosynthesis of genotypes from native and introduced ranges of the tropical shrub Clidemia hirta</t>
  </si>
  <si>
    <t>We tested the hypothesis that the tropical shrub Clidemia hirta appears more shade tolerant and is more abundant in its introduced than native range because of genetic differences in resource acquisition, allocation, and phenotypic plasticity between native and introduced genotypes. We examined growth, biomass allocation, and photosynthetic parameters of C. hirta grown in a greenhouse from seed collected from four populations in part of its native range (Costa Rica) and four populations in part of its introduced range (Hawaiian Islands). Six-month-old seedlings were placed in high (10.3-13.9 mol m(-2) day(-1)) or low (1.4-4.5 mol m(-2) day(-1)) light treatments and grown for an additional 6 months. Our study provided little evidence that Hawaiian genotypes of C. hirta differed genetically from Costa Rican genotypes in ways that would contribute to differences in habitat distribution or abundance. Some of the genetic differences that were apparent, such as greater allocation to stems and leaf area relative to whole plant biomass in Costa Rican genotypes and greater allocation to roots in Hawaiian genotypes, were contrary to predictions that genotypes from the introduced range would allocate more biomass to growth and less to storage than those from the native range. Hawaiian and Costa Rican genotypes displayed no significant differences in relative growth rates, maximal photosynthetic rates, or specific leaf areas in either light treatment. In the high light environment, however, Hawaiian genotypes allocated more biomass to reproductive parts than Costa Rican genotypes. Phenotypic plasticity for only 1 of 12 morphological and photosynthetic variables was greater for Hawaiian than Costa Rican genotypes. We conclude that genetic shifts in resource use, resource allocation, or plasticity do not contribute to differences in habitat distribution and abundance between the native and introduced ranges of C. hirta.</t>
  </si>
  <si>
    <t>10.1007/s00442-003-1462-6</t>
  </si>
  <si>
    <t>WOS:000220365700004</t>
  </si>
  <si>
    <t>["Miconia"]</t>
  </si>
  <si>
    <t>["Clidemia hirta"]</t>
  </si>
  <si>
    <t>A rhizomatous, perennial form of Microstegium vimineum (Trin.) A-Camus in New Jersey</t>
  </si>
  <si>
    <t>Populations of Microstegium vimineum (Trin.) A. Camus have been found in New Jersey containing individuals that have clusters of large rhizomes, and which evidently exhibit the perennial growth habit. This species, a major invasive exotic pest throughout the east coast,has previously only been known as an annual, both in the US and in its native geographical range in temperate and tropical Asia and India. Rhizomatous plants were observed in 6 populations, in sites ranging over a 100 km distance, and accounted for 8-15% of the culms in each population. Lower nodes of decumbent culms have on average 4 rhizomes (maximum 13 per node and 23 per culm were observed), which are 0.1 to 7 cm long (mean 1 cm). Significant differences in the number of rhizomes per culm and the size distribution of rhizomes were found among three sampled populations. Rhizomatous specimens had open, exserted terminal panicles which flowered 2-3 weeks before the non-rhizomatous specimens, which have cleistogamous spikelets within the leaf sheaths and a variably exserted, closed terminal panicle. Rhizomes sprouted in the greenhouse, after cold treatment, demonstrating their perennial capacity. This is the first reported occurrence of rhizomes in the genus, and also is the first apparent example of a trade-off between annual/perennial life history and cleistogamous/chasmogamous reproduction. In addition to the implications for the evolution of plant life history characteristics and breeding systems,the finding has important implications for control strategies for this invasive plant species; current recommendations for its control will not be effective against perennial forms.</t>
  </si>
  <si>
    <t>10.2307/2997320</t>
  </si>
  <si>
    <t>WOS:000083379100010</t>
  </si>
  <si>
    <t>["Microstegium"]</t>
  </si>
  <si>
    <t>["Microstegium vimineum"]</t>
  </si>
  <si>
    <t>Controlling access to oil roads protects forest cover, but not wildlife communities: a case study from the rainforest of Yasuni Biosphere Reserve (Ecuador)</t>
  </si>
  <si>
    <t>Through the analysis of a case study from Amazonian Ecuador, this paper evaluates the impacts of two oil-road management approaches on the structure and composition of wildlife communities (large- or medium-sized mammals and game bird species). In a free-access road, where forest has been cleared and fragmented by colonists, fewer species were found, together with wildlife density estimates that were almost 80% lower than on a control site without human disturbance. In contrast, on the road where access control has been enforced, habitat destruction has been minimal, but several wildlife species showed reductions in their populations, apparently related to changes in the subsistence practices of local Waorani hunters that settled along the road after its construction. In this area, economic subsidies and free transportation from the oil companies, access to the road, more efficient hunting technologies, and market incentives have increased the impacts of hunting by the Waorani, resulting in depletion of the local wildlife populations. Our research suggests that construction of roads in oil extraction areas must be avoided if at all possible. The alternative management of controlling access can be effective for short-term habitat protection, but not for wildlife conservation, especially when oil industry practices alter the social dynamics of local indigenous groups.</t>
  </si>
  <si>
    <t>10.1111/j.1469-1795.2012.00592.x</t>
  </si>
  <si>
    <t>WOS:000319703600005</t>
  </si>
  <si>
    <t>["Galliformes", "Gruiformes", "Piciformes", "Primates", "Rodentia", "Cetartiodactyla"]</t>
  </si>
  <si>
    <t>["Mitu", "Ortalis", "Penelope", "Pipile", "Psophia", "Ramphastos", "Ateles", "Plecturocebus", "Cebus", "Cuniculus", "Dasyprocta", "Lagothrix", "Mazama", "Microsciurus", "Myoprocta", "Pecari", "Pithecia", "Leontocebus", "Saimiri", "Sciurus", "Tayassu"]</t>
  </si>
  <si>
    <t>["Mitu salvini", "Ortalis guttata", "Penelope jacquacu", "Pipile pipile", "Psophia crepitans", "Ramphastos spp", "Ateles belzebuth", "Callicebus moloch", "Cebus albifrons", "Cuniculus paca", "Dasyprocta fuliginosa", "Lagothrix lagotricha", "Mazama americana", "Microsciurus flaviventer", "Myoprocta pratti", "Pecari tajacu", "Pithecia monachus", "Saguinus tripartitus", "Saimiri sciureus", "Sciurus spp", "Tayassu pecari"]</t>
  </si>
  <si>
    <t>Bushmeat and the fate of trees with seeds dispersed by large primates in a lowland rain forest in western Amazonia</t>
  </si>
  <si>
    <t>In Neotropical forests, large fruit-eating primates play important ecological roles as dispersal agents of large seeds. Bushmeat hunting threatens to disrupt populations of primates and large-seeded trees. We test the hypothesis that otherwise intact Neotropical forests with depressed populations of large primates experience decline in recruitment of large-seeded trees. We quantify the proportion of small juveniles (&gt; 0.5 m tall-1 cm diameter at breast height, DBH) of large primate-dispersed tree species found underneath heterospecifc trees that are also dispersed by large primates at two protected sites in Manu National Park and one hunted site outside Manu N.P. in southeastern Peru. The forests are comparable in edaphic and climatic qualities, successional stage, and adult tree species composition. We found that hunting locally exterminates populations of large primates, and reduced primates of intermediate body size (hereafter medium primates) by 80 percent. Moreover, tree species richness was 55 percent lower and density of species dispersed by large and medium-bodied primates 60 percent lower in hunted than in protected sites. In addition, richness and density of abiotically dispersed species and plants dispersed by non-game animals are greater in hunted sites. Overhunting threatens to disrupt the ecological interactions between primates and the plants that rely on them for seed dispersal and recruitment. Sustainable wildlife management plans are urgently needed, because protected areas are at risk of becoming island parks if buffer zones become empty of animals and have impoverished flora.</t>
  </si>
  <si>
    <t>10.1111/j.1744-7429.2007.00276.x</t>
  </si>
  <si>
    <t>WOS:000245939300007</t>
  </si>
  <si>
    <t>["Galliformes", "Gruiformes", "Primates", "Carnivores", "Rodentia", "Cingulata", "Didelphimorphia", "Cetartiodactyla", "Lagomorpha", "Pilosa", "Perissodactyla"]</t>
  </si>
  <si>
    <t>["Mitu", "Penelope", "Psophia", "Alouatta", "Aotus", "Ateles", "Atelocynus", "Bassaricyon", "Plecturocebus", "Cebus", "Cuniculus", "Dasyprocta", "Dasypus", "Didelphis", "Eira", "Leopardus", "Mazama", "Myoprocta", "Nasua", "Oryzomys", "Panthera", "Pecari", "Potos", "Proechimys", "Puma", "Leontocebus", "Saguinus", "Saimiri", "Sapajus", "Sciurus", "Sylvilagus", "Tamandua", "Tapirus", "Tayassu"]</t>
  </si>
  <si>
    <t>["Mitu tuberosum", "Penelope jacquacu", "Psophia leucoptera", "Alouatta seniculus", "Aotus nigriceps", "Ateles chamek", "Atelocynus microtis", "Bassaricyon gabbii", "Callicebus brunneus", "Cebus albifrons", "Cuniculus paca", "Dasyprocta punctata", "Dasypus novemcinctus", "Didelphis marsupialis", "Eira barbara", "Leopardus pardalis", "Mazama americana", "Mazama gouazoubira", "Myoprocta pratti", "Nasua nasua", "Oryzomys spp.", "Panthera onca", "Pecari tajacu", "Potos flavus", "Proechimys spp", "Puma concolor", "Saguinus fuscicollis", "Saguinus imperator", "Saimiri sciureus", "Sapajus apella", "Sciurus ignitus", "Sciurus spadiceus", "Sylvilagus brasiliensis", "Tamandua tetradactyla", "Tapirus terrestris", "Tayassu pecari"]</t>
  </si>
  <si>
    <t>Extent of nontimber resource extraction in tropical forests: Accessibility to game vertebrates by hunters in the Amazon basin</t>
  </si>
  <si>
    <t>Extractive activities targeting a wide range of nontimber forest products (NTFPs) are ubiquitous in tropical forests, yet the extent of structurally intact forests in a given region affected by this form of cryptic disturbance is poorly documented. We conducted a basin-wide geographic information system analysis of the nonmotorized accessibility of Amazonian NTFP extraction and estimated the proportion of the Amazon drainage basin within Brazil (3.74 million km(2)) that can be accessed on foot from the nearest navigable river or functional road. We use a long-term series of standardized line-transect vertebrate censuses conducted throughout the region to illustrate the effects of physical accessibility on wildlife densities in terms of hunting pressure as a function of distance from the nearest point of access. Population abundance in large-bodied, prime-target species preferred by game hunters tended to increase at greater distances from the access matrix, whereas small-bodied species ignored by hunters usually showed the reverse trend. In addition, we estimated the proportion of presumably inviolate core areas within nature, extractive, and indigenous reserves of Brazilian Amazonia that are prohibitively remote and unlikely to be overhunted; for instance, only 1.16% of the basin-wide area is strictly protected on paper and is reasonably safe from extractive activities targeted to game vertebrates and other valuable NTFPs. Finally, we discuss the concept of truly undisturbed wildlands in the last major tropical forest regions by distinguishing potentially overharvested areas from those that remain largely or entirely pristine and that maintain viable populations of a full complement of harvest-sensitive species.</t>
  </si>
  <si>
    <t>10.1046/j.1523-1739.2003.01413.x</t>
  </si>
  <si>
    <t>WOS:000181736400021</t>
  </si>
  <si>
    <t>["Galliformes", "Gruiformes", "Primates", "Rodentia", "Cetartiodactyla", "Perissodactyla"]</t>
  </si>
  <si>
    <t>["Mitu", "Psophia", "Alouatta", "Callicebus", "Cebus", "Dasyprocta", "Lagothrix", "Pecari", "Saguinus", "Saimiri", "Sciurus", "Tapirus"]</t>
  </si>
  <si>
    <t>["Mitu tuberosum and Crax spp", "Psophia spp", "Alouatta spp", "Callicebus cupreus and C. moloch", "Cebus albifrons", "Dasyprocta spp", "Lagothrix lagotricha", "Pecari tajacu", "Saguinus mystax and imperator", "Saimiri spp", "Sciurus spadiceus", "Tapirus terrestris"]</t>
  </si>
  <si>
    <t>Adaptation to cold and predation-shelter use by invasive raccoon dogs Nyctereutes procyonoides in BiaowieA1/4a Primeval Forest (Poland)</t>
  </si>
  <si>
    <t>Based on radio-tracking of raccoon dogs Nyctereutes procyonoides in BiaowieA1/4a Primeval Forest (E Poland) in 1997-2002, we addressed the hypothesis that pattern of shelter use by this invasive carnivore is an adaptation to both climatic conditions and predation. Raccoon dogs used various types of shelters but were invariably concealed in dense vegetation or in the shelters created by trunks, branches, or roots of fallen trees (58% of days). Burrows (mainly badger setts) and hollow trees (mainly fallen limes) were selected on 27% and 14% of days, respectively. The pattern of shelter use varied throughout the year. In crucial periods (breeding period and winter), raccoon dogs used shelter offering better protection: burrows and hollow trees (use of which increased with decreasing ambient temperature) in winter, and hollow trees and dense vegetation during breeding and raising pups. The pattern of shelter use by raccoon dogs was also strongly modified by forest structure. Raccoon dogs living in the pristine old-growth stands (with large amounts of dead wood) utilized mainly natural shelters created by fallen trees (trunks, branches, and roots) and sedge tussocks (38% and 37%, respectively). Individuals inhabiting the managed part of the Forest used mainly burrows (43%) and thicket (23%). We recorded very strong monogamous relationships between pair mates, manifested by shared resting on 84% of days per year. We conclude that hiding behavior and plasticity in shelter use is a response to high mortality due to predation and to unfavorable climatic conditions. High adaptability to various environmental conditions may be one of the factors underlying successful range expansion of raccoon dogs in Europe.</t>
  </si>
  <si>
    <t>10.1007/s10344-010-0406-9</t>
  </si>
  <si>
    <t>WOS:000286630300013</t>
  </si>
  <si>
    <t>["Nyctereutes"]</t>
  </si>
  <si>
    <t>["Nyctereutes procyonoides"]</t>
  </si>
  <si>
    <t>A transportation model assessment of the risk to native mussel communities from zebra mussel spread</t>
  </si>
  <si>
    <t>When introduced species threaten native flora and fauna, protection requires an analysis of the risk that native species face from the spread of the introduced species. Models of invading species, however, often do not include a dynamic component of risk. North American freshwater mussels are at risk, of fouling by the introduced zebra mussel (Dreissena polymorpha). Predictions of the risk to native mussel communities of invasion by the zebra mussel can help prioritize conservation efforts. We present a model for the spatial analysis of zebra mussel spread that allows the characterization of relative risk of infestation to the high-quality mussel communities of Illinois streams. A gravity model, constrained at origin and destination, was parameterized with data on boat use at 120 boat landings in Illinois. The risk of spread of zebra mussels depends on the number of boat trips from infested waters, which in turn depends on distance from an infested water, boat use at a site, and the position of a lake within a river system. Habitats supporting a high diversity of native mussels and threatened and endangered species are at risk of infestation from reservoirs upstream. Invasion of inland lakes and reservoirs in Illinois is predicted to occur first at areas of high boat use close to currently, infested waters, including the Fox Chain of Lakes, followed by central Illinois reservoirs. These reservoirs will act as stepping stones, facilitating the invasion of lakes upstream of critical native mussel habitats. Efforts to protect waters that center on prevention of the initial invasion of stepping-stone lakes could significantly reduce the risk of infestation. Education and inspection efforts are predicted to be more effective than quarantine because quarantines would displace boat traffic to critical habitats. The class of models presented here is useful for predicting risk of invasion when complete data on vector movement are not available.</t>
  </si>
  <si>
    <t>10.1046/j.1523-1739.1998.97042.x</t>
  </si>
  <si>
    <t>WOS:000075179800012</t>
  </si>
  <si>
    <t>["Mollusca"]</t>
  </si>
  <si>
    <t>["Gastropoda"]</t>
  </si>
  <si>
    <t>["Stylommatophora"]</t>
  </si>
  <si>
    <t>["Orthalicus"]</t>
  </si>
  <si>
    <t>["zebra mussel (Dreissena polymorpha)"]</t>
  </si>
  <si>
    <t>Broad-scale latitudinal patterns of genetic diversity among native European and introduced house sparrow (Passer domesticus) populations</t>
  </si>
  <si>
    <t>Introduced species offer unique opportunities to study evolution in new environments, and some provide opportunities for understanding the mechanisms underlying macroecological patterns. We sought to determine how introduction history impacted genetic diversity and differentiation of the house sparrow (Passer domesticus), one of the most broadly distributed bird species. We screened eight microsatellite loci in 316 individuals from 16 locations in the native and introduced ranges. Significant population structure occurred between native than introduced house sparrows. Introduced house sparrows were distinguished into one North American group and a highly differentiated Kenyan group. Genetic differentiation estimates identified a high magnitude of differentiation between Kenya and all other populations, but demonstrated that European and North American samples were differentiated too. Our results support previous claims that introduced North American populations likely had few source populations, and indicate house sparrows established populations after introduction. Genetic diversity also differed among native, introduced North American, and Kenyan populations with Kenyan birds being least diverse. In some cases, house sparrow populations appeared to maintain or recover genetic diversity relatively rapidly after range expansion (&lt; 50 years; Mexico and Panama), but in others (Kenya) the effect of introduction persisted over the same period. In both native and introduced populations, genetic diversity exhibited large-scale geographic patterns, increasing towards the equator. Such patterns of genetic diversity are concordant with two previously described models of genetic diversity, the latitudinal model and the species diversity model.</t>
  </si>
  <si>
    <t>10.1111/j.1365-294X.2011.05001.x</t>
  </si>
  <si>
    <t>WOS:000288074600007</t>
  </si>
  <si>
    <t>["Passeriformes"]</t>
  </si>
  <si>
    <t>["Passer"]</t>
  </si>
  <si>
    <t>["Passer domesticus"]</t>
  </si>
  <si>
    <t>ASPECTS OF THE ECOLOGY OF 2 SPECIES OF PASSIFLORA (PASSIFLORA-MOLLISSIMA (KUNTH) L-BAILEY AND PASSIFLORA-PINNATISTIPULA CAV) AS WEEDS IN SOUTH ISLAND, NEW-ZEALAND</t>
  </si>
  <si>
    <t>Vegetation invaded by two species of passionfruit (Passiflora mollissima and P. pinnatis-tipula) was examined at several sites in South Island, mostly containing small forest remnants of angiosperm species such as Melicytus ramiflorus and Macropiper excelsum. Several aspects of the regeneration of these Passiflora species were examined and the results generally reflected those of intensive studies of the same species conducted in Hawaii. Seed germination in the laboratory was continuous over an 8 month period from sowing, and in the wild this allows seeds to accumulate in the soil seed bank. Germinable seeds and seedling numbers, however, were of a similar magnitude to those of native angiosperms at the sites, and they do not reach the very large numbers of some woody weeds. Seedling growth was c. 10 cm over a seven month period at two sites at 300 m a.s.l., which is towards the upper altitudinal limit of Passiflora species. Stem cuttings readily establish in both a glasshouse and a shadehouse. As stems frequently become buried and fragmented on steep slopes, their regeneration may assist in the localised spread of the plant, and also in the re-establishment of plants on a wide range of sites after mechanical control operations. Establishment of Passiflora species is restricted to areas of high light levels and soil disturbance such as forest clearings and road cuttings in the absence of dense herbaceous growth. Small forest and scrub remnants with high edge-to-area ratios are therefore particularly vulnerable. Passiflora species are relatively new weeds which are probably still expanding their range, and they can be expected to increase, assisted by human activity, particularly adjacent to highways.</t>
  </si>
  <si>
    <t>10.1080/0028825X.1995.10412959</t>
  </si>
  <si>
    <t>WOS:A1995TB88000005</t>
  </si>
  <si>
    <t>["Passiflora"]</t>
  </si>
  <si>
    <t>["Passiflora mollissima", "P. pinnatis-tipula"]</t>
  </si>
  <si>
    <t>Air temperature and winter mortality: Implications for the persistence of the invasive mussel, Perna viridis in the intertidal zone of the south-eastern United States</t>
  </si>
  <si>
    <t>Global climate change and invasive species represent two of the biggest threats to the environment. Biological communities are responding to global climate change through poleward shifts in distribution, and changes in abundance and phenology of both native and non-native species. An increase in the frequency and magnitude of extreme weather events is predicted with global climate change. Much is known about mortality events of marine organisms in relation to warm thermal stress with relatively little known about cold thermal stress, particularly in the tropics. Intertidal species are particularly susceptible to fluctuations in aerial conditions and many are considered indicators of climate change. Perna viridis is a recent invader to the United States where it fouls hard substrates and soft sediment habitats. During winter 2007/08, a mortality event was observed for P. viridis across Tampa Bay, Florida. This mortality event coincided with extreme weather conditions when air temperatures dropped below 2 degrees C for a period of 6 h during low water. The minimum air temperature recorded was 0.53 degrees C. During this period water temperature remained relatively constant (similar to 20 degrees C). We provide strong evidence supporting the hypothesis that thermal stress relating to exposure to cold air temperatures during emersion was the primary factor underpinning the mortality event. Similar mortality events occurred in 2009 and 2010, also coinciding with prolonged exposure to low air temperatures. In the short term, weather may be responsible for the temporary trimming back of populations at the edge of their geographic range but in the longer-term, it is expected that climate warming will trigger the poleward movement of both native and non-native species potentially facilitating biotic homogenisation of marine communities. The challenge now is to devise adaptive management strategies in order to mitigate any potential negative impacts to native biodiversity. (C) 2011 Elsevier B.V. All rights reserved.</t>
  </si>
  <si>
    <t>10.1016/j.jembe.2011.02.007</t>
  </si>
  <si>
    <t>WOS:000291143900023</t>
  </si>
  <si>
    <t>["Bivalvia"]</t>
  </si>
  <si>
    <t>["Mytilida"]</t>
  </si>
  <si>
    <t>["Perna"]</t>
  </si>
  <si>
    <t>["Perna viridis"]</t>
  </si>
  <si>
    <t>An invasive crab alters interaction webs in a marine community</t>
  </si>
  <si>
    <t>Over the last decade, the non-native, filter-feeding crab Petrolisthes armatus invaded oyster reefs of the South Atlantic Bight at densities of thousands m(-2). Mesocosm and field experiments demonstrated that P. armatus at similar to 10-75% of mean summer densities: (1) suppressed growth of small oysters, biomass of benthic microalgae, and recruitment of native mud crabs, (2) enhanced oyster, mussel, and total bivalve recruitment, macroalgal cover, and survivorship of predatory oyster drills, but (3) did not affect native taxonomic richness. Laboratory feeding assays, field tethering experiments, and population changes in field and mesocosm experiments suggest that P. armatus is a preferred prey for native mud crabs and other consumers, thus relieving predation on native species and enhancing recruitment or survival of bivalves and oyster drills. In contrast, the invasive crab can consume crustacean larvae and via this feeding may suppress recruitment of native mud crabs. Our findings should be conservative given the low densities of P. armatus seeded into experimental plots and our inability to run longer-term experiments due to controls rapidly being colonized by non-native crabs recruiting from the plankton. Invasive crabs commonly impact native communities via predation, but community impacts of this invasive crab may be as much due to its role as a preferred prey of native consumers as to its predation on native prey. Given that oysters are foundation species for shallow reefs in the South Atlantic Bight, the long-term effects of this invasion could be considerable.</t>
  </si>
  <si>
    <t>10.1007/s10530-007-9134-9</t>
  </si>
  <si>
    <t>WOS:000253198500008</t>
  </si>
  <si>
    <t>["Decapoda"]</t>
  </si>
  <si>
    <t>["Petrolisthes"]</t>
  </si>
  <si>
    <t>["Petrolisthes armatus"]</t>
  </si>
  <si>
    <t>Biological consequences of invasion by reed canary grass (Phalaris arundinacea)</t>
  </si>
  <si>
    <t>Although they are typically assumed to be negative, the consequences of plant invasions for native diversity or biological integrity are seldom broadly quantified (i.e., for multiple taxa or across large regions). We investigated the impacts associated with invasion of wetlands by reed canary grass (Phalaris arundinacea L.; RCG) on plants and several animal groups. In a local study, we compared plants, arthropods, and small mammals on treatment plots with reduced RCG dominance to those on highly invaded plots. We also conducted a companion study, where we measured RCG dominance and plants, arthropods, and birds in 82 randomly selected wetlands across Illinois (USA) to determine if our experimental results were consistent in communities across the region. Plant diversity, floristic quality, and diversity and abundance of Homopteran insects decreased with RCG dominance in all instances. Richness and abundance of all other arthropods decreased with increasing RCG in the local study, but no trend was detected in communities statewide. No relationship between total abundance or richness of small mammals (local) or birds (statewide) with RCG was detected. However, voles and shrews were more abundant, and mice less abundant, in RCG-dominated plots. These results support the hypothesis that there are negative effects for multiple taxa from RCG invasion. Because negative effects observed in the local study either corroborated, or were neutral with respect to results from statewide surveys, they suggest that native biodiversity and biological integrity are being dampened across wide areas of this invader's range.</t>
  </si>
  <si>
    <t>10.1007/s10530-009-9544-y</t>
  </si>
  <si>
    <t>WOS:000276509400027</t>
  </si>
  <si>
    <t>["Phalaris"]</t>
  </si>
  <si>
    <t>["Phalaris arundinacea"]</t>
  </si>
  <si>
    <t>An experimental study on the effects of an introduced parasite in Darwin's finches</t>
  </si>
  <si>
    <t>It is widely recognised that the main threats to the biota of the Galapagos Islands stem from newly introduced diseases, plants and animals. Introduced organisms may lead to the rapid extinction of naive insular populations. Previous research on Galapagos showed that the parasitic larvae of the fly Philornis downsi occurred in virtually all nests of land bird species examined, with high nestling mortality (27% of all broods) in relation to high parasite infestation. In this study, we used an experimental approach to measure the fitness impacts of the fly larvae in two species of Darwin's finch (Geospizinae). We created parasite-reduced nests by applying a 1% pyrethrin solution to the nest during the early nesting phase, and measured: (1) nestling growth, (2) nestling haemoglobin (Hb) concentration and (3) fledging success. A single insecticide treatment was sufficient to reduce parasite intensity to nearly zero, and revealed reduced mass gain and reduced fledging success in parasitized nests compared to parasite-reduced nests. This is the first experimental study of fitness impacts by Philornis on its host species. The results are discussed in the light of short-term protection measures for nests of rare finch species in the Galapagos archipelago. (c) 2005 Elsevier Ltd. All rights reserved.</t>
  </si>
  <si>
    <t>10.1016/j.biocon.2005.07.013</t>
  </si>
  <si>
    <t>WOS:000233704400006</t>
  </si>
  <si>
    <t>["Philornis"]</t>
  </si>
  <si>
    <t>["Philornis downsi"]</t>
  </si>
  <si>
    <t>Abundance of common reed (Phragmites australis), site conditions and conservation value of fen meadows in Switzerland</t>
  </si>
  <si>
    <t>The abundance of Phragmites australis (Trin.) has increased in many fen meadows of the Swiss Plateau. The vegetation of 241 4-m(2) plots was surveyed to determine how the abundance of Phragmites australis was related to site conditions and to the botanical conservation value. The aboveground biomass of P. australis (ABP) ranged from 0 g to 1270 g dry weight m(-2). ABP was positively correlated to the nitrogen indicator value of the vegetation, but uncorrelated to the soil moisture indicator value. The abundance of 55 of 85 plant species was significantly related to ABP. High ABP was, on an average, associated with low conservation value in terms of species richness, number of rare or endangered species, and proportion of typical mire species. Strong differences were, however, round between plots with tall-herb vegetation (alliance Filipendulion) and plots dominated by heathgrass or small sedges (alliances Molinion and Caricion davallianae). The conservation value of Filipendulion plots was low and decreased significantly with increasing ABP. The conservation value of Molinion and Caricion plots was generally high and not related to ABP. Nevertheless, the current spread of P. australis might reduce the conservation value of Molinion and Caricion meadows in three ways: (1) a direct impact of shading is likely to become apparent only after several years; (2) if I! australis spreads into a site together with tall herbs, the loss of conservation value will be greater than if only tall herbs invade; and (3) if the presence of P. australis increases nutrient availability, it may indirectly cause the spread of tall herbs and the resulting loss of conservation value. Thus, spread of P. australis, spread of tall herbs and increased productivity are strongly related to each other and must be considered together when changes in the vegetation of fen meadows are evaluated.</t>
  </si>
  <si>
    <t>WOS:000073830300009</t>
  </si>
  <si>
    <t>["Phragmites"]</t>
  </si>
  <si>
    <t>["Phragmites australis (Trin.)"]</t>
  </si>
  <si>
    <t>A CONTINENT-WIDE CLONE: POPULATION GENETIC VARIATION OF THE INVASIVE PLANT HIERACIUM AURANTIACUM (ORANGE HAWKWEED; ASTERACEAE) IN NORTH AMERICA</t>
  </si>
  <si>
    <t>We investigated the population genetic structure of the invasive plant Hieracium aurantiacum (Asteraceae), a facultative apomict. We generated amplified fragment length polymorphism fingerprints for H. aurantiacum samples from across its invasive range in North America (N = 226) and from six other North American native and invasive Hieracium species (N = 60). Almost no genetic variability was found in the North American H. aurantiacum across locations from Alaska and Oregon to Pennsylvania and Ontario (clonal diversity = 0.035). In contrast, other Hieracium species showed a range of clonal diversities (range = 0.154-1.0). The single H. aurantiacum genotype that dominated the North American invaded range was identical to a sample from the native range (Czech Republic), where low genetic diversity has also been reported. However, we did find evidence of hybridization between H. aurantiacum and at least one other nonnative Hieracium species in North America, indicating that the generation of novel hybrid genetic combinations may be an important factor in this invasive group of Hieracium taxa. Our findings suggest that sexual recombination and genetic diversity are not essential for successful plant invasion and that phenotypic plasticity alone may provide the flexibility necessary for the establishment of H. aurantiacum in diverse habitats.</t>
  </si>
  <si>
    <t>10.1086/599241</t>
  </si>
  <si>
    <t>WOS:000267285200007</t>
  </si>
  <si>
    <t>["Pilosella"]</t>
  </si>
  <si>
    <t>["Hieracium aurantiacum"]</t>
  </si>
  <si>
    <t>A long-term study of the roles of competition and facilitation in the establishment of an invasive pine following heathland fires</t>
  </si>
  <si>
    <t>1. Where competition with established vegetation limits plant recruitment, fires create open conditions which can allow invasive species to establish. However, facilitation theory suggests that destruction of vegetation will restrict germination and survival. These hypotheses were tested in a long-term study of establishment by Pinus sylvestris - a globally important invasive - on English temperate heaths. 2. Pine seeds were sown at 10 sites which represented replicated stages of heath recovery after fire: from bare soil to dense, tall vegetation. 3. Seedling emergence varied among stages from 3% to 36% and was closely related to vegetation density, increasing with lower shrub height. The same pattern was evident within sites where seedlings emerged mostly at sowing locations with little or no vegetation. 4. Yearly seedling survival showed a quadratic relationship with vegetation density over the first 4 years; with extremely high (&gt; 95%) mortality in both very open and very dense conditions, but low mortality (&lt; 30%) under intermediate cover. Over the subsequent 5 years seedling mortality did not differ among stages or with vegetation density. 5. The initial conditions after fire constrain invasion because high emergence is countered by high mortality. However, the moderate shrub density during the first decade post-fire enhances P. sylvestris seedling survival and so promotes invasion. Invasibility is low in dense mature heath, but becomes high as shrubs collapse in degenerate heath which increases seedling emergence and survival. 6. Synthesis. This study provides evidence that facilitation can occur in temperate regions, and that the plant interactions within a heathland community are a balance of competition and facilitation. This balance is governed by vegetation structure and plant ontogeny. Dominance of competition in more dense vegetation and for seedling emergence changed to facilitative effects in less dense vegetation and for older seedlings.</t>
  </si>
  <si>
    <t>10.1111/j.1365-2745.2009.01502.x</t>
  </si>
  <si>
    <t>WOS:000267071500006</t>
  </si>
  <si>
    <t>["Pinus"]</t>
  </si>
  <si>
    <t>["Pinus sylvestris"]</t>
  </si>
  <si>
    <t>ALLELOPATHIC POTENTIAL OF THE PHENOLICS FROM THE ROOTS OF PLUCHEA-LANCEOLATA</t>
  </si>
  <si>
    <t>Aqueous leachates of roots of the perennial weed Pluchea lanceolata (DC.) C.B. Clarke, its root-incorporated soil and rhizosphere soil, interfered with the seedling growth of certain plant species. The soils from the rhizosphere zone of this plant had significantly higher total phenolics and HPLC analysis revealed that phenolic fractions represented by retention times of 1.6, 1.9, 2.5 (simple phenol, chlorogenic acid and phloroglucinol respectively), 3.7 and 4.3 min were contributed by roots of the weed to the soil. The phenolic fraction represented by the retention time 3.3 (formononetin 7-O-glucoside) was detected in the weed's rhizosphere soils and not in the root-incorporated soils. UV spectral studies established the presence of phloroglucinol, simple phenol, chlorogenic acid, formononetin 7-O-glucoside, and methylated coumarins in the root leachate, which affect the seedling growth of mustard (Brassica juncea). Present research established the allelopathic potential of P. lanceolata roots, and the possible involvement of allelopathy in its interference success.</t>
  </si>
  <si>
    <t>10.1111/j.1399-3054.1994.tb03025.x</t>
  </si>
  <si>
    <t>WOS:A1994PY37500005</t>
  </si>
  <si>
    <t>["Pluchea"]</t>
  </si>
  <si>
    <t>["Pluchea lanceolata"]</t>
  </si>
  <si>
    <t>The blowgun is mightier than the chainsaw in determining population density of Bornean orangutans (Pongo pygmaeus morio) in the forests of East Kalimantan</t>
  </si>
  <si>
    <t>Due to its practical relevance to conservation, considerable efforts have been devoted to understanding the effects of logging on orangutan (Pongo spp.) population densities. Despite these efforts, consistent patterns have yet to emerge. We conducted orangutan nest surveys and measured forest quality and disturbance level at 108 independent locations in 22 distinct sites in the forests of the Berau and East Kutai regencies of East Kalimantan, Indonesia. Survey locations varied substantially in orangutan density, forest structure, distance to villages, and logging intensity. We incorporated site-specific nest tree composition into our estimates of nest decay rates to reduce errors associated with inter-site differences in nest tree selection. Orangutan nest densities were uncorrelated with altitude, fig density, or any other ecological measure. Multivariate analyses demonstrated that densities were not significantly affected by logging intensity (at the relatively light levels we report here) or the distance to the nearest village, but were positively correlated with the distance from the nearest village known to hunt orangutans. These results indicate that provided hunting is absent, lightly to moderately degraded forests retain high conservation value for orangutans. Widespread incorporation of degraded areas into management plans for orangutan populations would substantially increase the size of populations that could be protected, and thereby improve their changes for long-term survival. (c) 2005 Elsevier Ltd. All rights reserved.</t>
  </si>
  <si>
    <t>10.1016/j.biocon.2005.11.025</t>
  </si>
  <si>
    <t>WOS:000237878900014</t>
  </si>
  <si>
    <t>["Pongo"]</t>
  </si>
  <si>
    <t>["Pongo pygmaeus morio"]</t>
  </si>
  <si>
    <t>Adaptation vs. phenotypic plasticity in the success of a clonal invader</t>
  </si>
  <si>
    <t>The relative importance of plasticity vs.. adaptation for the spread of invasive species has rarely been studied. We examined this question in a clonal population of invasive freshwater snails (Potamopyrgus antipodarum) from the western United States by testing whether observed plasticity in life history traits conferred higher fitness across a range of temperatures. We raised isofemale lines from three populations from different climate regimes (high- and low-elevation rivers and an estuary) in a split-brood, common-garden design in three temperatures. We measured life history and growth traits and calculated population growth rate (as a measure of fitness) using an age-structured projection matrix model. We found a strong effect of temperature on all traits, but no evidence for divergence in the average level of traits among populations. Levels of genetic variation and significant reaction norm divergence for life history traits suggested some role for adaptation. Plasticity varied among traits and was lowest for size and reproductive traits compared to age-related traits and fitness. Plasticity in fitness was intermediate, suggesting that invasive populations are not general-purpose genotypes with respect to the range of temperatures studied. Thus, by considering plasticity in fitness and its component traits, we have shown that trait plasticity alone does not yield the same fitness across a relevant set of temperature conditions.</t>
  </si>
  <si>
    <t>10.1890/04-0898</t>
  </si>
  <si>
    <t>WOS:000229723700023</t>
  </si>
  <si>
    <t>["Littorinimorpha"]</t>
  </si>
  <si>
    <t>["Potamopyrgus"]</t>
  </si>
  <si>
    <t>["Potamopyrgus antipodarum"]</t>
  </si>
  <si>
    <t>Effects of habitat disturbance and hunting on the density and the biomass of the endemic Hose's leaf monkey Presbytis hosei (Thomas, 1889) (Mammalia: Primates: Cercopithecidae) in east Borneo</t>
  </si>
  <si>
    <t>Hose's leaf monkey Presbytis hosei is endemic to Borneo and occurs only in tall forest. In recent decades Borneo has lost a large part of its forest cover, mostly in low-lying coastal regions. Large intact tracts of forest remain in the interior, but these are by and large inhabited by tribes that subsist in part by hunting. The combined effects of habitat disturbance and hunting on the densities and biomass of Hose's leaf monkey were studied in Kayan Mentarang National Park in Borneo's far interior. Over four months, data on densities and hunting were collected by transect walks in four forest types. Hose's leaf monkeys were hunted to deter crop-raiding, for their meat, and to obtain bezoar stones (visceral secretions used in traditional medicine). Hose's leaf monkeys occurred in single male groups of 7-8 individuals in densities from 0.8 to 2.3 groups km(-2). Densities of Hose's leaf monkeys were positively correlated with certain vegetation characteristics, e.g. tree height and height of first bough, and negatively correlated with distance to the nearest village. Biomass of Hose's leaf monkeys declined considerably as a result of habitat disturbance and hunting from 92 kg km(-2) in primary hill forest inside the reserve to 38 kg km(-2) in old secondary forest and 31 kg km(-2) in young secondary forest near villages. A review of the few studies conducted on the effects of habitat disturbance and hunting on Hose's leaf monkeys reveal inconsistent trends in biomass and density responses.</t>
  </si>
  <si>
    <t>10.1163/18759866-07304004</t>
  </si>
  <si>
    <t>WOS:000227928800004</t>
  </si>
  <si>
    <t>["Presbytis"]</t>
  </si>
  <si>
    <t>["Presbytis hosei"]</t>
  </si>
  <si>
    <t>Agonism and shelter competition between invasive and indigenous crayfish species</t>
  </si>
  <si>
    <t>Several crayfish species behave as biological invaders. Their establishment in an area has frequently been accompanied by the reduction or elimination of indigenous species. A laboratory study was designed to investigate whether the invasive crayfish Procambarus clarkii (Girard, 1852) is dominant over the indigenous (to Delaware) crayfish Procambarus acutus acutus (Girard, 1852) in either the absence or the presence of a shelter as a limited resource. As expected, we found that P. clarkii is more aggressive than the similarly sized P. a. acutus, thus confirming previous studies that demonstrated an inherent dominance of the invasive over the indigenous crayfish. We then hypothesized that species showing a lower preference for an offered shelter (P. clarkii) should be less motivated to defend it. To the contrary, in a competitive context P. clarkii excluded P. a. acutus from the shelter but did not use the resource. Caution must be used in extrapolating these laboratory studies to the field, and future studies should analyze multiple factors, including the autoecology of the two species and their reproductive potential and recruitment patterns. However, our results might help in highlighting the risks for freshwater biodiversity created by the uncontrolled translocations of P. clarkii and other similar invasive species.</t>
  </si>
  <si>
    <t>10.1139/Z04-185</t>
  </si>
  <si>
    <t>WOS:000227871500012</t>
  </si>
  <si>
    <t>["Procambarus"]</t>
  </si>
  <si>
    <t>["Procambarus clarkii"]</t>
  </si>
  <si>
    <t>Leopard prey choice in the Congo Basin rainforest suggests exploitative competition with human bushmeat hunters</t>
  </si>
  <si>
    <t>Analyses of leopard Panthera pardus prey choice reveal a strong preference for species weighing 10-40 kg. In the Congo Basin rainforests, species within this weight range are also targeted by bushmeat hunters, potentially leading to exploitative competition between leopards and hunters. We investigated leopard prey choice along a gradient of human disturbance, hypothesizing that leopards will exploit smaller prey where competition is strong, possibly resulting in reduced leopard densities at highly hunted sites. We determined leopard diet by means of scat analysis at four rainforest sites in central Gabon, which varied according to their distance from human settlements. Camera trap data collected at each of the four study sites revealed that human hunting intensity increased with proximity to settlements, while the abundance of potential leopard prey species decreased. We found no evidence of leopards at the site nearest to settlements. At the remaining sites, the number of scats collected, mean leopard prey weight and the proportion of large prey (420 kg) in leopard diet increased with distance from settlements. Camera trap data demonstrated that leopard population density increased with distance from settlements, from 2.7 perpendicular to 0.94 leopards/100 km(2) to 12.1 perpendicular to 5.11 leopards/100 km(2). Our results document an increasing use of smaller prey species and a decrease in leopard density in proximity to settlements, supporting our hypothesis. Comparison of leopard diet with hunter return data revealed a high dietary niche overlap between leopards and hunters at sites situated at similar distances from settlements. Our results suggest that bushmeat hunting may precipitate the decline in leopard numbers through exploitative competition and that intensively hunted areas are unlikely to support resident leopard populations. Conserving the leopard in the Congo Basin will rely on effective protected areas and alternative land</t>
  </si>
  <si>
    <t>10.1111/j.1469-7998.2011.00826.x</t>
  </si>
  <si>
    <t>WOS:000294170500002</t>
  </si>
  <si>
    <t>["Carnivores", "Cetartiodactyla", "Primates", "Proboscidea"]</t>
  </si>
  <si>
    <t>["Profelis", "Cephalophus", "Civettictis", "Gorilla", "Loxodonta", "Pan", "Panthera", "Potamochoerus", "Syncerus", "Tragelaphus"]</t>
  </si>
  <si>
    <t>["Caracal aurata", "Cephalophus callipygus, C. dorsalis and C. ogilby", "Cephalophus silvicultor", "Civettictis civetta", "Gorilla gorilla", "Loxodonta africana", "Pan troglodytes", "Panthera pardus", "Potamochoerus porcus", "Syncerus caffer nanus", "Tragelaphus spekii"]</t>
  </si>
  <si>
    <t>New Density Estimates of a Threatened Sifaka Species ( Propithecus coquereli) in Ankarafantsika National Park</t>
  </si>
  <si>
    <t>Propithecus coquereli is one of the last sifaka species for which no reliable and extensive density estimates are yet available. Despite its endangered conservation status [IUCN, 2012] and recognition as a flagship species of the northwestern dry forests of Madagascar, its population in its last main refugium, the Ankarafantsika National Park (ANP), is still poorly known. Using line transect distance sampling surveys we estimated population density and abundance in the ANP. Furthermore, we investigated the effects of road, forest edge, river proximity and group size on sighting frequencies, and density estimates. We provide here the first population density estimates throughout the ANP. We found that density varied greatly among surveyed sites (from 5 to approximate to 100ind/km(2)) which could result from significant (negative) effects of road, and forest edge, and/or a (positive) effect of river proximity. Our results also suggest that the population size may be approximate to 47,000 individuals in the ANP, hinting that the population likely underwent a strong decline in some parts of the Park in recent decades, possibly caused by habitat loss from fires and charcoal production and by poaching. We suggest community-based conservation actions for the largest remaining population of Coquerel's sifaka which will (i) maintain forest connectivity; (ii) implement alternatives to deforestation through charcoal production, logging, and grass fires; (iii) reduce poaching; and (iv) enable long-term monitoring of the population in collaboration with local authorities and researchers. Am. J. Primatol. 76:515-528, 2014. (c) 2014 Wiley Periodicals, Inc.</t>
  </si>
  <si>
    <t>10.1002/ajp.22243</t>
  </si>
  <si>
    <t>WOS:000335490200001</t>
  </si>
  <si>
    <t>["Propithecus"]</t>
  </si>
  <si>
    <t>["Propithecus coquereli"]</t>
  </si>
  <si>
    <t>An evaluation of mechanisms preventing growth and survival of two native species in invasive bohemian knotweed (Fallopia x bohemica, Polygonaceae)</t>
  </si>
  <si>
    <t>Restoring native diversity to habitats dominated by invasive plants requires improved understanding of mechanisms that allow introduced plants to retain dominance. We used a factorial transplant experiment to assess whether light limitation, nutrient limitation, or allelopathic interference by Fallopia Xbohemica reduces growth or survival of Eupatorium perfoliatum or Acer saccharinum. Increased light improved A. saccharinum performance but had no effect on E. perfoliatum growth. Increased light had no effect on A. saccharinum survival but improved E. perfoliatum survival. Activated carbon addition had short-term benefits allowing E. perfoliatum plants to grow for 4 wk and increased A. saccharinum leaf width but not biomass. Nutrient addition had no beneficial effect on transplants. These results in combination with the outcome of a cutting experiment suggest that F. Xbohemica achieves competitive superiority primarily by limiting access to light. Species-specific effects and significant interaction effects particularly of light and activated carbon suggest additional mechanisms. Allelopathic interference or interaction with microbial soil organisms may contribute to the lack of native species in populations of F. Xbohemica. Restoration efforts should combine selective F. Xbohemica control with soil amendments (such as activated carbon) to assess their potential to facilitate return of native species to invaded habitats.</t>
  </si>
  <si>
    <t>10.3732/ajb.94.5.776</t>
  </si>
  <si>
    <t>WOS:000249830400008</t>
  </si>
  <si>
    <t>["Reynoutria"]</t>
  </si>
  <si>
    <t>["Fallopia Xbohemica"]</t>
  </si>
  <si>
    <t>Altitudinal variation in fertility and vegetative growth in the invasive plant Rubus alceifolius Poiret (Rosaceae), on Reunion island.</t>
  </si>
  <si>
    <t>Rubus alceifolius Poiret (Rosaceae) was introduced to the island of Reunion in the southeastern Indian Ocean about 1850 and is now highly invasive. This bramble, native from southeastern Asia and Malaysia, has invaded a wide variety of habitats (lowland rainforest, mountain and submountain rainforest, Acacia heterophylla rainforest) from sea level to 1700 m. It is suspected to be monoclonal so, its remarkable success may be due in part to great phenotypic plasticity. On Reunion, bud, flower, fruit and seed production, the duration of the flowering period and the importance of the seed bank were found to be negatively correlated with elevation (50-1500 m a.s.l.). At a lowland site, fruit production in mature stands averaged between 30 and 80 fruits/m(2) during 1999 and 2000. No fruit set occurred above 1100 m. This fruit production pattern was similar over two years. Although the number of leaves per unit area is similar along the whole gradient studied, decrease of fruit set in upland areas might be compensated for by an increase in vegetative growth. Temperature variation is very sharp along the elevation gradient and may control the fruit and the seed production. Fruit production allows establishment of new populations all around the island via bird dissemination. Once established, R. alceifolius maintains dense patches that can grow vegetatively. Our results may be relevant for eradication programs that should take into account variation in reproductive strategy in lowland vs. highland habitats.</t>
  </si>
  <si>
    <t>10.1023/B:VEGE.0000026345.67250.d2</t>
  </si>
  <si>
    <t>WOS:000221178600010</t>
  </si>
  <si>
    <t>["Rosales"]</t>
  </si>
  <si>
    <t>["Rubus"]</t>
  </si>
  <si>
    <t>["Rubus alceifolius"]</t>
  </si>
  <si>
    <t>Allozyme variation in the marine fanworm Sabella spallanzanii: Comparison of native European and introduced Australian populations</t>
  </si>
  <si>
    <t>Three Australian (Cockburn Sound, Western Australia; Adelaide, South Australia; Port Phillip Bay, Victoria) and four European (Roscoff, Atlantic; Alicante, Carteau, and Marseille, all from the Mediterranean Sea) populations of Sabella spallanzanii were examined for variation at 23 allozyme loci. Levels of genetic variation were high, with average heterozygosities per locus ranging from 0.20 to 0.21 for the Australian collections, and from 0.23 to 0,27 for the European collections. The 3 Australian collections were genetically very closely related to one another, with no statistically significant differences at any of the 15 variable loci. This suggests either an introduction to one port, with a subsequent spread to other areas, or separate introductions with subsequent extensive gene flow. The 4 European collections showed limited, but significant, differentiation among themselves at 10 of 18 variable loci. Much of the heterogeneity reflected differences between the Roscoff (Atlantic) collection and the 3 Mediterranean collections. The Roscoff collection was less variable, in terms of both heterozygosity and mean numbers of alleles, than the Mediterranean collections. The Australian collections were more closely related to the Mediterranean collections (mean Nei distance = 0.040) than to the Roscoff collection (mean Nei distance = 0.084). Ii a Mediterranean origin is assumed, then the introduction to Australia was accompanied by the loss of about 18% of the original variation. Finally, the high genetic similarity of the Australian to the European collections of S. spallanzanii, and the very clear genetic separation of S. pavonina (mean Nei distance = 0.996), reaffirms that the Australian collections are truly S. spallanzanii and not an undescribed native species.</t>
  </si>
  <si>
    <t>10.3354/meps152131</t>
  </si>
  <si>
    <t>WOS:A1997XK65100011</t>
  </si>
  <si>
    <t>["Annelida"]</t>
  </si>
  <si>
    <t>["Polychaeta"]</t>
  </si>
  <si>
    <t>["Sabellida"]</t>
  </si>
  <si>
    <t>["Sabella"]</t>
  </si>
  <si>
    <t>["Sabella spallanzanii"]</t>
  </si>
  <si>
    <t>An introduced polychaete affects recruitment and larval abundance of sessile invertebrates</t>
  </si>
  <si>
    <t>The development of predictive models of the impacts of exotic species is one of the major goals of invasion biology. Understanding the mechanisms by which introduced species affect their host assemblages is an important prerequisite for the development of such models'. Here we describe experiments that tested hypotheses about the effects and mechanisms of a recently introduced polychaete, Sabella spallanzanii, on other sessile invertebrates in sessile epifaunal assemblages in southern Australia. Substantial effects were considered likely because sabellids reach high densities in some areas and form a canopy of feeding fans that might affect recruitment to the substratum. Sabellids were cleared from pilings, and then recruitment to plates on cleared and uncleared pilings was compared. Different treatments were also applied to the settlement plates to test for effects at a smaller scale than that of entire pilings: plates either had ambient densities of fanworms attached, had fanworm mimics, or were left bare. Plates with mimics were used to test for the effects of physical structure on recruitment, and plates with live worms were. compared to these to test for biological effects. S. spallanzanii affected the recruitment of several sessile taxa. On the larger (piling) scale, recruitment of barnacles, bryozoans, and one sponge,was inhibited beneath fanworms, while recruitment of another sponge was enhanced. On the smaller scale, sponges, serpulid polychaetes, barnacles, and bryozoans were affected, but effects. were mostly inhibitory at one site and positive at another. These effects appeared to be mostly due to physical structure (worm mimics produced the same results as real worms) Most taxa recruited to S. spallanzanii and mimic tubes, but this mechanism only caused significant enhancement of overall recruitment for a few taxa. Sampling of the water column around cleared and uncleared pilings showed that the abundance of planktonic organisms, including larvae, was lower beneath fanworm canopies. The results show that S. spallanzanii strongly influences recruitment of other sessile taxa, but the effects varied between spatial scales and sites and among taxa. This implies that development of predictive models of the effects of similar invaders will require detailed knowledge of the responses of individual species that comprise local assemblages.</t>
  </si>
  <si>
    <t>10.2307/3099939</t>
  </si>
  <si>
    <t>WOS:000179986700018</t>
  </si>
  <si>
    <t>Allelopathic effects of fruits of the Brazilian pepper Schinus terebinthifolius on growth, leaf production and biomass of seedlings of the red mangrove Rhizophora mangle and the black mangrove Avicennia germinans</t>
  </si>
  <si>
    <t>Exotic plant species can negatively affect native flora and fauna by changing the diversity and productivity of the system and altering successional processes. The novel weapons hypothesis has been suggested as one mechanism for invasion and spread of exotic plant species. It states that exotic species with new weapons, such as allelopathic chemicals, may have greater impacts on species in the invaded range without co-evolved defense strategies against the exotic chemicals. In Florida, one successful exotic species, Schinus terebinthifolius (Brazilian pepper), has invaded nearly every habitat throughout the state. Past studies have documented allelopathic properties of S. terebinthifolius negatively impacting the growth of native terrestrial flora. Here we document the effect of S. terebinthifolius for the first time on mangrove systems. We examined growth and survival of Rhizophora mangle (red mangrove) and Avicennia germinans (black mangrove) seedlings when exposed to a range of densities of intact and crushed S. terebinthifolius fruits (0, 25, 50) at two different salinities (15, 30 ppt). We also documented the natural density of S. terebinthifolius fruits beneath the tree canopy after fruit production in mangrove habitat. Growth and biomass were significantly reduced in A. germinans when exposed to the highest density of intact S. terebinthifolius fruits growing in 30 ppt saltwater. Trials with intact fruits had no significant effects on R. mangle; however, crushed fruits significantly decreased growth, and leaf production. The ecological importance of the different effects of crushed and intact fruits is supported by field observations which found equal or greater numbers of crushed fruits compared to intact fruits beneath the tree canopy of female S. terebinthifolius. In addition, abiotic factors, such as salinity, may interact with allelopathic chemicals in natural systems and needs to be addressed when planning future allelopathic studies. (C) 2008 Elsevier B.V. All rights reserved.</t>
  </si>
  <si>
    <t>10.1016/j.jembe.2008.01.009</t>
  </si>
  <si>
    <t>WOS:000254846300007</t>
  </si>
  <si>
    <t>["Schinus"]</t>
  </si>
  <si>
    <t>["Schinus terebinthifolius"]</t>
  </si>
  <si>
    <t>Biomechanical plasticity facilitates invasion of maritime forests in the southern USA by Brazilian pepper (Schinus terebinthifolius)</t>
  </si>
  <si>
    <t>Biomechanical plasticity and within-species growth form diversity are traits that can facilitate invasion by non-native plant species. We support this argument with evidence from the invasion of coastal habitats in northern Florida, USA, by Schinus terebinthifolius and describe some of the consequences of this invasion for overtopped saltmarsh plants. In crowded stands, Schinus grows more like a vine than a tree, with stem height : diameter ratios nearly twice than those observed in open-grown individuals but with no changes in wood density or the modulus of elasticity of stem material. When extracted from the surrounding vegetation, the formerly crowded Schinus stems buckle under their own weight. Schinus crowns also extend much further over adjacent saltmarsh than crowns of Juniperus virginiana, the only other tree species abundant in the study site. Along forest edges, the above-ground biomass of saltmarsh plants overtopped by Schinus crowns was reduced by more than an order of magnitude. The biomechanical plasticity of Schinus allows it to adapt its growth form to suit habitat conditions and can dominate the edges of salt marshes as a sprawling shrub and maritime forests as either a free-standing tree or a woody vine, depending on stand crowding.</t>
  </si>
  <si>
    <t>10.1007/s10530-004-5571-x</t>
  </si>
  <si>
    <t>WOS:000234309500013</t>
  </si>
  <si>
    <t>Biting the hand that feeds: the invasive grass Schismus barbatus (Poaceae) is facilitated by, but reduces establishment of, the native shrub Ambrosia dumosa (Asteraceae)</t>
  </si>
  <si>
    <t>We present a study of positive and negative interactions between the invasive grass Schismus barbatus (Poaceae) and Ambrosia dumosa (Asteraceae). Ambrosia facilitates seedling establishment, and such facilitation may accelerate invasion of exotic species, which, in turn, may reduce establishment of native plants. Joshua Tree National Park, California, USA. During 2003-2004, we used field surveys to characterize the natural spatial distribution of Schismus in relation to native shrubs, and experimentally manipulated seed rain of Ambrosia and Schismus at three distances from adult Ambrosia canopies. We measured percentage germination and individual performance of both species. Field data were complemented by a greenhouse experiment that measured competition between Ambrosia seedlings and Schismus planted at three densities and five relative abundances under controlled conditions. Field surveys showed that the density of Schismus is independent of Ambrosia shrubs, but growth is enhanced near shrub canopies. In our field experiment Schismus is facilitated by adult Ambrosia. Under controlled conditions, Schismus does not respond to the density of Ambrosia seedlings, but changes in density of Schismus decreased performance of Ambrosia seedlings. Schismus invasion may be detrimental to native perennial plant populations. Although a reduction of seedling establishment is not usually expected to slow population growth of long-lived perennials, recent unprecedented adult mortality in this community, and the well-documented facilitative role of Ambrosia, suggest that Schismus invasion may be of high ecological significance.</t>
  </si>
  <si>
    <t>10.1111/j.1654-1103.2009.05588.x</t>
  </si>
  <si>
    <t>WOS:000264568200006</t>
  </si>
  <si>
    <t>["Schismus"]</t>
  </si>
  <si>
    <t>["Schismus barbatus"]</t>
  </si>
  <si>
    <t>Abiotic constraints on the competitive ability of exotic and native grasses in a Pacific Northwest prairie</t>
  </si>
  <si>
    <t>In prairie ecosystems, abiotic constraints on competition can structure plant communities; however, the extent to which competition between native and exotic plant species is constrained by environmental factors is still debated. The objective of our study was to use paired field and greenhouse experiments to evaluate the competitive dynamics between two native (Danthonia californica and Deschampsia cespitosa) and two exotic (Schedonorus arundinaceus and Lolium multiflorum) grass species under varying nutrient and moisture conditions in an upland prairie in the Willamette Valley, Oregon. We hypothesized the two invasive, exotic grasses would be more competitive under high-nutrient, moderate-moisture conditions, resulting in the displacement of native grasses from these environments. In the field, the experimental reduction of competition resulted in shorter, wider plants, but only the annual grass, Lolium multiflorum, produced more aboveground biomass when competition was reduced. In the greenhouse, the two exotic grasses produced more total biomass than the two native grasses. Competitive hierarchies were influenced by nutrient and/or moisture treatments for the two exotic grasses, but not for the two native grasses. L. multiflorum dominated competitive interactions with all other grasses across treatments. In general, S. arundinaceus dominated when in competition with native grasses, and D. cespitosa produced the most biomass in monoculture or under interspecific competition with the other native grass, D. californica. D. californica, D. cespitosa, and S. arundinaceus all produced more biomass in high-moisture, high-nutrient environments, and D. cespitosa, L. multiflorum, and S. arundinaceus allocated more biomass belowground in the low nutrient treatment. Taken together, these experiments suggest the competitive superiority of the exotic grasses, especially L. multiflorum, but, contrary to our hypothesis, the native grasses were not preferentially excluded from nutrient-rich, moderately wet environments.</t>
  </si>
  <si>
    <t>10.1007/s00442-007-0909-6</t>
  </si>
  <si>
    <t>WOS:000253215900014</t>
  </si>
  <si>
    <t>["Scolochloa", "Lolium"]</t>
  </si>
  <si>
    <t>["Schedonorus arundinaceus", "Lolium multiflorum"]</t>
  </si>
  <si>
    <t>Assessing the effect of inbreeding and long-distance gene flow on the invasive potential of Senecio pterophorus (Asteraceae)</t>
  </si>
  <si>
    <t>Alien invasive species undergo genetic bottlenecks during the colonisation of new areas that can lead to a loss of genetic variation within populations and to subsequent reproductive constraints. We analysed the self-compatibility and the effects of inbreeding and inter-population gene flow in the fitness of one native and one introduced population of the invasive Senecio pterophorus D.C. Plants were self-pollinated and outcrossed within families, within populations, between local populations and between populations located in the native and introduced range. Self-pollinated individuals from both populations produced almost no seeds, thus revealing self-incompatibility. High family-level variation was observed in the effect of pollination treatment on seed set and total fitness. Overall, in the Spanish population, related crosses produced fewer seeds and lower germination rates than unrelated crosses. In the South African population, inbreeding depression affected the probability of flowering. Heterosis was found to affect seed set in both populations and growth and mean pre-reproductive time in the Spanish population. We discuss the effects of the incompatibility system, inbreeding depression and long-distance gene flow within the introduced population with respect to the invasive potential of S. pterophorus in north-eastern Spain.</t>
  </si>
  <si>
    <t>10.1071/BT07100</t>
  </si>
  <si>
    <t>WOS:000259227600010</t>
  </si>
  <si>
    <t>["Senecio"]</t>
  </si>
  <si>
    <t>["Senecio pterophorus"]</t>
  </si>
  <si>
    <t>Allelopathic effects of extracts from Solidago canadensis L. against seed germination and seedling growth of some plants</t>
  </si>
  <si>
    <t>To investigate the potential role of allelopathy in plant interference and in the successful invasion of alien species Solidago canadensis, aqueous and ethanolic extracts from rhizomes, steins and leaves of S. canadensis were prepared and used as treatment solutions to assess their effects on seed germination and seedling growth in four target species, mulberry (Morus alba); morning glory (Pharbitis nil), wheat (Triticum aestivum) and rape (Brassica campestris). Reduction and/or growth in germination and growth of the target plant species in the presence of both aqueous and ethanolic extracts at different concentrations indicated that the responses were species-specific and concentration-dependent. Generally, ethanolic extracts (especially from leaves) imposed stronger effects on both seed germination and seedling growth. Extracts with lower concentration at 0.001 g/ml dw could stimulate the seedling growth of rape and morning glory, whereas extracts at any given concentrations have inhibitory effects on wheat and mulberry. It is suggested that the aqueous and ethanolic extracts of all the three parts of S. canaderisis have significant allelopathic effects. Although both inhibition and stimulation occurred in the germination and growth of the target species, extracts with higher concentrations definitely inhibit seed germination and seedling growth of all target plants. We suggest that allelopathy plays a more important role than other mechanisms do in the out-competition of S. canadensis over other plants, and make it invasive in new habitats.</t>
  </si>
  <si>
    <t>WOS:000236120700019</t>
  </si>
  <si>
    <t>["Solidago"]</t>
  </si>
  <si>
    <t>["Solidago canadensis"]</t>
  </si>
  <si>
    <t>Altered patterns of growth, physiology and reproduction in invasive genotypes of Solidago gigantea (Asteraceae)</t>
  </si>
  <si>
    <t>Introduced plants may leave their specialized herbivores behind when they invade new ranges. The Evolution of Increased Competitive Ability (EICA) Hypothesis holds that this escape from herbivory could lead to reduced investment in defenses, thereby freeing resources for growth and reproduction. We tested the prediction that introduced genotypes of Solidago gigantea would outperform native genotypes when grown in the absence of herbivores, and examined whether tolerance to insect herbivory has changed in introduced genotypes. S. gigantea is native to North America and an exotic invasive in Europe. Insect damage reduced plant growth and biomass for both native and exotic genotypes. While there was no evidence that continent of origin influenced the degree to which plants compensated for herbivory, the mechanisms contributing to recovery differed for native and exotic plants. Damaged US plants showed enhanced photosynthetic rates to a greater extent than damaged European plants, while damaged European plants carried more leaves than damaged US plants. At the end of the season, leaf mass of European plants was significantly greater than that of US plants. Contrary to the predictions of the EICA hypothesis, US plants were more likely to flower than European plants. European plants invested significantly more of their total reproductive biomass into rhizomes rather than flowers than US plants. While other work with S. gigantea has supported some aspects of the EICA hypothesis, the results reported here generally do not. We conclude that multiple factors influence the success of introduced plants.</t>
  </si>
  <si>
    <t>10.1007/s10530-007-9131-z</t>
  </si>
  <si>
    <t>WOS:000253198500005</t>
  </si>
  <si>
    <t>["Solidago gigantea"]</t>
  </si>
  <si>
    <t>An experimental test of the evolution of increased competitive ability hypothesis in goldenrod, Solidago gigantea</t>
  </si>
  <si>
    <t>The mechanisms that allow introduced plants to become invasive are poorly understood. Here, we present a test of the evolution of increased competitive ability hypothesis, which holds that because specialized natural enemies may be absent from the introduced range, exotic plants may evolve to invest less in anti-herbivore defenses and thereby gain a competitive advantage over native plants. We grew Solidago gigantea plants derived from both the native range (North America) and the invasive range (Europe) in a common garden in the native range for 2 years. Half the plants were treated with insecticide to protect them from insect herbivores and the other half were exposed to insects that colonized the garden from nearby fields. Insect herbivore biomass was significantly higher on European plants than US plants in the first year but not the second. European plants were more heavily attacked by pathogens in both years of the study. When exposed to insect herbivores, US plants produced more seed than European plants, but when plants were protected from herbivores, seed production was equivalent between US plants and European plants. The presence of insect herbivores suppressed seed production of European plants much more than that of US plants, even though the level of herbivory experienced by European and US plants was similar in the second year, suggesting that the ability to tolerate herbivory was diminished in European plants. These results partially support the EICA hypothesis: plants from the introduced range were more susceptible to some natural enemies and benefited more from insect removal than plants from the native range. The prediction that European plants would perform better than US plants in the absence of insect herbivores was not supported.</t>
  </si>
  <si>
    <t>10.1007/s00442-005-0046-z</t>
  </si>
  <si>
    <t>WOS:000230459800013</t>
  </si>
  <si>
    <t>Biological flora of central Europe: Solidago gigantea Aiton</t>
  </si>
  <si>
    <t>Solidago gigantea is a rhizomatous perennial herb native to northern America and introduced in Europe. It is a serious invader of disturbed mesic sites, often forming dense monospecific stands. We review the literature on taxonomy, morphology, population biology, cytology, physiology, chemistry, and ecology of this species. (C) 2005 Elsevier GmbH. All rights reserved.</t>
  </si>
  <si>
    <t>10.1016/j.flora.2004.09.001</t>
  </si>
  <si>
    <t>WOS:000229541800001</t>
  </si>
  <si>
    <t>A study on seed characteristics and seed bank of Spartina alterniflora at saltmarshes in the Yangtze Estuary, China</t>
  </si>
  <si>
    <t>Since Spartina alterniflora was introduced into the Chongming Dongtan Nature Reserve in 1995, there has been a rapid expansion of this species, seriously threatening the overall biodiversity. In this study, the seed production, germination characteristics and soil seed bank of S. aterniflora were studied at the nature reserve along an intertidal gradient where this invasive species distributed and spread. The results showed that the middle intertidal zone (MIT) had the largest seed production and higher viability than those of lower (LIT) and higher (HIT) intertidal zones. The differences in seed production among these sites were largely dependent on the higher percentage of fruiting culms, longer spike and higher seed number per spike. The differences in seed viability among these sampling sites seemed largely dependent on the higher seed weight at the site MIT. The chilling treatment (at low temperature and in moist conditions) could significantly enhance the germinability, of S. alterniflora seeds and shorten the time of onset seed germination. The seeds from the site MIT had much higher germinability than the sites LIT and HIT. The highest density of soil seed bank was recorded at the site of MIT, where had the highest seed production. By July, before there was any replenishment with fresh seeds from the current year, the soil seed bank was completely exhausted and the persistent time of soil seed bank for S. alterniflora was less than 9 months, which is in agreement with that of the transient seed bank. The results from this study indicated that the seed propagation could have an important attribution to the spreading of this invasive plant and the implications in terms of controlling and managing the invasion of S. alterniflora at the nature reserve were discussed. (C) 2009 Elsevier Ltd. All rights reserved.</t>
  </si>
  <si>
    <t>10.1016/j.ecss.2009.03.024</t>
  </si>
  <si>
    <t>WOS:000266540000012</t>
  </si>
  <si>
    <t>["Spartina", "Ora"]</t>
  </si>
  <si>
    <t>["Spartina alterni&amp;#64258", "ora"]</t>
  </si>
  <si>
    <t>Allelochemicals of the tropical weed Sphenoclea zeylanica</t>
  </si>
  <si>
    <t>Nine plant growth inhibitors were isolated from the tropical weed Sphenoclea zeylanica, which shows allelopathic properties. Those compounds hitherto not reported from any plant source were the isomers of cyclic thiosulfinate, (1S,3R,4R)-(+)- and (1R,3R,4R)-(-)-4-hydroxy-3-hydroxymethyl-1,2-dithiolane-1-oxides, and (2R,3R,4R)-(-)- and (2S,3R,4R)-(+)-4-hydroxy-3hydroxmethyl-1,2-dithiolane-2- oxides. These were named zeylanoxide A, epi-zeylanoxide A, zeylanoxide B and epi-zeylanoxide B, respectively. The absolute configurations at C-3 and C-4 were elucidated by chemical synthesis of both enantiomers from L- and D-glucose. Two of the inhibitors were secologanic acid and secologanoside, and three other inhibitors were by known secoiridoid glucosides formed as artifacts during extraction with methanol. The cyclic thiosulfinates and secoiridoid glucosides completely inhibit the root growth of rice seedlings at 3.0 mM. While the specific activity of the inhibitors was not high, since they accumulated to circa 0.61% S. zeylanica by dry weight, this suggests that the inhibitors are nevertheless potent allelochemicals in this weed. (C) 2000 Elsevier Science Ltd. All rights reserved.</t>
  </si>
  <si>
    <t>10.1016/S0031-9422(00)00264-8</t>
  </si>
  <si>
    <t>WOS:000090146500009</t>
  </si>
  <si>
    <t>["Solanales"]</t>
  </si>
  <si>
    <t>["Sphenoclea"]</t>
  </si>
  <si>
    <t>["Sphenoclea zeylanic"]</t>
  </si>
  <si>
    <t>An Allee effect at the front of a plant invasion: Spartina in a Pacific estuary</t>
  </si>
  <si>
    <t>1 Spartina alterniflora sets very little viable seed at the leading edges of an invasion in Willapa Bay, Washington, USA, where it was introduced c. 100 years ago. This largely outbreeding, rhizomatous grass recruits into previously unoccupied areas at low density, so young plants initially grow isolated from one another but eventually coalesce to form continuous meadows. 2 Isolated recruits set approximately one-tenth the seed of meadow plants at five sites, spread over the 230 km(2) of Willapa Bay mudflats, and this seed germinated at only one-third the rate observed in meadow plants. 3 The consistent patterns suggested that the low seed set in the isolated plants was largely due to the demographic effects of density. Differences between sites in the incidence and amount of seed set and germination rate indicated, however, that there was some environmental influence. 4 These data imply that plants in newly invaded, low-density areas produce little viable seed until rhizomatous growth brings them into close contact. This Allee effect could substantially reduce the rate of invasion.</t>
  </si>
  <si>
    <t>10.1111/j.0022-0477.2004.00873.x</t>
  </si>
  <si>
    <t>WOS:000220382500012</t>
  </si>
  <si>
    <t>["Sporobolus"]</t>
  </si>
  <si>
    <t>["Spartina alterniflora"]</t>
  </si>
  <si>
    <t>Assessing the effects of short-term Spartina alterniflora invasion on labile and recalcitrant C and N pools by means of soil fractionation and stable C and N isotopes</t>
  </si>
  <si>
    <t>An exotic grass Spartina alterniflora was intentionally introduced to Jiuduansha wetlands in Yangtze River estuary in 1997, and since then it had rapidly replaced native plant Scirpus mariqueter that used to dominate the estuarine salt marshes. We investigated consequences of S. alterniflora invasion to soil labile and recalcitrant C and N compared to the native S. mariqueter using soil fractionation and stable C and N isotopes. Results showed that S. alterniflora increased soil labile carbon (LC), recalcitrant carbon (RC), and soil recalcitrant nitrogen (RN) contents significantly (P &lt; 0.05) in the upper soil layers (0-60 cm) compared to the S. mariqueter soil. Soil labile nitrogen (LN) in the S. alterniflora soil, however, remained lower than that in the S. mariqueter soil (P &lt; 0.01), except for the surface soil layer (0-20 cm). The LC accounted for, on average, 36-38% of soil organic matter (SOM) in both communities, while labile N accounted for 32% of SOM in S. alterniflora soil and 48% in S. mariqueter soil. The delta C-13 values in S. alterniflora soil showed that S. alterniflora contributed on average 8.6% and 3.3% to the LC and RC pools, respectively, within the 0-100-cm soil layer. The greatest labile C contribution derived from S. alterniflora was found at the 40-cm soil whereas the proportion of recalcitrant C originating from S. alterniflora showed a decreasing trend with soil depth. These changes appeared to be associated with vertical distributions of roots and rhizodeposition. We also found that the delta N-15 values of SOM were more enriched in S. alterniflora soil compared to S. mariqueter soil, suggesting that greater SOM input by S. alterniflora residues would stimulate microbial activity rates that could lead to increased N turnover rates in S. alterniflora soil. (c) 2008 Elsevier B.V. All rights reserved.</t>
  </si>
  <si>
    <t>10.1016/j.geoderma.2008.02.013</t>
  </si>
  <si>
    <t>WOS:000257849800001</t>
  </si>
  <si>
    <t>Avoidance by grazers facilitates spread of an invasive hybrid plant</t>
  </si>
  <si>
    <t>Biological invasions greatly increase the potential for hybridization among native and non-native species. Hybridization may influence the palatability of novel hybrids to consumers potentially influencing invasion success; however, the palatability of non-native hybrids relative to the parent species is poorly known. In contrast, studies of native-only hybrids find they are nearly always more palatable to consumers than the parent species. Here, I experimentally demonstrate that an invasive hybrid cordgrass (Spartina) is dramatically less palatable to grazing geese than the native parent species. Using field and aviary experiments, I show that grazing geese ignore the hybrid cordgrass and preferentially consume native Spartina. I also experimentally demonstrate that reduced herbivory of the invasive hybrid may contribute to faster spread in a California estuary. These results suggest that biological invasions may increase future opportunities for creating novel hybrids that may pose a greater risk to natural systems than the parent species.</t>
  </si>
  <si>
    <t>10.1111/j.1461-0248.2009.01409.x</t>
  </si>
  <si>
    <t>WOS:000273658100002</t>
  </si>
  <si>
    <t>Does illegal hunting affect density and behaviour of African grassland birds? A case study on ostrich (Struthio camelus)</t>
  </si>
  <si>
    <t>Widespread bushmeat hunting represents one of the major threats to many mammals and birds in Africa. We studied the influence of illegal bushmeat hunting on large grassland birds in the Serengeti National Park (SNP) and adjoining protected areas, by using the ostrich (Struthio camelus) as a case study. First, we documented illegal hunting of both small and large birds by using a questionnaire in the villages on the western and eastern side of the SNP. Second, we studied the effect of illegal hunting on density by driving 4,659 km of transects inside SNP and on the adjacent protected areas, where the data were analysed by DISTANCE sampling. Last, we used flight initiation distance (FID, i.e. the distance between an approaching predator (human) and prey when flight is started), to assess possible impacts on behaviour from illegal hunting. We found that people from the western side of the SNP admitted to hunting both small and large grassland birds, and collect ostrich feathers and eggs. Although the Maasai also hunted small birds, only ostrich feathers and eggs of the large grassland birds were used. Surprisingly, we found no significant differences in densities between the SNP and adjoining partially protected areas, but ostriches had longer FID to an approaching human outside the SNP. Currently illegal hunting does not appear to affect the ostrich population, but given the extensive use of birds for consumption more awareness educational programs accompanied by provision of agricultural incentives within the protected areas are needed.</t>
  </si>
  <si>
    <t>10.1007/s10531-008-9481-6</t>
  </si>
  <si>
    <t>WOS:000265939700017</t>
  </si>
  <si>
    <t>["Struthioniformes"]</t>
  </si>
  <si>
    <t>["Struthio"]</t>
  </si>
  <si>
    <t>["Struthio camelus"]</t>
  </si>
  <si>
    <t>A comparison of two North-American asters invading in central Europe</t>
  </si>
  <si>
    <t>Perennial North-American asters have become common in central Europe since the 17th century when they started to be cultivated as ornamental plants. Today, they are widely spreading especially in alluvial sites in lowlands. Two of the most common aster species, Aster lanceolatus and Aster novi-belgii, were investigated for their generative reproduction, including seed production and germination, and vegetative propagation (growth of rhizomes). Experimental sites with and without competition from the surrounding vegetation were used to test for differences between the species. Germination experiments showed that the asters produced a relatively high number of viable and easily dispersed seeds, which often germinated immediately after ripening and usually did not require any special treatment. Some aster clones produced more than 100 new rosettes from one initial rosette within a year. Apparently, asters are able to form large polycorms in a relatively short time. However, their rapid vegetative spread can be reduced by competition from established vegetation. (c) 2006 Elsevier GmbH. All rights reserved.</t>
  </si>
  <si>
    <t>10.1016/j.flora.2006.01.002</t>
  </si>
  <si>
    <t>WOS:000242665900007</t>
  </si>
  <si>
    <t>["Symphyotrichum"]</t>
  </si>
  <si>
    <t>["Aster lanceolatus", "Aster novi-belgii"]</t>
  </si>
  <si>
    <t>A comparison of phenotypic plasticity in the native dandelion Taraxacum ceratophorum and its invasive congener T-officinale</t>
  </si>
  <si>
    <t>We compared plastic responses to variation in the light environment for sympatric populations of native and exotic dandelion species, Taraxacum ceratophorum and Taraxacum officinale. Plasticity in leaf size, inflorescence height, reproductive phenology and dispersal-related traits were measured under experimentally altered light quality (red : far-red light ratio, R : FR) and light intensity (photosynthetically active radiation, PAR). To test whether differences in means and reaction norms of dispersal-related traits between species affected colonization potential, we created seed-dispersal models based on seed-fall rate and release height. Differences in plasticity between species were not systematic, but varied in direction and magnitude among traits. Taraxacum officinale produced larger leaves that exhibited greater plasticity in size under variable light intensity than T. ceratophorum. Plasticity in scape length at flowering occurred in relation to R : FR ratio in both species, but tended to be greater in T. ceratophorum. Seed-bearing scapes of T. officinale were taller and more canalized in height across light regimes than scapes of T. ceratophorum. Seeds of T. officinale were smaller than seeds of T. ceratophorum. Models predict greater dispersal in T. officinale within open and vegetated habitats. In contrast to the idea that plasticity promotes invasiveness, results suggest that the lack of plasticity in dispersal-related traits enhances the colonization potential of T. officinale.</t>
  </si>
  <si>
    <t>10.1111/j.1469-8137.2004.01300.x</t>
  </si>
  <si>
    <t>WOS:000227390500017</t>
  </si>
  <si>
    <t>["Taraxacum"]</t>
  </si>
  <si>
    <t>["Taraxacum officinale"]</t>
  </si>
  <si>
    <t>Alien dandelion reduces the seed-set of a native congener through frequency-dependent and one-sided effects</t>
  </si>
  <si>
    <t>In conservation biology, increasing numbers of studies have focused on reproductive interference (RI) between a native species and related aliens. However, few studies have examined the frequency dependence of RI, despite of its key importance to invasiveness. Here, we report for the first time frequency-dependent RI in a pair of native and alien dandelions: Taraxacum japonicum and T. officinale, respectively. Taraxacum japonicum has been displaced rapidly by the alien congener T. officinale in Japan and its causal mechanism are still poorly understood. Field observations revealed that the seed-set of natives decreased substantially as the proportion of alien neighbors increased. Subsequently, in a field experiment, the removal of alien flowers only greatly increased the seed-set of natives. We synthesized these results with existing theoretical models of RI and concluded that RI, which is mediated by strong frequency dependence, is presumably responsible for the displacement of T. japonicum by T. officinale.</t>
  </si>
  <si>
    <t>10.1007/s10530-008-9309-z</t>
  </si>
  <si>
    <t>WOS:000263785700018</t>
  </si>
  <si>
    <t>Alpine dandelions originated in the native and introduced range differ in their responses to environmental constraints</t>
  </si>
  <si>
    <t>Few studies have compared the response of native and invasive populations under stressful conditions. Furthermore, there is little consensus as to whether a plastic response is related to invasiveness in stressful environments. Exotic species have recently been reported in the high Andes of central Chile, where individuals have to cope with drought and poor soils, in addition to extreme temperatures. We explored if the exotic species Taraxacum officinale (dandelion) has plastic responses to soil moisture and nutrient availability, and whether two sets of alpine populations derived from native and introduced populations can converge to similar plastic responses to environmental constraints. Using a common garden approach, we compared plants grown from seeds collected in alpine populations of its native range (Alps, France) and in alpine populations of its introduced range (Andes, Chile) under a drought experiment, a potassium gradient, and a nitrogen gradient. Plasticity was only found as a response to drought. Moreover, different responses were found between both origins. Andean individuals are drought-resistant, while individuals from the Alps were drought-sensitive. According to the nutrient experiments, Andean dandelions behave as a nitrogen demanding-potassium avoiding species, whereas individuals from the Alps did not show any particular dependency or repulsion tendency to either of these two nutrients. Results suggest that differences in life history traits of both derived sets of populations may have an important role in determining the response of dandelions under the evaluated conditions. However, the relative importance of genetic adaptation in these responses is still unclear. Although T. officinale is a cosmopolite weed, this is the first study that compares individuals coming from its native and invaded range under stressful conditions.</t>
  </si>
  <si>
    <t>10.1007/s11284-008-0498-9</t>
  </si>
  <si>
    <t>WOS:000261956100020</t>
  </si>
  <si>
    <t>An invasive dandelion unilaterally reduces the reproduction of a native congener through competition for pollination</t>
  </si>
  <si>
    <t>The impact of invasive alien species on native species is of increasing global concern. Invasive plants have various negative effects on natives through competition; however, relatively little is known about competition for pollination. The relationship between Japanese native dandelions (Taraxacum spp.) and invasive congeners may be a typical case of such an interaction. For example, native dandelions are being replaced by invasive congeners, especially in urban and suburban areas of Japan. To explain this phenomenon, we hypothesized that when natives are mixed with attractive invasives, natives may suffer from reduced seed set because invasives deprive natives of pollinators or because pollinators frequently move between species, resulting in interspecific pollen transfer. To test this hypothesis, we studied the effect of the invasive dandelion T. officinale on the pollination and seed set of the native T. japonicum using artificial arrays of monospecific and mixed-species plots as well as natural populations. Taraxacum officinale attracted more pollinator visits, perhaps because it produced more nectar than T. japonicum. The number of pollinator visits to T. japonicum was reduced when the congeners were grown together, and pollinators moved frequently between the two species. The proportion of seed set for T. japonicum was reduced in the presence of T. officinale in both artificial arrays and natural populations. These results support our hypothesis that interspecific competition for pollination plays an important role in the recent replacement of native dandelions by invasive congeners in Japan. Because invasive dandelions are apomicts, negative effects are incurred only by sexual natives. Thus, this system can be recognized as a rare case of interspecific interaction through pollination.</t>
  </si>
  <si>
    <t>10.1007/s00442-008-1250-4</t>
  </si>
  <si>
    <t>WOS:000263418800009</t>
  </si>
  <si>
    <t>Estimating population size and habitat suitability for mountain nyala in areas with different protection status</t>
  </si>
  <si>
    <t>Many species of large herbivores are declining in numbers as a consequence of direct exploitation or habitat loss. In the Ethiopian highlands, rapid human population growth has resulted in an expansion of human settlements and farmland, threatening many endemic species such as the mountain nyala Tragelaphus buxtoni. Despite being listed as an endangered species, the mountain nyala is still the most important trophy hunting species in Ethiopia. We counted faecal pellets of mountain nyala within plots distributed along transects to estimate population size and identify key environmental variables associated with the presence of faecal pellet groups. The total mountain nyala population was estimated at 3756 (95% confidence intervals: 2506-7135) individuals, mainly occupying woodlands while avoiding human developments (agriculture and settlements). The total suitable area was estimated at 8333km(2). Only 31.6% of the total population lived within a national park, while 53.5% of the population inhabited two controlled hunting areas in the eastern mountains. Abundance was 3.7 times higher in areas patrolled by wardens, regardless of being in a national park or hunting area, suggesting that formal protection must be followed by surveillance to avoid poaching and habitat destruction. We found no negative correlation between pellet abundance and trophy hunting. Yet, it is too early to conclude that trophy hunting is sustainable as it has only recently been initiated in the studied populations.</t>
  </si>
  <si>
    <t>10.1111/j.1469-1795.2011.00437.x</t>
  </si>
  <si>
    <t>WOS:000293173900014</t>
  </si>
  <si>
    <t>["Tragelaphus"]</t>
  </si>
  <si>
    <t>["Tragelaphus buxtoni"]</t>
  </si>
  <si>
    <t>Allelopathy as a mechanism for the invasion of Typha angustifolia</t>
  </si>
  <si>
    <t>The direct competitive effects of exotic plants on natives are among the leading causes of plant extinctions worldwide. Allelopathy, one type of direct plant competition, has received relatively little research, particularly in aquatic and wetland systems, even though allelopathy can be a potent mechanism through which plant communities are structured. Typha angustifolia (narrow-leaved cattail) is an invasive exotic plant in North America that often forms monocultures in disturbed wetlands and is more invasive than native members of its genus. We tested whether T. angustifolia was allelopathic and whether it produced different biochemicals than a native congener by growing it with the native bulrush Bolboschoenus fluviatilis (river bulrush) in soil with and without activated carbon and by qualitatively and quantitatively comparing soluble phenolics produced in the roots of T. angustifolia and the native Typha latifolia (broad-leaved cattail). T. angustifolia had a strong allelopathic effect on B. fluviatilis, reducing the longest leaf length and root, shoot, and total biomass of B. fluviatilis. When the allelopathy of T. angustifolia was ameliorated by activated carbon, however, longest leaf length, ramet number, root biomass, shoot biomass, and total biomass of T. angustifolia were greatly reduced due to resource competition with B. fluviatilis. Furthermore, T. angustifolia produced different, but not more, soluble phenolics than T. latifolia suggesting that the identity of the phenolics is different between the two species rather than the concentrations. The allelopathic effects of T. angustifolia on a North American native wetland plant and its production of root biochemicals that appear to differ from those produced by a native congener are consistent with the possibility that T. angustifolia may use a novel allelochemical in its invasion of North American wetlands.</t>
  </si>
  <si>
    <t>10.1007/s11258-009-9573-8</t>
  </si>
  <si>
    <t>WOS:000268328200010</t>
  </si>
  <si>
    <t>["Typha"]</t>
  </si>
  <si>
    <t>["Typha angustifolia"]</t>
  </si>
  <si>
    <t>Associations between a highly invasive species and native macrophytes differ across spatial scales</t>
  </si>
  <si>
    <t>The association between invasive and native species varies across spatial scales and is affected by phylogenetic relatedness, but these issues have rarely been addressed in aquatic ecosystems. In this study, we used a non-native, highly invasive species of Poaceae (tropical signalgrass) to test the hypotheses that (i) tropical signalgrass success correlates negatively with success of most native species of macrophytes at fine spatial scales, but its success correlates positively or at random with natives at coarse spatial scales, and that (ii) tropical signalgrass is less associated with native species belonging to the family Poaceae than with species belonging to other families (Darwin's naturalization hypothesis). We used a dataset obtained at fine (0.25 m(2)) and coarse (ca. 1,000 m(2)) scales. The presence/absence of all species was recorded at both scales, and their biomass was also measured at the fine scale. We tested the association between tropical signalgrass biomass and individual native species with logistic regressions at the fine scale, and using the T-score index between tropical signalgrass and each native species at both scales. The likelihood of the occurrence of six species (submersed and free-floating) was negatively affected by tropical signalgrass biomass at the fine scale. T-scores showed that three species were less associated with tropical signalgrass than expected by chance, but 22 species co-occurred more than expected by chance at the coarse scale. Associations between species of Poaceae and tropical signalgrass were null at the fine scale, but were positive or null at the coarse scale. In addition to showing that spatial scale affects the patterns of association among the non-native and individual native species, our results indicate that phylogeny did not explain associations between the invasive and native macrophytes, at both scales.</t>
  </si>
  <si>
    <t>10.1007/s10530-011-0008-9</t>
  </si>
  <si>
    <t>WOS:000292556200016</t>
  </si>
  <si>
    <t>["Urochloa"]</t>
  </si>
  <si>
    <t>["Urochloa subquadripara"]</t>
  </si>
  <si>
    <t>An evolutionary approach to understanding the biology of invasions: Local adaptation and general-purpose genotypes in the weed Verbascum thapsus</t>
  </si>
  <si>
    <t>The role of evolution in the invasion of non-native species has important implications for conservation, weed science, risk assessment, and policy. In this paper we first discuss why an evolutionary perspective can be helpful and outline a range of potentially useful approaches from population biology and ecological genetics. As a case study, we then ask how adaptation and genetic structure may promote or constrain the expansion of an invasive weed, Verbascum thapsus , into high elevations in the Sierra Nevada of California. We used growth-chamber and common-garden experiments to assay a range of morphological and physiological traits that could influence plant fitness at high elevation. There was a significant relationship between elevation and leaf size and reflectance above 800 m, although we found no relationship between elevation and most other traits ( growth rate in warm or cool temperatures, freezing tolerance when grown in warm or cool temperatures, leaf number, rosette morphology, plant height ). We did see marked genetic differentiation among populations, possibly reflecting founder effects and a history of genetic drift. When we partitioned the phenotypic variance, there was almost no variation among maternal families within populations, limiting the potential for selection to act. The majority of the variance for all traits was among individuals within families, suggesting that environmental conditions strongly influenced the phenotype. Overall, the increasing success of V. thapsus at high elevations appears to conform more to Baker's concept of a general-purpose genotype than to invasion by rapid adaptation.</t>
  </si>
  <si>
    <t>10.1046/j.1523-1739.2003.02019.x</t>
  </si>
  <si>
    <t>WOS:000180846200011</t>
  </si>
  <si>
    <t>["Verbascum"]</t>
  </si>
  <si>
    <t>["Verbascum thapsus"]</t>
  </si>
  <si>
    <t>Acclimation of photosystem II to high temperature in two Wedelia species from different geographical origins: implications for biological invasions upon global warming</t>
  </si>
  <si>
    <t>More intense, more frequent, and longer heat waves are expected in the future due to global warming, which could have dramatic ecological impacts. However, few studies have involved invasive species. The aims of this study were to examine the effect of extreme heating (40/35 degrees C for 30 d) on the growth and photosynthesis of an alien invasive species Wedelia trilobata and its indigenous congener (Wedelia chinensis) in South China, and to determine the development of this invasive species and its potential adaptive mechanism. In comparison with W. chinensis, W. trilobata suffered less inhibition of the relative growth rate (RGR) and biomass production due to high temperature, which was consistent with the changes of photosystem II (PSII) activity and net photosynthetic rate (P-n). High temperature caused a partial inhibition of PSII, but the adverse effect was more severe in W. chinensis. Measurement of the minimum fluorescence (F-o) versus temperature curves showed that W. trilobata had a higher inflexion temperature of F-o (T-i), indicating greater thermostability of the photosynthetic apparatus. Moreover, comparisons of absorbed light energy partitioning revealed that W. trilobata increased xanthophyll-dependent thermal dissipation (Phi(NPQ)) under high temperature, while retaining the higher fraction of absorbed light allocated to photochemistry (Phi(PSII)) relative to W. chinensis. The results suggest that the invasive W. trilobata has a high thermostability of its photosynthetic apparatus and an effective regulating mechanism in energy partitioning of PSII complexes to minimize potential damage and to retain greater capability for carbon assimilation. These factors confer greater heat stress tolerance compared with the native species. Therefore, the invasive W. trilobata may become more aggressive with the increasingly extreme heat climates.</t>
  </si>
  <si>
    <t>10.1093/jxb/erq220</t>
  </si>
  <si>
    <t>WOS:000281717300023</t>
  </si>
  <si>
    <t>["Wedelia"]</t>
  </si>
  <si>
    <t>["Wedelia trilobata"]</t>
  </si>
  <si>
    <t>Returns 611 records in curated labels</t>
  </si>
  <si>
    <t>DO = (</t>
  </si>
  <si>
    <t>)</t>
  </si>
  <si>
    <t>OR</t>
  </si>
  <si>
    <t>TI = (</t>
  </si>
  <si>
    <t>Safeguarding the Pantanal wetlands: Threats and conservation initiatives OR</t>
  </si>
  <si>
    <t>Applying ecological knowledge in landscape planning: a simulation model as a tool to evaluate scenarios for the badger in the Netherlands OR</t>
  </si>
  <si>
    <t>Genetic structure of sensitive and endangered northwestern badger populations (Taxidea taxus taxus and T-t. jeffersonii) OR</t>
  </si>
  <si>
    <t>Changes in mammalian body length over 175 years - Adaptations to a fragmented landscape? OR</t>
  </si>
  <si>
    <t>DIET AND CONSERVATION STATUS OF CAPE CLAWLESS OTTERS IN EASTERN ZIMBABWE OR</t>
  </si>
  <si>
    <t>Abundances of red fox and pine marten in relation to the composition of boreal forest landscapes OR</t>
  </si>
  <si>
    <t>Human-wildlife competition for Korean pine seeds: vertebrate responses and implications for mixed forests on Changbai Mountain, China OR</t>
  </si>
  <si>
    <t>Changes in the prevalence of badger persecution in Northern Ireland OR</t>
  </si>
  <si>
    <t>Population status, habitat associations, and distribution of the steppe polecat Mustela eversmanii in Europe OR</t>
  </si>
  <si>
    <t>Habitat use and spatial behaviour of the endangered Southern river otter (Lontra provocax) in riparian habitats of Chile: Conservation implications OR</t>
  </si>
  <si>
    <t>HABITAT QUALITY ASSESSMENT FOR THE EURASIAN OTTER (LUTRA LUTRA) ON THE RIVER JAJROOD, IRAN OR</t>
  </si>
  <si>
    <t>Eurasian otter Lutra lutra in developing countries: a resurvey of Albania 22 years after the fall of communism OR</t>
  </si>
  <si>
    <t>Land use drivers of species re-expansion: inferring colonization dynamics in Eurasian otters OR</t>
  </si>
  <si>
    <t>Habitat use pattern and conservation status of smooth-coated otters Lutrogale perspicillata in the Upper Ganges Basin, India OR</t>
  </si>
  <si>
    <t>Habitat selection by European badgers in Mediterranean semi-arid ecosystems OR</t>
  </si>
  <si>
    <t>THE STATUS OF 2 ENDANGERED CARNIVORES OCCURRING IN THE CAPE-PROVINCE, SOUTH-AFRICA, FELIS-SERVAL AND LUTRA-MACULICOLLIS OR</t>
  </si>
  <si>
    <t>Defining key habitats for low density populations of Eurasian badgers in Mediterranean environments OR</t>
  </si>
  <si>
    <t>Otters (Lutra lutra) increasing in Central Europe: from the threat of extinction to locally perceived overpopulation? OR</t>
  </si>
  <si>
    <t>Body size, niche breadth, and ecologically scaled responses to habitat fragmentation: mammalian predators in an agricultural landscape OR</t>
  </si>
  <si>
    <t>Home range and movements of long-tailed weasels in a landscape fragmented by agriculture OR</t>
  </si>
  <si>
    <t>Spatio-temporal population genetics of the Danish pine marten (Martes martes) OR</t>
  </si>
  <si>
    <t>Movement patterns, habitat selection, and corridor use of a typical woodland-dweller species, the European pine marten (Martes martes), in fragmented landscape OR</t>
  </si>
  <si>
    <t>Key landscape factors for Eurasian otter Lutra lutra visiting rates and fish loss in estuarine fish farms OR</t>
  </si>
  <si>
    <t>Experimental design and taxonomic scope of fragmentation studies on European mammals: current status and future priorities OR</t>
  </si>
  <si>
    <t>Otters vs. fishermen: Stakeholders' perceptions of otter predation and damage compensation in the Czech Republic OR</t>
  </si>
  <si>
    <t>Linking habitat characteristics with genetic diversity of the European pine marten (Martes martes) in France OR</t>
  </si>
  <si>
    <t>Effects of agro-forestry activities, cattle-raising practices and food-related factors in badger sett location and use in Portugal OR</t>
  </si>
  <si>
    <t>Habitat selection of European badger Meles meles in a highly fragmented forest landscape in northern Italy: the importance of hedgerows and agro-forestry systems OR</t>
  </si>
  <si>
    <t>Small-clawed otters (Aonyx cinereus) in Indonesian rice fields: latrine site characteristics and visitation frequency OR</t>
  </si>
  <si>
    <t>Determining carnivore habitat use in a rubber/forest landscape in Brazil using multispecies occupancy models OR</t>
  </si>
  <si>
    <t>Population Structure and Genetic Diversity of the Endangered South American Giant Otter (Pteronura brasiliensis) from the Orinoco Basin in Colombia: Management Implications and Application to Current Conservation Programs OR</t>
  </si>
  <si>
    <t>Challenges to reestablishment of free-ranging populations of black-footed ferrets OR</t>
  </si>
  <si>
    <t>Factors affecting the occurrence of smooth-coated otter in aquatic systems of the Upper Gangetic Plains, India OR</t>
  </si>
  <si>
    <t>The relationship between population density and body size of wolverines Gulo gulo in Scandinavia OR</t>
  </si>
  <si>
    <t>A review of the historical evidence of the habitat of the Pine Marten in Cumbria OR</t>
  </si>
  <si>
    <t>Control of mammalian predators in game management and conservation OR</t>
  </si>
  <si>
    <t>Forest cover influences occurrence of mammalian carnivores within Brazilian Atlantic Forest OR</t>
  </si>
  <si>
    <t>THE PAST HISTORY AND RECENT DECLINE OF BADGERS MELES-MELES IN ESSEX - AN ANALYSIS OF SOME OF THE CONTRIBUTORY FACTORS OR</t>
  </si>
  <si>
    <t>ESTIMATING THE IMPACT OF PAST PERSECUTION AND HABITAT CHANGES ON THE NUMBERS OF BADGERS MELES-MELES IN BRITAIN OR</t>
  </si>
  <si>
    <t>DISTRIBUTION AND STATUS OF SMALL AND MEDIUM-SIZED CARNIVORES IN LATVIA OR</t>
  </si>
  <si>
    <t>The Congo clawless otter (Aonyx congicus) (Mustelidae: Lutrinae sp.): a review of its systematics, distribution and conservation status OR</t>
  </si>
  <si>
    <t>Carnivores (Mammalia: Carnivora) in South China: a status review with notes on the commercial trade OR</t>
  </si>
  <si>
    <t>Human-wildlife conflicts at pond fisheries in eastern Poland: perceptions and management of wildlife damage OR</t>
  </si>
  <si>
    <t>Predicted distribution of the Bornean ferret badger Melogale everetti (Mammalia: Carnivora: Mustelidae) on Borneo OR</t>
  </si>
  <si>
    <t>Carnivore conservation planning on Borneo: identifying key carnivore landscapes, research priorities and conservation interventions OR</t>
  </si>
  <si>
    <t>Public acceptability of measures to prevent from predation on commercial fish by the endangered Eurasian otter (Lutra lutra) in Natura 2000 OR</t>
  </si>
  <si>
    <t>Habitat, Climate, and Fisher and Marten Distributions OR</t>
  </si>
  <si>
    <t>Records of Recovering American Marten, Martes americana, in New Hampshire OR</t>
  </si>
  <si>
    <t>Geographic characteristics of sable (Martes zibellina) distribution over time in Northeast China OR</t>
  </si>
  <si>
    <t>Interacting effects of climate change, landscape conversion, and harvest on carnivore populations at the range margin: Marten and Lynx in the northern Appalachians OR</t>
  </si>
  <si>
    <t>Inferring geographic isolation of wolverines in California using historical DNA OR</t>
  </si>
  <si>
    <t>Tools for Assessing Climate Impacts on Fish and Wildlife OR</t>
  </si>
  <si>
    <t>Satellite-detected forest disturbance forecasts American marten population decline: The case for supportive space-based monitoring OR</t>
  </si>
  <si>
    <t>Demography of the Giant Otter (Pteronura brasiliensis) in Manu National Park, South-Eastern Peru: Implications for Conservation OR</t>
  </si>
  <si>
    <t>Conservation of the Asian small-clawed otter (Aonyx cinereus) in human-modified landscapes, Western Ghats, India OR</t>
  </si>
  <si>
    <t>Evidence for persistence and a major range extension of the smooth-coated otter (Lutrogale perspicillata maxwelli; Mustelidae, Carnivora) in Iraq OR</t>
  </si>
  <si>
    <t>The use of hydroelectric lakes by giant otters Pteronura brasiliensis: Balbina lake in central Amazonia, Brazil OR</t>
  </si>
  <si>
    <t>Status of the wolverine Gulo gulo in Canada OR</t>
  </si>
  <si>
    <t>Making sense of the policy process for carnivore conservation OR</t>
  </si>
  <si>
    <t>PAST AND PRESENT DISTRIBUTION OF BADGERS MELES-MELES IN THE COPENHAGEN AREA OR</t>
  </si>
  <si>
    <t>Stream health, topography, and land use influences on the distribution of the Eurasian otter Lutra lutra in the Nakdong River basin, South Korea OR</t>
  </si>
  <si>
    <t>Regional variation in home-range-scale habitat models for fisher (Pekania pennanti) in California OR</t>
  </si>
  <si>
    <t>Estimating Trend in Occupancy for the Southern Sierra Fisher Pekania pennanti Population OR</t>
  </si>
  <si>
    <t>Genetic structure of North American wolverine (Gulo gulo) populations OR</t>
  </si>
  <si>
    <t>Otter Lutra lutra population expansion: assessing habitat suitability and connectivity in southern Italy OR</t>
  </si>
  <si>
    <t>Mortality sensitivity in life-stage simulation analysis: A case study of southern sea otters OR</t>
  </si>
  <si>
    <t>Recent history, current status, conservation and management of native mammalian carnivore species in Great Britain OR</t>
  </si>
  <si>
    <t>STRUCTURE, REPRODUCTIVE STATUS AND DYNAMICS OF THE OTTER POPULATION IN BELORUSSIA OR</t>
  </si>
  <si>
    <t>A SURVEY OF THE SOUTHERN RIVER OTTER LUTRA-PROVOCAX IN LANIN-NATIONAL-PARK PUELO-NATIONAL-PARK AND LOS-ALERCES-NATIONAL-PARK, ARGENTINA, AND EVALUATION OF ITS CONSERVATION STATUS OR</t>
  </si>
  <si>
    <t>CHANGES IN DISTRIBUTION OF THE EUROPEAN BADGER MELES-MELES IN FINLAND DURING THE RAPID COLONIZATION OF THE RACCOON DOG OR</t>
  </si>
  <si>
    <t>Habitat suitability for marten of second-growth balsam fir forests in Newfoundland OR</t>
  </si>
  <si>
    <t>Causes of mortality in California sea otters during periods of population growth and decline OR</t>
  </si>
  <si>
    <t>Influence of black-tailed prairie dog towns (Cynomys ludovicianus) on carnivore distributions in the Oklahoma Panhandle OR</t>
  </si>
  <si>
    <t>Management strategies for a large-scale mountain pine beetle outbreak: Modelling impacts on American martens OR</t>
  </si>
  <si>
    <t>Modeling predator habitat to enhance reintroduction planning OR</t>
  </si>
  <si>
    <t>Decline in endangered species as an indication of anthropic pressures: The case of European mink Mustela lutreola western population OR</t>
  </si>
  <si>
    <t>Assessing the distribution pattern of otters in four rivers of the Indian Himalayan biodiversity hotspot OR</t>
  </si>
  <si>
    <t>WHY IS THE EUROPEAN MINK (MUSTELA-LUTREOLA) DISAPPEARING - A REVIEW OF THE PROCESS AND HYPOTHESES OR</t>
  </si>
  <si>
    <t>Recent Records of Smooth-Coated Otter (Lutrogale perspicillata) from Sindh, Pakistan OR</t>
  </si>
  <si>
    <t>Genetic diversity and landscape genetic structure of otter (Lutra lutra) populations in Europe OR</t>
  </si>
  <si>
    <t>Otter, come out!': taking away the stone on the southernmost Italian Lutra lutra population OR</t>
  </si>
  <si>
    <t>THE DECLINE OF OTTER LUTRA-LUTRA POPULATIONS IN THE REGION OF THE PAYS-DE-LOIRE, WESTERN FRANCE OR</t>
  </si>
  <si>
    <t>Genetic diversity and population structure in the endangered giant otter, Pteronura brasiliensis OR</t>
  </si>
  <si>
    <t>Genetic structure of sable (Martes zibellina L.) in Eurasia-analysis of the mitochondrial lineages distribution OR</t>
  </si>
  <si>
    <t>Forest heterogeneity influences habitat selection by fishers (Pekania pennanti) within home ranges OR</t>
  </si>
  <si>
    <t>Mammals of Cleopatra's Needle Critical Habitat: Outcomes of a rapid assessment OR</t>
  </si>
  <si>
    <t>RIVER OTTER (LUTRA-CANADENSIS) REINTRODUCTION IN PENNSYLVANIA, PRERELEASE CARE AND CLINICAL-EVALUATION OR</t>
  </si>
  <si>
    <t>Sea otter population declines in the Aleutian archipelago OR</t>
  </si>
  <si>
    <t>Pine marten (Martes martes) distribution and abundance in Ireland: A cross-jurisdictional analysis using non-invasive genetic survey techniques OR</t>
  </si>
  <si>
    <t>Synanthropy and marine conservation: the case of the marine otter Lontra felina in Southern Chile OR</t>
  </si>
  <si>
    <t>Evaluating River Otter Demography Using Noninvasive Genetic Methods OR</t>
  </si>
  <si>
    <t>Impact of Population Expansion on Genetic Diversity and Structure of River Otters (Lontra canadensis) in Central North America OR</t>
  </si>
  <si>
    <t>Genetic monitoring suggests increasing structure following recolonization by fishers OR</t>
  </si>
  <si>
    <t>The conservation of medium-sized mammals in two private ecological reserves of Veracruz, Mexico OR</t>
  </si>
  <si>
    <t>River Otter Distribution in Nebraska OR</t>
  </si>
  <si>
    <t>Landscape features in the habitat selection of European mink (Mustela lutreola) in south-western Europe OR</t>
  </si>
  <si>
    <t>Population structure and recent temporal changes in genetic variation in Eurasian otters from Sweden OR</t>
  </si>
  <si>
    <t>Genetic Diversity of the Eurasian Otter (Lutra lutra) Population in Israel OR</t>
  </si>
  <si>
    <t>Assessment of population structure in Hungarian otter populations OR</t>
  </si>
  <si>
    <t>Genetic structure in otter (Lutra lutra) populations in Europe: implications for conservation OR</t>
  </si>
  <si>
    <t>There and back again? Combining habitat suitability modelling and connectivity analyses to assess a potential return of the otter to Switzerland OR</t>
  </si>
  <si>
    <t>A multi-temporal approach to model endangered species distribution in Europe. The case of the Eurasian otter in Italy OR</t>
  </si>
  <si>
    <t>Genetic variability and size estimates of the Eurasian otter (Lutra lutra) population in the Bohemian Forest Ecosystem OR</t>
  </si>
  <si>
    <t>Progress and status of river otter reintroduction projects in the United States OR</t>
  </si>
  <si>
    <t>Scale-dependent Factors Affecting North American River Otter Distribution in the Midwest OR</t>
  </si>
  <si>
    <t>Deciphering ecological barriers to North American river otter (Lontra canadensis) gene flow in the Louisiana landscape OR</t>
  </si>
  <si>
    <t>Marine Mammal Ecotypes: Implications for Otter Conservation and Management OR</t>
  </si>
  <si>
    <t>Estimation of the diet of chungungo Lontra felina (Molina, 1782) in two locations of the coast of the Biobio Region, Chile OR</t>
  </si>
  <si>
    <t>Genetic structure of European pine martens (Martes martes), and evidence for introgression with M-americana in England OR</t>
  </si>
  <si>
    <t>Reoccupation of historical areas by the endangered giant river otter Pteronura brasiliensis (Carnivora: Mustelidae) in Central Amazonia, Brazil OR</t>
  </si>
  <si>
    <t>The marine otter Lontra felina (Molina, 1782): A review of its present status and implications for future conservation OR</t>
  </si>
  <si>
    <t>The wolverine Gulo gulo population and its distribution in the Great Khingan Mountains, northeastern China OR</t>
  </si>
  <si>
    <t>Historical and contemporary distributions of carnivores in forests of the Sierra Nevada, California, USA OR</t>
  </si>
  <si>
    <t>Reintroduction of the Eurasian badger (Meles meles) in a protected area of northern Italy OR</t>
  </si>
  <si>
    <t>Habitat Potential Mapping of Marten (Martes flavigula) and Leopard Cat (Prionailurus bengalensis) in South Korea Using Artificial Neural Network Machine Learning OR</t>
  </si>
  <si>
    <t>Estimating distribution and connectivity of recolonizing American marten in the northeastern United States using expert elicitation techniques OR</t>
  </si>
  <si>
    <t>Mechanisms influencing the winter distribution of wolverine Gulo gulo luscus ien the southern Columbia Mountains, Canada OR</t>
  </si>
  <si>
    <t>The presence of rabbits adjacent to roads increases polecat road mortality OR</t>
  </si>
  <si>
    <t>Biological invasions provide a framework for reintroductions: selecting areas in England for pine marten releases OR</t>
  </si>
  <si>
    <t>Human-modified landscape acts as refuge for mammals in Atlantic Forest OR</t>
  </si>
  <si>
    <t>European badger habitat requirements in the Netherlands - combining ecological niche models with neighbourhood analysis OR</t>
  </si>
  <si>
    <t>Ecology and biogeography of the Neotropical otter Lontra longicaudis: existing knowledge and open questions OR</t>
  </si>
  <si>
    <t>Carnivores as focal species for conservation planning in the Rocky Mountain region OR</t>
  </si>
  <si>
    <t>THE STATUS OF THE BADGER MELES-MELES (L, 1758) (CARNIVORA, MUSTELIDAE) IN EUROPE OR</t>
  </si>
  <si>
    <t>Edge-core effects and the effectiveness of traditional reserves in conservation: Eurasian badgers in Donana National Park OR</t>
  </si>
  <si>
    <t>Effects of disturbance on forest carnivores of conservation concern in eastern Oregon and Washington OR</t>
  </si>
  <si>
    <t>Mitochondrial phylogeography and conservation genetics of wolverine (Gulo gulo) of northwestern North America OR</t>
  </si>
  <si>
    <t>Survival and cause-specific mortality of a protected population of river otters in Minnesota OR</t>
  </si>
  <si>
    <t>Marten Fur Harvests and Landscape Change in West-Central Alberta OR</t>
  </si>
  <si>
    <t>Roads, logging, and the large-mammal community of an eastern Canadian boreal forest OR</t>
  </si>
  <si>
    <t>Using a genetic network to parameterize a landscape resistance surface for fishers, Pekania pennanti OR</t>
  </si>
  <si>
    <t>Comparative survival pattern of the syntopic pine and stone martens in a trapped rural area in France OR</t>
  </si>
  <si>
    <t>Reports on badgers Meles meles in Dutch newspapers 1900-2013: same animals, different framings? OR</t>
  </si>
  <si>
    <t>The Sustainability of Wolverine Trapping Mortality in Southern Canada OR</t>
  </si>
  <si>
    <t>Lessons from lean beasts: conservation biology of the mustelids OR</t>
  </si>
  <si>
    <t>THE BADGER (MELES-MELES) IN BRITAIN - PRESENT STATUS AND FUTURE POPULATION-CHANGES OR</t>
  </si>
  <si>
    <t>EFFECTS OF CHANGES IN FISH POPULATIONS IN LAKE VICTORIA ON THE FOOD OF OTTERS (LUTRA-MACULICOLLIS SCHINZ AND AONYX-CAPENSIS LICHTENSTEIN) OR</t>
  </si>
  <si>
    <t>SEA OTTER DIETS IN A DECLINING POPULATION IN ALASKA OR</t>
  </si>
  <si>
    <t>SIMULATION MODELING OF AMERICAN MARTEN (MARTES AMERICANA) POPULATIONS - VULNERABILITY TO EXTINCTION OR</t>
  </si>
  <si>
    <t>THE EUROPEAN PINE MARTEN MARTES-MARTES IN THE BALEARIC-ISLANDS, SPAIN OR</t>
  </si>
  <si>
    <t>A SNOWSHOE HARE SNARE SYSTEM TO MINIMIZE CAPTURE OF MARTEN OR</t>
  </si>
  <si>
    <t>SURVIVAL IN AN INTENSIVELY TRAPPED MARTEN POPULATION IN MAINE OR</t>
  </si>
  <si>
    <t>SPATIAL RELATIONS IN A HARVESTED POPULATION OF MARTEN IN MAINE OR</t>
  </si>
  <si>
    <t>MARTEN ACTIVITY IN UNCUT AND LOGGED BOREAL FORESTS IN ONTARIO OR</t>
  </si>
  <si>
    <t>BREEDING PATTERNS AND REPRODUCTIVE SUCCESS OF CALIFORNIA SEA OTTERS OR</t>
  </si>
  <si>
    <t>Temporal and spatial dynamics of boreal forest structure in western Newfoundland: Silvicultural implications for marten habitat management OR</t>
  </si>
  <si>
    <t>Historical harvest and incidental capture of fishers in California OR</t>
  </si>
  <si>
    <t>Updated status of the Sea Otter, Enhydra lutris, in Canada OR</t>
  </si>
  <si>
    <t>A test of aversive agents on wolverines OR</t>
  </si>
  <si>
    <t>Influence of landscape pattern on habitat use by American marten in an industrial forest OR</t>
  </si>
  <si>
    <t>Comparison of proposed survey procedures for detection of forest carnivores OR</t>
  </si>
  <si>
    <t>The influence of public access and sett visibility on badger (Meles meles) sett disturbance and persistence OR</t>
  </si>
  <si>
    <t>Home-range sizes and altitude selection for arctic foxes and wolverines in an alpine environment OR</t>
  </si>
  <si>
    <t>The influence of forest fragmentation and landscape pattern on American martens OR</t>
  </si>
  <si>
    <t>Impact of predator removal on predator and mountain hare populations in Finland OR</t>
  </si>
  <si>
    <t>Using presence-absence data to build and test spatial habitat models for the fisher in the Klamath region, USA OR</t>
  </si>
  <si>
    <t>An assessment of British farmers' and gamekeepers' experiences, attitudes and practices in relation to the European Polecat Mustela putorius OR</t>
  </si>
  <si>
    <t>Factors associated with wolverine Gulo gulo predation on domestic sheep OR</t>
  </si>
  <si>
    <t>RFLP analysis of the mitochondrial DNA of otters (Lutra lutra) from Europe - implications for conservation of a flagship species OR</t>
  </si>
  <si>
    <t>Marten habitat selection in a clearcut boreal landscape OR</t>
  </si>
  <si>
    <t>Population trends and harvest management of pine marten Martes martes in Scandinavia OR</t>
  </si>
  <si>
    <t>Assessment of genetic variance among source and reintroduced fisher populations OR</t>
  </si>
  <si>
    <t>Genetic variability of wolverines (Gulo gulo) from the Northwest Territories, Canada: Conservation implications OR</t>
  </si>
  <si>
    <t>Conservation of rare carnivores in the North Cascades Ecosystem, western North America OR</t>
  </si>
  <si>
    <t>Status of American martens in coastal forests of the Pacific states OR</t>
  </si>
  <si>
    <t>Role of isolation and habitat quality in shaping species abundance: a test with badgers (Meles meles L.) in a gradient of forest fragmentation OR</t>
  </si>
  <si>
    <t>Genetic variation and structure of fisher (Pekania pennanti) populations across North America OR</t>
  </si>
  <si>
    <t>Genetic variation and population structure in Scandinavian wolverine (Gulo gulo) populations OR</t>
  </si>
  <si>
    <t>A comparison on the response to forest fragmentation by medium-sized Iberian carnivores in central Spain OR</t>
  </si>
  <si>
    <t>Microsatellite DNA and mitochondrial DNA variation in remnant and translocated sea otter (Enhydra lutris) populations OR</t>
  </si>
  <si>
    <t>Connectivity of peripheral and core populations of North American wolverines OR</t>
  </si>
  <si>
    <t>Extirpation and reintroduction of fishers (Pekania pennanti) in Oregon: implications for their conservation in the Pacific states OR</t>
  </si>
  <si>
    <t>The impact of sett disturbance on badger Meles meles numbers; when does protective legislation work? OR</t>
  </si>
  <si>
    <t>Contrasting levels of genetic differentiation among populations of wolverines (Gulo gulo) from northern Canada revealed by nuclear and mitochondrial loci OR</t>
  </si>
  <si>
    <t>Effects of mid-winter snow depth on stand selection by Wolverines, Gulo gulo luscus, in the boreal forest OR</t>
  </si>
  <si>
    <t>Synthesis of survival rates and causes of mortality in North American wolverines OR</t>
  </si>
  <si>
    <t>Relationship between small-game hunting and carnivore diversity in central Spain OR</t>
  </si>
  <si>
    <t>Decline in sea otter (Enhydra lutris) populations along the Alaska Peninsula, 1986-2001 OR</t>
  </si>
  <si>
    <t>Management strategies for the wolverine in Scandinavia OR</t>
  </si>
  <si>
    <t>Badger hair in shaving brushes comes from protected Eurasian badgers OR</t>
  </si>
  <si>
    <t>Rediscovery of the Scottish polecat, Mustela putorius: Survival or reintroduction? OR</t>
  </si>
  <si>
    <t>Reproductive characteristics of female wolverines (Gulo gulo) in Scandinavia OR</t>
  </si>
  <si>
    <t>Fisher survival in eastern Ontario OR</t>
  </si>
  <si>
    <t>Assessment of the sustainability of wolverine harvest in British Columbia, Canada OR</t>
  </si>
  <si>
    <t>Distribution and broadscale habitat relations of the wolverine in the contiguous United States OR</t>
  </si>
  <si>
    <t>Otters and fish farms in the Sado estuary: ecological and socio-economic basis of a conflict OR</t>
  </si>
  <si>
    <t>Habitat selection of American marten in a logged landscape at the southern fringe of the boreal forest OR</t>
  </si>
  <si>
    <t>Effect of felling on the distribution of rodents and their predators in a transitional mixed forest OR</t>
  </si>
  <si>
    <t>Fishers, farms, and forests in eastern North America OR</t>
  </si>
  <si>
    <t>Social organization and territoriality of giant otters (Carnivora : Mustelidae) in a seasonally flooded savanna in Brazil OR</t>
  </si>
  <si>
    <t>Terrestrial carnivores and human food production: impact and management OR</t>
  </si>
  <si>
    <t>Estimating sustainable harvest in wolverine populations using logistic regression OR</t>
  </si>
  <si>
    <t>Temporal Changes in Population Dynamics of American Martens OR</t>
  </si>
  <si>
    <t>The diversity, status and conservation of small carnivores in a montane tropical forest in northern Laos OR</t>
  </si>
  <si>
    <t>Human caused mortality in the endangered Scandinavian wolverine population OR</t>
  </si>
  <si>
    <t>Status of Smooth Coated Otter (Lutrogale perspicillata sindica) in Pakistan OR</t>
  </si>
  <si>
    <t>Paradigm Shifts in Habitat Ecology of Threatened Newfoundland Martens OR</t>
  </si>
  <si>
    <t>Developing and testing a landscape-scale habitat suitability model for fisher (Pekania pennanti) in forests of interior northern California OR</t>
  </si>
  <si>
    <t>Recovery of the Endangered giant otter Pteronura brasiliensis on the Yavari-Mirin and Yavari Rivers: a success story for CITES OR</t>
  </si>
  <si>
    <t>Decline in American Marten Occupancy Rates at Sagehen Experimental Forest, California OR</t>
  </si>
  <si>
    <t>Abundance Trends of American Martens in Michigan Based on Statistical Population Reconstruction OR</t>
  </si>
  <si>
    <t>Landscape Genetics of Fishers (Pekania pennanti) in the Northeast: Dispersal Barriers and Historical Influences OR</t>
  </si>
  <si>
    <t>River Otter Population Size Estimation Using Noninvasive Latrine Surveys OR</t>
  </si>
  <si>
    <t>Conflict between Fishermen and Giant Otters Pteronura brasiliensis in Western Brazilian Amazon OR</t>
  </si>
  <si>
    <t>Historical and Contemporary DNA Indicate Fisher Decline and Isolation Occurred Prior to the European Settlement of California OR</t>
  </si>
  <si>
    <t>Shaping carnivore communities by predator control: competitor release revisited OR</t>
  </si>
  <si>
    <t>Geographic distribution, natural history and conservation of the lesser grison Galictis cuja (Carnivora: Mustelidae) from Central Patagonia, Argentina OR</t>
  </si>
  <si>
    <t>Interactions between the Neotropical otter (Lontra longicaudis) and gillnet fishery in the southern Brazilian coast OR</t>
  </si>
  <si>
    <t>Prevalence of embedded shotgun pellets in protected and in legally hunted medium-sized carnivores in Denmark OR</t>
  </si>
  <si>
    <t>Innovative Techniques for Estimating Illegal Activities in a Human-Wildlife-Management Conflict OR</t>
  </si>
  <si>
    <t>Impact of culling on relative abundance of the European badger (Meles meles) in Ireland OR</t>
  </si>
  <si>
    <t>Marine mammal bycatch in gillnet and other entangling net fisheries, 1990 to 2011 OR</t>
  </si>
  <si>
    <t>Local ecological knowledge as a tool for assessing the status of threatened vertebrates: a case study in Vietnam OR</t>
  </si>
  <si>
    <t>Differential response of a carnivore community to predator control: a spatio-temporal observational study OR</t>
  </si>
  <si>
    <t>Both forest composition and configuration influence landscape-scale habitat selection by fishers (Pekania pennanti) in mixed coniferous forests of the Northern Rocky Mountains OR</t>
  </si>
  <si>
    <t>Conservation importance of Nakai-Nam Theun National Protected Area, Laos, for small carnivores based on camera trap data OR</t>
  </si>
  <si>
    <t>A recovering flagship: giant otters, communities and tourism in northern Peru OR</t>
  </si>
  <si>
    <t>Recovery of Wolverines in the Western United States: Recent Extirpation and Recolonization or Range Retraction and Expansion? OR</t>
  </si>
  <si>
    <t>Conflict between spotted-necked otters and fishermen in Hlan River, Benin OR</t>
  </si>
  <si>
    <t>The illegal exploitation of hog badgers (Arctonyx collaris) in China: genetic evidence exposes regional population impacts OR</t>
  </si>
  <si>
    <t>Compensatory immigration counteracts contrasting conservation strategies of wolverines (Gulo gulo) within Scandinavia OR</t>
  </si>
  <si>
    <t>Predicted distribution of the yellow-throated marten Martes flavigula (Mammalia: Carnivora: Mustelidae) on Borneo OR</t>
  </si>
  <si>
    <t>Carnivores' diversity and conflicts with humans in Musk Deer National Park, Azad Jammu and Kashmir, Pakistan OR</t>
  </si>
  <si>
    <t>Landscape-scale habitat selection by fishers translocated to the Olympic Peninsula of Washington OR</t>
  </si>
  <si>
    <t>Interaction between artisanal fishery and the top predator Lontra felina in Chile OR</t>
  </si>
  <si>
    <t>Working with experts to quantify changes in the abundance of furbearers following rapid and large-scale forest harvesting OR</t>
  </si>
  <si>
    <t>Historical biogeography sets the foundation for contemporary conservation of martens (genus Martes) in northwestern North America OR</t>
  </si>
  <si>
    <t>Fine-scale distributions of carnivores in a logging concession in Sarawak, Malaysian Borneo OR</t>
  </si>
  <si>
    <t>Complete mitochondrial genome reveals the phylogenetic relationship of sable Martes zibellina linkouensis OR</t>
  </si>
  <si>
    <t>Isolation and Characterization of Microsatellite Markers for the Sable, Martes zibellina (Mammalia: Mustelidae) OR</t>
  </si>
  <si>
    <t>Influence of tree thinning on the abundance of mammals in a Japanese larch Larix kaempferi plantation OR</t>
  </si>
  <si>
    <t>Temporal variation in the population characteristics of harvested wolverine (Gulo gulo) in northwestern Canada OR</t>
  </si>
  <si>
    <t>A conceptual framework for understanding illegal killing of large carnivores OR</t>
  </si>
  <si>
    <t>Detection of Endangered American Martens (Martes americana) in Apostle Islands National Lakeshore, Wisconsin OR</t>
  </si>
  <si>
    <t>Genetic Effects of Sable (Martes zibellina L.) Reintroduction in Western Siberia OR</t>
  </si>
  <si>
    <t>The return of giant otter to the Baniwa Landscape: A multi-scale approach to species recovery in the middle Icana River, Northwest Amazonia, Brazil OR</t>
  </si>
  <si>
    <t>The neglected otters in China: Distribution change in the past 400 years and current conservation status OR</t>
  </si>
  <si>
    <t>Illegal pet trade on social media as an emerging impediment to the conservation of Asian otters species OR</t>
  </si>
  <si>
    <t>Distribution and occupancy of wolverines on tundra, northwestern Alaska OR</t>
  </si>
  <si>
    <t>Differential resilience of Amazonian otters along the Rio Negro in the aftermath of the 20th century international fur trade OR</t>
  </si>
  <si>
    <t>Past and present: the status and distribution of otters (Carnivora: Lutrinae sp.) in China OR</t>
  </si>
  <si>
    <t>If a tree falls in a forest: implications of forest structure persistence for the Pacific marten (Martes caurina) OR</t>
  </si>
  <si>
    <t>Status of Pacific Martens (Martes caurina) on the Olympic Peninsula, Washington OR</t>
  </si>
  <si>
    <t>Describing vegetation characteristics used by two rare forest-dwelling species: Will established reserves provide for coastal marten in Oregon? OR</t>
  </si>
  <si>
    <t>A Landscape Habitat Suitability Model for the Humboldt Marten (Martes caurina humboldtensis) in Coastal California and Coastal Oregon OR</t>
  </si>
  <si>
    <t>The diet of denning female Europeanpine martens (Martes martes) in Galloway Forest District, South West Scotland, Great Britain OR</t>
  </si>
  <si>
    <t>Popularity of pet otters on YouTube: evidence of an emerging trade threat OR</t>
  </si>
  <si>
    <t>Mitochondrial DNA detects Arctonyx collaris from burnt body parts: a wildlife forensic case study in Indo-Burma biodiversity hotspot OR</t>
  </si>
  <si>
    <t>Failure to coordinate management in transboundary populations hinders the achievement of national management goals: The case of wolverines in Scandinavia OR</t>
  </si>
  <si>
    <t>Low wolverine (Gulo gulo) density in a national park complex of the Canadian Rocky Mountains OR</t>
  </si>
  <si>
    <t>Population genetics of the wolverine in Finland: the road to recovery? OR</t>
  </si>
  <si>
    <t>Multiscale landscape genetics of American marten at their southern range periphery OR</t>
  </si>
  <si>
    <t>The importance of ponds for the otter (Lutra lutra) during drought periods in Mediterranean ecosystems: A case study in Bergantes River OR</t>
  </si>
  <si>
    <t>Genetic legacies of translocation and relictual populations of American marten at the southeastern margin of their distribution OR</t>
  </si>
  <si>
    <t>Cumulative effects of climate and landscape change drive spatial distribution of Rocky Mountain wolverine (Gulo gulo L.) OR</t>
  </si>
  <si>
    <t>Are badgers 'Under The Weather'? Direct and indirect impacts of climate variation on European badger (Meles meles) population dynamics OR</t>
  </si>
  <si>
    <t>Food habits of wolverine Gulo gulo in montane ecosystems of British Columbia, Canada OR</t>
  </si>
  <si>
    <t>Nonlinear responses of wolverine populations to declining winter snowpack OR</t>
  </si>
  <si>
    <t>Projected 21st century climate change for wolverine habitats within the contiguous United States OR</t>
  </si>
  <si>
    <t>Adapting global conservation strategies to climate change at the European scale: The otter as a flagship species OR</t>
  </si>
  <si>
    <t>Genetic isolation of wolverine (Gulo gulo) populations at the eastern periphery of their North American distribution OR</t>
  </si>
  <si>
    <t>Population connectivity and genetic diversity of American marten (Martes americana) in the United States northern Rocky Mountains in a climate change context OR</t>
  </si>
  <si>
    <t>Summer Precipitation Predicts Spatial Distributions of Semiaquatic Mammals OR</t>
  </si>
  <si>
    <t>Modeling Behavior by Coastal River Otter (Lontra Canadensis) in Response to Prey Availability in Prince William Sound, Alaska: A Spatially-Explicit Individual-Based Approach OR</t>
  </si>
  <si>
    <t>A new distributional record for Lyncodon patagonicus (Carnivora: Mustelidae), one of the smallest and least known mustelids of South America OR</t>
  </si>
  <si>
    <t>Niche overlap of competing carnivores across climatic gradients and the conservation implications of climate change at geographic range margins OR</t>
  </si>
  <si>
    <t>Impact of a natural disaster on the habitat and occurrence of Lontra longicaudis (Mustelidae, Carnivora) in Serra da Prata, Parana, Brazil OR</t>
  </si>
  <si>
    <t>More than range exposure: Global otter vulnerability to climate change OR</t>
  </si>
  <si>
    <t>Voles and weasels in the boreal Fennoscandian small mammal community: what happens if the least weasel disappears due to climate change? OR</t>
  </si>
  <si>
    <t>Mitigating Highways for a Ghost: Data Collection Challenges and Implications for Managing Wolverines and Transportation Corridors OR</t>
  </si>
  <si>
    <t>Biology and conservation of the giant otter Pteronura brasiliensis OR</t>
  </si>
  <si>
    <t>STUDY ON EVALUATING THE CONSERVATION STATUS OF SPECIES OF MAMMALS AT THE NATURAL PROTECTED AREA GILORT RIVER OR</t>
  </si>
  <si>
    <t>Assessing range re-expansion and recolonization of human-impacted landscapes by threatened species: a case study of the otter (Lutra lutra) in Italy OR</t>
  </si>
  <si>
    <t>Anthropogenic and seasonal determinants of giant otter sightings along waterways in the northern Brazilian Amazon OR</t>
  </si>
  <si>
    <t>Multiscale habitat use by wolverines in British Columbia, Canada OR</t>
  </si>
  <si>
    <t>The abundance and distribution of wolverines in British Columbia, Canada OR</t>
  </si>
  <si>
    <t>Status of sea otters (Enhydra lutris) in Mexico OR</t>
  </si>
  <si>
    <t>Factors determining habitat choice of the smooth-coated otter, Lutrogale perspicillata in a South Indian river system OR</t>
  </si>
  <si>
    <t>Current status of knowledge on the neotropical otter (Lontra longicaudis annectens) in Durango, Mexico OR</t>
  </si>
  <si>
    <t>Ski Areas affect Pacific Marten Movement, Habitat Use, and Density OR</t>
  </si>
  <si>
    <t>Wolverines in winter: indirect habitat loss and functional responses to backcountry recreation OR</t>
  </si>
  <si>
    <t>Riparian vegetation provides crucial shelter for resting otters in a human-dominated landscape OR</t>
  </si>
  <si>
    <t>Large scale faecal (spraint) counts indicate the population status of endangered Eurasian otters (Lutra lutra) OR</t>
  </si>
  <si>
    <t>Helminth parasites of Mustela lutreola (Linnaeus, 1761) and M-vison Schreber, 1777 in Spain OR</t>
  </si>
  <si>
    <t>Aleutian disease serology, protein electrophoresis, and pathology of the European mink (Mustela lutreola) from Navarra, Spain OR</t>
  </si>
  <si>
    <t>Activity and home range in a recently widespread European mink population in Western Europe OR</t>
  </si>
  <si>
    <t>Conservation of the European mink (Mustela lutreola): Focus on reproduction and reproductive technologies OR</t>
  </si>
  <si>
    <t>TEMPORAL ASSOCIATION BETWEEN LAND-BASED RUNOFF EVENTS AND CALIFORNIA SEA OTTER (ENHYDRA LUTRIS NEREIS) PROTOZOAL MORTALITIES OR</t>
  </si>
  <si>
    <t>Severe parasitism by Versteria mustelae (Gmelin, 1790) in the critically endangered European mink Mustela lutreola (Linnaeus, 1761) in Spain OR</t>
  </si>
  <si>
    <t>Evaluation of the genetic management of the endangered black-footed ferret (Mustela nigripes) OR</t>
  </si>
  <si>
    <t>Mortality of Siberian polecats and black-footed ferrets released onto prairie dog colonies OR</t>
  </si>
  <si>
    <t>INFORMATION ON BLACK-FOOTED FERRET BIOLOGY COLLECTED WITHIN THE FRAMEWORK OF FERRET CONSERVATION OR</t>
  </si>
  <si>
    <t>CHALLENGES TO BLACK-FOOTED FERRET RECOVERY: PROTECTING PRAIRIE DOGS OR</t>
  </si>
  <si>
    <t>Foraging plasticity in a highly specialized carnivore, the endangered black-footed ferret OR</t>
  </si>
  <si>
    <t>Patterns of mortality in southern sea otters (Enhydra lutris nereis) from 1998-2001 OR</t>
  </si>
  <si>
    <t>Prey choice and habitat use drive sea otter pathogen exposure in a resource-limited coastal system OR</t>
  </si>
  <si>
    <t>Resource Selection by Black-Footed Ferrets in South Dakota and Montana OR</t>
  </si>
  <si>
    <t>Effects of prey metapopulation structure on the viability of black-footed ferrets in plague-impacted landscapes: a metamodelling approach OR</t>
  </si>
  <si>
    <t>Human North American river otter (Lontra canadensis) attack OR</t>
  </si>
  <si>
    <t>A re-evaluation of the role of killer whales Orcinus orca in a population decline of sea otters Enhydra lutris in the Aleutian Islands and a review of alternative hypotheses OR</t>
  </si>
  <si>
    <t>Patterns of Natural and Human-Caused Mortality Factors of a Rare Forest Carnivore, the Fisher (Pekania pennanti) in California OR</t>
  </si>
  <si>
    <t>Reproduction, abundance, and population growth for a fisher (Pekania pennanti) population in the Sierra National Forest, California OR</t>
  </si>
  <si>
    <t>Measurement of serum immunoglobulin concentration in killer whales and sea otters by radial immunodiffusion OR</t>
  </si>
  <si>
    <t>Using Molecular Epidemiology to Track Toxoplasma gondii from Terrestrial Carnivores to Marine Hosts: Implications for Public Health and Conservation OR</t>
  </si>
  <si>
    <t>Trends in distribution of the European mink (Mustela lutreola L., 1761) in Spain: 1950-1999 OR</t>
  </si>
  <si>
    <t>Mortality Risks and Limits to Population Growth of Fishers OR</t>
  </si>
  <si>
    <t>AN ESTIMATE OF NUMBERS AND HABITAT PREFERENCES OF OTTERS LUTRA-LUTRA IN SHETLAND, UK OR</t>
  </si>
  <si>
    <t>MUSTELID, SQUIRREL, AND PORCUPINE POPULATION TRENDS DURING A SNOWSHOE HARE CYCLE OR</t>
  </si>
  <si>
    <t>PLAGUE IN A BLACK-FOOTED FERRET (MUSTELA NIGRIPES) OR</t>
  </si>
  <si>
    <t>Rabies in a river otter (Lontra canadensis) intended for reintroduction OR</t>
  </si>
  <si>
    <t>Body size, and interactions between European and American mink (Mustela lutreola and M-vison) in Eastern Europe OR</t>
  </si>
  <si>
    <t>Genetic bottleneck in the threatened western population of European mink Mustela lutreola OR</t>
  </si>
  <si>
    <t>Dietary overlap among generalist carnivores in relation to the impact of the introduced raccoon dog Nyctereutes procyonoides on native predators in northern Belarus OR</t>
  </si>
  <si>
    <t>The effects of bovine tuberculosis (Mycobacterium bovis) on mortality in a badger (Meles meles) population in England OR</t>
  </si>
  <si>
    <t>Mitochondrial DNA and palaeontological evidence for the origins of endangered European mink, Mustela lutreola OR</t>
  </si>
  <si>
    <t>Density dynamics and changes in habitat use by the European mink and other native mustelids in connection with the American mink expansion in Belarus OR</t>
  </si>
  <si>
    <t>Aleutian mink disease parvovirus in wild riparian carnivores in Spain OR</t>
  </si>
  <si>
    <t>Detection of Aleutian disease antibodies in feral American mink in southern England OR</t>
  </si>
  <si>
    <t>Evaluation of an indirect fluorescent antibody test (IFAT) for demonstration of antibodies to Toxoplasma gondii in the sea otter (Enhydra lutris) OR</t>
  </si>
  <si>
    <t>Good medicine for conservation biology: The intersection of epidemiology and conservation theory OR</t>
  </si>
  <si>
    <t>The American mink: the triumph and tragedy of adaptation out of context OR</t>
  </si>
  <si>
    <t>Toxoplasma gondii infections in captive black-footed ferrets (Mustela nigripes), 1992-1998: Clinical signs, serology, pathology, and prevention OR</t>
  </si>
  <si>
    <t>Distemper virus as a cause of central nervous disease and death in badgers (Meles meles) in Denmark OR</t>
  </si>
  <si>
    <t>Antibodies to aleutian mink disease parvovirus in free-ranging European mink (Mustela lutreola) and other small carnivores from Southwestern France OR</t>
  </si>
  <si>
    <t>The role of feral mammals on wildlife infectious disease prevalence in two nature reserves within Mexico City limits OR</t>
  </si>
  <si>
    <t>European mink-polecat hybridization events: Hazards from natural process? OR</t>
  </si>
  <si>
    <t>Transmission of Toxoplasma: Clues from the study of sea otters as sentinels of Toxoplasma gondii flow into the marine environment OR</t>
  </si>
  <si>
    <t>The development of methods for immunophenotypic and lymphocyte function analyzes for assessment of Southern sea otter (Enhydra lutris nereis) health OR</t>
  </si>
  <si>
    <t>River otters in Yellowstone Lake depend on a declining cutthroat trout population OR</t>
  </si>
  <si>
    <t>The stoat Mustela erminea population decline in northern Belarus and its consequences for weasels Mustela nivalis OR</t>
  </si>
  <si>
    <t>The American mink in Europe: Status, impacts, and control OR</t>
  </si>
  <si>
    <t>Assessing the potential for impacts by feral mink on wild mink in Canada OR</t>
  </si>
  <si>
    <t>Protozoal meningoencephalitis in sea otters (Enhydra lutris): a histopathological and immunohistochemical study of naturally occurring cases OR</t>
  </si>
  <si>
    <t>Does human proximity affect antibody prevalence in marine-foraging river otters (Lontra canadensis)? OR</t>
  </si>
  <si>
    <t>The structure of vertebrate predator community in north-eastern Belarus before and after naturalization of the American mink and raccoon dog OR</t>
  </si>
  <si>
    <t>Helminth communities of the autochthonous mustelids Mustela lutreola and M. putorius and the introduced Neovison vison in south-western France OR</t>
  </si>
  <si>
    <t>SEROLOGIC SURVEY FOR SELECTED VIRAL PATHOGENS IN FREE-RANGING ENDANGERED EUROPEAN MINK (MUSTELA LUTREOLA) AND OTHER MUSTELIDS FROM SOUTH-WESTERN FRANCE OR</t>
  </si>
  <si>
    <t>An unidentified filarial species and its impact on fitness in wild populations of the black-footed ferret (Mustela nigripes) OR</t>
  </si>
  <si>
    <t>Hybridization between escaped domestic and wild American mink (Neovison vison) OR</t>
  </si>
  <si>
    <t>Canine Distemper Epizootic in Everglades Mink OR</t>
  </si>
  <si>
    <t>Ultrastructural and molecular confirmation of the development of Sarcocystis neurona tissue cysts in the central nervous system of southern sea otters (Enhydra lutris nereis) OR</t>
  </si>
  <si>
    <t>Stress-related hormones and genetic diversity in sea otters (Enhydra lutris) OR</t>
  </si>
  <si>
    <t>Do alien North American mink compete for resources with native South American river otter in Argentinean Patagonia? OR</t>
  </si>
  <si>
    <t>Distribution of Eurasian otter biliary parasites, Pseudamphistomum truncatum and Metorchis albidus (Family Opisthorchiidae), in England and Wales OR</t>
  </si>
  <si>
    <t>Prevalence, distribution and pathological significance of the bile fluke Pseudamphistomum truncatum in Eurasian otters (Lutra lutra) in Great Britain OR</t>
  </si>
  <si>
    <t>Importance of canine distemper virus (CDV) infection in free-ranging Iberian lynxes (Lynx pardinus) OR</t>
  </si>
  <si>
    <t>PCR screening of mammalian predators (Carnivora) for adenoviruses and herpesviruses: the first detection of a mustelid herpesvirus in Hungary OR</t>
  </si>
  <si>
    <t>FIRST RECOVERY OF BIRD ACANTHOCEPHALAN SPHAERIROSTRIS LANCEOIDES IN AN EURASIAN BADGER (MELES MELES) IN ITALY OR</t>
  </si>
  <si>
    <t>LEPTOSPIROSIS IN FREE-RANGING ENDANGERED EUROPEAN MINK (MUSTELA LUTREOLA) AND OTHER SMALL CARNIVORES (MUSTELIDAE, VIVERRIDAE) FROM SOUTHWESTERN FRANCE OR</t>
  </si>
  <si>
    <t>Enzootic Plague Reduces Black-Footed Ferret (Mustela nigripes) Survival in Montana OR</t>
  </si>
  <si>
    <t>Enteric bacterial pathogen detection in southern sea otters (Enhydra lutris nereis) is associated with coastal urbanization and freshwater runoff OR</t>
  </si>
  <si>
    <t>Limited genetic diversity among Sarcocystis neurona strains infecting southern sea otters precludes distinction between marine and terrestrial isolates OR</t>
  </si>
  <si>
    <t>A protozoal-associated epizootic impacting marine wildlife: Mass-mortality of southern sea otters (Enhydra lutris nereis) due to Sarcocystis neurona infection OR</t>
  </si>
  <si>
    <t>Molecular characterization of Sarcocystis neurona strains from opossums (Didelphis virginiana) and intermediate hosts from Central California OR</t>
  </si>
  <si>
    <t>PREVALENCE TO TOXOPLASMA GONDII AND SARCOCYSTIS SPP. IN A REINTRODUCED FISHER (Pekania pennanti) POPULATION IN PENNSYLVANIA OR</t>
  </si>
  <si>
    <t>Bayesian analysis of hybridization and introgression between the endangered european mink (Mustela lutreola) and the polecat (Mustela putorius) OR</t>
  </si>
  <si>
    <t>Invasion of the raccoon dog Nyctereutes procyonoides in Europe: History of colonization, features behind its success, and threats to native fauna OR</t>
  </si>
  <si>
    <t>Mink Farms Predict Aleutian Disease Exposure in Wild American Mink OR</t>
  </si>
  <si>
    <t>ASSESSMENT OF CLINICAL PATHOLOGY AND PATHOGEN EXPOSURE IN SEA OTTERS (ENHYDRA LUTRIS) BORDERING THE THREATENED POPULATION IN ALASKA OR</t>
  </si>
  <si>
    <t>Latitudinal variation in diet and patterns of human interaction in the marine otter OR</t>
  </si>
  <si>
    <t>A distemper outbreak in beech martens (Martes foina) in Flanders OR</t>
  </si>
  <si>
    <t>Sylvatic Plague Vaccine: A New Tool for Conservation of Threatened and Endangered Species? OR</t>
  </si>
  <si>
    <t>Evaluating the effect of American mink, an alien invasive species, on the abundance of a native community: is coexistence possible? OR</t>
  </si>
  <si>
    <t>First report of Borrelia burgdorferi sensu lato in two threatened carnivores: the Marbled polecat, Vormela peregusna and the European mink, Mustela lutreola (Mammalia: Mustelidae) OR</t>
  </si>
  <si>
    <t>Osteosarcoma of the Maxilla with Concurrent Osteoma in a Southern Sea Otter (Enhydra lutris nereis) OR</t>
  </si>
  <si>
    <t>Do American mink kill European mink? Cautionary message for future recovery efforts OR</t>
  </si>
  <si>
    <t>Wildlife Mortality Investigation and Disease Research: Contributions of the USGS National Wildlife Health Center to Endangered Species Management and Recovery OR</t>
  </si>
  <si>
    <t>PATHOGEN EXPOSURE AND BLOOD CHEMISTRY IN THE WASHINGTON, USA POPULATION OF NORTHERN SEA OTTERS (ENHYDRA LUTRIS KENYONI) OR</t>
  </si>
  <si>
    <t>Canine distemper virus infection in a lesser grison (Galictis cuja): first report and virus phylogeny OR</t>
  </si>
  <si>
    <t>Seroprevalence of Toxoplasma gondii in the Eurasian otter (Lutra lutra) in England and Wales OR</t>
  </si>
  <si>
    <t>Multi-season occupancy analysis reveals large scale competitive exclusion of the critically endangered European mink by the invasive non-native American mink in Spain OR</t>
  </si>
  <si>
    <t>Bartonella spp. Exposure in Northern and Southern Sea Otters in Alaska and California OR</t>
  </si>
  <si>
    <t>Novel Bartonella infection in northern and southern sea otters (Enhydra lutris kenyoni and Enhydra lutris nereis) OR</t>
  </si>
  <si>
    <t>Galictis cuja (Mammalia): An update of current knowledge and geographic distribution OR</t>
  </si>
  <si>
    <t>NEPHROLITHIASIS IN FREE-RANGING NORTH AMERICAN RIVEROTTER (LONTRA CANADENSIS) IN NORTH CAROLINA, USA OR</t>
  </si>
  <si>
    <t>EFFICACY OF TWO CANINE DISTEMPER VACCINES IN WILD NEARCTIC RIVER OTTERS (LONTRA CANADENSIS) OR</t>
  </si>
  <si>
    <t>Invasive American Mink: Linking Pathogen Risk Between Domestic and Endangered Carnivores OR</t>
  </si>
  <si>
    <t>First description of adiaspiromycosis in an Eurasian otter (Lutra lutra) in Italy OR</t>
  </si>
  <si>
    <t>Adult sex-ratio distortion in the native European polecat is related to the expansion of the invasive American mink OR</t>
  </si>
  <si>
    <t>ORAL PAPILLOMATOSIS CAUSED BY ENHYDRA LUTRIS PAPILLOMAVIRUS 1 (EIPV-1) IN SOUTHERN SEA OTTERS (ENHYDRA LUTRIS NEREIS) IN CALIFORNIA, USA OR</t>
  </si>
  <si>
    <t>Lack of Spatial Immunogenetic Structure among Wolverine (Gulo gulo) Populations Suggestive of Broad Scale Balancing Selection OR</t>
  </si>
  <si>
    <t>PREVALENCE OF ANTIBODY TO ALEUTIAN MINK DISEASE VIRUS IN EUROPEAN MINK (MUSTELA LUTREOLA) AND AMERICAN MINK (NEOVISON VISON) IN SPAIN OR</t>
  </si>
  <si>
    <t>A review of piroplasmid infections in wild carnivores worldwide: importance for domestic animal health and wildlife conservation OR</t>
  </si>
  <si>
    <t>Low Titers of Canine Distemper Virus Antibody in Wild Fishers (Pekania pennanti) in the Eastern USA OR</t>
  </si>
  <si>
    <t>Utility of two modified-live virus canine distemper vaccines in wild-caught fishers (Pekania pennanti) OR</t>
  </si>
  <si>
    <t>First report of Filaria martis Gmelin, 1790 in the European mink, Mustela lutreola (Linnaeus, 1761) OR</t>
  </si>
  <si>
    <t>Misleading interpretation of shifting baseline syndrome in the conservation of European mink OR</t>
  </si>
  <si>
    <t>Dual congenital transmission of Toxoplasma gondii and Sarcocystis neurona in a late-term aborted pup from a chronically infected southern sea otter (Enhydra lutris nereis) OR</t>
  </si>
  <si>
    <t>Toxoplasma gondii in stranded marine mammals from the North Sea and Eastern Atlantic Ocean: Findings and diagnostic difficulties OR</t>
  </si>
  <si>
    <t>Phylogeography of the smooth-coated otter (Lutrogale perspicillata): distinct evolutionary lineages and hybridization with the Asian small-clawed otter (Aonyx cinereus) OR</t>
  </si>
  <si>
    <t>Pathological findings in the red fox (Vulpes vulpes), stone marten (Martes foina) and raccoon dog (Nyctereutes procyonoides), with special emphasis on infectious and zoonotic agents in Northern Germany OR</t>
  </si>
  <si>
    <t>FATAL ACINETOBACTER BAUMANNII INFECTION IN THE CRITICALLY ENDANGERED EUROPEAN MINK (MUSTELA LUTREOLA) OR</t>
  </si>
  <si>
    <t>Vaccines for Conservation: Plague, Prairie Dogs &amp; Black-Footed Ferrets as a Case Study OR</t>
  </si>
  <si>
    <t>Burrow Dusting or Oral Vaccination Prevents Plague-Associated Prairie Dog Colony Collapse OR</t>
  </si>
  <si>
    <t>FLEAS OF BLACK-FOOTED FERRETS (MUSTELA NIGRIPES) AND THEIR POTENTIAL ROLE IN THE MOVEMENT OF PLAGUE OR</t>
  </si>
  <si>
    <t>Serology and protein electrophoresis for evidence of exposure to 12 mink pathogens in free-ranging American mink (Neovison vison) in Argentina OR</t>
  </si>
  <si>
    <t>Hybridization of domestic mink with wild American mink (Neovison vison) in eastern Canada OR</t>
  </si>
  <si>
    <t>Cryptosporidium spp. and Giardia sp in aquatic mammals in northern and northeastern Brazil OR</t>
  </si>
  <si>
    <t>THE OCCURRENCE OF PATHOGENS IN AN ENDANGERED POPULATION OF AMERICAN BADGERS (TAXIDEA TAXUS JACKSONI) IN ONTARIO, CANADA OR</t>
  </si>
  <si>
    <t>Serologic Detection of Subtype-specific Antibodies to Influenza A Viruses in Southern Sea Otters (Enhydra lutris nereis) OR</t>
  </si>
  <si>
    <t>ISOLATION AND CHARACTERIZATION OF A NOVEL MARINE BRUCELLA FROM A SOUTHERN SEA OTTER (ENHYDRA LUTRIS NEREIS), CALIFORNIA, USA OR</t>
  </si>
  <si>
    <t>ENDEMIC INFECTION OF STRANDED SOUTHERN SEA OTTERS (ENHYDRA LUTRIS NEREIS) WITH NOVEL PARVOVIRUS, POLYOMAVIRUS, AND ADENOVIRUS OR</t>
  </si>
  <si>
    <t>Rapid expansion of the American mink poses a serious threat to the European mink in Spain OR</t>
  </si>
  <si>
    <t>Molecular characterization and prevalence of Halarachne halichoeri in threatened southern sea otters (Enhydra lutris nereis) OR</t>
  </si>
  <si>
    <t>Lontra longicaudis infected with canine parvovirus and parasitized by Dioctophyma renale OR</t>
  </si>
  <si>
    <t>Toxoplasma gondii infection in wild mustelids and cats across an urban-rural gradient OR</t>
  </si>
  <si>
    <t>First report of a naturally patent infection with Dirofilaria immitis in an otter (Lutra lutra) OR</t>
  </si>
  <si>
    <t>Molecular detection and characterization of carnivore parvoviruses in free-ranging Eurasian otters (Lutra lutra) in southern Italy OR</t>
  </si>
  <si>
    <t>Implications of introgression for wildlife translocations: the case of North American martens OR</t>
  </si>
  <si>
    <t>A carnivores' oasis? An isolated fisher (Pekania pennanti) population provides insight on persistence of a metapopulation OR</t>
  </si>
  <si>
    <t>Thelazia callipaeda in mustelids from Romania with the European badger, Meles meles, as a new host for this parasite OR</t>
  </si>
  <si>
    <t>Pathology and epidemiology of nasopulmonary acariasis (Halarachne sp.) in southern sea otters (Enhydra lutris nereis) OR</t>
  </si>
  <si>
    <t>Concentrations of organohalogens (PCBs, DDTs, PBDEs) in hunted and stranded Northern sea otters (Enhydra lutris kenyoni) in Alaska from 1992 to 2010: Links to pathology and feeding ecology OR</t>
  </si>
  <si>
    <t>Acanthocephalan parasites in sea otters: Why we need to look beyond associated mortality horizontal ellipsis OR</t>
  </si>
  <si>
    <t>Novel infections of Corynosoma enhydri and Profilicollis sp. (Acanthocephala: Polymorphidae) identified in sea otters Enhydra lutris OR</t>
  </si>
  <si>
    <t>Reductions in the dietary niche of southern sea otters (Enhydra lutris nereis) from the Holocene to the Anthropocene OR</t>
  </si>
  <si>
    <t>Snow cover and riparian habitat determine the distribution of the short-tailed weasel (Mustela erminea) at its southern range limits in arid western North America OR</t>
  </si>
  <si>
    <t>OTTERS IN THE HAWR AL AZIM WETLAND, IRAN OR</t>
  </si>
  <si>
    <t>Using occupancy and population models to assess habitat conservation opportunities for an isolated carnivore population OR</t>
  </si>
  <si>
    <t>Bayesian clustering techniques and progressive partitioning to identify population structuring within a recovering otter population in the UK OR</t>
  </si>
  <si>
    <t>Habitat use and diet of endangered southern river otter Lontra provocax in a predominantly palustrine wetland in Chile OR</t>
  </si>
  <si>
    <t>Can the grey literature help us understand the decline and extinction of the Near Threatened Eurasian otter Lutra lutra in Latium, central Italy? OR</t>
  </si>
  <si>
    <t>Weasel (Mustela nivalis) decline in NE Spain: prey or land use change? OR</t>
  </si>
  <si>
    <t>EFFECTS OF FRESH-WATER AVAILABILITY ON THE SUMMER DISTRIBUTION OF OTTERS LUTRA-LUTRA IN THE SOUTHWEST COAST OF PORTUGAL OR</t>
  </si>
  <si>
    <t>Effects of extensive fishpond management and human disturbance factors on Eurasian otter (Lutra lutra L. 1758) populations in Eastern Europe OR</t>
  </si>
  <si>
    <t>Density of Fishers and the Efficacy of Relative Abundance Indices and Small-Scale Occupancy Estimation to Detect a Population Decline on the Hoopa Valley Indian Reservation, California OR</t>
  </si>
  <si>
    <t>Association of Toxoplasma gondii oocysts with fresh, estuarine, and marine macroaggregates OR</t>
  </si>
  <si>
    <t>New Record of Everglades Mink in Everglades National Park from the Stomach of an American Alligator OR</t>
  </si>
  <si>
    <t>An endangered species as indicator of freshwater quality: fractal diagnosis of fragmentation within a European mink, Mustela lutreola, population OR</t>
  </si>
  <si>
    <t>Freshwater availability and distribution of Cape clawless otter spraints and resting places along the south-west coast of South Africa OR</t>
  </si>
  <si>
    <t>Habitat use by the Cape clawless otter and the spotted-necked otter in the KwaZulu-Natal Drakensberg, South Africa OR</t>
  </si>
  <si>
    <t>Conservation of otter (Lutra lutra) in a Mediterranean area: the importance of habitat quality and temporal variation in water availability OR</t>
  </si>
  <si>
    <t>The influence of riparian vegetation, woody debris, stream morphology and human activity on the use of rivers by southern river otters in Lontra provocax in Chile OR</t>
  </si>
  <si>
    <t>Habitat utilization by sympatric European mink Mustela lutreola and polecats Mustela putorius in south-western France OR</t>
  </si>
  <si>
    <t>Use of Aguieira Dam by Eurasian otters in Central Portugal OR</t>
  </si>
  <si>
    <t>Assessing dam implementation impact on threatened carnivores: the case of Alqueva in SE Portugal OR</t>
  </si>
  <si>
    <t>Defining conservation status using limited information: the case of Patagonian otters Lontra provocax in Argentina OR</t>
  </si>
  <si>
    <t>Using stochastic simulation to evaluate competing risks of wildfires and fuels management on an isolated forest carnivore OR</t>
  </si>
  <si>
    <t>Short-term responses of mammalian carnivores to a sudden collapse of rabbits in Mediterranean Spain OR</t>
  </si>
  <si>
    <t>The impact of river fragmentation on the population persistence of native and alien mink: an ecological trap for the endangered European mink OR</t>
  </si>
  <si>
    <t>Giant otter population responses to habitat expansion and degradation induced by a mega hydroelectric dam OR</t>
  </si>
  <si>
    <t>The response of otters to environmental changes imposed by the construction of large dams OR</t>
  </si>
  <si>
    <t>Indirect effects of bioinvasions in Yellowstone Lake: The response of river otters to declines in native cutthroat trout OR</t>
  </si>
  <si>
    <t>Landscape fuel reduction, forest fire, and biophysical linkages to local habitat use and local persistence of fishers (Pekania pennanti) in Sierra Nevada mixed-conifer forests OR</t>
  </si>
  <si>
    <t>Habitat Selection of Lontra Longicaudis (Carnivora, Mustelidae) Under the Influence of the Hydroelectric Dam of Penas Blancas River and Its Tributaries, Alajuela, Costa Rica OR</t>
  </si>
  <si>
    <t>Salicaceae afforestations: advantage or disadvantage for Neotropical otter in its southernmost distribution? OR</t>
  </si>
  <si>
    <t>Age-dependent changes in sperm production, semen quality, and testicular volume in the black-footed ferret (Mustela nigripes) OR</t>
  </si>
  <si>
    <t>The importance of thinking big: Large-scale prey conservation drives black-footed ferret reintroduction success OR</t>
  </si>
  <si>
    <t>Fossils, diet, and conservation of black-footed ferrets (Mustela nigripes) OR</t>
  </si>
  <si>
    <t>Genetic diversity and fitness in black-footed ferrets before and during a bottleneck OR</t>
  </si>
  <si>
    <t>Gaps in kelp cover may threaten the recovery of California sea otters OR</t>
  </si>
  <si>
    <t>Interface between black-footed ferret research and operational conservation OR</t>
  </si>
  <si>
    <t>Life history plasticity and population regulation in sea otters OR</t>
  </si>
  <si>
    <t>Winter diet of marten during a snowshoe hare decline OR</t>
  </si>
  <si>
    <t>Reproductive inefficiency in male blackfooted ferrets (Mustela nigripes) OR</t>
  </si>
  <si>
    <t>Limited effects of a keystone species: trends of sea otters and kelp forests at the Semichi Islands, Alaska OR</t>
  </si>
  <si>
    <t>A long-term study of vitamin A and polychlorinated hydrocarbon levels in otters (Lutra lutra) in south west England OR</t>
  </si>
  <si>
    <t>Stock structure of sea otters (Enhydra lutris kenyoni) in Alaska OR</t>
  </si>
  <si>
    <t>The influence of fish abundance on the otter (Lutra lutra) populations in Iberian Mediterranean habitats OR</t>
  </si>
  <si>
    <t>Activity patterns and time budgets of the declining sea otter population at Amchitka Island, Alaska OR</t>
  </si>
  <si>
    <t>Conservation genetics of the fisher (Pekania pennanti) based on mitochondrial DNA sequencing OR</t>
  </si>
  <si>
    <t>Molecular survey of genetic diversity in the endangered European mink Mustela lutreola OR</t>
  </si>
  <si>
    <t>Ecological effectiveness: Conservation goals for interactive species OR</t>
  </si>
  <si>
    <t>Genetic diversity and structure of the fisher (Pekania pennanti) in a peninsular and peripheral metapopulation OR</t>
  </si>
  <si>
    <t>Is the western population of the European mink, (Mustela lutreola), a distinct Management Unit for conservation? OR</t>
  </si>
  <si>
    <t>Colonization history and noninvasive monitoring of a reestablished wolverine population OR</t>
  </si>
  <si>
    <t>Genetic neighbourhood and effective population size in the endangered European mink Mustela lutreola OR</t>
  </si>
  <si>
    <t>Conservation genetics and population history of the threatened European mink Mustela lutreola, with an emphasis on the west European population OR</t>
  </si>
  <si>
    <t>Activity patterns and use of resting sites by polecats in an endangered population OR</t>
  </si>
  <si>
    <t>Toward sustainable ecosystem services from the Aleutian Archipelago OR</t>
  </si>
  <si>
    <t>Demographic and genetic evaluation of an American marten reintroduction OR</t>
  </si>
  <si>
    <t>Can low densities of carnivores result in genetic depletion? An investigation within French polecat populations OR</t>
  </si>
  <si>
    <t>Patterns of growth and body condition in sea otters from the Aleutian archipelago before and after the recent population decline OR</t>
  </si>
  <si>
    <t>Indirect food web interactions: sea otters and kelp forest fishes in the Aleutian archipelago OR</t>
  </si>
  <si>
    <t>Genetic diversity and population structure of wolverine (Gulo gulo) populations at the southern edge of their current distribution in North America with implications for genetic viability OR</t>
  </si>
  <si>
    <t>Testing the generality of the trophic cascade paradigm for sea otters: a case study with kelp forests in northern Washington, USA OR</t>
  </si>
  <si>
    <t>DNA-based monitoring of two newly founded Scandinavian wolverine populations OR</t>
  </si>
  <si>
    <t>Genetic structure and evidence for recent population decline in Eurasian otter populations in the Czech and Slovak Republics: implications for conservation OR</t>
  </si>
  <si>
    <t>Genotypic and phenotypic consequences of reintroduction history in the black-footed ferret (Mustela nigripes) OR</t>
  </si>
  <si>
    <t>Dynamics of abundance and population structure of sea otters, Enhydra lutris L., on the Commander Archipelago and activity of their migrations between Islands OR</t>
  </si>
  <si>
    <t>Diversity of mtDNA in Southern river otter (Lontra provocax) from Argentinean Patagonia OR</t>
  </si>
  <si>
    <t>Is polecat (Mustela putorius) diet affected by mediterraneity OR</t>
  </si>
  <si>
    <t>Landscape features influence postrelease predation on endangered black-footed ferrets OR</t>
  </si>
  <si>
    <t>Population subdivision and peripheral isolation in American badgers (Taxidea taxus) and implications for conservation planning in Canada OR</t>
  </si>
  <si>
    <t>The genetic legacy of the 19th-century decline of the British polecat: evidence for extensive introgression from feral ferrets OR</t>
  </si>
  <si>
    <t>Sampling affects the detection of genetic subdivision and conservation implications for fisher in the Sierra Nevada OR</t>
  </si>
  <si>
    <t>Polymorphism of the Endangered European Mink (Mustela lutreola, Carnivora, Mustelidae) Population in the Central Forest Reserve and Neighboring Areas OR</t>
  </si>
  <si>
    <t>Potential Role of Prey in the Recovery of American Martens to Wisconsin OR</t>
  </si>
  <si>
    <t>Patterns of genetic variation in the endangered European mink (Mustela lutreola L., 1761) OR</t>
  </si>
  <si>
    <t>A Road Map for 21st Century Genetic Restoration: Gene Pool Enrichment of the Black-Footed Ferret OR</t>
  </si>
  <si>
    <t>Testing the nutritional-limitation, predator-avoidance, and storm-avoidance hypotheses for restricted sea otter habitat use in the Aleutian Islands, Alaska OR</t>
  </si>
  <si>
    <t>Detecting and inferring cause of change in an Alaska nearshore marine ecosystem OR</t>
  </si>
  <si>
    <t>Characterization of the putatively introduced red alga Acrochaetium secundatum (Acrochaetiales, Rhodophyta) growing epizoically on the pelage of southern sea otters (Enhydra lutris nereis) OR</t>
  </si>
  <si>
    <t>Genetic diversity of reintroduced American martens in Michigan's Lower Peninsula OR</t>
  </si>
  <si>
    <t>Raising awareness of the plight of the critically endangered European mink in Spain is not miscommunication: a response to Melero OR</t>
  </si>
  <si>
    <t>Genome sequencing and conservation genomics in the Scandinavian wolverine population OR</t>
  </si>
  <si>
    <t>Inbreeding causes decreased seminal quality affecting pregnancy and litter size in the endangered black-footed ferret OR</t>
  </si>
  <si>
    <t>Genetic diversity of MHC class II DRB alleles in the marbled polecat, Vormela peregusna, in Bulgaria OR</t>
  </si>
  <si>
    <t>Use of the ACTH challenge test to identify the predominant glucocorticoid in the southern sea otter (Enhydra lutris nereis) OR</t>
  </si>
  <si>
    <t>Genetic analysis of Eurasian otters (Lutra lutra) reveals high admixture in Finland and pronounced differentiation in Sweden OR</t>
  </si>
  <si>
    <t>THE OTTER LUTRA-LUTRA IN SOUTHERN ITALY OR</t>
  </si>
  <si>
    <t>THE OTTER LUTRA-LUTRA IN ALBANIA OR</t>
  </si>
  <si>
    <t>Possible influence of increased riparian activity (stream modification and agricultural intensification) on abundance of South African otters OR</t>
  </si>
  <si>
    <t>The relative influence of riparian habitat structure and fish availability on otter Lutra lutra L-sprainting activity in a small Mediterranean catchment OR</t>
  </si>
  <si>
    <t>Identification of novel haplotypes and interpretation of gene flow of mitochondrial DNA control region of Eurasian otter (Lutra lutra) for the effective conservation OR</t>
  </si>
  <si>
    <t>Changes in otter Lutra lutra distribution in Central Spain in the 1964-1995 period OR</t>
  </si>
  <si>
    <t>A review of the status of the Western polecat Mustela putorius: a neglected and declining species? OR</t>
  </si>
  <si>
    <t>Economic values of threatened mammals in Britain: A case study of the otter Lutra lutra and the water vole Arvicola terrestris OR</t>
  </si>
  <si>
    <t>Genetic diversity and individual identification of reintroduced otters (Lutra lutra) in north-eastern Spain by DNA genotyping of spraints OR</t>
  </si>
  <si>
    <t>THE ITALIAN ACTION PLAN FOR THE ENDANGERED EURASIAN OTTER LUTRA LUTRA OR</t>
  </si>
  <si>
    <t>Natural, human and spatial constraints to expanding populations of otters in the Iberian Peninsula OR</t>
  </si>
  <si>
    <t>Flexible habitat selection paves the way for a recovery of otter populations in the European Alps OR</t>
  </si>
  <si>
    <t>The Neotropical otter Lontra longicaudis: a comprehensive update on the current knowledge and conservation status of this semiaquatic carnivore OR</t>
  </si>
  <si>
    <t>Growth in otter (Lutra lutra) populations in the UK as shown by long-term monitoring OR</t>
  </si>
  <si>
    <t>Decline and recovery in otter Lutra lutra populations in Italy OR</t>
  </si>
  <si>
    <t>Distribution of a recolonising species may not reflect habitat suitability alone: the case of the Eurasian otter (Lutra lutra) in southern Italy OR</t>
  </si>
  <si>
    <t>Modelling semi-aquatic vertebrates' distribution at the drainage basin scale: The case of the otter Lutra lutra in Italy OR</t>
  </si>
  <si>
    <t>Habitat correlates of the Eurasian otter Lutra lutra recolonizing Central Poland OR</t>
  </si>
  <si>
    <t>Setting Realistic Recovery Targets for Two Interacting Endangered Species, Sea Otter and Northern Abalone OR</t>
  </si>
  <si>
    <t>Washing Oiled Sea Otters OR</t>
  </si>
  <si>
    <t>Understanding the propensity of wild predators to illegal poison baiting OR</t>
  </si>
  <si>
    <t>Ecology, conservation and human history of marine mammals in the Gulf of California and Pacific coast of Baja California, Mexico OR</t>
  </si>
  <si>
    <t>The otter (Lutra lutra Linnaeus, 1758) in Belgium: an unpopular and maltreated species (19th-early 20th centuries) OR</t>
  </si>
  <si>
    <t>Conservation activities for the Eurasian otter (Lutra lutra) in South Korea traced from newspapers during 1962-2010 OR</t>
  </si>
  <si>
    <t>The habitat, ecological life conditions, and usage characteristics of the otter (Lutra lutra L. 1758) in the Balikdami Wildlife Development Area OR</t>
  </si>
  <si>
    <t>Presence of the Eurasian otter Lutra lutra on the islands of Greece: a review OR</t>
  </si>
  <si>
    <t>Species recovery and recolonization of past habitats: lessons for science and conservation from sea otters in estuaries OR</t>
  </si>
  <si>
    <t>Distributional history of the American mink (Neovison vison) in Finland with special reference to the trends in otter (Lutra lutra) populations OR</t>
  </si>
  <si>
    <t>Changes in sea urchins and kelp following a reduction in sea otter density as a result of the Exxon Valdez oil spill OR</t>
  </si>
  <si>
    <t>Clinical pathology and assessment of pathogen exposure in southern and Alaskan sea otters OR</t>
  </si>
  <si>
    <t>A comparative analysis of polybrominated diphenyl ethers and polychlorinated biphenyls in southern sea otters that died of infectious diseases and noninfectious causes OR</t>
  </si>
  <si>
    <t>Contamination status and accumulation profiles of organotins in sea otters (Enhydra lutris) found dead along the coasts of California, Washington, Alaska (USA), and Kamchatka (Russia) OR</t>
  </si>
  <si>
    <t>Effect of Estuarine Wetland Degradation on Transport of Toxoplasma gondii Surrogates from Land to Sea OR</t>
  </si>
  <si>
    <t>Distribution, Population Status and Habitat Utilization of Common Otter (Lutra lutra) in Neelum Valley, Azad Jammu and Kashmir OR</t>
  </si>
  <si>
    <t>PCBs and their putative effects on polecat (Mustela putorius) populations in Central Europe OR</t>
  </si>
  <si>
    <t>Contamination of European otters (Lutra lutra) by PCB congeners and organochlorinated pesticides in the wetlands of western France OR</t>
  </si>
  <si>
    <t>Food limitation and the recovery of sea otters following the 'Exxon Valdez' oil spill OR</t>
  </si>
  <si>
    <t>Factors affecting occupancy by the European mink in south-western Europe OR</t>
  </si>
  <si>
    <t>Review and quantitative meta-analysis of diet suggests the Eurasian otter (Lutra lutra) is likely to be a poor bioindicator OR</t>
  </si>
  <si>
    <t>Prolonged recovery of sea otters from the Exxon Valdez oil spill? A re-examination of the evidence OR</t>
  </si>
  <si>
    <t>Sea otter population dynamics and the Exxon Valdez oil spill: disentangling the confounding effects OR</t>
  </si>
  <si>
    <t>Measures of effective population size in sea otters reveal special considerations for wide-ranging species OR</t>
  </si>
  <si>
    <t>Diets of European polecat Mustela putorius in Great Britain during fifty years of population recovery OR</t>
  </si>
  <si>
    <t>Distribution and Habitat Conditions of Habitat Points of the Eurasian Otter Lutra lutra in the Hangang River Water System, South Korea OR</t>
  </si>
  <si>
    <t>Characteristics of sex-biased dispersal and gene flow in coastal river otters: implications for natural recolonization of extirpated populations OR</t>
  </si>
  <si>
    <t>Genetic structure of Eurasian otter (Lutra lutra, Carnivora: Mustelidae) populations from the western Baltic sea region and its implications for the recolonization of north-western Germany OR</t>
  </si>
  <si>
    <t>The reintroduction of the Eurasian otter (Lutra lutra) into the Netherlands: hidden life revealed by noninvasive genetic monitoring OR</t>
  </si>
  <si>
    <t>Genetic diversity and population structure of the Eurasian otter (Lutra lutra) in France OR</t>
  </si>
  <si>
    <t>Riverbank assessment and management for the Eurasian otter in the north of Luxembourg OR</t>
  </si>
  <si>
    <t>Distribution and habitat models of the Eurasian otter, Lutra lutra, in South Korea OR</t>
  </si>
  <si>
    <t>THE STATUS OF THE OTTER (LUTRA-LUTRA) IN THE BRITISH-ISLES OR</t>
  </si>
  <si>
    <t>DECLINE OF OTTER LUTRA-LUTRA L IN BRITAIN - ANALYSIS OF HUNTING RECORDS AND DISCUSSION OF CAUSES OR</t>
  </si>
  <si>
    <t>OTTER LUTRA-LUTRA L MORTALITY AND MARINE OIL POLLUTION OR</t>
  </si>
  <si>
    <t>EXPERIMENTS ON THE RESPONSE OF SEA OTTERS ENHYDRA-LUTRIS TO OIL CONTAMINATION OR</t>
  </si>
  <si>
    <t>CAUSE-EFFECT LINKAGES BETWEEN CHEMICALS AND POPULATIONS OF MINK (MUSTELA-VISON) AND OTTER (LUTRA-CANADENSIS) IN THE GREAT-LAKES BASIN OR</t>
  </si>
  <si>
    <t>ORGANOCHLORINE PESTICIDE-RESIDUES AND PCBS IN OTTER SCATS FROM NATAL OR</t>
  </si>
  <si>
    <t>MERCURY IN DANISH OTTERS (LUTRA-LUTRA) OR</t>
  </si>
  <si>
    <t>ORGANOCHLORINE PESTICIDE AND PCB CONTENTS IN OTTER (LUTRA-LUTRA) SCATS FROM WESTERN SCOTLAND OR</t>
  </si>
  <si>
    <t>MORTALITY OF SEA OTTERS IN PRINCE-WILLIAM SOUND FOLLOWING THE EXXON-VALDEZ OIL-SPILL OR</t>
  </si>
  <si>
    <t>ORGANOCHLORINE PESTICIDE-RESIDUES AND PCBS IN DANISH OTTERS (LUTRA-LUTRA) OR</t>
  </si>
  <si>
    <t>PCBS AND ORGANOCHLORINE PESTICIDE-RESIDUES IN OTTER (LUTRA-LUTRA) SPRAINTS FROM WELSH CATCHMENTS AND THEIR SIGNIFICANCE TO OTTER CONSERVATION STRATEGIES OR</t>
  </si>
  <si>
    <t>ORGANOCHLORINE RESIDUE LEVELS IN THE EUROPEAN MINK (MUSTELA-LUTREOLA) IN NORTHERN SPAIN OR</t>
  </si>
  <si>
    <t>CONTAMINANTS IN FISHES FROM GREAT LAKES-INFLUENCED SECTIONS AND ABOVE DAMS OF 3 MICHIGAN RIVERS .2. IMPLICATIONS FOR HEALTH OF MINK OR</t>
  </si>
  <si>
    <t>CHANGES IN DIETS OF RIVER OTTERS IN PRINCE WILLIAM SOUND, ALASKA - EFFECTS OF THE EXXON-VALDEZ OIL-SPILL OR</t>
  </si>
  <si>
    <t>EVIDENCE FOR RECOVERY OF BODY-MASS AND HAPTOGLOBIN VALUES OF RIVER OTTERS FOLLOWING THE EXXON-VALDEZ OIL-SPILL OR</t>
  </si>
  <si>
    <t>ESTIMATING POPULATIONS OF MARINE RIVER OTTERS IN PRINCE WILLIAM SOUND, ALASKA, USING RADIOTRACER IMPLANTS OR</t>
  </si>
  <si>
    <t>THE DECLINE OF MINK IN GEORGIA, NORTH-CAROLINA, AND SOUTH-CAROLINA - THE ROLE OF CONTAMINANTS OR</t>
  </si>
  <si>
    <t>Developing a criterion for delisting the southern sea otter under the US endangered species act OR</t>
  </si>
  <si>
    <t>Contaminant concentrations in Illinois mink and otter OR</t>
  </si>
  <si>
    <t>The effects of hexachlorobenzene on mink in the Canadian environment: An ecological risk assessment OR</t>
  </si>
  <si>
    <t>Sea otter mortality estimated from carcasses collected after the Exxon Valdez oil spill OR</t>
  </si>
  <si>
    <t>The otter (Lutra lutra) situation in Latvia and Sweden related to PCB and DDT levels OR</t>
  </si>
  <si>
    <t>The selective dietary accumulation of planar polychlorinated biphenyls in the otter (Lutra lutra) OR</t>
  </si>
  <si>
    <t>Anticoagulant rodenticides in stoats (Mustela erminea) and weasels (Mustela nivalis) in England OR</t>
  </si>
  <si>
    <t>Studies of bioaccumulation and biotransformation of PCBs in mustelids based on concentration and congener patterns in predators and preys OR</t>
  </si>
  <si>
    <t>Secondary rodenticide poisoning risk arising from winter farmyard use by the European polecat Mustela putorius OR</t>
  </si>
  <si>
    <t>Application of biomarkers for exposure and effect of polyhalogenated aromatic hydrocarbons in naturally exposed European otters (Lutra lutra) OR</t>
  </si>
  <si>
    <t>Estimation of polychlorinated biphenyl (PCB) levels in livers of the otter (Lutra lutra) from concentrations in scats and fish OR</t>
  </si>
  <si>
    <t>Decline in PCB levels in otters (Lutra lutra) OR</t>
  </si>
  <si>
    <t>The role of habitat enhancement in the return of the European otter (Lutra lutra) to Northumberland OR</t>
  </si>
  <si>
    <t>Status of translocated sea otters at San Nicolas Island, California OR</t>
  </si>
  <si>
    <t>Mercury levels in tissues of otters from Ontario, Canada: Variation with age, sex, and location OR</t>
  </si>
  <si>
    <t>Health effects of endocrine-disrupting chemicals on wildlife, with special reference to the European situation OR</t>
  </si>
  <si>
    <t>Mercury contamination of fish and its implications for other wildlife of the Tapajos Basin, Brazilian Amazon OR</t>
  </si>
  <si>
    <t>Induction of cytochrome P450 1A1 expression in captive river otters fed Prudhoe Bay crude oil: evaluation by immunohistochemistry and quantitative RT-PCR OR</t>
  </si>
  <si>
    <t>Congener-specific model for polychlorinated biphenyl effects on otter (Lutra lutra) and associated sediment quality criteria OR</t>
  </si>
  <si>
    <t>The otter (Lutra lutra) in Sweden - population trends in relation to Sigma DDT and total PCB concentrations during 1968-99 OR</t>
  </si>
  <si>
    <t>Population biology of stoats Mustela erminea and weasels Mustela nivalis on game estates in Great Britain OR</t>
  </si>
  <si>
    <t>Sea otter population status and the process of recovery from the 1989 'Exxon Valdez' oil spill OR</t>
  </si>
  <si>
    <t>Length-mass and total body length of adult female sea otters in Prince William Sound before and after the Exxon Valdez oil spill OR</t>
  </si>
  <si>
    <t>Post-release survival of river otters: Effects of exposure to crude oil and captivity OR</t>
  </si>
  <si>
    <t>Effects of the Exxon Valdez oil spill on river otters: Injury and recovery of a sentinel species OR</t>
  </si>
  <si>
    <t>Correlates to survival of juvenile sea otters in Prince William Sound, Alaska, 1992-1993 OR</t>
  </si>
  <si>
    <t>Otter (Lutra lutra) distribution modeling at two resolution scales suited to conservation planning in the Iberian Peninsula OR</t>
  </si>
  <si>
    <t>Evidence of secondary poisoning of free-ranging riparian mustelids by anticoagulant rodenticides in France: Implications for conservation of European mink (Mustela lutreola) OR</t>
  </si>
  <si>
    <t>Density dependence and risk of extinction in a small population of sea otters OR</t>
  </si>
  <si>
    <t>Organochlorine and heavy-metal contaminants in wild mammals and birds of Urbino-Pesaro province, Italy: An analytic overview for potential bioindicators OR</t>
  </si>
  <si>
    <t>Temporal and spatial trends in chlorinated hydrocarbon concentrations of mink in Canadian Lakes Erie and St. Clair OR</t>
  </si>
  <si>
    <t>Simulated effects of habitat loss and fragmentation on a solitary mustelid predator OR</t>
  </si>
  <si>
    <t>Potential for sea otter exposure to remnants of buried oil from the exxon valdez oil spill OR</t>
  </si>
  <si>
    <t>Immunomodulatory effects of organochlorine mixtures upon in vitro exposure of peripheral blood leukocytes differ between free-ranging and captive southern sea otters (Enhydra lutris) OR</t>
  </si>
  <si>
    <t>Effects of environmental methylmercury on the health of wild birds, mammals, and fish OR</t>
  </si>
  <si>
    <t>Organochlorine compounds (pesticides and PCBs) in scats of the european otter (Lutra lutra) from an actual expanding population in central france OR</t>
  </si>
  <si>
    <t>Levels of heavy metals and metalloids in critically endangered Iberian lynx and other wild carnivores from Southern Spain OR</t>
  </si>
  <si>
    <t>Chronic oral exposure to bunker C fuel oil causes adrenal insufficiency in ranch mink (Neovison vison) OR</t>
  </si>
  <si>
    <t>Production and toxicity of the marine biotoxin domoic acid and its effects on wildlife: A review OR</t>
  </si>
  <si>
    <t>Chlorinated hydrocarbon contaminants in feces of river otters from the southern Pacific coast of Canada, 1998-2004 OR</t>
  </si>
  <si>
    <t>Metal levels in tissues of Eurasian otters (Lutra lutra) from Hungary: Variation with sex, age, condition and location OR</t>
  </si>
  <si>
    <t>Animal decisions and conservation: the recolonization of a severely polluted river by the Eurasian otter OR</t>
  </si>
  <si>
    <t>PCB exposure in sea otters and harlequin ducks in relation to history of contamination by the Exxon Valdez oil spill OR</t>
  </si>
  <si>
    <t>FECAL GENOTYPING AND CONTAMINANT ANALYSES REVEAL VARIATION IN INDIVIDUAL RIVER OTTER EXPOSURE TO LOCALIZED PERSISTENT CONTAMINANTS OR</t>
  </si>
  <si>
    <t>Summer Feeding Habits of River Otters Inhabiting a Contaminated Coastal Marine Environment OR</t>
  </si>
  <si>
    <t>Organochlorine pesticides, PCBs, heavy metals and anticoagulant rodenticides in tissues of Eurasian otters (Lutra lutra) from upper Loire River catchment (France) OR</t>
  </si>
  <si>
    <t>Polychlorinated Biphenyls and Reproductive Performance in Otters From the Norwegian Coast OR</t>
  </si>
  <si>
    <t>HYDROCARBON CONCENTRATIONS AND PATTERNS IN FREE-RANGING SEA OTTERS (ENHYDRA LUTRIS) FROM BRITISH COLUMBIA, CANADA OR</t>
  </si>
  <si>
    <t>Could residual oil from the Exxon Valdez spill create a long-term population OR</t>
  </si>
  <si>
    <t>EXPOSURE OF SEA OTTERS AND HARLEQUIN DUCKS IN PRINCE WILLIAM SOUND, ALASKA, USA, TO SHORELINE OIL RESIDUES 20 YEARS AFTER THE EXXON VALDEZ OIL SPILL OR</t>
  </si>
  <si>
    <t>CORRELATES OF MERCURY IN FEMALE RIVER OTTERS (LONTRA CANADENSIS) FROM NOVA SCOTIA, CANADA OR</t>
  </si>
  <si>
    <t>Lead Levels in Eurasian Otters Decline with Time and Reveal Interactions between Sources, Prevailing Weather, And Stream Chemistry OR</t>
  </si>
  <si>
    <t>Anticoagulant Rodenticides on our Public and Community Lands: Spatial Distribution of Exposure and Poisoning of a Rare Forest Carnivore OR</t>
  </si>
  <si>
    <t>Long-term effects of the 'Exxon Valdez' oil spill: sea otter foraging in the intertidal as a pathway of exposure to lingering oil OR</t>
  </si>
  <si>
    <t>The Near Threatened Eurasian otter Lutra lutra in Morocco: no sign of recovery OR</t>
  </si>
  <si>
    <t>Levels of organochlorine pesticides and polychlorinated biphenyls in the critically endangered Iberian lynx and other sympatric carnivores in Spain OR</t>
  </si>
  <si>
    <t>Changes in the diet of coastal otters after the Prestige oil spill (Galicia, north-west Spain) OR</t>
  </si>
  <si>
    <t>Improved reproductive success in otters (Lutra lutra), grey seals (Halichoerus grypus) and sea eagles (Haliaeetus albicilla) from Sweden in relation to concentrations of organochlorine contaminants OR</t>
  </si>
  <si>
    <t>Quantifying long-term risks to sea otters from the 1989 'Exxon Valdez' oil spill: Reply to Harwell &amp; Gentile (2013) Reply COMMENT OR</t>
  </si>
  <si>
    <t>Quantifying long-term risks to sea otters from the 1989 'Exxon Valdez' oil spill: Comment on Bodkin et al. (2012) COMMENT OR</t>
  </si>
  <si>
    <t>Heavy metals in the habitat and throughout the food chain of the Neotropical otter, Lontra longicaudis, in protected Mexican wetlands OR</t>
  </si>
  <si>
    <t>Increasing Concentrations of Perfluoroalkyl Acids in Scandinavian Otters (Lutra lutra) between 1972 and 2011: A New Threat to the Otter Population? OR</t>
  </si>
  <si>
    <t>Impacts of Rodenticide and Insecticide Toxicants from Marijuana Cultivation Sites on Fisher Survival Rates in the Sierra National Forest, California OR</t>
  </si>
  <si>
    <t>Adverse Outcome Pathway and Risks of Anticoagulant Rodenticides to Predatory Wildlife OR</t>
  </si>
  <si>
    <t>Spatial and temporal exposure patterns in non-target small mammals during brodifacoum rat control OR</t>
  </si>
  <si>
    <t>Assessing Risks to Sea Otters and the Exxon Valdez Oil Spill: New Scenarios, Attributable Risk, and Recovery OR</t>
  </si>
  <si>
    <t>High liver content of polybrominated diphenyl ether (PBDE) in otters (Lutra lutra) from England and Wales OR</t>
  </si>
  <si>
    <t>Trace element analysis of three tissues from Eurasian otters (Lutra lutra) in South Korea OR</t>
  </si>
  <si>
    <t>Retention time of chlorophacinone in black-tailed prairie dogs informs secondary hazards from a prairie dog rodenticide bait OR</t>
  </si>
  <si>
    <t>Gene Transcript Profiling in Sea Otters Post-Exxon Valdez Oil Spill: A Tool for Marine Ecosystem Health Assessment OR</t>
  </si>
  <si>
    <t>Impacts of Pollutants on Beavers and Otters with Implications for Ecosystem Ramifications OR</t>
  </si>
  <si>
    <t>The effect of a major drainage divide on the gene flow of a semiaquatic carnivore, the Eurasian otter OR</t>
  </si>
  <si>
    <t>Spatial modelling of non-target exposure to anticoagulant rodenticides can inform mitigation options in two boreal predators inhabiting areas with intensive oil and gas development OR</t>
  </si>
  <si>
    <t>Exposure of stone marten (Martes foina) and polecat (Mustela putorius) to anticoagulant rodenticides: Effects of regulatory restrictions of rodenticide use OR</t>
  </si>
  <si>
    <t>Long-term increase in secondary exposure to anticoagulant rodenticides in European polecats &amp;ITMustela putorius&amp;IT in Great Britain OR</t>
  </si>
  <si>
    <t>Large-scale variation in density of an aquatic ecosystem indicator species OR</t>
  </si>
  <si>
    <t>Timelines and mechanisms of wildlife population recovery following the Exxon Valdez oil spill OR</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</si>
</sst>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scheme val="minor"/>
    </font>
    <font>
      <u/>
      <color rgb="FF0000FF"/>
    </font>
    <font>
      <b/>
      <color theme="1"/>
      <name val="Arial"/>
      <scheme val="minor"/>
    </font>
    <font>
      <b/>
      <color rgb="FFFF0000"/>
      <name val="Arial"/>
      <scheme val="minor"/>
    </font>
    <font>
      <u/>
      <color rgb="FF0000FF"/>
    </font>
    <font>
      <b/>
      <color theme="1"/>
      <name val="Arial"/>
    </font>
    <font>
      <color theme="1"/>
      <name val="Arial"/>
    </font>
  </fonts>
  <fills count="4">
    <fill>
      <patternFill patternType="none"/>
    </fill>
    <fill>
      <patternFill patternType="lightGray"/>
    </fill>
    <fill>
      <patternFill patternType="solid">
        <fgColor rgb="FFFCE5CD"/>
        <bgColor rgb="FFFCE5CD"/>
      </patternFill>
    </fill>
    <fill>
      <patternFill patternType="solid">
        <fgColor rgb="FFF4CCCC"/>
        <bgColor rgb="FFF4CCCC"/>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17">
    <xf borderId="0" fillId="0" fontId="0" numFmtId="0" xfId="0" applyAlignment="1" applyFont="1">
      <alignment readingOrder="0" shrinkToFit="0" vertical="bottom" wrapText="0"/>
    </xf>
    <xf borderId="0" fillId="0" fontId="1" numFmtId="0" xfId="0" applyAlignment="1" applyFont="1">
      <alignment shrinkToFit="0" wrapText="1"/>
    </xf>
    <xf borderId="0" fillId="0" fontId="2" numFmtId="0" xfId="0" applyAlignment="1" applyFont="1">
      <alignment readingOrder="0"/>
    </xf>
    <xf borderId="0" fillId="0" fontId="1" numFmtId="0" xfId="0" applyAlignment="1" applyFont="1">
      <alignment readingOrder="0"/>
    </xf>
    <xf borderId="1" fillId="0" fontId="1" numFmtId="0" xfId="0" applyAlignment="1" applyBorder="1" applyFont="1">
      <alignment readingOrder="0"/>
    </xf>
    <xf borderId="1" fillId="0" fontId="1" numFmtId="0" xfId="0" applyAlignment="1" applyBorder="1" applyFont="1">
      <alignment readingOrder="0" shrinkToFit="0" wrapText="1"/>
    </xf>
    <xf quotePrefix="1" borderId="0" fillId="0" fontId="1" numFmtId="0" xfId="0" applyAlignment="1" applyFont="1">
      <alignment readingOrder="0"/>
    </xf>
    <xf borderId="0" fillId="2" fontId="1" numFmtId="0" xfId="0" applyAlignment="1" applyFill="1" applyFont="1">
      <alignment readingOrder="0"/>
    </xf>
    <xf borderId="0" fillId="0" fontId="1" numFmtId="0" xfId="0" applyFont="1"/>
    <xf borderId="0" fillId="0" fontId="1" numFmtId="0" xfId="0" applyAlignment="1" applyFont="1">
      <alignment readingOrder="0" shrinkToFit="0" wrapText="1"/>
    </xf>
    <xf borderId="0" fillId="0" fontId="3" numFmtId="0" xfId="0" applyAlignment="1" applyFont="1">
      <alignment readingOrder="0"/>
    </xf>
    <xf borderId="0" fillId="0" fontId="4" numFmtId="0" xfId="0" applyAlignment="1" applyFont="1">
      <alignment readingOrder="0"/>
    </xf>
    <xf borderId="0" fillId="3" fontId="1" numFmtId="0" xfId="0" applyAlignment="1" applyFill="1" applyFont="1">
      <alignment readingOrder="0"/>
    </xf>
    <xf borderId="0" fillId="0" fontId="5" numFmtId="0" xfId="0" applyFont="1"/>
    <xf borderId="0" fillId="3" fontId="1" numFmtId="0" xfId="0" applyFont="1"/>
    <xf borderId="0" fillId="0" fontId="6" numFmtId="0" xfId="0" applyAlignment="1" applyFont="1">
      <alignment vertical="bottom"/>
    </xf>
    <xf borderId="0" fillId="0" fontId="7" numFmtId="0" xfId="0" applyAlignment="1" applyFont="1">
      <alignment vertical="bottom"/>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onlinelibrary.wiley.com/doi/full/10.1111/mam.12288" TargetMode="External"/><Relationship Id="rId2"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91.5"/>
  </cols>
  <sheetData>
    <row r="1">
      <c r="C1" s="1"/>
    </row>
    <row r="2">
      <c r="C2" s="1"/>
    </row>
    <row r="3">
      <c r="B3" s="2" t="s">
        <v>0</v>
      </c>
      <c r="C3" s="1"/>
    </row>
    <row r="4">
      <c r="B4" s="3" t="s">
        <v>1</v>
      </c>
      <c r="C4" s="1"/>
    </row>
    <row r="5">
      <c r="B5" s="3" t="s">
        <v>2</v>
      </c>
      <c r="C5" s="1"/>
    </row>
    <row r="6">
      <c r="B6" s="3" t="s">
        <v>3</v>
      </c>
      <c r="C6" s="1"/>
    </row>
    <row r="7">
      <c r="B7" s="4" t="s">
        <v>4</v>
      </c>
      <c r="C7" s="5" t="s">
        <v>5</v>
      </c>
    </row>
    <row r="8">
      <c r="B8" s="4" t="s">
        <v>6</v>
      </c>
      <c r="C8" s="5" t="s">
        <v>7</v>
      </c>
    </row>
    <row r="9">
      <c r="B9" s="4" t="s">
        <v>8</v>
      </c>
      <c r="C9" s="5" t="s">
        <v>9</v>
      </c>
    </row>
    <row r="10">
      <c r="B10" s="4" t="s">
        <v>10</v>
      </c>
      <c r="C10" s="5" t="s">
        <v>11</v>
      </c>
    </row>
    <row r="11">
      <c r="C11" s="1"/>
    </row>
    <row r="12">
      <c r="C12" s="1"/>
    </row>
    <row r="13">
      <c r="C13" s="1"/>
    </row>
    <row r="14">
      <c r="C14" s="1"/>
    </row>
    <row r="15">
      <c r="C15" s="1"/>
    </row>
    <row r="16">
      <c r="C16" s="1"/>
    </row>
    <row r="17">
      <c r="C17" s="1"/>
    </row>
    <row r="18">
      <c r="C18" s="1"/>
    </row>
    <row r="19">
      <c r="C19" s="1"/>
    </row>
    <row r="20">
      <c r="C20" s="1"/>
    </row>
    <row r="21">
      <c r="C21" s="1"/>
    </row>
    <row r="22">
      <c r="C22" s="1"/>
    </row>
    <row r="23">
      <c r="C23" s="1"/>
    </row>
    <row r="24">
      <c r="C24" s="1"/>
    </row>
    <row r="25">
      <c r="C25" s="1"/>
    </row>
    <row r="26">
      <c r="C26" s="1"/>
    </row>
    <row r="27">
      <c r="C27" s="1"/>
    </row>
    <row r="28">
      <c r="C28" s="1"/>
    </row>
    <row r="29">
      <c r="C29" s="1"/>
    </row>
    <row r="30">
      <c r="C30" s="1"/>
    </row>
    <row r="31">
      <c r="C31" s="1"/>
    </row>
    <row r="32">
      <c r="C32" s="1"/>
    </row>
    <row r="33">
      <c r="C33" s="1"/>
    </row>
    <row r="34">
      <c r="C34" s="1"/>
    </row>
    <row r="35">
      <c r="C35" s="1"/>
    </row>
    <row r="36">
      <c r="C36" s="1"/>
    </row>
    <row r="37">
      <c r="C37" s="1"/>
    </row>
    <row r="38">
      <c r="C38" s="1"/>
    </row>
    <row r="39">
      <c r="C39" s="1"/>
    </row>
    <row r="40">
      <c r="C40" s="1"/>
    </row>
    <row r="41">
      <c r="C41" s="1"/>
    </row>
    <row r="42">
      <c r="C42" s="1"/>
    </row>
    <row r="43">
      <c r="C43" s="1"/>
    </row>
    <row r="44">
      <c r="C44" s="1"/>
    </row>
    <row r="45">
      <c r="C45" s="1"/>
    </row>
    <row r="46">
      <c r="C46" s="1"/>
    </row>
    <row r="47">
      <c r="C47" s="1"/>
    </row>
    <row r="48">
      <c r="C48" s="1"/>
    </row>
    <row r="49">
      <c r="C49" s="1"/>
    </row>
    <row r="50">
      <c r="C50" s="1"/>
    </row>
    <row r="51">
      <c r="C51" s="1"/>
    </row>
    <row r="52">
      <c r="C52" s="1"/>
    </row>
    <row r="53">
      <c r="C53" s="1"/>
    </row>
    <row r="54">
      <c r="C54" s="1"/>
    </row>
    <row r="55">
      <c r="C55" s="1"/>
    </row>
    <row r="56">
      <c r="C56" s="1"/>
    </row>
    <row r="57">
      <c r="C57" s="1"/>
    </row>
    <row r="58">
      <c r="C58" s="1"/>
    </row>
    <row r="59">
      <c r="C59" s="1"/>
    </row>
    <row r="60">
      <c r="C60" s="1"/>
    </row>
    <row r="61">
      <c r="C61" s="1"/>
    </row>
    <row r="62">
      <c r="C62" s="1"/>
    </row>
    <row r="63">
      <c r="C63" s="1"/>
    </row>
    <row r="64">
      <c r="C64" s="1"/>
    </row>
    <row r="65">
      <c r="C65" s="1"/>
    </row>
    <row r="66">
      <c r="C66" s="1"/>
    </row>
    <row r="67">
      <c r="C67" s="1"/>
    </row>
    <row r="68">
      <c r="C68" s="1"/>
    </row>
    <row r="69">
      <c r="C69" s="1"/>
    </row>
    <row r="70">
      <c r="C70" s="1"/>
    </row>
    <row r="71">
      <c r="C71" s="1"/>
    </row>
    <row r="72">
      <c r="C72" s="1"/>
    </row>
    <row r="73">
      <c r="C73" s="1"/>
    </row>
    <row r="74">
      <c r="C74" s="1"/>
    </row>
    <row r="75">
      <c r="C75" s="1"/>
    </row>
    <row r="76">
      <c r="C76" s="1"/>
    </row>
    <row r="77">
      <c r="C77" s="1"/>
    </row>
    <row r="78">
      <c r="C78" s="1"/>
    </row>
    <row r="79">
      <c r="C79" s="1"/>
    </row>
    <row r="80">
      <c r="C80" s="1"/>
    </row>
    <row r="81">
      <c r="C81" s="1"/>
    </row>
    <row r="82">
      <c r="C82" s="1"/>
    </row>
    <row r="83">
      <c r="C83" s="1"/>
    </row>
    <row r="84">
      <c r="C84" s="1"/>
    </row>
    <row r="85">
      <c r="C85" s="1"/>
    </row>
    <row r="86">
      <c r="C86" s="1"/>
    </row>
    <row r="87">
      <c r="C87" s="1"/>
    </row>
    <row r="88">
      <c r="C88" s="1"/>
    </row>
    <row r="89">
      <c r="C89" s="1"/>
    </row>
    <row r="90">
      <c r="C90" s="1"/>
    </row>
    <row r="91">
      <c r="C91" s="1"/>
    </row>
    <row r="92">
      <c r="C92" s="1"/>
    </row>
    <row r="93">
      <c r="C93" s="1"/>
    </row>
    <row r="94">
      <c r="C94" s="1"/>
    </row>
    <row r="95">
      <c r="C95" s="1"/>
    </row>
    <row r="96">
      <c r="C96" s="1"/>
    </row>
    <row r="97">
      <c r="C97" s="1"/>
    </row>
    <row r="98">
      <c r="C98" s="1"/>
    </row>
    <row r="99">
      <c r="C99" s="1"/>
    </row>
    <row r="100">
      <c r="C100" s="1"/>
    </row>
    <row r="101">
      <c r="C101" s="1"/>
    </row>
    <row r="102">
      <c r="C102" s="1"/>
    </row>
    <row r="103">
      <c r="C103" s="1"/>
    </row>
    <row r="104">
      <c r="C104" s="1"/>
    </row>
    <row r="105">
      <c r="C105" s="1"/>
    </row>
    <row r="106">
      <c r="C106" s="1"/>
    </row>
    <row r="107">
      <c r="C107" s="1"/>
    </row>
    <row r="108">
      <c r="C108" s="1"/>
    </row>
    <row r="109">
      <c r="C109" s="1"/>
    </row>
    <row r="110">
      <c r="C110" s="1"/>
    </row>
    <row r="111">
      <c r="C111" s="1"/>
    </row>
    <row r="112">
      <c r="C112" s="1"/>
    </row>
    <row r="113">
      <c r="C113" s="1"/>
    </row>
    <row r="114">
      <c r="C114" s="1"/>
    </row>
    <row r="115">
      <c r="C115" s="1"/>
    </row>
    <row r="116">
      <c r="C116" s="1"/>
    </row>
    <row r="117">
      <c r="C117" s="1"/>
    </row>
    <row r="118">
      <c r="C118" s="1"/>
    </row>
    <row r="119">
      <c r="C119" s="1"/>
    </row>
    <row r="120">
      <c r="C120" s="1"/>
    </row>
    <row r="121">
      <c r="C121" s="1"/>
    </row>
    <row r="122">
      <c r="C122" s="1"/>
    </row>
    <row r="123">
      <c r="C123" s="1"/>
    </row>
    <row r="124">
      <c r="C124" s="1"/>
    </row>
    <row r="125">
      <c r="C125" s="1"/>
    </row>
    <row r="126">
      <c r="C126" s="1"/>
    </row>
    <row r="127">
      <c r="C127" s="1"/>
    </row>
    <row r="128">
      <c r="C128" s="1"/>
    </row>
    <row r="129">
      <c r="C129" s="1"/>
    </row>
    <row r="130">
      <c r="C130" s="1"/>
    </row>
    <row r="131">
      <c r="C131" s="1"/>
    </row>
    <row r="132">
      <c r="C132" s="1"/>
    </row>
    <row r="133">
      <c r="C133" s="1"/>
    </row>
    <row r="134">
      <c r="C134" s="1"/>
    </row>
    <row r="135">
      <c r="C135" s="1"/>
    </row>
    <row r="136">
      <c r="C136" s="1"/>
    </row>
    <row r="137">
      <c r="C137" s="1"/>
    </row>
    <row r="138">
      <c r="C138" s="1"/>
    </row>
    <row r="139">
      <c r="C139" s="1"/>
    </row>
    <row r="140">
      <c r="C140" s="1"/>
    </row>
    <row r="141">
      <c r="C141" s="1"/>
    </row>
    <row r="142">
      <c r="C142" s="1"/>
    </row>
    <row r="143">
      <c r="C143" s="1"/>
    </row>
    <row r="144">
      <c r="C144" s="1"/>
    </row>
    <row r="145">
      <c r="C145" s="1"/>
    </row>
    <row r="146">
      <c r="C146" s="1"/>
    </row>
    <row r="147">
      <c r="C147" s="1"/>
    </row>
    <row r="148">
      <c r="C148" s="1"/>
    </row>
    <row r="149">
      <c r="C149" s="1"/>
    </row>
    <row r="150">
      <c r="C150" s="1"/>
    </row>
    <row r="151">
      <c r="C151" s="1"/>
    </row>
    <row r="152">
      <c r="C152" s="1"/>
    </row>
    <row r="153">
      <c r="C153" s="1"/>
    </row>
    <row r="154">
      <c r="C154" s="1"/>
    </row>
    <row r="155">
      <c r="C155" s="1"/>
    </row>
    <row r="156">
      <c r="C156" s="1"/>
    </row>
    <row r="157">
      <c r="C157" s="1"/>
    </row>
    <row r="158">
      <c r="C158" s="1"/>
    </row>
    <row r="159">
      <c r="C159" s="1"/>
    </row>
    <row r="160">
      <c r="C160" s="1"/>
    </row>
    <row r="161">
      <c r="C161" s="1"/>
    </row>
    <row r="162">
      <c r="C162" s="1"/>
    </row>
    <row r="163">
      <c r="C163" s="1"/>
    </row>
    <row r="164">
      <c r="C164" s="1"/>
    </row>
    <row r="165">
      <c r="C165" s="1"/>
    </row>
    <row r="166">
      <c r="C166" s="1"/>
    </row>
    <row r="167">
      <c r="C167" s="1"/>
    </row>
    <row r="168">
      <c r="C168" s="1"/>
    </row>
    <row r="169">
      <c r="C169" s="1"/>
    </row>
    <row r="170">
      <c r="C170" s="1"/>
    </row>
    <row r="171">
      <c r="C171" s="1"/>
    </row>
    <row r="172">
      <c r="C172" s="1"/>
    </row>
    <row r="173">
      <c r="C173" s="1"/>
    </row>
    <row r="174">
      <c r="C174" s="1"/>
    </row>
    <row r="175">
      <c r="C175" s="1"/>
    </row>
    <row r="176">
      <c r="C176" s="1"/>
    </row>
    <row r="177">
      <c r="C177" s="1"/>
    </row>
    <row r="178">
      <c r="C178" s="1"/>
    </row>
    <row r="179">
      <c r="C179" s="1"/>
    </row>
    <row r="180">
      <c r="C180" s="1"/>
    </row>
    <row r="181">
      <c r="C181" s="1"/>
    </row>
    <row r="182">
      <c r="C182" s="1"/>
    </row>
    <row r="183">
      <c r="C183" s="1"/>
    </row>
    <row r="184">
      <c r="C184" s="1"/>
    </row>
    <row r="185">
      <c r="C185" s="1"/>
    </row>
    <row r="186">
      <c r="C186" s="1"/>
    </row>
    <row r="187">
      <c r="C187" s="1"/>
    </row>
    <row r="188">
      <c r="C188" s="1"/>
    </row>
    <row r="189">
      <c r="C189" s="1"/>
    </row>
    <row r="190">
      <c r="C190" s="1"/>
    </row>
    <row r="191">
      <c r="C191" s="1"/>
    </row>
    <row r="192">
      <c r="C192" s="1"/>
    </row>
    <row r="193">
      <c r="C193" s="1"/>
    </row>
    <row r="194">
      <c r="C194" s="1"/>
    </row>
    <row r="195">
      <c r="C195" s="1"/>
    </row>
    <row r="196">
      <c r="C196" s="1"/>
    </row>
    <row r="197">
      <c r="C197" s="1"/>
    </row>
    <row r="198">
      <c r="C198" s="1"/>
    </row>
    <row r="199">
      <c r="C199" s="1"/>
    </row>
    <row r="200">
      <c r="C200" s="1"/>
    </row>
    <row r="201">
      <c r="C201" s="1"/>
    </row>
    <row r="202">
      <c r="C202" s="1"/>
    </row>
    <row r="203">
      <c r="C203" s="1"/>
    </row>
    <row r="204">
      <c r="C204" s="1"/>
    </row>
    <row r="205">
      <c r="C205" s="1"/>
    </row>
    <row r="206">
      <c r="C206" s="1"/>
    </row>
    <row r="207">
      <c r="C207" s="1"/>
    </row>
    <row r="208">
      <c r="C208" s="1"/>
    </row>
    <row r="209">
      <c r="C209" s="1"/>
    </row>
    <row r="210">
      <c r="C210" s="1"/>
    </row>
    <row r="211">
      <c r="C211" s="1"/>
    </row>
    <row r="212">
      <c r="C212" s="1"/>
    </row>
    <row r="213">
      <c r="C213" s="1"/>
    </row>
    <row r="214">
      <c r="C214" s="1"/>
    </row>
    <row r="215">
      <c r="C215" s="1"/>
    </row>
    <row r="216">
      <c r="C216" s="1"/>
    </row>
    <row r="217">
      <c r="C217" s="1"/>
    </row>
    <row r="218">
      <c r="C218" s="1"/>
    </row>
    <row r="219">
      <c r="C219" s="1"/>
    </row>
    <row r="220">
      <c r="C220" s="1"/>
    </row>
    <row r="221">
      <c r="C221" s="1"/>
    </row>
    <row r="222">
      <c r="C222" s="1"/>
    </row>
    <row r="223">
      <c r="C223" s="1"/>
    </row>
    <row r="224">
      <c r="C224" s="1"/>
    </row>
    <row r="225">
      <c r="C225" s="1"/>
    </row>
    <row r="226">
      <c r="C226" s="1"/>
    </row>
    <row r="227">
      <c r="C227" s="1"/>
    </row>
    <row r="228">
      <c r="C228" s="1"/>
    </row>
    <row r="229">
      <c r="C229" s="1"/>
    </row>
    <row r="230">
      <c r="C230" s="1"/>
    </row>
    <row r="231">
      <c r="C231" s="1"/>
    </row>
    <row r="232">
      <c r="C232" s="1"/>
    </row>
    <row r="233">
      <c r="C233" s="1"/>
    </row>
    <row r="234">
      <c r="C234" s="1"/>
    </row>
    <row r="235">
      <c r="C235" s="1"/>
    </row>
    <row r="236">
      <c r="C236" s="1"/>
    </row>
    <row r="237">
      <c r="C237" s="1"/>
    </row>
    <row r="238">
      <c r="C238" s="1"/>
    </row>
    <row r="239">
      <c r="C239" s="1"/>
    </row>
    <row r="240">
      <c r="C240" s="1"/>
    </row>
    <row r="241">
      <c r="C241" s="1"/>
    </row>
    <row r="242">
      <c r="C242" s="1"/>
    </row>
    <row r="243">
      <c r="C243" s="1"/>
    </row>
    <row r="244">
      <c r="C244" s="1"/>
    </row>
    <row r="245">
      <c r="C245" s="1"/>
    </row>
    <row r="246">
      <c r="C246" s="1"/>
    </row>
    <row r="247">
      <c r="C247" s="1"/>
    </row>
    <row r="248">
      <c r="C248" s="1"/>
    </row>
    <row r="249">
      <c r="C249" s="1"/>
    </row>
    <row r="250">
      <c r="C250" s="1"/>
    </row>
    <row r="251">
      <c r="C251" s="1"/>
    </row>
    <row r="252">
      <c r="C252" s="1"/>
    </row>
    <row r="253">
      <c r="C253" s="1"/>
    </row>
    <row r="254">
      <c r="C254" s="1"/>
    </row>
    <row r="255">
      <c r="C255" s="1"/>
    </row>
    <row r="256">
      <c r="C256" s="1"/>
    </row>
    <row r="257">
      <c r="C257" s="1"/>
    </row>
    <row r="258">
      <c r="C258" s="1"/>
    </row>
    <row r="259">
      <c r="C259" s="1"/>
    </row>
    <row r="260">
      <c r="C260" s="1"/>
    </row>
    <row r="261">
      <c r="C261" s="1"/>
    </row>
    <row r="262">
      <c r="C262" s="1"/>
    </row>
    <row r="263">
      <c r="C263" s="1"/>
    </row>
    <row r="264">
      <c r="C264" s="1"/>
    </row>
    <row r="265">
      <c r="C265" s="1"/>
    </row>
    <row r="266">
      <c r="C266" s="1"/>
    </row>
    <row r="267">
      <c r="C267" s="1"/>
    </row>
    <row r="268">
      <c r="C268" s="1"/>
    </row>
    <row r="269">
      <c r="C269" s="1"/>
    </row>
    <row r="270">
      <c r="C270" s="1"/>
    </row>
    <row r="271">
      <c r="C271" s="1"/>
    </row>
    <row r="272">
      <c r="C272" s="1"/>
    </row>
    <row r="273">
      <c r="C273" s="1"/>
    </row>
    <row r="274">
      <c r="C274" s="1"/>
    </row>
    <row r="275">
      <c r="C275" s="1"/>
    </row>
    <row r="276">
      <c r="C276" s="1"/>
    </row>
    <row r="277">
      <c r="C277" s="1"/>
    </row>
    <row r="278">
      <c r="C278" s="1"/>
    </row>
    <row r="279">
      <c r="C279" s="1"/>
    </row>
    <row r="280">
      <c r="C280" s="1"/>
    </row>
    <row r="281">
      <c r="C281" s="1"/>
    </row>
    <row r="282">
      <c r="C282" s="1"/>
    </row>
    <row r="283">
      <c r="C283" s="1"/>
    </row>
    <row r="284">
      <c r="C284" s="1"/>
    </row>
    <row r="285">
      <c r="C285" s="1"/>
    </row>
    <row r="286">
      <c r="C286" s="1"/>
    </row>
    <row r="287">
      <c r="C287" s="1"/>
    </row>
    <row r="288">
      <c r="C288" s="1"/>
    </row>
    <row r="289">
      <c r="C289" s="1"/>
    </row>
    <row r="290">
      <c r="C290" s="1"/>
    </row>
    <row r="291">
      <c r="C291" s="1"/>
    </row>
    <row r="292">
      <c r="C292" s="1"/>
    </row>
    <row r="293">
      <c r="C293" s="1"/>
    </row>
    <row r="294">
      <c r="C294" s="1"/>
    </row>
    <row r="295">
      <c r="C295" s="1"/>
    </row>
    <row r="296">
      <c r="C296" s="1"/>
    </row>
    <row r="297">
      <c r="C297" s="1"/>
    </row>
    <row r="298">
      <c r="C298" s="1"/>
    </row>
    <row r="299">
      <c r="C299" s="1"/>
    </row>
    <row r="300">
      <c r="C300" s="1"/>
    </row>
    <row r="301">
      <c r="C301" s="1"/>
    </row>
    <row r="302">
      <c r="C302" s="1"/>
    </row>
    <row r="303">
      <c r="C303" s="1"/>
    </row>
    <row r="304">
      <c r="C304" s="1"/>
    </row>
    <row r="305">
      <c r="C305" s="1"/>
    </row>
    <row r="306">
      <c r="C306" s="1"/>
    </row>
    <row r="307">
      <c r="C307" s="1"/>
    </row>
    <row r="308">
      <c r="C308" s="1"/>
    </row>
    <row r="309">
      <c r="C309" s="1"/>
    </row>
    <row r="310">
      <c r="C310" s="1"/>
    </row>
    <row r="311">
      <c r="C311" s="1"/>
    </row>
    <row r="312">
      <c r="C312" s="1"/>
    </row>
    <row r="313">
      <c r="C313" s="1"/>
    </row>
    <row r="314">
      <c r="C314" s="1"/>
    </row>
    <row r="315">
      <c r="C315" s="1"/>
    </row>
    <row r="316">
      <c r="C316" s="1"/>
    </row>
    <row r="317">
      <c r="C317" s="1"/>
    </row>
    <row r="318">
      <c r="C318" s="1"/>
    </row>
    <row r="319">
      <c r="C319" s="1"/>
    </row>
    <row r="320">
      <c r="C320" s="1"/>
    </row>
    <row r="321">
      <c r="C321" s="1"/>
    </row>
    <row r="322">
      <c r="C322" s="1"/>
    </row>
    <row r="323">
      <c r="C323" s="1"/>
    </row>
    <row r="324">
      <c r="C324" s="1"/>
    </row>
    <row r="325">
      <c r="C325" s="1"/>
    </row>
    <row r="326">
      <c r="C326" s="1"/>
    </row>
    <row r="327">
      <c r="C327" s="1"/>
    </row>
    <row r="328">
      <c r="C328" s="1"/>
    </row>
    <row r="329">
      <c r="C329" s="1"/>
    </row>
    <row r="330">
      <c r="C330" s="1"/>
    </row>
    <row r="331">
      <c r="C331" s="1"/>
    </row>
    <row r="332">
      <c r="C332" s="1"/>
    </row>
    <row r="333">
      <c r="C333" s="1"/>
    </row>
    <row r="334">
      <c r="C334" s="1"/>
    </row>
    <row r="335">
      <c r="C335" s="1"/>
    </row>
    <row r="336">
      <c r="C336" s="1"/>
    </row>
    <row r="337">
      <c r="C337" s="1"/>
    </row>
    <row r="338">
      <c r="C338" s="1"/>
    </row>
    <row r="339">
      <c r="C339" s="1"/>
    </row>
    <row r="340">
      <c r="C340" s="1"/>
    </row>
    <row r="341">
      <c r="C341" s="1"/>
    </row>
    <row r="342">
      <c r="C342" s="1"/>
    </row>
    <row r="343">
      <c r="C343" s="1"/>
    </row>
    <row r="344">
      <c r="C344" s="1"/>
    </row>
    <row r="345">
      <c r="C345" s="1"/>
    </row>
    <row r="346">
      <c r="C346" s="1"/>
    </row>
    <row r="347">
      <c r="C347" s="1"/>
    </row>
    <row r="348">
      <c r="C348" s="1"/>
    </row>
    <row r="349">
      <c r="C349" s="1"/>
    </row>
    <row r="350">
      <c r="C350" s="1"/>
    </row>
    <row r="351">
      <c r="C351" s="1"/>
    </row>
    <row r="352">
      <c r="C352" s="1"/>
    </row>
    <row r="353">
      <c r="C353" s="1"/>
    </row>
    <row r="354">
      <c r="C354" s="1"/>
    </row>
    <row r="355">
      <c r="C355" s="1"/>
    </row>
    <row r="356">
      <c r="C356" s="1"/>
    </row>
    <row r="357">
      <c r="C357" s="1"/>
    </row>
    <row r="358">
      <c r="C358" s="1"/>
    </row>
    <row r="359">
      <c r="C359" s="1"/>
    </row>
    <row r="360">
      <c r="C360" s="1"/>
    </row>
    <row r="361">
      <c r="C361" s="1"/>
    </row>
    <row r="362">
      <c r="C362" s="1"/>
    </row>
    <row r="363">
      <c r="C363" s="1"/>
    </row>
    <row r="364">
      <c r="C364" s="1"/>
    </row>
    <row r="365">
      <c r="C365" s="1"/>
    </row>
    <row r="366">
      <c r="C366" s="1"/>
    </row>
    <row r="367">
      <c r="C367" s="1"/>
    </row>
    <row r="368">
      <c r="C368" s="1"/>
    </row>
    <row r="369">
      <c r="C369" s="1"/>
    </row>
    <row r="370">
      <c r="C370" s="1"/>
    </row>
    <row r="371">
      <c r="C371" s="1"/>
    </row>
    <row r="372">
      <c r="C372" s="1"/>
    </row>
    <row r="373">
      <c r="C373" s="1"/>
    </row>
    <row r="374">
      <c r="C374" s="1"/>
    </row>
    <row r="375">
      <c r="C375" s="1"/>
    </row>
    <row r="376">
      <c r="C376" s="1"/>
    </row>
    <row r="377">
      <c r="C377" s="1"/>
    </row>
    <row r="378">
      <c r="C378" s="1"/>
    </row>
    <row r="379">
      <c r="C379" s="1"/>
    </row>
    <row r="380">
      <c r="C380" s="1"/>
    </row>
    <row r="381">
      <c r="C381" s="1"/>
    </row>
    <row r="382">
      <c r="C382" s="1"/>
    </row>
    <row r="383">
      <c r="C383" s="1"/>
    </row>
    <row r="384">
      <c r="C384" s="1"/>
    </row>
    <row r="385">
      <c r="C385" s="1"/>
    </row>
    <row r="386">
      <c r="C386" s="1"/>
    </row>
    <row r="387">
      <c r="C387" s="1"/>
    </row>
    <row r="388">
      <c r="C388" s="1"/>
    </row>
    <row r="389">
      <c r="C389" s="1"/>
    </row>
    <row r="390">
      <c r="C390" s="1"/>
    </row>
    <row r="391">
      <c r="C391" s="1"/>
    </row>
    <row r="392">
      <c r="C392" s="1"/>
    </row>
    <row r="393">
      <c r="C393" s="1"/>
    </row>
    <row r="394">
      <c r="C394" s="1"/>
    </row>
    <row r="395">
      <c r="C395" s="1"/>
    </row>
    <row r="396">
      <c r="C396" s="1"/>
    </row>
    <row r="397">
      <c r="C397" s="1"/>
    </row>
    <row r="398">
      <c r="C398" s="1"/>
    </row>
    <row r="399">
      <c r="C399" s="1"/>
    </row>
    <row r="400">
      <c r="C400" s="1"/>
    </row>
    <row r="401">
      <c r="C401" s="1"/>
    </row>
    <row r="402">
      <c r="C402" s="1"/>
    </row>
    <row r="403">
      <c r="C403" s="1"/>
    </row>
    <row r="404">
      <c r="C404" s="1"/>
    </row>
    <row r="405">
      <c r="C405" s="1"/>
    </row>
    <row r="406">
      <c r="C406" s="1"/>
    </row>
    <row r="407">
      <c r="C407" s="1"/>
    </row>
    <row r="408">
      <c r="C408" s="1"/>
    </row>
    <row r="409">
      <c r="C409" s="1"/>
    </row>
    <row r="410">
      <c r="C410" s="1"/>
    </row>
    <row r="411">
      <c r="C411" s="1"/>
    </row>
    <row r="412">
      <c r="C412" s="1"/>
    </row>
    <row r="413">
      <c r="C413" s="1"/>
    </row>
    <row r="414">
      <c r="C414" s="1"/>
    </row>
    <row r="415">
      <c r="C415" s="1"/>
    </row>
    <row r="416">
      <c r="C416" s="1"/>
    </row>
    <row r="417">
      <c r="C417" s="1"/>
    </row>
    <row r="418">
      <c r="C418" s="1"/>
    </row>
    <row r="419">
      <c r="C419" s="1"/>
    </row>
    <row r="420">
      <c r="C420" s="1"/>
    </row>
    <row r="421">
      <c r="C421" s="1"/>
    </row>
    <row r="422">
      <c r="C422" s="1"/>
    </row>
    <row r="423">
      <c r="C423" s="1"/>
    </row>
    <row r="424">
      <c r="C424" s="1"/>
    </row>
    <row r="425">
      <c r="C425" s="1"/>
    </row>
    <row r="426">
      <c r="C426" s="1"/>
    </row>
    <row r="427">
      <c r="C427" s="1"/>
    </row>
    <row r="428">
      <c r="C428" s="1"/>
    </row>
    <row r="429">
      <c r="C429" s="1"/>
    </row>
    <row r="430">
      <c r="C430" s="1"/>
    </row>
    <row r="431">
      <c r="C431" s="1"/>
    </row>
    <row r="432">
      <c r="C432" s="1"/>
    </row>
    <row r="433">
      <c r="C433" s="1"/>
    </row>
    <row r="434">
      <c r="C434" s="1"/>
    </row>
    <row r="435">
      <c r="C435" s="1"/>
    </row>
    <row r="436">
      <c r="C436" s="1"/>
    </row>
    <row r="437">
      <c r="C437" s="1"/>
    </row>
    <row r="438">
      <c r="C438" s="1"/>
    </row>
    <row r="439">
      <c r="C439" s="1"/>
    </row>
    <row r="440">
      <c r="C440" s="1"/>
    </row>
    <row r="441">
      <c r="C441" s="1"/>
    </row>
    <row r="442">
      <c r="C442" s="1"/>
    </row>
    <row r="443">
      <c r="C443" s="1"/>
    </row>
    <row r="444">
      <c r="C444" s="1"/>
    </row>
    <row r="445">
      <c r="C445" s="1"/>
    </row>
    <row r="446">
      <c r="C446" s="1"/>
    </row>
    <row r="447">
      <c r="C447" s="1"/>
    </row>
    <row r="448">
      <c r="C448" s="1"/>
    </row>
    <row r="449">
      <c r="C449" s="1"/>
    </row>
    <row r="450">
      <c r="C450" s="1"/>
    </row>
    <row r="451">
      <c r="C451" s="1"/>
    </row>
    <row r="452">
      <c r="C452" s="1"/>
    </row>
    <row r="453">
      <c r="C453" s="1"/>
    </row>
    <row r="454">
      <c r="C454" s="1"/>
    </row>
    <row r="455">
      <c r="C455" s="1"/>
    </row>
    <row r="456">
      <c r="C456" s="1"/>
    </row>
    <row r="457">
      <c r="C457" s="1"/>
    </row>
    <row r="458">
      <c r="C458" s="1"/>
    </row>
    <row r="459">
      <c r="C459" s="1"/>
    </row>
    <row r="460">
      <c r="C460" s="1"/>
    </row>
    <row r="461">
      <c r="C461" s="1"/>
    </row>
    <row r="462">
      <c r="C462" s="1"/>
    </row>
    <row r="463">
      <c r="C463" s="1"/>
    </row>
    <row r="464">
      <c r="C464" s="1"/>
    </row>
    <row r="465">
      <c r="C465" s="1"/>
    </row>
    <row r="466">
      <c r="C466" s="1"/>
    </row>
    <row r="467">
      <c r="C467" s="1"/>
    </row>
    <row r="468">
      <c r="C468" s="1"/>
    </row>
    <row r="469">
      <c r="C469" s="1"/>
    </row>
    <row r="470">
      <c r="C470" s="1"/>
    </row>
    <row r="471">
      <c r="C471" s="1"/>
    </row>
    <row r="472">
      <c r="C472" s="1"/>
    </row>
    <row r="473">
      <c r="C473" s="1"/>
    </row>
    <row r="474">
      <c r="C474" s="1"/>
    </row>
    <row r="475">
      <c r="C475" s="1"/>
    </row>
    <row r="476">
      <c r="C476" s="1"/>
    </row>
    <row r="477">
      <c r="C477" s="1"/>
    </row>
    <row r="478">
      <c r="C478" s="1"/>
    </row>
    <row r="479">
      <c r="C479" s="1"/>
    </row>
    <row r="480">
      <c r="C480" s="1"/>
    </row>
    <row r="481">
      <c r="C481" s="1"/>
    </row>
    <row r="482">
      <c r="C482" s="1"/>
    </row>
    <row r="483">
      <c r="C483" s="1"/>
    </row>
    <row r="484">
      <c r="C484" s="1"/>
    </row>
    <row r="485">
      <c r="C485" s="1"/>
    </row>
    <row r="486">
      <c r="C486" s="1"/>
    </row>
    <row r="487">
      <c r="C487" s="1"/>
    </row>
    <row r="488">
      <c r="C488" s="1"/>
    </row>
    <row r="489">
      <c r="C489" s="1"/>
    </row>
    <row r="490">
      <c r="C490" s="1"/>
    </row>
    <row r="491">
      <c r="C491" s="1"/>
    </row>
    <row r="492">
      <c r="C492" s="1"/>
    </row>
    <row r="493">
      <c r="C493" s="1"/>
    </row>
    <row r="494">
      <c r="C494" s="1"/>
    </row>
    <row r="495">
      <c r="C495" s="1"/>
    </row>
    <row r="496">
      <c r="C496" s="1"/>
    </row>
    <row r="497">
      <c r="C497" s="1"/>
    </row>
    <row r="498">
      <c r="C498" s="1"/>
    </row>
    <row r="499">
      <c r="C499" s="1"/>
    </row>
    <row r="500">
      <c r="C500" s="1"/>
    </row>
    <row r="501">
      <c r="C501" s="1"/>
    </row>
    <row r="502">
      <c r="C502" s="1"/>
    </row>
    <row r="503">
      <c r="C503" s="1"/>
    </row>
    <row r="504">
      <c r="C504" s="1"/>
    </row>
    <row r="505">
      <c r="C505" s="1"/>
    </row>
    <row r="506">
      <c r="C506" s="1"/>
    </row>
    <row r="507">
      <c r="C507" s="1"/>
    </row>
    <row r="508">
      <c r="C508" s="1"/>
    </row>
    <row r="509">
      <c r="C509" s="1"/>
    </row>
    <row r="510">
      <c r="C510" s="1"/>
    </row>
    <row r="511">
      <c r="C511" s="1"/>
    </row>
    <row r="512">
      <c r="C512" s="1"/>
    </row>
    <row r="513">
      <c r="C513" s="1"/>
    </row>
    <row r="514">
      <c r="C514" s="1"/>
    </row>
    <row r="515">
      <c r="C515" s="1"/>
    </row>
    <row r="516">
      <c r="C516" s="1"/>
    </row>
    <row r="517">
      <c r="C517" s="1"/>
    </row>
    <row r="518">
      <c r="C518" s="1"/>
    </row>
    <row r="519">
      <c r="C519" s="1"/>
    </row>
    <row r="520">
      <c r="C520" s="1"/>
    </row>
    <row r="521">
      <c r="C521" s="1"/>
    </row>
    <row r="522">
      <c r="C522" s="1"/>
    </row>
    <row r="523">
      <c r="C523" s="1"/>
    </row>
    <row r="524">
      <c r="C524" s="1"/>
    </row>
    <row r="525">
      <c r="C525" s="1"/>
    </row>
    <row r="526">
      <c r="C526" s="1"/>
    </row>
    <row r="527">
      <c r="C527" s="1"/>
    </row>
    <row r="528">
      <c r="C528" s="1"/>
    </row>
    <row r="529">
      <c r="C529" s="1"/>
    </row>
    <row r="530">
      <c r="C530" s="1"/>
    </row>
    <row r="531">
      <c r="C531" s="1"/>
    </row>
    <row r="532">
      <c r="C532" s="1"/>
    </row>
    <row r="533">
      <c r="C533" s="1"/>
    </row>
    <row r="534">
      <c r="C534" s="1"/>
    </row>
    <row r="535">
      <c r="C535" s="1"/>
    </row>
    <row r="536">
      <c r="C536" s="1"/>
    </row>
    <row r="537">
      <c r="C537" s="1"/>
    </row>
    <row r="538">
      <c r="C538" s="1"/>
    </row>
    <row r="539">
      <c r="C539" s="1"/>
    </row>
    <row r="540">
      <c r="C540" s="1"/>
    </row>
    <row r="541">
      <c r="C541" s="1"/>
    </row>
    <row r="542">
      <c r="C542" s="1"/>
    </row>
    <row r="543">
      <c r="C543" s="1"/>
    </row>
    <row r="544">
      <c r="C544" s="1"/>
    </row>
    <row r="545">
      <c r="C545" s="1"/>
    </row>
    <row r="546">
      <c r="C546" s="1"/>
    </row>
    <row r="547">
      <c r="C547" s="1"/>
    </row>
    <row r="548">
      <c r="C548" s="1"/>
    </row>
    <row r="549">
      <c r="C549" s="1"/>
    </row>
    <row r="550">
      <c r="C550" s="1"/>
    </row>
    <row r="551">
      <c r="C551" s="1"/>
    </row>
    <row r="552">
      <c r="C552" s="1"/>
    </row>
    <row r="553">
      <c r="C553" s="1"/>
    </row>
    <row r="554">
      <c r="C554" s="1"/>
    </row>
    <row r="555">
      <c r="C555" s="1"/>
    </row>
    <row r="556">
      <c r="C556" s="1"/>
    </row>
    <row r="557">
      <c r="C557" s="1"/>
    </row>
    <row r="558">
      <c r="C558" s="1"/>
    </row>
    <row r="559">
      <c r="C559" s="1"/>
    </row>
    <row r="560">
      <c r="C560" s="1"/>
    </row>
    <row r="561">
      <c r="C561" s="1"/>
    </row>
    <row r="562">
      <c r="C562" s="1"/>
    </row>
    <row r="563">
      <c r="C563" s="1"/>
    </row>
    <row r="564">
      <c r="C564" s="1"/>
    </row>
    <row r="565">
      <c r="C565" s="1"/>
    </row>
    <row r="566">
      <c r="C566" s="1"/>
    </row>
    <row r="567">
      <c r="C567" s="1"/>
    </row>
    <row r="568">
      <c r="C568" s="1"/>
    </row>
    <row r="569">
      <c r="C569" s="1"/>
    </row>
    <row r="570">
      <c r="C570" s="1"/>
    </row>
    <row r="571">
      <c r="C571" s="1"/>
    </row>
    <row r="572">
      <c r="C572" s="1"/>
    </row>
    <row r="573">
      <c r="C573" s="1"/>
    </row>
    <row r="574">
      <c r="C574" s="1"/>
    </row>
    <row r="575">
      <c r="C575" s="1"/>
    </row>
    <row r="576">
      <c r="C576" s="1"/>
    </row>
    <row r="577">
      <c r="C577" s="1"/>
    </row>
    <row r="578">
      <c r="C578" s="1"/>
    </row>
    <row r="579">
      <c r="C579" s="1"/>
    </row>
    <row r="580">
      <c r="C580" s="1"/>
    </row>
    <row r="581">
      <c r="C581" s="1"/>
    </row>
    <row r="582">
      <c r="C582" s="1"/>
    </row>
    <row r="583">
      <c r="C583" s="1"/>
    </row>
    <row r="584">
      <c r="C584" s="1"/>
    </row>
    <row r="585">
      <c r="C585" s="1"/>
    </row>
    <row r="586">
      <c r="C586" s="1"/>
    </row>
    <row r="587">
      <c r="C587" s="1"/>
    </row>
    <row r="588">
      <c r="C588" s="1"/>
    </row>
    <row r="589">
      <c r="C589" s="1"/>
    </row>
    <row r="590">
      <c r="C590" s="1"/>
    </row>
    <row r="591">
      <c r="C591" s="1"/>
    </row>
    <row r="592">
      <c r="C592" s="1"/>
    </row>
    <row r="593">
      <c r="C593" s="1"/>
    </row>
    <row r="594">
      <c r="C594" s="1"/>
    </row>
    <row r="595">
      <c r="C595" s="1"/>
    </row>
    <row r="596">
      <c r="C596" s="1"/>
    </row>
    <row r="597">
      <c r="C597" s="1"/>
    </row>
    <row r="598">
      <c r="C598" s="1"/>
    </row>
    <row r="599">
      <c r="C599" s="1"/>
    </row>
    <row r="600">
      <c r="C600" s="1"/>
    </row>
    <row r="601">
      <c r="C601" s="1"/>
    </row>
    <row r="602">
      <c r="C602" s="1"/>
    </row>
    <row r="603">
      <c r="C603" s="1"/>
    </row>
    <row r="604">
      <c r="C604" s="1"/>
    </row>
    <row r="605">
      <c r="C605" s="1"/>
    </row>
    <row r="606">
      <c r="C606" s="1"/>
    </row>
    <row r="607">
      <c r="C607" s="1"/>
    </row>
    <row r="608">
      <c r="C608" s="1"/>
    </row>
    <row r="609">
      <c r="C609" s="1"/>
    </row>
    <row r="610">
      <c r="C610" s="1"/>
    </row>
    <row r="611">
      <c r="C611" s="1"/>
    </row>
    <row r="612">
      <c r="C612" s="1"/>
    </row>
    <row r="613">
      <c r="C613" s="1"/>
    </row>
    <row r="614">
      <c r="C614" s="1"/>
    </row>
    <row r="615">
      <c r="C615" s="1"/>
    </row>
    <row r="616">
      <c r="C616" s="1"/>
    </row>
    <row r="617">
      <c r="C617" s="1"/>
    </row>
    <row r="618">
      <c r="C618" s="1"/>
    </row>
    <row r="619">
      <c r="C619" s="1"/>
    </row>
    <row r="620">
      <c r="C620" s="1"/>
    </row>
    <row r="621">
      <c r="C621" s="1"/>
    </row>
    <row r="622">
      <c r="C622" s="1"/>
    </row>
    <row r="623">
      <c r="C623" s="1"/>
    </row>
    <row r="624">
      <c r="C624" s="1"/>
    </row>
    <row r="625">
      <c r="C625" s="1"/>
    </row>
    <row r="626">
      <c r="C626" s="1"/>
    </row>
    <row r="627">
      <c r="C627" s="1"/>
    </row>
    <row r="628">
      <c r="C628" s="1"/>
    </row>
    <row r="629">
      <c r="C629" s="1"/>
    </row>
    <row r="630">
      <c r="C630" s="1"/>
    </row>
    <row r="631">
      <c r="C631" s="1"/>
    </row>
    <row r="632">
      <c r="C632" s="1"/>
    </row>
    <row r="633">
      <c r="C633" s="1"/>
    </row>
    <row r="634">
      <c r="C634" s="1"/>
    </row>
    <row r="635">
      <c r="C635" s="1"/>
    </row>
    <row r="636">
      <c r="C636" s="1"/>
    </row>
    <row r="637">
      <c r="C637" s="1"/>
    </row>
    <row r="638">
      <c r="C638" s="1"/>
    </row>
    <row r="639">
      <c r="C639" s="1"/>
    </row>
    <row r="640">
      <c r="C640" s="1"/>
    </row>
    <row r="641">
      <c r="C641" s="1"/>
    </row>
    <row r="642">
      <c r="C642" s="1"/>
    </row>
    <row r="643">
      <c r="C643" s="1"/>
    </row>
    <row r="644">
      <c r="C644" s="1"/>
    </row>
    <row r="645">
      <c r="C645" s="1"/>
    </row>
    <row r="646">
      <c r="C646" s="1"/>
    </row>
    <row r="647">
      <c r="C647" s="1"/>
    </row>
    <row r="648">
      <c r="C648" s="1"/>
    </row>
    <row r="649">
      <c r="C649" s="1"/>
    </row>
    <row r="650">
      <c r="C650" s="1"/>
    </row>
    <row r="651">
      <c r="C651" s="1"/>
    </row>
    <row r="652">
      <c r="C652" s="1"/>
    </row>
    <row r="653">
      <c r="C653" s="1"/>
    </row>
    <row r="654">
      <c r="C654" s="1"/>
    </row>
    <row r="655">
      <c r="C655" s="1"/>
    </row>
    <row r="656">
      <c r="C656" s="1"/>
    </row>
    <row r="657">
      <c r="C657" s="1"/>
    </row>
    <row r="658">
      <c r="C658" s="1"/>
    </row>
    <row r="659">
      <c r="C659" s="1"/>
    </row>
    <row r="660">
      <c r="C660" s="1"/>
    </row>
    <row r="661">
      <c r="C661" s="1"/>
    </row>
    <row r="662">
      <c r="C662" s="1"/>
    </row>
    <row r="663">
      <c r="C663" s="1"/>
    </row>
    <row r="664">
      <c r="C664" s="1"/>
    </row>
    <row r="665">
      <c r="C665" s="1"/>
    </row>
    <row r="666">
      <c r="C666" s="1"/>
    </row>
    <row r="667">
      <c r="C667" s="1"/>
    </row>
    <row r="668">
      <c r="C668" s="1"/>
    </row>
    <row r="669">
      <c r="C669" s="1"/>
    </row>
    <row r="670">
      <c r="C670" s="1"/>
    </row>
    <row r="671">
      <c r="C671" s="1"/>
    </row>
    <row r="672">
      <c r="C672" s="1"/>
    </row>
    <row r="673">
      <c r="C673" s="1"/>
    </row>
    <row r="674">
      <c r="C674" s="1"/>
    </row>
    <row r="675">
      <c r="C675" s="1"/>
    </row>
    <row r="676">
      <c r="C676" s="1"/>
    </row>
    <row r="677">
      <c r="C677" s="1"/>
    </row>
    <row r="678">
      <c r="C678" s="1"/>
    </row>
    <row r="679">
      <c r="C679" s="1"/>
    </row>
    <row r="680">
      <c r="C680" s="1"/>
    </row>
    <row r="681">
      <c r="C681" s="1"/>
    </row>
    <row r="682">
      <c r="C682" s="1"/>
    </row>
    <row r="683">
      <c r="C683" s="1"/>
    </row>
    <row r="684">
      <c r="C684" s="1"/>
    </row>
    <row r="685">
      <c r="C685" s="1"/>
    </row>
    <row r="686">
      <c r="C686" s="1"/>
    </row>
    <row r="687">
      <c r="C687" s="1"/>
    </row>
    <row r="688">
      <c r="C688" s="1"/>
    </row>
    <row r="689">
      <c r="C689" s="1"/>
    </row>
    <row r="690">
      <c r="C690" s="1"/>
    </row>
    <row r="691">
      <c r="C691" s="1"/>
    </row>
    <row r="692">
      <c r="C692" s="1"/>
    </row>
    <row r="693">
      <c r="C693" s="1"/>
    </row>
    <row r="694">
      <c r="C694" s="1"/>
    </row>
    <row r="695">
      <c r="C695" s="1"/>
    </row>
    <row r="696">
      <c r="C696" s="1"/>
    </row>
    <row r="697">
      <c r="C697" s="1"/>
    </row>
    <row r="698">
      <c r="C698" s="1"/>
    </row>
    <row r="699">
      <c r="C699" s="1"/>
    </row>
    <row r="700">
      <c r="C700" s="1"/>
    </row>
    <row r="701">
      <c r="C701" s="1"/>
    </row>
    <row r="702">
      <c r="C702" s="1"/>
    </row>
    <row r="703">
      <c r="C703" s="1"/>
    </row>
    <row r="704">
      <c r="C704" s="1"/>
    </row>
    <row r="705">
      <c r="C705" s="1"/>
    </row>
    <row r="706">
      <c r="C706" s="1"/>
    </row>
    <row r="707">
      <c r="C707" s="1"/>
    </row>
    <row r="708">
      <c r="C708" s="1"/>
    </row>
    <row r="709">
      <c r="C709" s="1"/>
    </row>
    <row r="710">
      <c r="C710" s="1"/>
    </row>
    <row r="711">
      <c r="C711" s="1"/>
    </row>
    <row r="712">
      <c r="C712" s="1"/>
    </row>
    <row r="713">
      <c r="C713" s="1"/>
    </row>
    <row r="714">
      <c r="C714" s="1"/>
    </row>
    <row r="715">
      <c r="C715" s="1"/>
    </row>
    <row r="716">
      <c r="C716" s="1"/>
    </row>
    <row r="717">
      <c r="C717" s="1"/>
    </row>
    <row r="718">
      <c r="C718" s="1"/>
    </row>
    <row r="719">
      <c r="C719" s="1"/>
    </row>
    <row r="720">
      <c r="C720" s="1"/>
    </row>
    <row r="721">
      <c r="C721" s="1"/>
    </row>
    <row r="722">
      <c r="C722" s="1"/>
    </row>
    <row r="723">
      <c r="C723" s="1"/>
    </row>
    <row r="724">
      <c r="C724" s="1"/>
    </row>
    <row r="725">
      <c r="C725" s="1"/>
    </row>
    <row r="726">
      <c r="C726" s="1"/>
    </row>
    <row r="727">
      <c r="C727" s="1"/>
    </row>
    <row r="728">
      <c r="C728" s="1"/>
    </row>
    <row r="729">
      <c r="C729" s="1"/>
    </row>
    <row r="730">
      <c r="C730" s="1"/>
    </row>
    <row r="731">
      <c r="C731" s="1"/>
    </row>
    <row r="732">
      <c r="C732" s="1"/>
    </row>
    <row r="733">
      <c r="C733" s="1"/>
    </row>
    <row r="734">
      <c r="C734" s="1"/>
    </row>
    <row r="735">
      <c r="C735" s="1"/>
    </row>
    <row r="736">
      <c r="C736" s="1"/>
    </row>
    <row r="737">
      <c r="C737" s="1"/>
    </row>
    <row r="738">
      <c r="C738" s="1"/>
    </row>
    <row r="739">
      <c r="C739" s="1"/>
    </row>
    <row r="740">
      <c r="C740" s="1"/>
    </row>
    <row r="741">
      <c r="C741" s="1"/>
    </row>
    <row r="742">
      <c r="C742" s="1"/>
    </row>
    <row r="743">
      <c r="C743" s="1"/>
    </row>
    <row r="744">
      <c r="C744" s="1"/>
    </row>
    <row r="745">
      <c r="C745" s="1"/>
    </row>
    <row r="746">
      <c r="C746" s="1"/>
    </row>
    <row r="747">
      <c r="C747" s="1"/>
    </row>
    <row r="748">
      <c r="C748" s="1"/>
    </row>
    <row r="749">
      <c r="C749" s="1"/>
    </row>
    <row r="750">
      <c r="C750" s="1"/>
    </row>
    <row r="751">
      <c r="C751" s="1"/>
    </row>
    <row r="752">
      <c r="C752" s="1"/>
    </row>
    <row r="753">
      <c r="C753" s="1"/>
    </row>
    <row r="754">
      <c r="C754" s="1"/>
    </row>
    <row r="755">
      <c r="C755" s="1"/>
    </row>
    <row r="756">
      <c r="C756" s="1"/>
    </row>
    <row r="757">
      <c r="C757" s="1"/>
    </row>
    <row r="758">
      <c r="C758" s="1"/>
    </row>
    <row r="759">
      <c r="C759" s="1"/>
    </row>
    <row r="760">
      <c r="C760" s="1"/>
    </row>
    <row r="761">
      <c r="C761" s="1"/>
    </row>
    <row r="762">
      <c r="C762" s="1"/>
    </row>
    <row r="763">
      <c r="C763" s="1"/>
    </row>
    <row r="764">
      <c r="C764" s="1"/>
    </row>
    <row r="765">
      <c r="C765" s="1"/>
    </row>
    <row r="766">
      <c r="C766" s="1"/>
    </row>
    <row r="767">
      <c r="C767" s="1"/>
    </row>
    <row r="768">
      <c r="C768" s="1"/>
    </row>
    <row r="769">
      <c r="C769" s="1"/>
    </row>
    <row r="770">
      <c r="C770" s="1"/>
    </row>
    <row r="771">
      <c r="C771" s="1"/>
    </row>
    <row r="772">
      <c r="C772" s="1"/>
    </row>
    <row r="773">
      <c r="C773" s="1"/>
    </row>
    <row r="774">
      <c r="C774" s="1"/>
    </row>
    <row r="775">
      <c r="C775" s="1"/>
    </row>
    <row r="776">
      <c r="C776" s="1"/>
    </row>
    <row r="777">
      <c r="C777" s="1"/>
    </row>
    <row r="778">
      <c r="C778" s="1"/>
    </row>
    <row r="779">
      <c r="C779" s="1"/>
    </row>
    <row r="780">
      <c r="C780" s="1"/>
    </row>
    <row r="781">
      <c r="C781" s="1"/>
    </row>
    <row r="782">
      <c r="C782" s="1"/>
    </row>
    <row r="783">
      <c r="C783" s="1"/>
    </row>
    <row r="784">
      <c r="C784" s="1"/>
    </row>
    <row r="785">
      <c r="C785" s="1"/>
    </row>
    <row r="786">
      <c r="C786" s="1"/>
    </row>
    <row r="787">
      <c r="C787" s="1"/>
    </row>
    <row r="788">
      <c r="C788" s="1"/>
    </row>
    <row r="789">
      <c r="C789" s="1"/>
    </row>
    <row r="790">
      <c r="C790" s="1"/>
    </row>
    <row r="791">
      <c r="C791" s="1"/>
    </row>
    <row r="792">
      <c r="C792" s="1"/>
    </row>
    <row r="793">
      <c r="C793" s="1"/>
    </row>
    <row r="794">
      <c r="C794" s="1"/>
    </row>
    <row r="795">
      <c r="C795" s="1"/>
    </row>
    <row r="796">
      <c r="C796" s="1"/>
    </row>
    <row r="797">
      <c r="C797" s="1"/>
    </row>
    <row r="798">
      <c r="C798" s="1"/>
    </row>
    <row r="799">
      <c r="C799" s="1"/>
    </row>
    <row r="800">
      <c r="C800" s="1"/>
    </row>
    <row r="801">
      <c r="C801" s="1"/>
    </row>
    <row r="802">
      <c r="C802" s="1"/>
    </row>
    <row r="803">
      <c r="C803" s="1"/>
    </row>
    <row r="804">
      <c r="C804" s="1"/>
    </row>
    <row r="805">
      <c r="C805" s="1"/>
    </row>
    <row r="806">
      <c r="C806" s="1"/>
    </row>
    <row r="807">
      <c r="C807" s="1"/>
    </row>
    <row r="808">
      <c r="C808" s="1"/>
    </row>
    <row r="809">
      <c r="C809" s="1"/>
    </row>
    <row r="810">
      <c r="C810" s="1"/>
    </row>
    <row r="811">
      <c r="C811" s="1"/>
    </row>
    <row r="812">
      <c r="C812" s="1"/>
    </row>
    <row r="813">
      <c r="C813" s="1"/>
    </row>
    <row r="814">
      <c r="C814" s="1"/>
    </row>
    <row r="815">
      <c r="C815" s="1"/>
    </row>
    <row r="816">
      <c r="C816" s="1"/>
    </row>
    <row r="817">
      <c r="C817" s="1"/>
    </row>
    <row r="818">
      <c r="C818" s="1"/>
    </row>
    <row r="819">
      <c r="C819" s="1"/>
    </row>
    <row r="820">
      <c r="C820" s="1"/>
    </row>
    <row r="821">
      <c r="C821" s="1"/>
    </row>
    <row r="822">
      <c r="C822" s="1"/>
    </row>
    <row r="823">
      <c r="C823" s="1"/>
    </row>
    <row r="824">
      <c r="C824" s="1"/>
    </row>
    <row r="825">
      <c r="C825" s="1"/>
    </row>
    <row r="826">
      <c r="C826" s="1"/>
    </row>
    <row r="827">
      <c r="C827" s="1"/>
    </row>
    <row r="828">
      <c r="C828" s="1"/>
    </row>
    <row r="829">
      <c r="C829" s="1"/>
    </row>
    <row r="830">
      <c r="C830" s="1"/>
    </row>
    <row r="831">
      <c r="C831" s="1"/>
    </row>
    <row r="832">
      <c r="C832" s="1"/>
    </row>
    <row r="833">
      <c r="C833" s="1"/>
    </row>
    <row r="834">
      <c r="C834" s="1"/>
    </row>
    <row r="835">
      <c r="C835" s="1"/>
    </row>
    <row r="836">
      <c r="C836" s="1"/>
    </row>
    <row r="837">
      <c r="C837" s="1"/>
    </row>
    <row r="838">
      <c r="C838" s="1"/>
    </row>
    <row r="839">
      <c r="C839" s="1"/>
    </row>
    <row r="840">
      <c r="C840" s="1"/>
    </row>
    <row r="841">
      <c r="C841" s="1"/>
    </row>
    <row r="842">
      <c r="C842" s="1"/>
    </row>
    <row r="843">
      <c r="C843" s="1"/>
    </row>
    <row r="844">
      <c r="C844" s="1"/>
    </row>
    <row r="845">
      <c r="C845" s="1"/>
    </row>
    <row r="846">
      <c r="C846" s="1"/>
    </row>
    <row r="847">
      <c r="C847" s="1"/>
    </row>
    <row r="848">
      <c r="C848" s="1"/>
    </row>
    <row r="849">
      <c r="C849" s="1"/>
    </row>
    <row r="850">
      <c r="C850" s="1"/>
    </row>
    <row r="851">
      <c r="C851" s="1"/>
    </row>
    <row r="852">
      <c r="C852" s="1"/>
    </row>
    <row r="853">
      <c r="C853" s="1"/>
    </row>
    <row r="854">
      <c r="C854" s="1"/>
    </row>
    <row r="855">
      <c r="C855" s="1"/>
    </row>
    <row r="856">
      <c r="C856" s="1"/>
    </row>
    <row r="857">
      <c r="C857" s="1"/>
    </row>
    <row r="858">
      <c r="C858" s="1"/>
    </row>
    <row r="859">
      <c r="C859" s="1"/>
    </row>
    <row r="860">
      <c r="C860" s="1"/>
    </row>
    <row r="861">
      <c r="C861" s="1"/>
    </row>
    <row r="862">
      <c r="C862" s="1"/>
    </row>
    <row r="863">
      <c r="C863" s="1"/>
    </row>
    <row r="864">
      <c r="C864" s="1"/>
    </row>
    <row r="865">
      <c r="C865" s="1"/>
    </row>
    <row r="866">
      <c r="C866" s="1"/>
    </row>
    <row r="867">
      <c r="C867" s="1"/>
    </row>
    <row r="868">
      <c r="C868" s="1"/>
    </row>
    <row r="869">
      <c r="C869" s="1"/>
    </row>
    <row r="870">
      <c r="C870" s="1"/>
    </row>
    <row r="871">
      <c r="C871" s="1"/>
    </row>
    <row r="872">
      <c r="C872" s="1"/>
    </row>
    <row r="873">
      <c r="C873" s="1"/>
    </row>
    <row r="874">
      <c r="C874" s="1"/>
    </row>
    <row r="875">
      <c r="C875" s="1"/>
    </row>
    <row r="876">
      <c r="C876" s="1"/>
    </row>
    <row r="877">
      <c r="C877" s="1"/>
    </row>
    <row r="878">
      <c r="C878" s="1"/>
    </row>
    <row r="879">
      <c r="C879" s="1"/>
    </row>
    <row r="880">
      <c r="C880" s="1"/>
    </row>
    <row r="881">
      <c r="C881" s="1"/>
    </row>
    <row r="882">
      <c r="C882" s="1"/>
    </row>
    <row r="883">
      <c r="C883" s="1"/>
    </row>
    <row r="884">
      <c r="C884" s="1"/>
    </row>
    <row r="885">
      <c r="C885" s="1"/>
    </row>
    <row r="886">
      <c r="C886" s="1"/>
    </row>
    <row r="887">
      <c r="C887" s="1"/>
    </row>
    <row r="888">
      <c r="C888" s="1"/>
    </row>
    <row r="889">
      <c r="C889" s="1"/>
    </row>
    <row r="890">
      <c r="C890" s="1"/>
    </row>
    <row r="891">
      <c r="C891" s="1"/>
    </row>
    <row r="892">
      <c r="C892" s="1"/>
    </row>
    <row r="893">
      <c r="C893" s="1"/>
    </row>
    <row r="894">
      <c r="C894" s="1"/>
    </row>
    <row r="895">
      <c r="C895" s="1"/>
    </row>
    <row r="896">
      <c r="C896" s="1"/>
    </row>
    <row r="897">
      <c r="C897" s="1"/>
    </row>
    <row r="898">
      <c r="C898" s="1"/>
    </row>
    <row r="899">
      <c r="C899" s="1"/>
    </row>
    <row r="900">
      <c r="C900" s="1"/>
    </row>
    <row r="901">
      <c r="C901" s="1"/>
    </row>
    <row r="902">
      <c r="C902" s="1"/>
    </row>
    <row r="903">
      <c r="C903" s="1"/>
    </row>
    <row r="904">
      <c r="C904" s="1"/>
    </row>
    <row r="905">
      <c r="C905" s="1"/>
    </row>
    <row r="906">
      <c r="C906" s="1"/>
    </row>
    <row r="907">
      <c r="C907" s="1"/>
    </row>
    <row r="908">
      <c r="C908" s="1"/>
    </row>
    <row r="909">
      <c r="C909" s="1"/>
    </row>
    <row r="910">
      <c r="C910" s="1"/>
    </row>
    <row r="911">
      <c r="C911" s="1"/>
    </row>
    <row r="912">
      <c r="C912" s="1"/>
    </row>
    <row r="913">
      <c r="C913" s="1"/>
    </row>
    <row r="914">
      <c r="C914" s="1"/>
    </row>
    <row r="915">
      <c r="C915" s="1"/>
    </row>
    <row r="916">
      <c r="C916" s="1"/>
    </row>
    <row r="917">
      <c r="C917" s="1"/>
    </row>
    <row r="918">
      <c r="C918" s="1"/>
    </row>
    <row r="919">
      <c r="C919" s="1"/>
    </row>
    <row r="920">
      <c r="C920" s="1"/>
    </row>
    <row r="921">
      <c r="C921" s="1"/>
    </row>
    <row r="922">
      <c r="C922" s="1"/>
    </row>
    <row r="923">
      <c r="C923" s="1"/>
    </row>
    <row r="924">
      <c r="C924" s="1"/>
    </row>
    <row r="925">
      <c r="C925" s="1"/>
    </row>
    <row r="926">
      <c r="C926" s="1"/>
    </row>
    <row r="927">
      <c r="C927" s="1"/>
    </row>
    <row r="928">
      <c r="C928" s="1"/>
    </row>
    <row r="929">
      <c r="C929" s="1"/>
    </row>
    <row r="930">
      <c r="C930" s="1"/>
    </row>
    <row r="931">
      <c r="C931" s="1"/>
    </row>
    <row r="932">
      <c r="C932" s="1"/>
    </row>
    <row r="933">
      <c r="C933" s="1"/>
    </row>
    <row r="934">
      <c r="C934" s="1"/>
    </row>
    <row r="935">
      <c r="C935" s="1"/>
    </row>
    <row r="936">
      <c r="C936" s="1"/>
    </row>
    <row r="937">
      <c r="C937" s="1"/>
    </row>
    <row r="938">
      <c r="C938" s="1"/>
    </row>
    <row r="939">
      <c r="C939" s="1"/>
    </row>
    <row r="940">
      <c r="C940" s="1"/>
    </row>
    <row r="941">
      <c r="C941" s="1"/>
    </row>
    <row r="942">
      <c r="C942" s="1"/>
    </row>
    <row r="943">
      <c r="C943" s="1"/>
    </row>
    <row r="944">
      <c r="C944" s="1"/>
    </row>
    <row r="945">
      <c r="C945" s="1"/>
    </row>
    <row r="946">
      <c r="C946" s="1"/>
    </row>
    <row r="947">
      <c r="C947" s="1"/>
    </row>
    <row r="948">
      <c r="C948" s="1"/>
    </row>
    <row r="949">
      <c r="C949" s="1"/>
    </row>
    <row r="950">
      <c r="C950" s="1"/>
    </row>
    <row r="951">
      <c r="C951" s="1"/>
    </row>
    <row r="952">
      <c r="C952" s="1"/>
    </row>
    <row r="953">
      <c r="C953" s="1"/>
    </row>
    <row r="954">
      <c r="C954" s="1"/>
    </row>
    <row r="955">
      <c r="C955" s="1"/>
    </row>
    <row r="956">
      <c r="C956" s="1"/>
    </row>
    <row r="957">
      <c r="C957" s="1"/>
    </row>
    <row r="958">
      <c r="C958" s="1"/>
    </row>
    <row r="959">
      <c r="C959" s="1"/>
    </row>
    <row r="960">
      <c r="C960" s="1"/>
    </row>
    <row r="961">
      <c r="C961" s="1"/>
    </row>
    <row r="962">
      <c r="C962" s="1"/>
    </row>
    <row r="963">
      <c r="C963" s="1"/>
    </row>
    <row r="964">
      <c r="C964" s="1"/>
    </row>
    <row r="965">
      <c r="C965" s="1"/>
    </row>
    <row r="966">
      <c r="C966" s="1"/>
    </row>
    <row r="967">
      <c r="C967" s="1"/>
    </row>
    <row r="968">
      <c r="C968" s="1"/>
    </row>
    <row r="969">
      <c r="C969" s="1"/>
    </row>
    <row r="970">
      <c r="C970" s="1"/>
    </row>
    <row r="971">
      <c r="C971" s="1"/>
    </row>
    <row r="972">
      <c r="C972" s="1"/>
    </row>
    <row r="973">
      <c r="C973" s="1"/>
    </row>
    <row r="974">
      <c r="C974" s="1"/>
    </row>
    <row r="975">
      <c r="C975" s="1"/>
    </row>
    <row r="976">
      <c r="C976" s="1"/>
    </row>
    <row r="977">
      <c r="C977" s="1"/>
    </row>
    <row r="978">
      <c r="C978" s="1"/>
    </row>
    <row r="979">
      <c r="C979" s="1"/>
    </row>
    <row r="980">
      <c r="C980" s="1"/>
    </row>
    <row r="981">
      <c r="C981" s="1"/>
    </row>
    <row r="982">
      <c r="C982" s="1"/>
    </row>
    <row r="983">
      <c r="C983" s="1"/>
    </row>
    <row r="984">
      <c r="C984" s="1"/>
    </row>
    <row r="985">
      <c r="C985" s="1"/>
    </row>
    <row r="986">
      <c r="C986" s="1"/>
    </row>
    <row r="987">
      <c r="C987" s="1"/>
    </row>
    <row r="988">
      <c r="C988" s="1"/>
    </row>
    <row r="989">
      <c r="C989" s="1"/>
    </row>
    <row r="990">
      <c r="C990" s="1"/>
    </row>
    <row r="991">
      <c r="C991" s="1"/>
    </row>
    <row r="992">
      <c r="C992" s="1"/>
    </row>
    <row r="993">
      <c r="C993" s="1"/>
    </row>
    <row r="994">
      <c r="C994" s="1"/>
    </row>
    <row r="995">
      <c r="C995" s="1"/>
    </row>
    <row r="996">
      <c r="C996" s="1"/>
    </row>
    <row r="997">
      <c r="C997" s="1"/>
    </row>
    <row r="998">
      <c r="C998" s="1"/>
    </row>
    <row r="999">
      <c r="C999" s="1"/>
    </row>
    <row r="1000">
      <c r="C1000" s="1"/>
    </row>
  </sheetData>
  <hyperlinks>
    <hyperlink r:id="rId1" ref="B3"/>
  </hyperlinks>
  <drawing r:id="rId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3" t="s">
        <v>12</v>
      </c>
      <c r="B1" s="3" t="s">
        <v>13</v>
      </c>
      <c r="C1" s="3" t="s">
        <v>14</v>
      </c>
      <c r="D1" s="3" t="s">
        <v>15</v>
      </c>
      <c r="E1" s="3" t="s">
        <v>16</v>
      </c>
      <c r="F1" s="3" t="s">
        <v>17</v>
      </c>
      <c r="G1" s="3" t="s">
        <v>18</v>
      </c>
      <c r="H1" s="3" t="s">
        <v>19</v>
      </c>
      <c r="I1" s="3" t="s">
        <v>20</v>
      </c>
      <c r="J1" s="3" t="s">
        <v>21</v>
      </c>
      <c r="K1" s="3" t="s">
        <v>22</v>
      </c>
      <c r="L1" s="3" t="s">
        <v>23</v>
      </c>
      <c r="M1" s="3" t="s">
        <v>24</v>
      </c>
      <c r="N1" s="3" t="s">
        <v>25</v>
      </c>
      <c r="O1" s="3" t="s">
        <v>26</v>
      </c>
      <c r="P1" s="3" t="s">
        <v>27</v>
      </c>
      <c r="Q1" s="3" t="s">
        <v>28</v>
      </c>
      <c r="R1" s="3" t="s">
        <v>29</v>
      </c>
      <c r="S1" s="3" t="s">
        <v>30</v>
      </c>
      <c r="T1" s="3" t="s">
        <v>31</v>
      </c>
      <c r="U1" s="3" t="s">
        <v>32</v>
      </c>
      <c r="V1" s="3" t="s">
        <v>33</v>
      </c>
      <c r="W1" s="3" t="s">
        <v>34</v>
      </c>
      <c r="X1" s="3" t="s">
        <v>35</v>
      </c>
      <c r="Y1" s="3" t="s">
        <v>36</v>
      </c>
      <c r="Z1" s="3" t="s">
        <v>37</v>
      </c>
      <c r="AA1" s="3" t="s">
        <v>38</v>
      </c>
      <c r="AB1" s="3" t="s">
        <v>39</v>
      </c>
    </row>
    <row r="2">
      <c r="A2" s="3">
        <v>1.0</v>
      </c>
      <c r="B2" s="3" t="s">
        <v>40</v>
      </c>
      <c r="C2" s="3" t="s">
        <v>41</v>
      </c>
      <c r="D2" s="3">
        <v>2005.0</v>
      </c>
      <c r="E2" s="3" t="s">
        <v>42</v>
      </c>
      <c r="F2" s="3" t="s">
        <v>43</v>
      </c>
      <c r="G2" s="3" t="s">
        <v>44</v>
      </c>
      <c r="H2" s="3" t="s">
        <v>45</v>
      </c>
      <c r="I2" s="3" t="s">
        <v>46</v>
      </c>
      <c r="O2" s="3" t="s">
        <v>47</v>
      </c>
      <c r="R2" s="3" t="s">
        <v>48</v>
      </c>
      <c r="T2" s="3" t="s">
        <v>49</v>
      </c>
      <c r="V2" s="3" t="s">
        <v>50</v>
      </c>
      <c r="X2" s="3" t="s">
        <v>51</v>
      </c>
      <c r="Y2" s="3" t="s">
        <v>52</v>
      </c>
      <c r="Z2" s="3" t="s">
        <v>53</v>
      </c>
      <c r="AA2" s="3" t="s">
        <v>54</v>
      </c>
    </row>
    <row r="3">
      <c r="A3" s="3">
        <v>2.0</v>
      </c>
      <c r="B3" s="3" t="s">
        <v>55</v>
      </c>
      <c r="D3" s="3">
        <v>1999.0</v>
      </c>
      <c r="E3" s="3" t="s">
        <v>56</v>
      </c>
      <c r="F3" s="3" t="s">
        <v>57</v>
      </c>
      <c r="G3" s="3" t="s">
        <v>58</v>
      </c>
      <c r="H3" s="3" t="s">
        <v>58</v>
      </c>
      <c r="I3" s="3" t="s">
        <v>59</v>
      </c>
      <c r="O3" s="3" t="s">
        <v>60</v>
      </c>
      <c r="P3" s="3" t="s">
        <v>47</v>
      </c>
      <c r="R3" s="3" t="s">
        <v>61</v>
      </c>
      <c r="T3" s="3" t="s">
        <v>62</v>
      </c>
      <c r="V3" s="3" t="s">
        <v>63</v>
      </c>
      <c r="X3" s="3" t="s">
        <v>51</v>
      </c>
      <c r="Y3" s="3" t="s">
        <v>52</v>
      </c>
      <c r="Z3" s="3" t="s">
        <v>64</v>
      </c>
      <c r="AA3" s="3" t="s">
        <v>65</v>
      </c>
    </row>
    <row r="4">
      <c r="A4" s="3">
        <v>3.0</v>
      </c>
      <c r="B4" s="3" t="s">
        <v>40</v>
      </c>
      <c r="C4" s="3" t="s">
        <v>66</v>
      </c>
      <c r="D4" s="3">
        <v>1998.0</v>
      </c>
      <c r="E4" s="3" t="s">
        <v>67</v>
      </c>
      <c r="F4" s="3" t="s">
        <v>68</v>
      </c>
      <c r="G4" s="3" t="s">
        <v>58</v>
      </c>
      <c r="H4" s="3" t="s">
        <v>58</v>
      </c>
      <c r="I4" s="3" t="s">
        <v>69</v>
      </c>
      <c r="O4" s="3" t="s">
        <v>60</v>
      </c>
      <c r="R4" s="3" t="s">
        <v>61</v>
      </c>
      <c r="U4" s="3" t="s">
        <v>70</v>
      </c>
      <c r="V4" s="3" t="s">
        <v>63</v>
      </c>
      <c r="X4" s="3" t="s">
        <v>51</v>
      </c>
      <c r="Y4" s="3" t="s">
        <v>52</v>
      </c>
      <c r="Z4" s="3" t="s">
        <v>71</v>
      </c>
      <c r="AA4" s="3" t="s">
        <v>65</v>
      </c>
    </row>
    <row r="5">
      <c r="A5" s="3">
        <v>4.0</v>
      </c>
      <c r="B5" s="3" t="s">
        <v>72</v>
      </c>
      <c r="C5" s="3" t="s">
        <v>73</v>
      </c>
      <c r="D5" s="3">
        <v>2014.0</v>
      </c>
      <c r="E5" s="3" t="s">
        <v>74</v>
      </c>
      <c r="F5" s="3" t="s">
        <v>75</v>
      </c>
      <c r="G5" s="3" t="s">
        <v>58</v>
      </c>
      <c r="H5" s="3" t="s">
        <v>58</v>
      </c>
      <c r="I5" s="3" t="s">
        <v>76</v>
      </c>
      <c r="O5" s="3" t="s">
        <v>60</v>
      </c>
      <c r="P5" s="3" t="s">
        <v>47</v>
      </c>
      <c r="R5" s="3" t="s">
        <v>61</v>
      </c>
      <c r="T5" s="3" t="s">
        <v>63</v>
      </c>
      <c r="V5" s="3" t="s">
        <v>77</v>
      </c>
      <c r="X5" s="3" t="s">
        <v>51</v>
      </c>
      <c r="Y5" s="3" t="s">
        <v>52</v>
      </c>
      <c r="Z5" s="3" t="s">
        <v>65</v>
      </c>
      <c r="AA5" s="3" t="s">
        <v>54</v>
      </c>
      <c r="AB5" s="3" t="s">
        <v>78</v>
      </c>
    </row>
    <row r="6">
      <c r="A6" s="3">
        <v>5.0</v>
      </c>
      <c r="B6" s="3" t="s">
        <v>40</v>
      </c>
      <c r="C6" s="3" t="s">
        <v>79</v>
      </c>
      <c r="D6" s="3">
        <v>2004.0</v>
      </c>
      <c r="E6" s="3" t="s">
        <v>80</v>
      </c>
      <c r="F6" s="3" t="s">
        <v>81</v>
      </c>
      <c r="G6" s="3" t="s">
        <v>82</v>
      </c>
      <c r="H6" s="3" t="s">
        <v>82</v>
      </c>
      <c r="I6" s="3" t="s">
        <v>83</v>
      </c>
      <c r="O6" s="3" t="s">
        <v>60</v>
      </c>
      <c r="P6" s="3" t="s">
        <v>47</v>
      </c>
      <c r="R6" s="3" t="s">
        <v>61</v>
      </c>
      <c r="T6" s="3" t="s">
        <v>63</v>
      </c>
      <c r="V6" s="3" t="s">
        <v>70</v>
      </c>
      <c r="X6" s="3" t="s">
        <v>51</v>
      </c>
      <c r="Y6" s="3" t="s">
        <v>52</v>
      </c>
      <c r="Z6" s="3" t="s">
        <v>65</v>
      </c>
      <c r="AA6" s="3" t="s">
        <v>71</v>
      </c>
      <c r="AB6" s="3" t="s">
        <v>78</v>
      </c>
    </row>
    <row r="7">
      <c r="A7" s="3">
        <v>6.0</v>
      </c>
      <c r="B7" s="3" t="s">
        <v>40</v>
      </c>
      <c r="C7" s="3" t="s">
        <v>84</v>
      </c>
      <c r="D7" s="3">
        <v>2003.0</v>
      </c>
      <c r="E7" s="3" t="s">
        <v>85</v>
      </c>
      <c r="F7" s="3" t="s">
        <v>57</v>
      </c>
      <c r="G7" s="3" t="s">
        <v>58</v>
      </c>
      <c r="H7" s="3" t="s">
        <v>58</v>
      </c>
      <c r="I7" s="3" t="s">
        <v>86</v>
      </c>
      <c r="O7" s="3" t="s">
        <v>87</v>
      </c>
      <c r="R7" s="3" t="s">
        <v>48</v>
      </c>
      <c r="T7" s="3" t="s">
        <v>63</v>
      </c>
      <c r="X7" s="3" t="s">
        <v>51</v>
      </c>
      <c r="Y7" s="3" t="s">
        <v>52</v>
      </c>
      <c r="Z7" s="3" t="s">
        <v>65</v>
      </c>
    </row>
    <row r="8">
      <c r="A8" s="3">
        <v>7.0</v>
      </c>
      <c r="B8" s="3" t="s">
        <v>40</v>
      </c>
      <c r="C8" s="3" t="s">
        <v>88</v>
      </c>
      <c r="D8" s="3">
        <v>1994.0</v>
      </c>
      <c r="E8" s="3" t="s">
        <v>89</v>
      </c>
      <c r="F8" s="3" t="s">
        <v>90</v>
      </c>
      <c r="G8" s="3" t="s">
        <v>91</v>
      </c>
      <c r="H8" s="3" t="s">
        <v>91</v>
      </c>
      <c r="I8" s="3" t="s">
        <v>92</v>
      </c>
      <c r="O8" s="3" t="s">
        <v>60</v>
      </c>
      <c r="R8" s="3" t="s">
        <v>48</v>
      </c>
      <c r="S8" s="3" t="s">
        <v>61</v>
      </c>
      <c r="X8" s="3" t="s">
        <v>51</v>
      </c>
      <c r="Y8" s="3" t="s">
        <v>52</v>
      </c>
    </row>
    <row r="9">
      <c r="A9" s="3">
        <v>8.0</v>
      </c>
      <c r="B9" s="3" t="s">
        <v>40</v>
      </c>
      <c r="C9" s="3" t="s">
        <v>93</v>
      </c>
      <c r="D9" s="3">
        <v>1998.0</v>
      </c>
      <c r="E9" s="3" t="s">
        <v>94</v>
      </c>
      <c r="F9" s="3" t="s">
        <v>95</v>
      </c>
      <c r="G9" s="3" t="s">
        <v>58</v>
      </c>
      <c r="H9" s="3" t="s">
        <v>58</v>
      </c>
      <c r="I9" s="3" t="s">
        <v>96</v>
      </c>
      <c r="O9" s="3" t="s">
        <v>97</v>
      </c>
      <c r="R9" s="3" t="s">
        <v>48</v>
      </c>
      <c r="X9" s="3" t="s">
        <v>51</v>
      </c>
      <c r="Y9" s="3" t="s">
        <v>52</v>
      </c>
    </row>
    <row r="10">
      <c r="A10" s="3">
        <v>9.0</v>
      </c>
      <c r="B10" s="3" t="s">
        <v>40</v>
      </c>
      <c r="C10" s="3" t="s">
        <v>98</v>
      </c>
      <c r="D10" s="3">
        <v>2011.0</v>
      </c>
      <c r="E10" s="3" t="s">
        <v>99</v>
      </c>
      <c r="F10" s="3" t="s">
        <v>100</v>
      </c>
      <c r="G10" s="3" t="s">
        <v>101</v>
      </c>
      <c r="H10" s="3" t="s">
        <v>102</v>
      </c>
      <c r="I10" s="3" t="s">
        <v>103</v>
      </c>
      <c r="J10" s="3" t="s">
        <v>104</v>
      </c>
      <c r="K10" s="3" t="s">
        <v>105</v>
      </c>
      <c r="O10" s="3" t="s">
        <v>97</v>
      </c>
      <c r="R10" s="3" t="s">
        <v>48</v>
      </c>
      <c r="X10" s="3" t="s">
        <v>51</v>
      </c>
      <c r="Y10" s="3" t="s">
        <v>52</v>
      </c>
    </row>
    <row r="11">
      <c r="A11" s="3">
        <v>10.0</v>
      </c>
      <c r="B11" s="3" t="s">
        <v>106</v>
      </c>
      <c r="C11" s="3" t="s">
        <v>107</v>
      </c>
      <c r="D11" s="3">
        <v>1994.0</v>
      </c>
      <c r="E11" s="3" t="s">
        <v>108</v>
      </c>
      <c r="F11" s="3" t="s">
        <v>109</v>
      </c>
      <c r="G11" s="3" t="s">
        <v>58</v>
      </c>
      <c r="I11" s="3" t="s">
        <v>110</v>
      </c>
      <c r="O11" s="3" t="s">
        <v>111</v>
      </c>
      <c r="R11" s="3" t="s">
        <v>61</v>
      </c>
      <c r="X11" s="3" t="s">
        <v>51</v>
      </c>
      <c r="Y11" s="3" t="s">
        <v>52</v>
      </c>
    </row>
    <row r="12">
      <c r="A12" s="3">
        <v>11.0</v>
      </c>
      <c r="B12" s="3" t="s">
        <v>55</v>
      </c>
      <c r="D12" s="3">
        <v>2009.0</v>
      </c>
      <c r="E12" s="3" t="s">
        <v>112</v>
      </c>
      <c r="F12" s="3" t="s">
        <v>113</v>
      </c>
      <c r="G12" s="3" t="s">
        <v>44</v>
      </c>
      <c r="H12" s="3" t="s">
        <v>45</v>
      </c>
      <c r="I12" s="3" t="s">
        <v>114</v>
      </c>
      <c r="O12" s="3" t="s">
        <v>47</v>
      </c>
      <c r="R12" s="3" t="s">
        <v>61</v>
      </c>
      <c r="X12" s="3" t="s">
        <v>51</v>
      </c>
      <c r="Y12" s="3" t="s">
        <v>52</v>
      </c>
    </row>
    <row r="13">
      <c r="A13" s="3">
        <v>12.0</v>
      </c>
      <c r="B13" s="3" t="s">
        <v>40</v>
      </c>
      <c r="C13" s="3" t="s">
        <v>115</v>
      </c>
      <c r="D13" s="3">
        <v>2012.0</v>
      </c>
      <c r="E13" s="3" t="s">
        <v>116</v>
      </c>
      <c r="F13" s="3" t="s">
        <v>68</v>
      </c>
      <c r="G13" s="3" t="s">
        <v>58</v>
      </c>
      <c r="H13" s="3" t="s">
        <v>58</v>
      </c>
      <c r="I13" s="3" t="s">
        <v>69</v>
      </c>
      <c r="O13" s="3" t="s">
        <v>60</v>
      </c>
      <c r="P13" s="3" t="s">
        <v>47</v>
      </c>
      <c r="R13" s="3" t="s">
        <v>117</v>
      </c>
      <c r="X13" s="3" t="s">
        <v>51</v>
      </c>
      <c r="Y13" s="3" t="s">
        <v>118</v>
      </c>
    </row>
    <row r="14">
      <c r="A14" s="3">
        <v>13.0</v>
      </c>
      <c r="B14" s="3" t="s">
        <v>106</v>
      </c>
      <c r="C14" s="3" t="s">
        <v>119</v>
      </c>
      <c r="D14" s="3">
        <v>1993.0</v>
      </c>
      <c r="E14" s="3" t="s">
        <v>120</v>
      </c>
      <c r="F14" s="3" t="s">
        <v>90</v>
      </c>
      <c r="G14" s="3" t="s">
        <v>91</v>
      </c>
      <c r="I14" s="3" t="s">
        <v>92</v>
      </c>
      <c r="O14" s="3" t="s">
        <v>87</v>
      </c>
      <c r="R14" s="3" t="s">
        <v>87</v>
      </c>
      <c r="T14" s="3" t="s">
        <v>61</v>
      </c>
      <c r="X14" s="3" t="s">
        <v>51</v>
      </c>
      <c r="Y14" s="3" t="s">
        <v>121</v>
      </c>
      <c r="Z14" s="3" t="s">
        <v>52</v>
      </c>
    </row>
    <row r="15">
      <c r="A15" s="3">
        <v>14.0</v>
      </c>
      <c r="B15" s="3" t="s">
        <v>106</v>
      </c>
      <c r="D15" s="3">
        <v>2016.0</v>
      </c>
      <c r="E15" s="3" t="s">
        <v>122</v>
      </c>
      <c r="F15" s="3" t="s">
        <v>123</v>
      </c>
      <c r="G15" s="3" t="s">
        <v>124</v>
      </c>
      <c r="I15" s="3" t="s">
        <v>110</v>
      </c>
      <c r="O15" s="3" t="s">
        <v>47</v>
      </c>
      <c r="R15" s="3" t="s">
        <v>125</v>
      </c>
      <c r="X15" s="3" t="s">
        <v>51</v>
      </c>
      <c r="Y15" s="3" t="s">
        <v>121</v>
      </c>
    </row>
    <row r="16">
      <c r="A16" s="3">
        <v>15.0</v>
      </c>
      <c r="B16" s="3" t="s">
        <v>126</v>
      </c>
      <c r="C16" s="3" t="s">
        <v>127</v>
      </c>
      <c r="D16" s="3">
        <v>2003.0</v>
      </c>
      <c r="E16" s="3" t="s">
        <v>128</v>
      </c>
      <c r="F16" s="3" t="s">
        <v>129</v>
      </c>
      <c r="G16" s="3" t="s">
        <v>82</v>
      </c>
      <c r="H16" s="3" t="s">
        <v>82</v>
      </c>
      <c r="I16" s="3" t="s">
        <v>130</v>
      </c>
      <c r="O16" s="3" t="s">
        <v>60</v>
      </c>
      <c r="P16" s="3" t="s">
        <v>47</v>
      </c>
      <c r="R16" s="3" t="s">
        <v>50</v>
      </c>
      <c r="X16" s="3" t="s">
        <v>51</v>
      </c>
      <c r="Y16" s="3" t="s">
        <v>54</v>
      </c>
      <c r="Z16" s="3" t="s">
        <v>78</v>
      </c>
    </row>
    <row r="17">
      <c r="A17" s="3">
        <v>16.0</v>
      </c>
      <c r="B17" s="3" t="s">
        <v>40</v>
      </c>
      <c r="C17" s="3" t="s">
        <v>131</v>
      </c>
      <c r="D17" s="3">
        <v>2013.0</v>
      </c>
      <c r="E17" s="3" t="s">
        <v>132</v>
      </c>
      <c r="F17" s="3" t="s">
        <v>57</v>
      </c>
      <c r="G17" s="3" t="s">
        <v>58</v>
      </c>
      <c r="H17" s="3" t="s">
        <v>58</v>
      </c>
      <c r="I17" s="3" t="s">
        <v>133</v>
      </c>
      <c r="O17" s="3" t="s">
        <v>60</v>
      </c>
      <c r="P17" s="3" t="s">
        <v>47</v>
      </c>
      <c r="R17" s="3" t="s">
        <v>134</v>
      </c>
      <c r="S17" s="3" t="s">
        <v>49</v>
      </c>
      <c r="X17" s="3" t="s">
        <v>51</v>
      </c>
      <c r="Y17" s="3" t="s">
        <v>53</v>
      </c>
      <c r="Z17" s="3" t="s">
        <v>78</v>
      </c>
    </row>
    <row r="18">
      <c r="A18" s="3">
        <v>17.0</v>
      </c>
      <c r="B18" s="3" t="s">
        <v>40</v>
      </c>
      <c r="C18" s="3" t="s">
        <v>135</v>
      </c>
      <c r="D18" s="3">
        <v>2007.0</v>
      </c>
      <c r="E18" s="3" t="s">
        <v>136</v>
      </c>
      <c r="F18" s="3" t="s">
        <v>137</v>
      </c>
      <c r="G18" s="3" t="s">
        <v>44</v>
      </c>
      <c r="H18" s="3" t="s">
        <v>45</v>
      </c>
      <c r="I18" s="3" t="s">
        <v>138</v>
      </c>
      <c r="O18" s="3" t="s">
        <v>47</v>
      </c>
      <c r="R18" s="3" t="s">
        <v>49</v>
      </c>
      <c r="X18" s="3" t="s">
        <v>51</v>
      </c>
      <c r="Y18" s="3" t="s">
        <v>53</v>
      </c>
    </row>
    <row r="19">
      <c r="A19" s="3">
        <v>18.0</v>
      </c>
      <c r="B19" s="3" t="s">
        <v>40</v>
      </c>
      <c r="C19" s="3" t="s">
        <v>139</v>
      </c>
      <c r="D19" s="3">
        <v>2009.0</v>
      </c>
      <c r="E19" s="3" t="s">
        <v>140</v>
      </c>
      <c r="F19" s="3" t="s">
        <v>141</v>
      </c>
      <c r="G19" s="3" t="s">
        <v>142</v>
      </c>
      <c r="H19" s="3" t="s">
        <v>142</v>
      </c>
      <c r="I19" s="3" t="s">
        <v>110</v>
      </c>
      <c r="O19" s="3" t="s">
        <v>87</v>
      </c>
      <c r="R19" s="3" t="s">
        <v>87</v>
      </c>
      <c r="T19" s="3" t="s">
        <v>61</v>
      </c>
      <c r="V19" s="3" t="s">
        <v>143</v>
      </c>
      <c r="X19" s="3" t="s">
        <v>51</v>
      </c>
      <c r="Y19" s="3" t="s">
        <v>64</v>
      </c>
      <c r="Z19" s="3" t="s">
        <v>52</v>
      </c>
      <c r="AA19" s="3" t="s">
        <v>53</v>
      </c>
    </row>
    <row r="20">
      <c r="A20" s="3">
        <v>19.0</v>
      </c>
      <c r="B20" s="3" t="s">
        <v>40</v>
      </c>
      <c r="C20" s="3" t="s">
        <v>144</v>
      </c>
      <c r="D20" s="3">
        <v>2016.0</v>
      </c>
      <c r="E20" s="3" t="s">
        <v>145</v>
      </c>
      <c r="F20" s="3" t="s">
        <v>146</v>
      </c>
      <c r="G20" s="3" t="s">
        <v>58</v>
      </c>
      <c r="H20" s="3" t="s">
        <v>58</v>
      </c>
      <c r="I20" s="3" t="s">
        <v>110</v>
      </c>
      <c r="O20" s="3" t="s">
        <v>111</v>
      </c>
      <c r="R20" s="3" t="s">
        <v>147</v>
      </c>
      <c r="T20" s="3" t="s">
        <v>134</v>
      </c>
      <c r="X20" s="3" t="s">
        <v>51</v>
      </c>
      <c r="Y20" s="3" t="s">
        <v>64</v>
      </c>
      <c r="Z20" s="3" t="s">
        <v>53</v>
      </c>
    </row>
    <row r="21">
      <c r="A21" s="3">
        <v>20.0</v>
      </c>
      <c r="B21" s="3" t="s">
        <v>40</v>
      </c>
      <c r="C21" s="3" t="s">
        <v>148</v>
      </c>
      <c r="D21" s="3">
        <v>2012.0</v>
      </c>
      <c r="E21" s="3" t="s">
        <v>149</v>
      </c>
      <c r="F21" s="3" t="s">
        <v>150</v>
      </c>
      <c r="G21" s="3" t="s">
        <v>58</v>
      </c>
      <c r="H21" s="3" t="s">
        <v>58</v>
      </c>
      <c r="I21" s="3" t="s">
        <v>110</v>
      </c>
      <c r="O21" s="3" t="s">
        <v>143</v>
      </c>
      <c r="R21" s="3" t="s">
        <v>147</v>
      </c>
      <c r="S21" s="3" t="s">
        <v>62</v>
      </c>
      <c r="X21" s="3" t="s">
        <v>51</v>
      </c>
      <c r="Y21" s="3" t="s">
        <v>64</v>
      </c>
    </row>
    <row r="22">
      <c r="A22" s="3">
        <v>21.0</v>
      </c>
      <c r="B22" s="3" t="s">
        <v>106</v>
      </c>
      <c r="D22" s="3">
        <v>2008.0</v>
      </c>
      <c r="E22" s="3" t="s">
        <v>151</v>
      </c>
      <c r="F22" s="3" t="s">
        <v>152</v>
      </c>
      <c r="G22" s="3" t="s">
        <v>58</v>
      </c>
      <c r="I22" s="3" t="s">
        <v>110</v>
      </c>
      <c r="O22" s="3" t="s">
        <v>125</v>
      </c>
      <c r="R22" s="3" t="s">
        <v>147</v>
      </c>
      <c r="X22" s="3" t="s">
        <v>51</v>
      </c>
      <c r="Y22" s="3" t="s">
        <v>64</v>
      </c>
    </row>
    <row r="23">
      <c r="A23" s="3">
        <v>22.0</v>
      </c>
      <c r="B23" s="3" t="s">
        <v>40</v>
      </c>
      <c r="C23" s="3" t="s">
        <v>153</v>
      </c>
      <c r="D23" s="3">
        <v>2014.0</v>
      </c>
      <c r="E23" s="3" t="s">
        <v>154</v>
      </c>
      <c r="F23" s="3" t="s">
        <v>123</v>
      </c>
      <c r="G23" s="3" t="s">
        <v>124</v>
      </c>
      <c r="H23" s="3" t="s">
        <v>124</v>
      </c>
      <c r="I23" s="3" t="s">
        <v>155</v>
      </c>
      <c r="O23" s="3" t="s">
        <v>60</v>
      </c>
      <c r="P23" s="3" t="s">
        <v>47</v>
      </c>
      <c r="R23" s="3" t="s">
        <v>70</v>
      </c>
      <c r="T23" s="3" t="s">
        <v>49</v>
      </c>
      <c r="X23" s="3" t="s">
        <v>51</v>
      </c>
      <c r="Y23" s="3" t="s">
        <v>71</v>
      </c>
      <c r="Z23" s="3" t="s">
        <v>53</v>
      </c>
    </row>
    <row r="24">
      <c r="A24" s="3">
        <v>23.0</v>
      </c>
      <c r="B24" s="3" t="s">
        <v>40</v>
      </c>
      <c r="C24" s="3" t="s">
        <v>156</v>
      </c>
      <c r="D24" s="3">
        <v>2012.0</v>
      </c>
      <c r="E24" s="3" t="s">
        <v>157</v>
      </c>
      <c r="F24" s="3" t="s">
        <v>158</v>
      </c>
      <c r="G24" s="3" t="s">
        <v>58</v>
      </c>
      <c r="H24" s="3" t="s">
        <v>58</v>
      </c>
      <c r="I24" s="3" t="s">
        <v>69</v>
      </c>
      <c r="O24" s="3" t="s">
        <v>60</v>
      </c>
      <c r="R24" s="3" t="s">
        <v>70</v>
      </c>
      <c r="X24" s="3" t="s">
        <v>51</v>
      </c>
      <c r="Y24" s="3" t="s">
        <v>71</v>
      </c>
    </row>
    <row r="25">
      <c r="A25" s="3">
        <v>24.0</v>
      </c>
      <c r="B25" s="3" t="s">
        <v>106</v>
      </c>
      <c r="C25" s="3" t="s">
        <v>159</v>
      </c>
      <c r="D25" s="3">
        <v>1996.0</v>
      </c>
      <c r="E25" s="3" t="s">
        <v>160</v>
      </c>
      <c r="F25" s="3" t="s">
        <v>161</v>
      </c>
      <c r="G25" s="3" t="s">
        <v>58</v>
      </c>
      <c r="I25" s="3" t="s">
        <v>110</v>
      </c>
      <c r="O25" s="3" t="s">
        <v>111</v>
      </c>
      <c r="R25" s="3" t="s">
        <v>63</v>
      </c>
      <c r="T25" s="3" t="s">
        <v>162</v>
      </c>
      <c r="X25" s="3" t="s">
        <v>51</v>
      </c>
      <c r="Y25" s="3" t="s">
        <v>65</v>
      </c>
      <c r="Z25" s="3" t="s">
        <v>121</v>
      </c>
    </row>
    <row r="26">
      <c r="A26" s="3">
        <v>25.0</v>
      </c>
      <c r="B26" s="3" t="s">
        <v>106</v>
      </c>
      <c r="C26" s="3" t="s">
        <v>163</v>
      </c>
      <c r="D26" s="3">
        <v>1994.0</v>
      </c>
      <c r="E26" s="3" t="s">
        <v>164</v>
      </c>
      <c r="F26" s="3" t="s">
        <v>165</v>
      </c>
      <c r="G26" s="3" t="s">
        <v>58</v>
      </c>
      <c r="I26" s="3" t="s">
        <v>110</v>
      </c>
      <c r="O26" s="3" t="s">
        <v>111</v>
      </c>
      <c r="R26" s="3" t="s">
        <v>166</v>
      </c>
      <c r="X26" s="3" t="s">
        <v>51</v>
      </c>
      <c r="Y26" s="3" t="s">
        <v>65</v>
      </c>
    </row>
    <row r="27">
      <c r="A27" s="3">
        <v>26.0</v>
      </c>
      <c r="B27" s="3" t="s">
        <v>106</v>
      </c>
      <c r="C27" s="3" t="s">
        <v>167</v>
      </c>
      <c r="D27" s="3">
        <v>1994.0</v>
      </c>
      <c r="E27" s="3" t="s">
        <v>168</v>
      </c>
      <c r="F27" s="3" t="s">
        <v>169</v>
      </c>
      <c r="G27" s="3" t="s">
        <v>58</v>
      </c>
      <c r="I27" s="3" t="s">
        <v>110</v>
      </c>
      <c r="O27" s="3" t="s">
        <v>111</v>
      </c>
      <c r="R27" s="3" t="s">
        <v>166</v>
      </c>
      <c r="X27" s="3" t="s">
        <v>51</v>
      </c>
      <c r="Y27" s="3" t="s">
        <v>65</v>
      </c>
    </row>
    <row r="28">
      <c r="A28" s="3">
        <v>27.0</v>
      </c>
      <c r="B28" s="3" t="s">
        <v>40</v>
      </c>
      <c r="C28" s="3" t="s">
        <v>170</v>
      </c>
      <c r="D28" s="3">
        <v>1985.0</v>
      </c>
      <c r="E28" s="3" t="s">
        <v>171</v>
      </c>
      <c r="F28" s="3" t="s">
        <v>172</v>
      </c>
      <c r="G28" s="3" t="s">
        <v>91</v>
      </c>
      <c r="H28" s="3" t="s">
        <v>91</v>
      </c>
      <c r="I28" s="3" t="s">
        <v>173</v>
      </c>
      <c r="O28" s="3" t="s">
        <v>60</v>
      </c>
      <c r="X28" s="3" t="s">
        <v>51</v>
      </c>
    </row>
    <row r="29">
      <c r="A29" s="3">
        <v>28.0</v>
      </c>
      <c r="B29" s="3" t="s">
        <v>40</v>
      </c>
      <c r="C29" s="3" t="s">
        <v>174</v>
      </c>
      <c r="D29" s="3">
        <v>2000.0</v>
      </c>
      <c r="E29" s="3" t="s">
        <v>175</v>
      </c>
      <c r="F29" s="3" t="s">
        <v>158</v>
      </c>
      <c r="G29" s="3" t="s">
        <v>58</v>
      </c>
      <c r="H29" s="3" t="s">
        <v>58</v>
      </c>
      <c r="I29" s="3" t="s">
        <v>69</v>
      </c>
      <c r="O29" s="3" t="s">
        <v>60</v>
      </c>
      <c r="P29" s="3" t="s">
        <v>47</v>
      </c>
      <c r="X29" s="3" t="s">
        <v>51</v>
      </c>
    </row>
    <row r="30">
      <c r="A30" s="3">
        <v>29.0</v>
      </c>
      <c r="B30" s="3" t="s">
        <v>40</v>
      </c>
      <c r="C30" s="3" t="s">
        <v>176</v>
      </c>
      <c r="D30" s="3">
        <v>2000.0</v>
      </c>
      <c r="E30" s="3" t="s">
        <v>177</v>
      </c>
      <c r="F30" s="3" t="s">
        <v>57</v>
      </c>
      <c r="G30" s="3" t="s">
        <v>58</v>
      </c>
      <c r="H30" s="3" t="s">
        <v>58</v>
      </c>
      <c r="I30" s="3" t="s">
        <v>110</v>
      </c>
      <c r="O30" s="3" t="s">
        <v>111</v>
      </c>
      <c r="X30" s="3" t="s">
        <v>51</v>
      </c>
    </row>
    <row r="31">
      <c r="A31" s="3">
        <v>30.0</v>
      </c>
      <c r="B31" s="3" t="s">
        <v>40</v>
      </c>
      <c r="C31" s="3" t="s">
        <v>178</v>
      </c>
      <c r="D31" s="3">
        <v>2003.0</v>
      </c>
      <c r="E31" s="3" t="s">
        <v>179</v>
      </c>
      <c r="F31" s="3" t="s">
        <v>129</v>
      </c>
      <c r="G31" s="3" t="s">
        <v>82</v>
      </c>
      <c r="H31" s="3" t="s">
        <v>82</v>
      </c>
      <c r="I31" s="3" t="s">
        <v>180</v>
      </c>
      <c r="O31" s="3" t="s">
        <v>60</v>
      </c>
      <c r="P31" s="3" t="s">
        <v>47</v>
      </c>
      <c r="X31" s="3" t="s">
        <v>51</v>
      </c>
    </row>
    <row r="32">
      <c r="A32" s="3">
        <v>31.0</v>
      </c>
      <c r="B32" s="3" t="s">
        <v>40</v>
      </c>
      <c r="C32" s="3" t="s">
        <v>178</v>
      </c>
      <c r="D32" s="3">
        <v>2004.0</v>
      </c>
      <c r="E32" s="3" t="s">
        <v>181</v>
      </c>
      <c r="F32" s="3" t="s">
        <v>129</v>
      </c>
      <c r="G32" s="3" t="s">
        <v>82</v>
      </c>
      <c r="H32" s="3" t="s">
        <v>82</v>
      </c>
      <c r="I32" s="3" t="s">
        <v>180</v>
      </c>
      <c r="O32" s="3" t="s">
        <v>60</v>
      </c>
      <c r="P32" s="3" t="s">
        <v>47</v>
      </c>
      <c r="X32" s="3" t="s">
        <v>51</v>
      </c>
    </row>
    <row r="33">
      <c r="A33" s="3">
        <v>32.0</v>
      </c>
      <c r="B33" s="3" t="s">
        <v>40</v>
      </c>
      <c r="C33" s="3" t="s">
        <v>182</v>
      </c>
      <c r="D33" s="3">
        <v>2008.0</v>
      </c>
      <c r="E33" s="3" t="s">
        <v>183</v>
      </c>
      <c r="F33" s="3" t="s">
        <v>184</v>
      </c>
      <c r="G33" s="3" t="s">
        <v>58</v>
      </c>
      <c r="H33" s="3" t="s">
        <v>58</v>
      </c>
      <c r="I33" s="3" t="s">
        <v>96</v>
      </c>
      <c r="O33" s="3" t="s">
        <v>60</v>
      </c>
      <c r="X33" s="3" t="s">
        <v>51</v>
      </c>
    </row>
    <row r="34">
      <c r="A34" s="3">
        <v>33.0</v>
      </c>
      <c r="B34" s="3" t="s">
        <v>40</v>
      </c>
      <c r="C34" s="3" t="s">
        <v>185</v>
      </c>
      <c r="D34" s="3">
        <v>2008.0</v>
      </c>
      <c r="E34" s="3" t="s">
        <v>186</v>
      </c>
      <c r="F34" s="3" t="s">
        <v>187</v>
      </c>
      <c r="G34" s="3" t="s">
        <v>58</v>
      </c>
      <c r="H34" s="3" t="s">
        <v>58</v>
      </c>
      <c r="I34" s="3" t="s">
        <v>96</v>
      </c>
      <c r="O34" s="3" t="s">
        <v>60</v>
      </c>
      <c r="P34" s="3" t="s">
        <v>47</v>
      </c>
      <c r="X34" s="3" t="s">
        <v>51</v>
      </c>
    </row>
    <row r="35">
      <c r="A35" s="3">
        <v>34.0</v>
      </c>
      <c r="B35" s="3" t="s">
        <v>40</v>
      </c>
      <c r="C35" s="3" t="s">
        <v>188</v>
      </c>
      <c r="D35" s="3">
        <v>2009.0</v>
      </c>
      <c r="E35" s="3" t="s">
        <v>189</v>
      </c>
      <c r="F35" s="3" t="s">
        <v>75</v>
      </c>
      <c r="G35" s="3" t="s">
        <v>58</v>
      </c>
      <c r="H35" s="3" t="s">
        <v>58</v>
      </c>
      <c r="I35" s="3" t="s">
        <v>110</v>
      </c>
      <c r="O35" s="3" t="s">
        <v>111</v>
      </c>
      <c r="X35" s="3" t="s">
        <v>51</v>
      </c>
    </row>
    <row r="36">
      <c r="A36" s="3">
        <v>35.0</v>
      </c>
      <c r="B36" s="3" t="s">
        <v>40</v>
      </c>
      <c r="C36" s="3" t="s">
        <v>190</v>
      </c>
      <c r="D36" s="3">
        <v>2010.0</v>
      </c>
      <c r="E36" s="3" t="s">
        <v>191</v>
      </c>
      <c r="F36" s="3" t="s">
        <v>57</v>
      </c>
      <c r="G36" s="3" t="s">
        <v>58</v>
      </c>
      <c r="H36" s="3" t="s">
        <v>58</v>
      </c>
      <c r="I36" s="3" t="s">
        <v>192</v>
      </c>
      <c r="O36" s="3" t="s">
        <v>60</v>
      </c>
      <c r="P36" s="3" t="s">
        <v>47</v>
      </c>
      <c r="X36" s="3" t="s">
        <v>51</v>
      </c>
    </row>
    <row r="37">
      <c r="A37" s="3">
        <v>36.0</v>
      </c>
      <c r="B37" s="3" t="s">
        <v>40</v>
      </c>
      <c r="C37" s="3" t="s">
        <v>193</v>
      </c>
      <c r="D37" s="3">
        <v>2011.0</v>
      </c>
      <c r="E37" s="3" t="s">
        <v>194</v>
      </c>
      <c r="F37" s="3" t="s">
        <v>150</v>
      </c>
      <c r="G37" s="3" t="s">
        <v>58</v>
      </c>
      <c r="H37" s="3" t="s">
        <v>58</v>
      </c>
      <c r="I37" s="3" t="s">
        <v>110</v>
      </c>
      <c r="O37" s="3" t="s">
        <v>111</v>
      </c>
      <c r="X37" s="3" t="s">
        <v>51</v>
      </c>
    </row>
    <row r="38">
      <c r="A38" s="3">
        <v>37.0</v>
      </c>
      <c r="B38" s="3" t="s">
        <v>40</v>
      </c>
      <c r="C38" s="3" t="s">
        <v>195</v>
      </c>
      <c r="D38" s="3">
        <v>2012.0</v>
      </c>
      <c r="E38" s="3" t="s">
        <v>196</v>
      </c>
      <c r="F38" s="3" t="s">
        <v>187</v>
      </c>
      <c r="G38" s="3" t="s">
        <v>58</v>
      </c>
      <c r="H38" s="3" t="s">
        <v>58</v>
      </c>
      <c r="I38" s="3" t="s">
        <v>96</v>
      </c>
      <c r="O38" s="3" t="s">
        <v>60</v>
      </c>
      <c r="P38" s="3" t="s">
        <v>47</v>
      </c>
      <c r="X38" s="3" t="s">
        <v>51</v>
      </c>
    </row>
    <row r="39">
      <c r="A39" s="3">
        <v>38.0</v>
      </c>
      <c r="B39" s="3" t="s">
        <v>40</v>
      </c>
      <c r="C39" s="3" t="s">
        <v>197</v>
      </c>
      <c r="D39" s="3">
        <v>2016.0</v>
      </c>
      <c r="E39" s="3" t="s">
        <v>198</v>
      </c>
      <c r="F39" s="3" t="s">
        <v>75</v>
      </c>
      <c r="G39" s="3" t="s">
        <v>58</v>
      </c>
      <c r="H39" s="3" t="s">
        <v>58</v>
      </c>
      <c r="I39" s="3" t="s">
        <v>69</v>
      </c>
      <c r="O39" s="3" t="s">
        <v>60</v>
      </c>
      <c r="P39" s="3" t="s">
        <v>47</v>
      </c>
      <c r="X39" s="3" t="s">
        <v>51</v>
      </c>
    </row>
    <row r="40">
      <c r="A40" s="3">
        <v>39.0</v>
      </c>
      <c r="B40" s="3" t="s">
        <v>40</v>
      </c>
      <c r="C40" s="3" t="s">
        <v>199</v>
      </c>
      <c r="D40" s="3">
        <v>2017.0</v>
      </c>
      <c r="E40" s="3" t="s">
        <v>200</v>
      </c>
      <c r="F40" s="3" t="s">
        <v>201</v>
      </c>
      <c r="G40" s="3" t="s">
        <v>58</v>
      </c>
      <c r="H40" s="3" t="s">
        <v>58</v>
      </c>
      <c r="I40" s="3" t="s">
        <v>69</v>
      </c>
      <c r="O40" s="3" t="s">
        <v>47</v>
      </c>
      <c r="X40" s="3" t="s">
        <v>51</v>
      </c>
    </row>
    <row r="41">
      <c r="A41" s="3">
        <v>40.0</v>
      </c>
      <c r="B41" s="3" t="s">
        <v>40</v>
      </c>
      <c r="C41" s="3" t="s">
        <v>202</v>
      </c>
      <c r="D41" s="3">
        <v>2017.0</v>
      </c>
      <c r="E41" s="3" t="s">
        <v>203</v>
      </c>
      <c r="F41" s="3" t="s">
        <v>204</v>
      </c>
      <c r="G41" s="3" t="s">
        <v>101</v>
      </c>
      <c r="H41" s="3" t="s">
        <v>102</v>
      </c>
      <c r="I41" s="3" t="s">
        <v>205</v>
      </c>
      <c r="O41" s="3" t="s">
        <v>111</v>
      </c>
      <c r="X41" s="3" t="s">
        <v>51</v>
      </c>
    </row>
    <row r="42">
      <c r="A42" s="3">
        <v>41.0</v>
      </c>
      <c r="B42" s="3" t="s">
        <v>40</v>
      </c>
      <c r="C42" s="3" t="s">
        <v>206</v>
      </c>
      <c r="D42" s="3">
        <v>2018.0</v>
      </c>
      <c r="E42" s="3" t="s">
        <v>207</v>
      </c>
      <c r="F42" s="3" t="s">
        <v>43</v>
      </c>
      <c r="G42" s="3" t="s">
        <v>44</v>
      </c>
      <c r="H42" s="3" t="s">
        <v>45</v>
      </c>
      <c r="I42" s="3" t="s">
        <v>208</v>
      </c>
      <c r="O42" s="3" t="s">
        <v>60</v>
      </c>
      <c r="X42" s="3" t="s">
        <v>51</v>
      </c>
    </row>
    <row r="43">
      <c r="A43" s="3">
        <v>42.0</v>
      </c>
      <c r="B43" s="3" t="s">
        <v>106</v>
      </c>
      <c r="C43" s="3" t="s">
        <v>209</v>
      </c>
      <c r="D43" s="3">
        <v>1990.0</v>
      </c>
      <c r="E43" s="3" t="s">
        <v>210</v>
      </c>
      <c r="F43" s="3" t="s">
        <v>95</v>
      </c>
      <c r="G43" s="3" t="s">
        <v>58</v>
      </c>
      <c r="I43" s="3" t="s">
        <v>110</v>
      </c>
      <c r="O43" s="3" t="s">
        <v>111</v>
      </c>
      <c r="X43" s="3" t="s">
        <v>51</v>
      </c>
    </row>
    <row r="44">
      <c r="A44" s="3">
        <v>43.0</v>
      </c>
      <c r="B44" s="3" t="s">
        <v>106</v>
      </c>
      <c r="C44" s="3" t="s">
        <v>211</v>
      </c>
      <c r="D44" s="3">
        <v>1990.0</v>
      </c>
      <c r="E44" s="3" t="s">
        <v>212</v>
      </c>
      <c r="F44" s="3" t="s">
        <v>213</v>
      </c>
      <c r="G44" s="3" t="s">
        <v>58</v>
      </c>
      <c r="I44" s="3" t="s">
        <v>110</v>
      </c>
      <c r="O44" s="3" t="s">
        <v>111</v>
      </c>
      <c r="X44" s="3" t="s">
        <v>51</v>
      </c>
    </row>
    <row r="45">
      <c r="A45" s="3">
        <v>44.0</v>
      </c>
      <c r="B45" s="3" t="s">
        <v>106</v>
      </c>
      <c r="C45" s="3" t="s">
        <v>214</v>
      </c>
      <c r="D45" s="3">
        <v>1996.0</v>
      </c>
      <c r="E45" s="3" t="s">
        <v>215</v>
      </c>
      <c r="F45" s="3" t="s">
        <v>57</v>
      </c>
      <c r="G45" s="3" t="s">
        <v>58</v>
      </c>
      <c r="I45" s="3" t="s">
        <v>110</v>
      </c>
      <c r="O45" s="3" t="s">
        <v>111</v>
      </c>
      <c r="X45" s="3" t="s">
        <v>51</v>
      </c>
    </row>
    <row r="46">
      <c r="A46" s="3">
        <v>45.0</v>
      </c>
      <c r="B46" s="3" t="s">
        <v>106</v>
      </c>
      <c r="C46" s="3" t="s">
        <v>216</v>
      </c>
      <c r="D46" s="3">
        <v>1999.0</v>
      </c>
      <c r="E46" s="3" t="s">
        <v>217</v>
      </c>
      <c r="F46" s="3" t="s">
        <v>57</v>
      </c>
      <c r="G46" s="3" t="s">
        <v>58</v>
      </c>
      <c r="I46" s="3" t="s">
        <v>110</v>
      </c>
      <c r="O46" s="3" t="s">
        <v>111</v>
      </c>
      <c r="X46" s="3" t="s">
        <v>51</v>
      </c>
    </row>
    <row r="47">
      <c r="A47" s="3">
        <v>46.0</v>
      </c>
      <c r="B47" s="3" t="s">
        <v>106</v>
      </c>
      <c r="C47" s="3" t="s">
        <v>218</v>
      </c>
      <c r="D47" s="3">
        <v>1999.0</v>
      </c>
      <c r="E47" s="3" t="s">
        <v>219</v>
      </c>
      <c r="F47" s="3" t="s">
        <v>220</v>
      </c>
      <c r="G47" s="3" t="s">
        <v>44</v>
      </c>
      <c r="I47" s="3" t="s">
        <v>46</v>
      </c>
      <c r="O47" s="3" t="s">
        <v>111</v>
      </c>
      <c r="X47" s="3" t="s">
        <v>51</v>
      </c>
    </row>
    <row r="48">
      <c r="A48" s="3">
        <v>47.0</v>
      </c>
      <c r="B48" s="3" t="s">
        <v>106</v>
      </c>
      <c r="C48" s="3" t="s">
        <v>221</v>
      </c>
      <c r="D48" s="3">
        <v>2011.0</v>
      </c>
      <c r="E48" s="3" t="s">
        <v>222</v>
      </c>
      <c r="F48" s="3" t="s">
        <v>43</v>
      </c>
      <c r="G48" s="3" t="s">
        <v>44</v>
      </c>
      <c r="I48" s="3" t="s">
        <v>46</v>
      </c>
      <c r="O48" s="3" t="s">
        <v>111</v>
      </c>
      <c r="X48" s="3" t="s">
        <v>51</v>
      </c>
    </row>
    <row r="49">
      <c r="A49" s="3">
        <v>48.0</v>
      </c>
      <c r="B49" s="3" t="s">
        <v>55</v>
      </c>
      <c r="D49" s="3">
        <v>1990.0</v>
      </c>
      <c r="E49" s="3" t="s">
        <v>223</v>
      </c>
      <c r="F49" s="3" t="s">
        <v>224</v>
      </c>
      <c r="G49" s="3" t="s">
        <v>91</v>
      </c>
      <c r="H49" s="3" t="s">
        <v>91</v>
      </c>
      <c r="I49" s="3" t="s">
        <v>225</v>
      </c>
      <c r="O49" s="3" t="s">
        <v>97</v>
      </c>
      <c r="P49" s="3" t="s">
        <v>47</v>
      </c>
      <c r="X49" s="3" t="s">
        <v>51</v>
      </c>
    </row>
    <row r="50">
      <c r="A50" s="3">
        <v>49.0</v>
      </c>
      <c r="B50" s="3" t="s">
        <v>55</v>
      </c>
      <c r="D50" s="3">
        <v>1996.0</v>
      </c>
      <c r="E50" s="3" t="s">
        <v>226</v>
      </c>
      <c r="F50" s="3" t="s">
        <v>227</v>
      </c>
      <c r="G50" s="3" t="s">
        <v>58</v>
      </c>
      <c r="H50" s="3" t="s">
        <v>58</v>
      </c>
      <c r="I50" s="3" t="s">
        <v>59</v>
      </c>
      <c r="O50" s="3" t="s">
        <v>60</v>
      </c>
      <c r="P50" s="3" t="s">
        <v>47</v>
      </c>
      <c r="X50" s="3" t="s">
        <v>51</v>
      </c>
    </row>
    <row r="51">
      <c r="A51" s="3">
        <v>50.0</v>
      </c>
      <c r="B51" s="3" t="s">
        <v>106</v>
      </c>
      <c r="C51" s="3" t="s">
        <v>228</v>
      </c>
      <c r="D51" s="3">
        <v>2010.0</v>
      </c>
      <c r="E51" s="3" t="s">
        <v>229</v>
      </c>
      <c r="F51" s="3" t="s">
        <v>230</v>
      </c>
      <c r="G51" s="3" t="s">
        <v>101</v>
      </c>
      <c r="I51" s="3" t="s">
        <v>205</v>
      </c>
      <c r="O51" s="3" t="s">
        <v>61</v>
      </c>
      <c r="R51" s="3" t="s">
        <v>60</v>
      </c>
      <c r="T51" s="3" t="s">
        <v>111</v>
      </c>
      <c r="X51" s="3" t="s">
        <v>52</v>
      </c>
      <c r="Y51" s="3" t="s">
        <v>51</v>
      </c>
      <c r="Z51" s="3" t="s">
        <v>51</v>
      </c>
    </row>
    <row r="52">
      <c r="A52" s="3">
        <v>51.0</v>
      </c>
      <c r="B52" s="3" t="s">
        <v>106</v>
      </c>
      <c r="C52" s="3" t="s">
        <v>231</v>
      </c>
      <c r="D52" s="3">
        <v>2013.0</v>
      </c>
      <c r="E52" s="3" t="s">
        <v>232</v>
      </c>
      <c r="F52" s="3" t="s">
        <v>233</v>
      </c>
      <c r="G52" s="3" t="s">
        <v>142</v>
      </c>
      <c r="I52" s="3" t="s">
        <v>155</v>
      </c>
      <c r="J52" s="3" t="s">
        <v>110</v>
      </c>
      <c r="O52" s="3" t="s">
        <v>61</v>
      </c>
      <c r="R52" s="3" t="s">
        <v>87</v>
      </c>
      <c r="T52" s="3" t="s">
        <v>234</v>
      </c>
      <c r="V52" s="3" t="s">
        <v>62</v>
      </c>
      <c r="W52" s="3" t="s">
        <v>111</v>
      </c>
      <c r="X52" s="3" t="s">
        <v>52</v>
      </c>
      <c r="Y52" s="3" t="s">
        <v>51</v>
      </c>
      <c r="Z52" s="3" t="s">
        <v>235</v>
      </c>
      <c r="AA52" s="3" t="s">
        <v>64</v>
      </c>
      <c r="AB52" s="3" t="s">
        <v>51</v>
      </c>
    </row>
    <row r="53">
      <c r="A53" s="3">
        <v>52.0</v>
      </c>
      <c r="B53" s="3" t="s">
        <v>40</v>
      </c>
      <c r="C53" s="3" t="s">
        <v>236</v>
      </c>
      <c r="D53" s="3">
        <v>2015.0</v>
      </c>
      <c r="E53" s="3" t="s">
        <v>237</v>
      </c>
      <c r="F53" s="3" t="s">
        <v>220</v>
      </c>
      <c r="G53" s="3" t="s">
        <v>44</v>
      </c>
      <c r="H53" s="3" t="s">
        <v>45</v>
      </c>
      <c r="I53" s="3" t="s">
        <v>46</v>
      </c>
      <c r="O53" s="3" t="s">
        <v>61</v>
      </c>
      <c r="R53" s="3" t="s">
        <v>47</v>
      </c>
      <c r="T53" s="3" t="s">
        <v>238</v>
      </c>
      <c r="X53" s="3" t="s">
        <v>52</v>
      </c>
      <c r="Y53" s="3" t="s">
        <v>51</v>
      </c>
      <c r="Z53" s="3" t="s">
        <v>235</v>
      </c>
    </row>
    <row r="54">
      <c r="A54" s="3">
        <v>53.0</v>
      </c>
      <c r="B54" s="3" t="s">
        <v>55</v>
      </c>
      <c r="D54" s="3">
        <v>2015.0</v>
      </c>
      <c r="E54" s="3" t="s">
        <v>239</v>
      </c>
      <c r="F54" s="3" t="s">
        <v>141</v>
      </c>
      <c r="G54" s="3" t="s">
        <v>142</v>
      </c>
      <c r="H54" s="3" t="s">
        <v>142</v>
      </c>
      <c r="I54" s="3" t="s">
        <v>225</v>
      </c>
      <c r="O54" s="3" t="s">
        <v>61</v>
      </c>
      <c r="R54" s="3" t="s">
        <v>47</v>
      </c>
      <c r="T54" s="3" t="s">
        <v>238</v>
      </c>
      <c r="X54" s="3" t="s">
        <v>52</v>
      </c>
      <c r="Y54" s="3" t="s">
        <v>51</v>
      </c>
      <c r="Z54" s="3" t="s">
        <v>235</v>
      </c>
    </row>
    <row r="55">
      <c r="A55" s="3">
        <v>54.0</v>
      </c>
      <c r="B55" s="3" t="s">
        <v>40</v>
      </c>
      <c r="C55" s="3" t="s">
        <v>240</v>
      </c>
      <c r="D55" s="3">
        <v>2003.0</v>
      </c>
      <c r="E55" s="3" t="s">
        <v>241</v>
      </c>
      <c r="F55" s="3" t="s">
        <v>129</v>
      </c>
      <c r="G55" s="3" t="s">
        <v>82</v>
      </c>
      <c r="H55" s="3" t="s">
        <v>82</v>
      </c>
      <c r="I55" s="3" t="s">
        <v>130</v>
      </c>
      <c r="O55" s="3" t="s">
        <v>61</v>
      </c>
      <c r="R55" s="3" t="s">
        <v>60</v>
      </c>
      <c r="S55" s="3" t="s">
        <v>47</v>
      </c>
      <c r="T55" s="3" t="s">
        <v>50</v>
      </c>
      <c r="X55" s="3" t="s">
        <v>52</v>
      </c>
      <c r="Y55" s="3" t="s">
        <v>51</v>
      </c>
      <c r="Z55" s="3" t="s">
        <v>54</v>
      </c>
    </row>
    <row r="56">
      <c r="A56" s="3">
        <v>55.0</v>
      </c>
      <c r="B56" s="3" t="s">
        <v>55</v>
      </c>
      <c r="D56" s="3">
        <v>1990.0</v>
      </c>
      <c r="E56" s="3" t="s">
        <v>242</v>
      </c>
      <c r="F56" s="3" t="s">
        <v>172</v>
      </c>
      <c r="G56" s="3" t="s">
        <v>91</v>
      </c>
      <c r="H56" s="3" t="s">
        <v>91</v>
      </c>
      <c r="I56" s="3" t="s">
        <v>243</v>
      </c>
      <c r="O56" s="3" t="s">
        <v>61</v>
      </c>
      <c r="R56" s="3" t="s">
        <v>60</v>
      </c>
      <c r="S56" s="3" t="s">
        <v>47</v>
      </c>
      <c r="T56" s="3" t="s">
        <v>244</v>
      </c>
      <c r="X56" s="3" t="s">
        <v>52</v>
      </c>
      <c r="Y56" s="3" t="s">
        <v>51</v>
      </c>
      <c r="Z56" s="3" t="s">
        <v>54</v>
      </c>
    </row>
    <row r="57">
      <c r="A57" s="3">
        <v>56.0</v>
      </c>
      <c r="B57" s="3" t="s">
        <v>40</v>
      </c>
      <c r="C57" s="3" t="s">
        <v>245</v>
      </c>
      <c r="D57" s="3">
        <v>2012.0</v>
      </c>
      <c r="E57" s="3" t="s">
        <v>246</v>
      </c>
      <c r="F57" s="3" t="s">
        <v>123</v>
      </c>
      <c r="G57" s="3" t="s">
        <v>124</v>
      </c>
      <c r="H57" s="3" t="s">
        <v>124</v>
      </c>
      <c r="I57" s="3" t="s">
        <v>155</v>
      </c>
      <c r="O57" s="3" t="s">
        <v>247</v>
      </c>
      <c r="R57" s="3" t="s">
        <v>47</v>
      </c>
      <c r="T57" s="3" t="s">
        <v>49</v>
      </c>
      <c r="X57" s="3" t="s">
        <v>52</v>
      </c>
      <c r="Y57" s="3" t="s">
        <v>51</v>
      </c>
      <c r="Z57" s="3" t="s">
        <v>53</v>
      </c>
    </row>
    <row r="58">
      <c r="A58" s="3">
        <v>57.0</v>
      </c>
      <c r="B58" s="3" t="s">
        <v>106</v>
      </c>
      <c r="D58" s="3">
        <v>2017.0</v>
      </c>
      <c r="E58" s="3" t="s">
        <v>248</v>
      </c>
      <c r="F58" s="3" t="s">
        <v>249</v>
      </c>
      <c r="G58" s="3" t="s">
        <v>91</v>
      </c>
      <c r="I58" s="3" t="s">
        <v>92</v>
      </c>
      <c r="O58" s="3" t="s">
        <v>247</v>
      </c>
      <c r="R58" s="3" t="s">
        <v>125</v>
      </c>
      <c r="T58" s="3" t="s">
        <v>250</v>
      </c>
      <c r="X58" s="3" t="s">
        <v>52</v>
      </c>
      <c r="Y58" s="3" t="s">
        <v>51</v>
      </c>
      <c r="Z58" s="3" t="s">
        <v>53</v>
      </c>
    </row>
    <row r="59">
      <c r="A59" s="3">
        <v>58.0</v>
      </c>
      <c r="B59" s="3" t="s">
        <v>40</v>
      </c>
      <c r="C59" s="3" t="s">
        <v>251</v>
      </c>
      <c r="D59" s="3">
        <v>1995.0</v>
      </c>
      <c r="E59" s="3" t="s">
        <v>252</v>
      </c>
      <c r="F59" s="3" t="s">
        <v>253</v>
      </c>
      <c r="G59" s="3" t="s">
        <v>58</v>
      </c>
      <c r="H59" s="3" t="s">
        <v>58</v>
      </c>
      <c r="I59" s="3" t="s">
        <v>254</v>
      </c>
      <c r="O59" s="3" t="s">
        <v>61</v>
      </c>
      <c r="R59" s="3" t="s">
        <v>87</v>
      </c>
      <c r="X59" s="3" t="s">
        <v>52</v>
      </c>
      <c r="Y59" s="3" t="s">
        <v>51</v>
      </c>
      <c r="Z59" s="3" t="s">
        <v>78</v>
      </c>
    </row>
    <row r="60">
      <c r="A60" s="3">
        <v>59.0</v>
      </c>
      <c r="B60" s="3" t="s">
        <v>40</v>
      </c>
      <c r="C60" s="3" t="s">
        <v>255</v>
      </c>
      <c r="D60" s="3">
        <v>2001.0</v>
      </c>
      <c r="E60" s="3" t="s">
        <v>256</v>
      </c>
      <c r="F60" s="3" t="s">
        <v>68</v>
      </c>
      <c r="G60" s="3" t="s">
        <v>58</v>
      </c>
      <c r="H60" s="3" t="s">
        <v>58</v>
      </c>
      <c r="I60" s="3" t="s">
        <v>96</v>
      </c>
      <c r="O60" s="3" t="s">
        <v>61</v>
      </c>
      <c r="P60" s="3" t="s">
        <v>48</v>
      </c>
      <c r="R60" s="3" t="s">
        <v>60</v>
      </c>
      <c r="S60" s="3" t="s">
        <v>47</v>
      </c>
      <c r="X60" s="3" t="s">
        <v>52</v>
      </c>
      <c r="Y60" s="3" t="s">
        <v>51</v>
      </c>
      <c r="Z60" s="3" t="s">
        <v>78</v>
      </c>
    </row>
    <row r="61">
      <c r="A61" s="3">
        <v>60.0</v>
      </c>
      <c r="B61" s="3" t="s">
        <v>106</v>
      </c>
      <c r="D61" s="3">
        <v>1986.0</v>
      </c>
      <c r="E61" s="3" t="s">
        <v>257</v>
      </c>
      <c r="F61" s="3" t="s">
        <v>258</v>
      </c>
      <c r="G61" s="3" t="s">
        <v>91</v>
      </c>
      <c r="I61" s="3" t="s">
        <v>92</v>
      </c>
      <c r="J61" s="3" t="s">
        <v>173</v>
      </c>
      <c r="O61" s="3" t="s">
        <v>61</v>
      </c>
      <c r="R61" s="3" t="s">
        <v>47</v>
      </c>
      <c r="T61" s="3" t="s">
        <v>62</v>
      </c>
      <c r="U61" s="3" t="s">
        <v>259</v>
      </c>
      <c r="V61" s="3" t="s">
        <v>260</v>
      </c>
      <c r="X61" s="3" t="s">
        <v>52</v>
      </c>
      <c r="Y61" s="3" t="s">
        <v>51</v>
      </c>
      <c r="Z61" s="3" t="s">
        <v>64</v>
      </c>
      <c r="AA61" s="3" t="s">
        <v>121</v>
      </c>
    </row>
    <row r="62">
      <c r="A62" s="3">
        <v>61.0</v>
      </c>
      <c r="B62" s="3" t="s">
        <v>106</v>
      </c>
      <c r="C62" s="3" t="s">
        <v>261</v>
      </c>
      <c r="D62" s="3">
        <v>1990.0</v>
      </c>
      <c r="E62" s="3" t="s">
        <v>262</v>
      </c>
      <c r="F62" s="3" t="s">
        <v>263</v>
      </c>
      <c r="G62" s="3" t="s">
        <v>91</v>
      </c>
      <c r="I62" s="3" t="s">
        <v>173</v>
      </c>
      <c r="O62" s="3" t="s">
        <v>61</v>
      </c>
      <c r="R62" s="3" t="s">
        <v>111</v>
      </c>
      <c r="T62" s="3" t="s">
        <v>62</v>
      </c>
      <c r="X62" s="3" t="s">
        <v>52</v>
      </c>
      <c r="Y62" s="3" t="s">
        <v>51</v>
      </c>
      <c r="Z62" s="3" t="s">
        <v>64</v>
      </c>
    </row>
    <row r="63">
      <c r="A63" s="3">
        <v>62.0</v>
      </c>
      <c r="B63" s="3" t="s">
        <v>106</v>
      </c>
      <c r="D63" s="3">
        <v>2018.0</v>
      </c>
      <c r="E63" s="3" t="s">
        <v>264</v>
      </c>
      <c r="F63" s="3" t="s">
        <v>265</v>
      </c>
      <c r="G63" s="3" t="s">
        <v>91</v>
      </c>
      <c r="I63" s="3" t="s">
        <v>266</v>
      </c>
      <c r="O63" s="3" t="s">
        <v>61</v>
      </c>
      <c r="P63" s="3" t="s">
        <v>267</v>
      </c>
      <c r="R63" s="3" t="s">
        <v>47</v>
      </c>
      <c r="T63" s="3" t="s">
        <v>62</v>
      </c>
      <c r="X63" s="3" t="s">
        <v>52</v>
      </c>
      <c r="Y63" s="3" t="s">
        <v>51</v>
      </c>
      <c r="Z63" s="3" t="s">
        <v>64</v>
      </c>
    </row>
    <row r="64">
      <c r="A64" s="3">
        <v>63.0</v>
      </c>
      <c r="B64" s="3" t="s">
        <v>55</v>
      </c>
      <c r="D64" s="3">
        <v>2009.0</v>
      </c>
      <c r="E64" s="3" t="s">
        <v>268</v>
      </c>
      <c r="F64" s="3" t="s">
        <v>269</v>
      </c>
      <c r="G64" s="3" t="s">
        <v>44</v>
      </c>
      <c r="H64" s="3" t="s">
        <v>45</v>
      </c>
      <c r="I64" s="3" t="s">
        <v>270</v>
      </c>
      <c r="O64" s="3" t="s">
        <v>61</v>
      </c>
      <c r="R64" s="3" t="s">
        <v>47</v>
      </c>
      <c r="T64" s="3" t="s">
        <v>70</v>
      </c>
      <c r="V64" s="3" t="s">
        <v>147</v>
      </c>
      <c r="W64" s="3" t="s">
        <v>238</v>
      </c>
      <c r="X64" s="3" t="s">
        <v>52</v>
      </c>
      <c r="Y64" s="3" t="s">
        <v>51</v>
      </c>
      <c r="Z64" s="3" t="s">
        <v>71</v>
      </c>
      <c r="AA64" s="3" t="s">
        <v>64</v>
      </c>
      <c r="AB64" s="3" t="s">
        <v>235</v>
      </c>
    </row>
    <row r="65">
      <c r="A65" s="3">
        <v>64.0</v>
      </c>
      <c r="B65" s="3" t="s">
        <v>40</v>
      </c>
      <c r="C65" s="3" t="s">
        <v>271</v>
      </c>
      <c r="D65" s="3">
        <v>1996.0</v>
      </c>
      <c r="E65" s="3" t="s">
        <v>272</v>
      </c>
      <c r="F65" s="3" t="s">
        <v>57</v>
      </c>
      <c r="G65" s="3" t="s">
        <v>58</v>
      </c>
      <c r="H65" s="3" t="s">
        <v>58</v>
      </c>
      <c r="I65" s="3" t="s">
        <v>86</v>
      </c>
      <c r="O65" s="3" t="s">
        <v>61</v>
      </c>
      <c r="R65" s="3" t="s">
        <v>47</v>
      </c>
      <c r="S65" s="3" t="s">
        <v>60</v>
      </c>
      <c r="T65" s="3" t="s">
        <v>87</v>
      </c>
      <c r="X65" s="3" t="s">
        <v>52</v>
      </c>
      <c r="Y65" s="3" t="s">
        <v>51</v>
      </c>
      <c r="Z65" s="3" t="s">
        <v>71</v>
      </c>
    </row>
    <row r="66">
      <c r="A66" s="3">
        <v>65.0</v>
      </c>
      <c r="B66" s="3" t="s">
        <v>40</v>
      </c>
      <c r="C66" s="3" t="s">
        <v>273</v>
      </c>
      <c r="D66" s="3">
        <v>2017.0</v>
      </c>
      <c r="E66" s="3" t="s">
        <v>274</v>
      </c>
      <c r="F66" s="3" t="s">
        <v>43</v>
      </c>
      <c r="G66" s="3" t="s">
        <v>44</v>
      </c>
      <c r="H66" s="3" t="s">
        <v>45</v>
      </c>
      <c r="I66" s="3" t="s">
        <v>208</v>
      </c>
      <c r="J66" s="3" t="s">
        <v>275</v>
      </c>
      <c r="O66" s="3" t="s">
        <v>48</v>
      </c>
      <c r="R66" s="3" t="s">
        <v>87</v>
      </c>
      <c r="T66" s="3" t="s">
        <v>87</v>
      </c>
      <c r="X66" s="3" t="s">
        <v>52</v>
      </c>
      <c r="Y66" s="3" t="s">
        <v>51</v>
      </c>
      <c r="Z66" s="3" t="s">
        <v>71</v>
      </c>
    </row>
    <row r="67">
      <c r="A67" s="3">
        <v>66.0</v>
      </c>
      <c r="B67" s="3" t="s">
        <v>40</v>
      </c>
      <c r="C67" s="3" t="s">
        <v>276</v>
      </c>
      <c r="D67" s="3">
        <v>1991.0</v>
      </c>
      <c r="E67" s="3" t="s">
        <v>277</v>
      </c>
      <c r="F67" s="3" t="s">
        <v>68</v>
      </c>
      <c r="G67" s="3" t="s">
        <v>58</v>
      </c>
      <c r="H67" s="3" t="s">
        <v>58</v>
      </c>
      <c r="I67" s="3" t="s">
        <v>69</v>
      </c>
      <c r="O67" s="3" t="s">
        <v>61</v>
      </c>
      <c r="R67" s="3" t="s">
        <v>60</v>
      </c>
      <c r="S67" s="3" t="s">
        <v>47</v>
      </c>
      <c r="T67" s="3" t="s">
        <v>63</v>
      </c>
      <c r="V67" s="3" t="s">
        <v>62</v>
      </c>
      <c r="X67" s="3" t="s">
        <v>52</v>
      </c>
      <c r="Y67" s="3" t="s">
        <v>51</v>
      </c>
      <c r="Z67" s="3" t="s">
        <v>65</v>
      </c>
      <c r="AA67" s="3" t="s">
        <v>64</v>
      </c>
    </row>
    <row r="68">
      <c r="A68" s="3">
        <v>67.0</v>
      </c>
      <c r="B68" s="3" t="s">
        <v>106</v>
      </c>
      <c r="C68" s="3" t="s">
        <v>278</v>
      </c>
      <c r="D68" s="3">
        <v>2014.0</v>
      </c>
      <c r="E68" s="3" t="s">
        <v>279</v>
      </c>
      <c r="F68" s="3" t="s">
        <v>233</v>
      </c>
      <c r="G68" s="3" t="s">
        <v>142</v>
      </c>
      <c r="I68" s="3" t="s">
        <v>155</v>
      </c>
      <c r="J68" s="3" t="s">
        <v>110</v>
      </c>
      <c r="O68" s="3" t="s">
        <v>61</v>
      </c>
      <c r="R68" s="3" t="s">
        <v>111</v>
      </c>
      <c r="X68" s="3" t="s">
        <v>52</v>
      </c>
      <c r="Y68" s="3" t="s">
        <v>51</v>
      </c>
      <c r="Z68" s="3" t="s">
        <v>143</v>
      </c>
    </row>
    <row r="69">
      <c r="A69" s="3">
        <v>68.0</v>
      </c>
      <c r="B69" s="3" t="s">
        <v>40</v>
      </c>
      <c r="C69" s="3" t="s">
        <v>280</v>
      </c>
      <c r="D69" s="3">
        <v>1993.0</v>
      </c>
      <c r="E69" s="3" t="s">
        <v>281</v>
      </c>
      <c r="F69" s="3" t="s">
        <v>68</v>
      </c>
      <c r="G69" s="3" t="s">
        <v>58</v>
      </c>
      <c r="H69" s="3" t="s">
        <v>58</v>
      </c>
      <c r="I69" s="3" t="s">
        <v>69</v>
      </c>
      <c r="O69" s="3" t="s">
        <v>61</v>
      </c>
      <c r="R69" s="3" t="s">
        <v>60</v>
      </c>
      <c r="X69" s="3" t="s">
        <v>52</v>
      </c>
      <c r="Y69" s="3" t="s">
        <v>51</v>
      </c>
    </row>
    <row r="70">
      <c r="A70" s="3">
        <v>69.0</v>
      </c>
      <c r="B70" s="3" t="s">
        <v>40</v>
      </c>
      <c r="C70" s="3" t="s">
        <v>282</v>
      </c>
      <c r="D70" s="3">
        <v>1995.0</v>
      </c>
      <c r="E70" s="3" t="s">
        <v>283</v>
      </c>
      <c r="F70" s="3" t="s">
        <v>284</v>
      </c>
      <c r="G70" s="3" t="s">
        <v>58</v>
      </c>
      <c r="H70" s="3" t="s">
        <v>58</v>
      </c>
      <c r="I70" s="3" t="s">
        <v>110</v>
      </c>
      <c r="J70" s="3" t="s">
        <v>285</v>
      </c>
      <c r="K70" s="3" t="s">
        <v>286</v>
      </c>
      <c r="L70" s="3" t="s">
        <v>287</v>
      </c>
      <c r="O70" s="3" t="s">
        <v>61</v>
      </c>
      <c r="R70" s="3" t="s">
        <v>87</v>
      </c>
      <c r="X70" s="3" t="s">
        <v>52</v>
      </c>
      <c r="Y70" s="3" t="s">
        <v>51</v>
      </c>
    </row>
    <row r="71">
      <c r="A71" s="3">
        <v>70.0</v>
      </c>
      <c r="B71" s="3" t="s">
        <v>40</v>
      </c>
      <c r="C71" s="3" t="s">
        <v>288</v>
      </c>
      <c r="D71" s="3">
        <v>2009.0</v>
      </c>
      <c r="E71" s="3" t="s">
        <v>289</v>
      </c>
      <c r="F71" s="3" t="s">
        <v>258</v>
      </c>
      <c r="G71" s="3" t="s">
        <v>91</v>
      </c>
      <c r="H71" s="3" t="s">
        <v>91</v>
      </c>
      <c r="I71" s="3" t="s">
        <v>290</v>
      </c>
      <c r="O71" s="3" t="s">
        <v>61</v>
      </c>
      <c r="P71" s="3" t="s">
        <v>48</v>
      </c>
      <c r="S71" s="3" t="s">
        <v>111</v>
      </c>
      <c r="X71" s="3" t="s">
        <v>52</v>
      </c>
      <c r="Y71" s="3" t="s">
        <v>51</v>
      </c>
    </row>
    <row r="72">
      <c r="A72" s="3">
        <v>71.0</v>
      </c>
      <c r="B72" s="3" t="s">
        <v>40</v>
      </c>
      <c r="C72" s="3" t="s">
        <v>291</v>
      </c>
      <c r="D72" s="3">
        <v>2010.0</v>
      </c>
      <c r="E72" s="3" t="s">
        <v>292</v>
      </c>
      <c r="F72" s="3" t="s">
        <v>100</v>
      </c>
      <c r="G72" s="3" t="s">
        <v>101</v>
      </c>
      <c r="H72" s="3" t="s">
        <v>102</v>
      </c>
      <c r="I72" s="3" t="s">
        <v>69</v>
      </c>
      <c r="J72" s="3" t="s">
        <v>96</v>
      </c>
      <c r="K72" s="3" t="s">
        <v>285</v>
      </c>
      <c r="O72" s="3" t="s">
        <v>61</v>
      </c>
      <c r="P72" s="3" t="s">
        <v>48</v>
      </c>
      <c r="R72" s="3" t="s">
        <v>97</v>
      </c>
      <c r="X72" s="3" t="s">
        <v>52</v>
      </c>
      <c r="Y72" s="3" t="s">
        <v>51</v>
      </c>
    </row>
    <row r="73">
      <c r="A73" s="3">
        <v>72.0</v>
      </c>
      <c r="B73" s="3" t="s">
        <v>40</v>
      </c>
      <c r="C73" s="3" t="s">
        <v>293</v>
      </c>
      <c r="D73" s="3">
        <v>2011.0</v>
      </c>
      <c r="E73" s="3" t="s">
        <v>294</v>
      </c>
      <c r="F73" s="3" t="s">
        <v>295</v>
      </c>
      <c r="G73" s="3" t="s">
        <v>58</v>
      </c>
      <c r="H73" s="3" t="s">
        <v>58</v>
      </c>
      <c r="I73" s="3" t="s">
        <v>110</v>
      </c>
      <c r="O73" s="3" t="s">
        <v>247</v>
      </c>
      <c r="R73" s="3" t="s">
        <v>111</v>
      </c>
      <c r="X73" s="3" t="s">
        <v>52</v>
      </c>
      <c r="Y73" s="3" t="s">
        <v>51</v>
      </c>
    </row>
    <row r="74">
      <c r="A74" s="3">
        <v>73.0</v>
      </c>
      <c r="B74" s="3" t="s">
        <v>40</v>
      </c>
      <c r="C74" s="3" t="s">
        <v>296</v>
      </c>
      <c r="D74" s="3">
        <v>2016.0</v>
      </c>
      <c r="E74" s="3" t="s">
        <v>297</v>
      </c>
      <c r="F74" s="3" t="s">
        <v>298</v>
      </c>
      <c r="G74" s="3" t="s">
        <v>101</v>
      </c>
      <c r="H74" s="3" t="s">
        <v>102</v>
      </c>
      <c r="I74" s="3" t="s">
        <v>299</v>
      </c>
      <c r="O74" s="3" t="s">
        <v>48</v>
      </c>
      <c r="P74" s="3" t="s">
        <v>61</v>
      </c>
      <c r="R74" s="3" t="s">
        <v>97</v>
      </c>
      <c r="X74" s="3" t="s">
        <v>52</v>
      </c>
      <c r="Y74" s="3" t="s">
        <v>51</v>
      </c>
    </row>
    <row r="75">
      <c r="A75" s="3">
        <v>74.0</v>
      </c>
      <c r="B75" s="3" t="s">
        <v>40</v>
      </c>
      <c r="C75" s="3" t="s">
        <v>300</v>
      </c>
      <c r="D75" s="3">
        <v>2016.0</v>
      </c>
      <c r="E75" s="3" t="s">
        <v>301</v>
      </c>
      <c r="F75" s="3" t="s">
        <v>298</v>
      </c>
      <c r="G75" s="3" t="s">
        <v>101</v>
      </c>
      <c r="H75" s="3" t="s">
        <v>102</v>
      </c>
      <c r="I75" s="3" t="s">
        <v>299</v>
      </c>
      <c r="J75" s="3" t="s">
        <v>103</v>
      </c>
      <c r="K75" s="3" t="s">
        <v>302</v>
      </c>
      <c r="O75" s="3" t="s">
        <v>61</v>
      </c>
      <c r="P75" s="3" t="s">
        <v>48</v>
      </c>
      <c r="R75" s="3" t="s">
        <v>97</v>
      </c>
      <c r="X75" s="3" t="s">
        <v>52</v>
      </c>
      <c r="Y75" s="3" t="s">
        <v>51</v>
      </c>
    </row>
    <row r="76">
      <c r="A76" s="3">
        <v>75.0</v>
      </c>
      <c r="B76" s="3" t="s">
        <v>40</v>
      </c>
      <c r="C76" s="3" t="s">
        <v>303</v>
      </c>
      <c r="D76" s="3">
        <v>2018.0</v>
      </c>
      <c r="E76" s="3" t="s">
        <v>304</v>
      </c>
      <c r="F76" s="3" t="s">
        <v>305</v>
      </c>
      <c r="G76" s="3" t="s">
        <v>58</v>
      </c>
      <c r="H76" s="3" t="s">
        <v>58</v>
      </c>
      <c r="I76" s="3" t="s">
        <v>110</v>
      </c>
      <c r="O76" s="3" t="s">
        <v>61</v>
      </c>
      <c r="R76" s="3" t="s">
        <v>111</v>
      </c>
      <c r="X76" s="3" t="s">
        <v>52</v>
      </c>
      <c r="Y76" s="3" t="s">
        <v>51</v>
      </c>
    </row>
    <row r="77">
      <c r="A77" s="3">
        <v>76.0</v>
      </c>
      <c r="B77" s="3" t="s">
        <v>106</v>
      </c>
      <c r="C77" s="3" t="s">
        <v>306</v>
      </c>
      <c r="D77" s="3">
        <v>2011.0</v>
      </c>
      <c r="E77" s="3" t="s">
        <v>307</v>
      </c>
      <c r="F77" s="3" t="s">
        <v>308</v>
      </c>
      <c r="G77" s="3" t="s">
        <v>101</v>
      </c>
      <c r="I77" s="3" t="s">
        <v>309</v>
      </c>
      <c r="J77" s="3" t="s">
        <v>205</v>
      </c>
      <c r="O77" s="3" t="s">
        <v>61</v>
      </c>
      <c r="R77" s="3" t="s">
        <v>97</v>
      </c>
      <c r="X77" s="3" t="s">
        <v>52</v>
      </c>
      <c r="Y77" s="3" t="s">
        <v>51</v>
      </c>
    </row>
    <row r="78">
      <c r="A78" s="3">
        <v>77.0</v>
      </c>
      <c r="B78" s="3" t="s">
        <v>55</v>
      </c>
      <c r="D78" s="3">
        <v>1992.0</v>
      </c>
      <c r="E78" s="3" t="s">
        <v>310</v>
      </c>
      <c r="F78" s="3" t="s">
        <v>311</v>
      </c>
      <c r="G78" s="3" t="s">
        <v>58</v>
      </c>
      <c r="H78" s="3" t="s">
        <v>58</v>
      </c>
      <c r="I78" s="3" t="s">
        <v>254</v>
      </c>
      <c r="O78" s="3" t="s">
        <v>61</v>
      </c>
      <c r="R78" s="3" t="s">
        <v>47</v>
      </c>
      <c r="X78" s="3" t="s">
        <v>52</v>
      </c>
      <c r="Y78" s="3" t="s">
        <v>51</v>
      </c>
    </row>
    <row r="79">
      <c r="A79" s="3">
        <v>78.0</v>
      </c>
      <c r="B79" s="3" t="s">
        <v>72</v>
      </c>
      <c r="C79" s="3" t="s">
        <v>312</v>
      </c>
      <c r="D79" s="3">
        <v>2015.0</v>
      </c>
      <c r="E79" s="3" t="s">
        <v>313</v>
      </c>
      <c r="F79" s="3" t="s">
        <v>129</v>
      </c>
      <c r="G79" s="3" t="s">
        <v>82</v>
      </c>
      <c r="H79" s="3" t="s">
        <v>82</v>
      </c>
      <c r="I79" s="3" t="s">
        <v>314</v>
      </c>
      <c r="O79" s="3" t="s">
        <v>48</v>
      </c>
      <c r="R79" s="3" t="s">
        <v>117</v>
      </c>
      <c r="T79" s="3" t="s">
        <v>47</v>
      </c>
      <c r="X79" s="3" t="s">
        <v>52</v>
      </c>
      <c r="Y79" s="3" t="s">
        <v>118</v>
      </c>
      <c r="Z79" s="3" t="s">
        <v>51</v>
      </c>
    </row>
    <row r="80">
      <c r="A80" s="3">
        <v>79.0</v>
      </c>
      <c r="B80" s="3" t="s">
        <v>40</v>
      </c>
      <c r="C80" s="3" t="s">
        <v>315</v>
      </c>
      <c r="D80" s="3">
        <v>2020.0</v>
      </c>
      <c r="E80" s="3" t="s">
        <v>316</v>
      </c>
      <c r="F80" s="3" t="s">
        <v>81</v>
      </c>
      <c r="G80" s="3" t="s">
        <v>82</v>
      </c>
      <c r="H80" s="3" t="s">
        <v>82</v>
      </c>
      <c r="I80" s="3" t="s">
        <v>314</v>
      </c>
      <c r="J80" s="3" t="s">
        <v>317</v>
      </c>
      <c r="O80" s="3" t="s">
        <v>61</v>
      </c>
      <c r="P80" s="3" t="s">
        <v>48</v>
      </c>
      <c r="R80" s="3" t="s">
        <v>117</v>
      </c>
      <c r="T80" s="3" t="s">
        <v>244</v>
      </c>
      <c r="X80" s="3" t="s">
        <v>52</v>
      </c>
      <c r="Y80" s="3" t="s">
        <v>118</v>
      </c>
      <c r="Z80" s="3" t="s">
        <v>54</v>
      </c>
    </row>
    <row r="81">
      <c r="A81" s="3">
        <v>80.0</v>
      </c>
      <c r="B81" s="3" t="s">
        <v>40</v>
      </c>
      <c r="C81" s="3" t="s">
        <v>318</v>
      </c>
      <c r="D81" s="3">
        <v>2009.0</v>
      </c>
      <c r="E81" s="3" t="s">
        <v>319</v>
      </c>
      <c r="F81" s="3" t="s">
        <v>129</v>
      </c>
      <c r="G81" s="3" t="s">
        <v>82</v>
      </c>
      <c r="H81" s="3" t="s">
        <v>82</v>
      </c>
      <c r="I81" s="3" t="s">
        <v>317</v>
      </c>
      <c r="O81" s="3" t="s">
        <v>61</v>
      </c>
      <c r="P81" s="3" t="s">
        <v>48</v>
      </c>
      <c r="R81" s="3" t="s">
        <v>117</v>
      </c>
      <c r="X81" s="3" t="s">
        <v>52</v>
      </c>
      <c r="Y81" s="3" t="s">
        <v>118</v>
      </c>
      <c r="Z81" s="3" t="s">
        <v>78</v>
      </c>
    </row>
    <row r="82">
      <c r="A82" s="3">
        <v>81.0</v>
      </c>
      <c r="B82" s="3" t="s">
        <v>106</v>
      </c>
      <c r="D82" s="3">
        <v>2001.0</v>
      </c>
      <c r="E82" s="3" t="s">
        <v>320</v>
      </c>
      <c r="F82" s="3" t="s">
        <v>321</v>
      </c>
      <c r="G82" s="3" t="s">
        <v>101</v>
      </c>
      <c r="I82" s="3" t="s">
        <v>309</v>
      </c>
      <c r="O82" s="3" t="s">
        <v>48</v>
      </c>
      <c r="P82" s="3" t="s">
        <v>61</v>
      </c>
      <c r="Q82" s="3" t="s">
        <v>267</v>
      </c>
      <c r="R82" s="3" t="s">
        <v>322</v>
      </c>
      <c r="T82" s="3" t="s">
        <v>125</v>
      </c>
      <c r="V82" s="3" t="s">
        <v>323</v>
      </c>
      <c r="X82" s="3" t="s">
        <v>52</v>
      </c>
      <c r="Y82" s="3" t="s">
        <v>118</v>
      </c>
      <c r="Z82" s="3" t="s">
        <v>64</v>
      </c>
      <c r="AA82" s="3" t="s">
        <v>121</v>
      </c>
    </row>
    <row r="83">
      <c r="A83" s="3">
        <v>82.0</v>
      </c>
      <c r="B83" s="3" t="s">
        <v>40</v>
      </c>
      <c r="C83" s="3" t="s">
        <v>324</v>
      </c>
      <c r="D83" s="3">
        <v>2017.0</v>
      </c>
      <c r="E83" s="3" t="s">
        <v>325</v>
      </c>
      <c r="F83" s="3" t="s">
        <v>100</v>
      </c>
      <c r="G83" s="3" t="s">
        <v>101</v>
      </c>
      <c r="H83" s="3" t="s">
        <v>102</v>
      </c>
      <c r="I83" s="3" t="s">
        <v>104</v>
      </c>
      <c r="O83" s="3" t="s">
        <v>61</v>
      </c>
      <c r="R83" s="3" t="s">
        <v>117</v>
      </c>
      <c r="T83" s="3" t="s">
        <v>70</v>
      </c>
      <c r="X83" s="3" t="s">
        <v>52</v>
      </c>
      <c r="Y83" s="3" t="s">
        <v>118</v>
      </c>
      <c r="Z83" s="3" t="s">
        <v>71</v>
      </c>
    </row>
    <row r="84">
      <c r="A84" s="3">
        <v>83.0</v>
      </c>
      <c r="B84" s="3" t="s">
        <v>106</v>
      </c>
      <c r="C84" s="3" t="s">
        <v>326</v>
      </c>
      <c r="D84" s="3">
        <v>2012.0</v>
      </c>
      <c r="E84" s="3" t="s">
        <v>327</v>
      </c>
      <c r="F84" s="3" t="s">
        <v>328</v>
      </c>
      <c r="G84" s="3" t="s">
        <v>58</v>
      </c>
      <c r="I84" s="3" t="s">
        <v>110</v>
      </c>
      <c r="O84" s="3" t="s">
        <v>48</v>
      </c>
      <c r="P84" s="3" t="s">
        <v>61</v>
      </c>
      <c r="R84" s="3" t="s">
        <v>329</v>
      </c>
      <c r="X84" s="3" t="s">
        <v>52</v>
      </c>
      <c r="Y84" s="3" t="s">
        <v>118</v>
      </c>
      <c r="Z84" s="3" t="s">
        <v>143</v>
      </c>
    </row>
    <row r="85">
      <c r="A85" s="3">
        <v>84.0</v>
      </c>
      <c r="B85" s="3" t="s">
        <v>40</v>
      </c>
      <c r="C85" s="3" t="s">
        <v>330</v>
      </c>
      <c r="D85" s="3">
        <v>2007.0</v>
      </c>
      <c r="E85" s="3" t="s">
        <v>331</v>
      </c>
      <c r="F85" s="3" t="s">
        <v>81</v>
      </c>
      <c r="G85" s="3" t="s">
        <v>82</v>
      </c>
      <c r="H85" s="3" t="s">
        <v>82</v>
      </c>
      <c r="I85" s="3" t="s">
        <v>317</v>
      </c>
      <c r="O85" s="3" t="s">
        <v>61</v>
      </c>
      <c r="R85" s="3" t="s">
        <v>332</v>
      </c>
      <c r="X85" s="3" t="s">
        <v>52</v>
      </c>
      <c r="Y85" s="3" t="s">
        <v>118</v>
      </c>
    </row>
    <row r="86">
      <c r="A86" s="3">
        <v>85.0</v>
      </c>
      <c r="B86" s="3" t="s">
        <v>40</v>
      </c>
      <c r="C86" s="3" t="s">
        <v>333</v>
      </c>
      <c r="D86" s="3">
        <v>2007.0</v>
      </c>
      <c r="E86" s="3" t="s">
        <v>334</v>
      </c>
      <c r="F86" s="3" t="s">
        <v>129</v>
      </c>
      <c r="G86" s="3" t="s">
        <v>82</v>
      </c>
      <c r="H86" s="3" t="s">
        <v>82</v>
      </c>
      <c r="I86" s="3" t="s">
        <v>254</v>
      </c>
      <c r="R86" s="3" t="s">
        <v>117</v>
      </c>
      <c r="X86" s="3" t="s">
        <v>52</v>
      </c>
      <c r="Y86" s="3" t="s">
        <v>118</v>
      </c>
    </row>
    <row r="87">
      <c r="A87" s="3">
        <v>86.0</v>
      </c>
      <c r="B87" s="3" t="s">
        <v>40</v>
      </c>
      <c r="C87" s="3" t="s">
        <v>335</v>
      </c>
      <c r="D87" s="3">
        <v>2013.0</v>
      </c>
      <c r="E87" s="3" t="s">
        <v>336</v>
      </c>
      <c r="F87" s="3" t="s">
        <v>129</v>
      </c>
      <c r="G87" s="3" t="s">
        <v>82</v>
      </c>
      <c r="H87" s="3" t="s">
        <v>82</v>
      </c>
      <c r="I87" s="3" t="s">
        <v>317</v>
      </c>
      <c r="O87" s="3" t="s">
        <v>48</v>
      </c>
      <c r="R87" s="3" t="s">
        <v>117</v>
      </c>
      <c r="X87" s="3" t="s">
        <v>52</v>
      </c>
      <c r="Y87" s="3" t="s">
        <v>118</v>
      </c>
    </row>
    <row r="88">
      <c r="A88" s="3">
        <v>87.0</v>
      </c>
      <c r="B88" s="3" t="s">
        <v>40</v>
      </c>
      <c r="C88" s="3" t="s">
        <v>337</v>
      </c>
      <c r="D88" s="3">
        <v>2019.0</v>
      </c>
      <c r="E88" s="3" t="s">
        <v>338</v>
      </c>
      <c r="F88" s="3" t="s">
        <v>129</v>
      </c>
      <c r="G88" s="3" t="s">
        <v>82</v>
      </c>
      <c r="H88" s="3" t="s">
        <v>82</v>
      </c>
      <c r="I88" s="3" t="s">
        <v>317</v>
      </c>
      <c r="O88" s="3" t="s">
        <v>48</v>
      </c>
      <c r="R88" s="3" t="s">
        <v>117</v>
      </c>
      <c r="X88" s="3" t="s">
        <v>52</v>
      </c>
      <c r="Y88" s="3" t="s">
        <v>118</v>
      </c>
    </row>
    <row r="89">
      <c r="A89" s="3">
        <v>88.0</v>
      </c>
      <c r="B89" s="3" t="s">
        <v>40</v>
      </c>
      <c r="C89" s="3" t="s">
        <v>339</v>
      </c>
      <c r="D89" s="3">
        <v>2014.0</v>
      </c>
      <c r="E89" s="3" t="s">
        <v>340</v>
      </c>
      <c r="F89" s="3" t="s">
        <v>341</v>
      </c>
      <c r="G89" s="3" t="s">
        <v>44</v>
      </c>
      <c r="H89" s="3" t="s">
        <v>45</v>
      </c>
      <c r="I89" s="3" t="s">
        <v>46</v>
      </c>
      <c r="O89" s="3" t="s">
        <v>61</v>
      </c>
      <c r="P89" s="3" t="s">
        <v>48</v>
      </c>
      <c r="R89" s="3" t="s">
        <v>238</v>
      </c>
      <c r="T89" s="3" t="s">
        <v>47</v>
      </c>
      <c r="V89" s="3" t="s">
        <v>147</v>
      </c>
      <c r="X89" s="3" t="s">
        <v>52</v>
      </c>
      <c r="Y89" s="3" t="s">
        <v>235</v>
      </c>
      <c r="Z89" s="3" t="s">
        <v>51</v>
      </c>
      <c r="AA89" s="3" t="s">
        <v>64</v>
      </c>
    </row>
    <row r="90">
      <c r="A90" s="3">
        <v>89.0</v>
      </c>
      <c r="B90" s="3" t="s">
        <v>40</v>
      </c>
      <c r="C90" s="3" t="s">
        <v>342</v>
      </c>
      <c r="D90" s="3">
        <v>2012.0</v>
      </c>
      <c r="E90" s="3" t="s">
        <v>343</v>
      </c>
      <c r="F90" s="3" t="s">
        <v>123</v>
      </c>
      <c r="G90" s="3" t="s">
        <v>124</v>
      </c>
      <c r="H90" s="3" t="s">
        <v>124</v>
      </c>
      <c r="I90" s="3" t="s">
        <v>205</v>
      </c>
      <c r="O90" s="3" t="s">
        <v>61</v>
      </c>
      <c r="R90" s="3" t="s">
        <v>238</v>
      </c>
      <c r="S90" s="3" t="s">
        <v>111</v>
      </c>
      <c r="T90" s="3" t="s">
        <v>87</v>
      </c>
      <c r="X90" s="3" t="s">
        <v>52</v>
      </c>
      <c r="Y90" s="3" t="s">
        <v>235</v>
      </c>
      <c r="Z90" s="3" t="s">
        <v>51</v>
      </c>
    </row>
    <row r="91">
      <c r="A91" s="3">
        <v>90.0</v>
      </c>
      <c r="B91" s="3" t="s">
        <v>106</v>
      </c>
      <c r="C91" s="3" t="s">
        <v>344</v>
      </c>
      <c r="D91" s="3">
        <v>1996.0</v>
      </c>
      <c r="E91" s="3" t="s">
        <v>345</v>
      </c>
      <c r="F91" s="3" t="s">
        <v>109</v>
      </c>
      <c r="G91" s="3" t="s">
        <v>58</v>
      </c>
      <c r="I91" s="3" t="s">
        <v>110</v>
      </c>
      <c r="O91" s="3" t="s">
        <v>61</v>
      </c>
      <c r="R91" s="3" t="s">
        <v>346</v>
      </c>
      <c r="T91" s="3" t="s">
        <v>134</v>
      </c>
      <c r="X91" s="3" t="s">
        <v>52</v>
      </c>
      <c r="Y91" s="3" t="s">
        <v>235</v>
      </c>
      <c r="Z91" s="3" t="s">
        <v>53</v>
      </c>
    </row>
    <row r="92">
      <c r="A92" s="3">
        <v>91.0</v>
      </c>
      <c r="B92" s="3" t="s">
        <v>40</v>
      </c>
      <c r="C92" s="3" t="s">
        <v>347</v>
      </c>
      <c r="D92" s="3">
        <v>2012.0</v>
      </c>
      <c r="E92" s="3" t="s">
        <v>348</v>
      </c>
      <c r="F92" s="3" t="s">
        <v>233</v>
      </c>
      <c r="G92" s="3" t="s">
        <v>142</v>
      </c>
      <c r="H92" s="3" t="s">
        <v>142</v>
      </c>
      <c r="I92" s="3" t="s">
        <v>155</v>
      </c>
      <c r="O92" s="3" t="s">
        <v>61</v>
      </c>
      <c r="R92" s="3" t="s">
        <v>234</v>
      </c>
      <c r="T92" s="3" t="s">
        <v>62</v>
      </c>
      <c r="V92" s="3" t="s">
        <v>349</v>
      </c>
      <c r="X92" s="3" t="s">
        <v>52</v>
      </c>
      <c r="Y92" s="3" t="s">
        <v>235</v>
      </c>
      <c r="Z92" s="3" t="s">
        <v>64</v>
      </c>
      <c r="AA92" s="3" t="s">
        <v>51</v>
      </c>
    </row>
    <row r="93">
      <c r="A93" s="3">
        <v>92.0</v>
      </c>
      <c r="B93" s="3" t="s">
        <v>40</v>
      </c>
      <c r="C93" s="3" t="s">
        <v>350</v>
      </c>
      <c r="D93" s="3">
        <v>2007.0</v>
      </c>
      <c r="E93" s="3" t="s">
        <v>351</v>
      </c>
      <c r="F93" s="3" t="s">
        <v>43</v>
      </c>
      <c r="G93" s="3" t="s">
        <v>44</v>
      </c>
      <c r="H93" s="3" t="s">
        <v>45</v>
      </c>
      <c r="I93" s="3" t="s">
        <v>46</v>
      </c>
      <c r="O93" s="3" t="s">
        <v>61</v>
      </c>
      <c r="R93" s="3" t="s">
        <v>238</v>
      </c>
      <c r="T93" s="3" t="s">
        <v>147</v>
      </c>
      <c r="U93" s="3" t="s">
        <v>352</v>
      </c>
      <c r="V93" s="3" t="s">
        <v>49</v>
      </c>
      <c r="X93" s="3" t="s">
        <v>52</v>
      </c>
      <c r="Y93" s="3" t="s">
        <v>235</v>
      </c>
      <c r="Z93" s="3" t="s">
        <v>64</v>
      </c>
      <c r="AA93" s="3" t="s">
        <v>53</v>
      </c>
    </row>
    <row r="94">
      <c r="A94" s="3">
        <v>93.0</v>
      </c>
      <c r="B94" s="3" t="s">
        <v>106</v>
      </c>
      <c r="D94" s="3">
        <v>2017.0</v>
      </c>
      <c r="E94" s="3" t="s">
        <v>353</v>
      </c>
      <c r="F94" s="3" t="s">
        <v>123</v>
      </c>
      <c r="G94" s="3" t="s">
        <v>124</v>
      </c>
      <c r="I94" s="3" t="s">
        <v>155</v>
      </c>
      <c r="O94" s="3" t="s">
        <v>267</v>
      </c>
      <c r="R94" s="3" t="s">
        <v>238</v>
      </c>
      <c r="T94" s="3" t="s">
        <v>125</v>
      </c>
      <c r="X94" s="3" t="s">
        <v>52</v>
      </c>
      <c r="Y94" s="3" t="s">
        <v>235</v>
      </c>
      <c r="Z94" s="3" t="s">
        <v>64</v>
      </c>
    </row>
    <row r="95">
      <c r="A95" s="3">
        <v>94.0</v>
      </c>
      <c r="B95" s="3" t="s">
        <v>40</v>
      </c>
      <c r="C95" s="3" t="s">
        <v>354</v>
      </c>
      <c r="D95" s="3">
        <v>2007.0</v>
      </c>
      <c r="E95" s="3" t="s">
        <v>355</v>
      </c>
      <c r="F95" s="3" t="s">
        <v>356</v>
      </c>
      <c r="G95" s="3" t="s">
        <v>82</v>
      </c>
      <c r="H95" s="3" t="s">
        <v>82</v>
      </c>
      <c r="I95" s="3" t="s">
        <v>254</v>
      </c>
      <c r="O95" s="3" t="s">
        <v>48</v>
      </c>
      <c r="R95" s="3" t="s">
        <v>234</v>
      </c>
      <c r="S95" s="3" t="s">
        <v>352</v>
      </c>
      <c r="T95" s="3" t="s">
        <v>63</v>
      </c>
      <c r="V95" s="3" t="s">
        <v>70</v>
      </c>
      <c r="X95" s="3" t="s">
        <v>52</v>
      </c>
      <c r="Y95" s="3" t="s">
        <v>235</v>
      </c>
      <c r="Z95" s="3" t="s">
        <v>65</v>
      </c>
      <c r="AA95" s="3" t="s">
        <v>71</v>
      </c>
    </row>
    <row r="96">
      <c r="A96" s="3">
        <v>95.0</v>
      </c>
      <c r="B96" s="3" t="s">
        <v>106</v>
      </c>
      <c r="C96" s="3" t="s">
        <v>357</v>
      </c>
      <c r="D96" s="3">
        <v>2011.0</v>
      </c>
      <c r="E96" s="3" t="s">
        <v>358</v>
      </c>
      <c r="F96" s="3" t="s">
        <v>359</v>
      </c>
      <c r="G96" s="3" t="s">
        <v>91</v>
      </c>
      <c r="I96" s="3" t="s">
        <v>290</v>
      </c>
      <c r="J96" s="3" t="s">
        <v>173</v>
      </c>
      <c r="O96" s="3" t="s">
        <v>61</v>
      </c>
      <c r="R96" s="3" t="s">
        <v>234</v>
      </c>
      <c r="W96" s="3" t="s">
        <v>111</v>
      </c>
      <c r="X96" s="3" t="s">
        <v>52</v>
      </c>
      <c r="Y96" s="3" t="s">
        <v>235</v>
      </c>
      <c r="Z96" s="3" t="s">
        <v>143</v>
      </c>
      <c r="AB96" s="3" t="s">
        <v>51</v>
      </c>
    </row>
    <row r="97">
      <c r="A97" s="3">
        <v>96.0</v>
      </c>
      <c r="B97" s="3" t="s">
        <v>106</v>
      </c>
      <c r="D97" s="3">
        <v>1988.0</v>
      </c>
      <c r="E97" s="3" t="s">
        <v>360</v>
      </c>
      <c r="F97" s="3" t="s">
        <v>361</v>
      </c>
      <c r="G97" s="3" t="s">
        <v>44</v>
      </c>
      <c r="I97" s="3" t="s">
        <v>266</v>
      </c>
      <c r="O97" s="3" t="s">
        <v>247</v>
      </c>
      <c r="P97" s="3" t="s">
        <v>61</v>
      </c>
      <c r="Q97" s="3" t="s">
        <v>48</v>
      </c>
      <c r="R97" s="3" t="s">
        <v>238</v>
      </c>
      <c r="X97" s="3" t="s">
        <v>52</v>
      </c>
      <c r="Y97" s="3" t="s">
        <v>235</v>
      </c>
    </row>
    <row r="98">
      <c r="A98" s="3">
        <v>97.0</v>
      </c>
      <c r="B98" s="3" t="s">
        <v>106</v>
      </c>
      <c r="D98" s="3">
        <v>2019.0</v>
      </c>
      <c r="E98" s="3" t="s">
        <v>362</v>
      </c>
      <c r="F98" s="3" t="s">
        <v>123</v>
      </c>
      <c r="G98" s="3" t="s">
        <v>124</v>
      </c>
      <c r="I98" s="3" t="s">
        <v>155</v>
      </c>
      <c r="O98" s="3" t="s">
        <v>61</v>
      </c>
      <c r="R98" s="3" t="s">
        <v>238</v>
      </c>
      <c r="X98" s="3" t="s">
        <v>52</v>
      </c>
      <c r="Y98" s="3" t="s">
        <v>235</v>
      </c>
    </row>
    <row r="99">
      <c r="A99" s="3">
        <v>98.0</v>
      </c>
      <c r="B99" s="3" t="s">
        <v>40</v>
      </c>
      <c r="C99" s="3" t="s">
        <v>363</v>
      </c>
      <c r="D99" s="3">
        <v>1996.0</v>
      </c>
      <c r="E99" s="3" t="s">
        <v>364</v>
      </c>
      <c r="F99" s="3" t="s">
        <v>81</v>
      </c>
      <c r="G99" s="3" t="s">
        <v>82</v>
      </c>
      <c r="H99" s="3" t="s">
        <v>82</v>
      </c>
      <c r="I99" s="3" t="s">
        <v>254</v>
      </c>
      <c r="O99" s="3" t="s">
        <v>61</v>
      </c>
      <c r="P99" s="3" t="s">
        <v>48</v>
      </c>
      <c r="R99" s="3" t="s">
        <v>162</v>
      </c>
      <c r="T99" s="3" t="s">
        <v>352</v>
      </c>
      <c r="X99" s="3" t="s">
        <v>52</v>
      </c>
      <c r="Y99" s="3" t="s">
        <v>121</v>
      </c>
      <c r="Z99" s="3" t="s">
        <v>235</v>
      </c>
    </row>
    <row r="100">
      <c r="A100" s="3">
        <v>99.0</v>
      </c>
      <c r="B100" s="3" t="s">
        <v>40</v>
      </c>
      <c r="C100" s="3" t="s">
        <v>365</v>
      </c>
      <c r="D100" s="3">
        <v>1987.0</v>
      </c>
      <c r="E100" s="3" t="s">
        <v>366</v>
      </c>
      <c r="F100" s="3" t="s">
        <v>213</v>
      </c>
      <c r="G100" s="3" t="s">
        <v>58</v>
      </c>
      <c r="H100" s="3" t="s">
        <v>58</v>
      </c>
      <c r="I100" s="3" t="s">
        <v>69</v>
      </c>
      <c r="O100" s="3" t="s">
        <v>48</v>
      </c>
      <c r="R100" s="3" t="s">
        <v>260</v>
      </c>
      <c r="S100" s="3" t="s">
        <v>162</v>
      </c>
      <c r="X100" s="3" t="s">
        <v>52</v>
      </c>
      <c r="Y100" s="3" t="s">
        <v>121</v>
      </c>
      <c r="Z100" s="3" t="s">
        <v>78</v>
      </c>
    </row>
    <row r="101">
      <c r="A101" s="3">
        <v>100.0</v>
      </c>
      <c r="B101" s="3" t="s">
        <v>106</v>
      </c>
      <c r="C101" s="3" t="s">
        <v>367</v>
      </c>
      <c r="D101" s="3">
        <v>2011.0</v>
      </c>
      <c r="E101" s="3" t="s">
        <v>368</v>
      </c>
      <c r="F101" s="3" t="s">
        <v>220</v>
      </c>
      <c r="G101" s="3" t="s">
        <v>44</v>
      </c>
      <c r="I101" s="3" t="s">
        <v>46</v>
      </c>
      <c r="O101" s="3" t="s">
        <v>61</v>
      </c>
      <c r="R101" s="3" t="s">
        <v>162</v>
      </c>
      <c r="T101" s="3" t="s">
        <v>147</v>
      </c>
      <c r="W101" s="3" t="s">
        <v>111</v>
      </c>
      <c r="X101" s="3" t="s">
        <v>52</v>
      </c>
      <c r="Y101" s="3" t="s">
        <v>121</v>
      </c>
      <c r="Z101" s="3" t="s">
        <v>64</v>
      </c>
      <c r="AB101" s="3" t="s">
        <v>51</v>
      </c>
    </row>
    <row r="102">
      <c r="A102" s="3">
        <v>101.0</v>
      </c>
      <c r="B102" s="3" t="s">
        <v>106</v>
      </c>
      <c r="D102" s="3">
        <v>2002.0</v>
      </c>
      <c r="E102" s="3" t="s">
        <v>369</v>
      </c>
      <c r="F102" s="3" t="s">
        <v>361</v>
      </c>
      <c r="G102" s="3" t="s">
        <v>44</v>
      </c>
      <c r="I102" s="3" t="s">
        <v>46</v>
      </c>
      <c r="O102" s="3" t="s">
        <v>247</v>
      </c>
      <c r="P102" s="3" t="s">
        <v>61</v>
      </c>
      <c r="R102" s="3" t="s">
        <v>260</v>
      </c>
      <c r="T102" s="3" t="s">
        <v>125</v>
      </c>
      <c r="X102" s="3" t="s">
        <v>52</v>
      </c>
      <c r="Y102" s="3" t="s">
        <v>121</v>
      </c>
      <c r="Z102" s="3" t="s">
        <v>64</v>
      </c>
    </row>
    <row r="103">
      <c r="A103" s="3">
        <v>102.0</v>
      </c>
      <c r="B103" s="3" t="s">
        <v>40</v>
      </c>
      <c r="C103" s="3" t="s">
        <v>370</v>
      </c>
      <c r="D103" s="3">
        <v>2018.0</v>
      </c>
      <c r="E103" s="3" t="s">
        <v>371</v>
      </c>
      <c r="F103" s="3" t="s">
        <v>372</v>
      </c>
      <c r="G103" s="3" t="s">
        <v>101</v>
      </c>
      <c r="H103" s="3" t="s">
        <v>102</v>
      </c>
      <c r="I103" s="3" t="s">
        <v>110</v>
      </c>
      <c r="O103" s="3" t="s">
        <v>61</v>
      </c>
      <c r="R103" s="3" t="s">
        <v>87</v>
      </c>
      <c r="T103" s="3" t="s">
        <v>373</v>
      </c>
      <c r="V103" s="3" t="s">
        <v>134</v>
      </c>
      <c r="X103" s="3" t="s">
        <v>52</v>
      </c>
      <c r="Y103" s="3" t="s">
        <v>121</v>
      </c>
      <c r="Z103" s="3" t="s">
        <v>71</v>
      </c>
      <c r="AA103" s="3" t="s">
        <v>53</v>
      </c>
    </row>
    <row r="104">
      <c r="A104" s="3">
        <v>103.0</v>
      </c>
      <c r="B104" s="3" t="s">
        <v>40</v>
      </c>
      <c r="C104" s="3" t="s">
        <v>374</v>
      </c>
      <c r="D104" s="3">
        <v>2007.0</v>
      </c>
      <c r="E104" s="3" t="s">
        <v>375</v>
      </c>
      <c r="F104" s="3" t="s">
        <v>129</v>
      </c>
      <c r="G104" s="3" t="s">
        <v>82</v>
      </c>
      <c r="H104" s="3" t="s">
        <v>82</v>
      </c>
      <c r="I104" s="3" t="s">
        <v>314</v>
      </c>
      <c r="O104" s="3" t="s">
        <v>61</v>
      </c>
      <c r="P104" s="3" t="s">
        <v>48</v>
      </c>
      <c r="R104" s="3" t="s">
        <v>162</v>
      </c>
      <c r="T104" s="3" t="s">
        <v>70</v>
      </c>
      <c r="X104" s="3" t="s">
        <v>52</v>
      </c>
      <c r="Y104" s="3" t="s">
        <v>121</v>
      </c>
      <c r="Z104" s="3" t="s">
        <v>71</v>
      </c>
    </row>
    <row r="105">
      <c r="A105" s="3">
        <v>104.0</v>
      </c>
      <c r="B105" s="3" t="s">
        <v>40</v>
      </c>
      <c r="C105" s="3" t="s">
        <v>376</v>
      </c>
      <c r="D105" s="3">
        <v>2013.0</v>
      </c>
      <c r="E105" s="3" t="s">
        <v>377</v>
      </c>
      <c r="F105" s="3" t="s">
        <v>129</v>
      </c>
      <c r="G105" s="3" t="s">
        <v>82</v>
      </c>
      <c r="H105" s="3" t="s">
        <v>82</v>
      </c>
      <c r="I105" s="3" t="s">
        <v>314</v>
      </c>
      <c r="O105" s="3" t="s">
        <v>48</v>
      </c>
      <c r="X105" s="3" t="s">
        <v>52</v>
      </c>
      <c r="Y105" s="3" t="s">
        <v>121</v>
      </c>
      <c r="Z105" s="3" t="s">
        <v>71</v>
      </c>
    </row>
    <row r="106">
      <c r="A106" s="3">
        <v>105.0</v>
      </c>
      <c r="B106" s="3" t="s">
        <v>40</v>
      </c>
      <c r="C106" s="3" t="s">
        <v>378</v>
      </c>
      <c r="D106" s="3">
        <v>2001.0</v>
      </c>
      <c r="E106" s="3" t="s">
        <v>379</v>
      </c>
      <c r="F106" s="3" t="s">
        <v>81</v>
      </c>
      <c r="G106" s="3" t="s">
        <v>82</v>
      </c>
      <c r="H106" s="3" t="s">
        <v>82</v>
      </c>
      <c r="I106" s="3" t="s">
        <v>254</v>
      </c>
      <c r="O106" s="3" t="s">
        <v>61</v>
      </c>
      <c r="R106" s="3" t="s">
        <v>87</v>
      </c>
      <c r="X106" s="3" t="s">
        <v>52</v>
      </c>
      <c r="Y106" s="3" t="s">
        <v>121</v>
      </c>
    </row>
    <row r="107">
      <c r="A107" s="3">
        <v>106.0</v>
      </c>
      <c r="B107" s="3" t="s">
        <v>40</v>
      </c>
      <c r="C107" s="3" t="s">
        <v>380</v>
      </c>
      <c r="D107" s="3">
        <v>2009.0</v>
      </c>
      <c r="E107" s="3" t="s">
        <v>381</v>
      </c>
      <c r="F107" s="3" t="s">
        <v>201</v>
      </c>
      <c r="G107" s="3" t="s">
        <v>58</v>
      </c>
      <c r="H107" s="3" t="s">
        <v>58</v>
      </c>
      <c r="I107" s="3" t="s">
        <v>110</v>
      </c>
      <c r="O107" s="3" t="s">
        <v>61</v>
      </c>
      <c r="R107" s="3" t="s">
        <v>87</v>
      </c>
      <c r="X107" s="3" t="s">
        <v>52</v>
      </c>
      <c r="Y107" s="3" t="s">
        <v>121</v>
      </c>
    </row>
    <row r="108">
      <c r="A108" s="3">
        <v>107.0</v>
      </c>
      <c r="B108" s="3" t="s">
        <v>40</v>
      </c>
      <c r="C108" s="3" t="s">
        <v>382</v>
      </c>
      <c r="D108" s="3">
        <v>2004.0</v>
      </c>
      <c r="E108" s="3" t="s">
        <v>383</v>
      </c>
      <c r="F108" s="3" t="s">
        <v>129</v>
      </c>
      <c r="G108" s="3" t="s">
        <v>82</v>
      </c>
      <c r="H108" s="3" t="s">
        <v>82</v>
      </c>
      <c r="I108" s="3" t="s">
        <v>384</v>
      </c>
      <c r="O108" s="3" t="s">
        <v>247</v>
      </c>
      <c r="R108" s="3" t="s">
        <v>385</v>
      </c>
      <c r="T108" s="3" t="s">
        <v>162</v>
      </c>
      <c r="V108" s="3" t="s">
        <v>147</v>
      </c>
      <c r="X108" s="3" t="s">
        <v>52</v>
      </c>
      <c r="Y108" s="3" t="s">
        <v>54</v>
      </c>
      <c r="Z108" s="3" t="s">
        <v>121</v>
      </c>
      <c r="AA108" s="3" t="s">
        <v>64</v>
      </c>
      <c r="AB108" s="3" t="s">
        <v>78</v>
      </c>
    </row>
    <row r="109">
      <c r="A109" s="3">
        <v>108.0</v>
      </c>
      <c r="B109" s="3" t="s">
        <v>40</v>
      </c>
      <c r="C109" s="3" t="s">
        <v>386</v>
      </c>
      <c r="D109" s="3">
        <v>2019.0</v>
      </c>
      <c r="E109" s="3" t="s">
        <v>387</v>
      </c>
      <c r="F109" s="3" t="s">
        <v>68</v>
      </c>
      <c r="G109" s="3" t="s">
        <v>58</v>
      </c>
      <c r="H109" s="3" t="s">
        <v>58</v>
      </c>
      <c r="I109" s="3" t="s">
        <v>110</v>
      </c>
      <c r="J109" s="3" t="s">
        <v>96</v>
      </c>
      <c r="K109" s="3" t="s">
        <v>388</v>
      </c>
      <c r="L109" s="3" t="s">
        <v>287</v>
      </c>
      <c r="M109" s="3" t="s">
        <v>76</v>
      </c>
      <c r="N109" s="3" t="s">
        <v>69</v>
      </c>
      <c r="O109" s="3" t="s">
        <v>61</v>
      </c>
      <c r="R109" s="3" t="s">
        <v>50</v>
      </c>
      <c r="S109" s="3" t="s">
        <v>385</v>
      </c>
      <c r="T109" s="3" t="s">
        <v>62</v>
      </c>
      <c r="V109" s="3" t="s">
        <v>143</v>
      </c>
      <c r="X109" s="3" t="s">
        <v>52</v>
      </c>
      <c r="Y109" s="3" t="s">
        <v>54</v>
      </c>
      <c r="Z109" s="3" t="s">
        <v>64</v>
      </c>
      <c r="AA109" s="3" t="s">
        <v>53</v>
      </c>
    </row>
    <row r="110">
      <c r="A110" s="3">
        <v>109.0</v>
      </c>
      <c r="B110" s="3" t="s">
        <v>40</v>
      </c>
      <c r="C110" s="3" t="s">
        <v>389</v>
      </c>
      <c r="D110" s="3">
        <v>1991.0</v>
      </c>
      <c r="E110" s="3" t="s">
        <v>390</v>
      </c>
      <c r="F110" s="3" t="s">
        <v>391</v>
      </c>
      <c r="G110" s="3" t="s">
        <v>58</v>
      </c>
      <c r="H110" s="3" t="s">
        <v>58</v>
      </c>
      <c r="I110" s="3" t="s">
        <v>110</v>
      </c>
      <c r="O110" s="3" t="s">
        <v>61</v>
      </c>
      <c r="P110" s="3" t="s">
        <v>247</v>
      </c>
      <c r="R110" s="3" t="s">
        <v>392</v>
      </c>
      <c r="T110" s="3" t="s">
        <v>63</v>
      </c>
      <c r="W110" s="3" t="s">
        <v>147</v>
      </c>
      <c r="X110" s="3" t="s">
        <v>52</v>
      </c>
      <c r="Y110" s="3" t="s">
        <v>54</v>
      </c>
      <c r="Z110" s="3" t="s">
        <v>65</v>
      </c>
      <c r="AB110" s="3" t="s">
        <v>64</v>
      </c>
    </row>
    <row r="111">
      <c r="A111" s="3">
        <v>110.0</v>
      </c>
      <c r="B111" s="3" t="s">
        <v>55</v>
      </c>
      <c r="D111" s="3">
        <v>1991.0</v>
      </c>
      <c r="E111" s="3" t="s">
        <v>393</v>
      </c>
      <c r="F111" s="3" t="s">
        <v>57</v>
      </c>
      <c r="G111" s="3" t="s">
        <v>58</v>
      </c>
      <c r="H111" s="3" t="s">
        <v>58</v>
      </c>
      <c r="I111" s="3" t="s">
        <v>69</v>
      </c>
      <c r="O111" s="3" t="s">
        <v>61</v>
      </c>
      <c r="R111" s="3" t="s">
        <v>244</v>
      </c>
      <c r="T111" s="3" t="s">
        <v>63</v>
      </c>
      <c r="X111" s="3" t="s">
        <v>52</v>
      </c>
      <c r="Y111" s="3" t="s">
        <v>54</v>
      </c>
      <c r="Z111" s="3" t="s">
        <v>65</v>
      </c>
    </row>
    <row r="112">
      <c r="A112" s="3">
        <v>111.0</v>
      </c>
      <c r="B112" s="3" t="s">
        <v>40</v>
      </c>
      <c r="C112" s="3" t="s">
        <v>394</v>
      </c>
      <c r="D112" s="3">
        <v>1986.0</v>
      </c>
      <c r="E112" s="3" t="s">
        <v>395</v>
      </c>
      <c r="F112" s="3" t="s">
        <v>113</v>
      </c>
      <c r="G112" s="3" t="s">
        <v>44</v>
      </c>
      <c r="H112" s="3" t="s">
        <v>45</v>
      </c>
      <c r="I112" s="3" t="s">
        <v>138</v>
      </c>
      <c r="O112" s="3" t="s">
        <v>61</v>
      </c>
      <c r="R112" s="3" t="s">
        <v>50</v>
      </c>
      <c r="X112" s="3" t="s">
        <v>52</v>
      </c>
      <c r="Y112" s="3" t="s">
        <v>54</v>
      </c>
    </row>
    <row r="113">
      <c r="A113" s="3">
        <v>112.0</v>
      </c>
      <c r="B113" s="3" t="s">
        <v>40</v>
      </c>
      <c r="C113" s="3" t="s">
        <v>396</v>
      </c>
      <c r="D113" s="3">
        <v>1995.0</v>
      </c>
      <c r="E113" s="3" t="s">
        <v>397</v>
      </c>
      <c r="F113" s="3" t="s">
        <v>95</v>
      </c>
      <c r="G113" s="3" t="s">
        <v>58</v>
      </c>
      <c r="H113" s="3" t="s">
        <v>58</v>
      </c>
      <c r="I113" s="3" t="s">
        <v>69</v>
      </c>
      <c r="O113" s="3" t="s">
        <v>61</v>
      </c>
      <c r="R113" s="3" t="s">
        <v>244</v>
      </c>
      <c r="X113" s="3" t="s">
        <v>52</v>
      </c>
      <c r="Y113" s="3" t="s">
        <v>54</v>
      </c>
    </row>
    <row r="114">
      <c r="A114" s="3">
        <v>113.0</v>
      </c>
      <c r="B114" s="3" t="s">
        <v>40</v>
      </c>
      <c r="C114" s="3" t="s">
        <v>398</v>
      </c>
      <c r="D114" s="3">
        <v>1995.0</v>
      </c>
      <c r="E114" s="3" t="s">
        <v>399</v>
      </c>
      <c r="F114" s="3" t="s">
        <v>356</v>
      </c>
      <c r="G114" s="3" t="s">
        <v>82</v>
      </c>
      <c r="H114" s="3" t="s">
        <v>82</v>
      </c>
      <c r="I114" s="3" t="s">
        <v>317</v>
      </c>
      <c r="O114" s="3" t="s">
        <v>48</v>
      </c>
      <c r="X114" s="3" t="s">
        <v>52</v>
      </c>
      <c r="Y114" s="3" t="s">
        <v>54</v>
      </c>
    </row>
    <row r="115">
      <c r="A115" s="3">
        <v>114.0</v>
      </c>
      <c r="B115" s="3" t="s">
        <v>40</v>
      </c>
      <c r="C115" s="3" t="s">
        <v>400</v>
      </c>
      <c r="D115" s="3">
        <v>2003.0</v>
      </c>
      <c r="E115" s="3" t="s">
        <v>401</v>
      </c>
      <c r="F115" s="3" t="s">
        <v>129</v>
      </c>
      <c r="G115" s="3" t="s">
        <v>82</v>
      </c>
      <c r="H115" s="3" t="s">
        <v>82</v>
      </c>
      <c r="I115" s="3" t="s">
        <v>384</v>
      </c>
      <c r="O115" s="3" t="s">
        <v>247</v>
      </c>
      <c r="R115" s="3" t="s">
        <v>385</v>
      </c>
      <c r="X115" s="3" t="s">
        <v>52</v>
      </c>
      <c r="Y115" s="3" t="s">
        <v>54</v>
      </c>
    </row>
    <row r="116">
      <c r="A116" s="3">
        <v>115.0</v>
      </c>
      <c r="B116" s="3" t="s">
        <v>40</v>
      </c>
      <c r="C116" s="3" t="s">
        <v>402</v>
      </c>
      <c r="D116" s="3">
        <v>2004.0</v>
      </c>
      <c r="E116" s="3" t="s">
        <v>403</v>
      </c>
      <c r="F116" s="3" t="s">
        <v>129</v>
      </c>
      <c r="G116" s="3" t="s">
        <v>82</v>
      </c>
      <c r="H116" s="3" t="s">
        <v>82</v>
      </c>
      <c r="I116" s="3" t="s">
        <v>83</v>
      </c>
      <c r="O116" s="3" t="s">
        <v>61</v>
      </c>
      <c r="R116" s="3" t="s">
        <v>244</v>
      </c>
      <c r="X116" s="3" t="s">
        <v>52</v>
      </c>
      <c r="Y116" s="3" t="s">
        <v>54</v>
      </c>
    </row>
    <row r="117">
      <c r="A117" s="3">
        <v>116.0</v>
      </c>
      <c r="B117" s="3" t="s">
        <v>40</v>
      </c>
      <c r="C117" s="3" t="s">
        <v>404</v>
      </c>
      <c r="D117" s="3">
        <v>2009.0</v>
      </c>
      <c r="E117" s="3" t="s">
        <v>405</v>
      </c>
      <c r="F117" s="3" t="s">
        <v>356</v>
      </c>
      <c r="G117" s="3" t="s">
        <v>82</v>
      </c>
      <c r="H117" s="3" t="s">
        <v>82</v>
      </c>
      <c r="I117" s="3" t="s">
        <v>317</v>
      </c>
      <c r="O117" s="3" t="s">
        <v>48</v>
      </c>
      <c r="R117" s="3" t="s">
        <v>244</v>
      </c>
      <c r="X117" s="3" t="s">
        <v>52</v>
      </c>
      <c r="Y117" s="3" t="s">
        <v>54</v>
      </c>
    </row>
    <row r="118">
      <c r="A118" s="3">
        <v>117.0</v>
      </c>
      <c r="B118" s="3" t="s">
        <v>40</v>
      </c>
      <c r="C118" s="3" t="s">
        <v>406</v>
      </c>
      <c r="D118" s="3">
        <v>2015.0</v>
      </c>
      <c r="E118" s="3" t="s">
        <v>407</v>
      </c>
      <c r="F118" s="3" t="s">
        <v>129</v>
      </c>
      <c r="G118" s="3" t="s">
        <v>82</v>
      </c>
      <c r="H118" s="3" t="s">
        <v>82</v>
      </c>
      <c r="I118" s="3" t="s">
        <v>314</v>
      </c>
      <c r="O118" s="3" t="s">
        <v>48</v>
      </c>
      <c r="R118" s="3" t="s">
        <v>244</v>
      </c>
      <c r="X118" s="3" t="s">
        <v>52</v>
      </c>
      <c r="Y118" s="3" t="s">
        <v>54</v>
      </c>
    </row>
    <row r="119">
      <c r="A119" s="3">
        <v>118.0</v>
      </c>
      <c r="B119" s="3" t="s">
        <v>55</v>
      </c>
      <c r="D119" s="3">
        <v>1995.0</v>
      </c>
      <c r="E119" s="3" t="s">
        <v>408</v>
      </c>
      <c r="F119" s="3" t="s">
        <v>409</v>
      </c>
      <c r="G119" s="3" t="s">
        <v>58</v>
      </c>
      <c r="H119" s="3" t="s">
        <v>58</v>
      </c>
      <c r="I119" s="3" t="s">
        <v>286</v>
      </c>
      <c r="O119" s="3" t="s">
        <v>61</v>
      </c>
      <c r="R119" s="3" t="s">
        <v>50</v>
      </c>
      <c r="X119" s="3" t="s">
        <v>52</v>
      </c>
      <c r="Y119" s="3" t="s">
        <v>54</v>
      </c>
    </row>
    <row r="120">
      <c r="A120" s="3">
        <v>119.0</v>
      </c>
      <c r="B120" s="3" t="s">
        <v>55</v>
      </c>
      <c r="D120" s="3">
        <v>1995.0</v>
      </c>
      <c r="E120" s="3" t="s">
        <v>410</v>
      </c>
      <c r="F120" s="3" t="s">
        <v>68</v>
      </c>
      <c r="G120" s="3" t="s">
        <v>58</v>
      </c>
      <c r="H120" s="3" t="s">
        <v>58</v>
      </c>
      <c r="I120" s="3" t="s">
        <v>76</v>
      </c>
      <c r="O120" s="3" t="s">
        <v>61</v>
      </c>
      <c r="R120" s="3" t="s">
        <v>77</v>
      </c>
      <c r="X120" s="3" t="s">
        <v>52</v>
      </c>
      <c r="Y120" s="3" t="s">
        <v>54</v>
      </c>
    </row>
    <row r="121">
      <c r="A121" s="3">
        <v>120.0</v>
      </c>
      <c r="B121" s="3" t="s">
        <v>55</v>
      </c>
      <c r="D121" s="3">
        <v>1999.0</v>
      </c>
      <c r="E121" s="3" t="s">
        <v>411</v>
      </c>
      <c r="F121" s="3" t="s">
        <v>57</v>
      </c>
      <c r="G121" s="3" t="s">
        <v>58</v>
      </c>
      <c r="H121" s="3" t="s">
        <v>58</v>
      </c>
      <c r="I121" s="3" t="s">
        <v>286</v>
      </c>
      <c r="O121" s="3" t="s">
        <v>61</v>
      </c>
      <c r="R121" s="3" t="s">
        <v>50</v>
      </c>
      <c r="X121" s="3" t="s">
        <v>52</v>
      </c>
      <c r="Y121" s="3" t="s">
        <v>54</v>
      </c>
    </row>
    <row r="122">
      <c r="A122" s="3">
        <v>121.0</v>
      </c>
      <c r="B122" s="3" t="s">
        <v>55</v>
      </c>
      <c r="D122" s="3">
        <v>2009.0</v>
      </c>
      <c r="E122" s="3" t="s">
        <v>412</v>
      </c>
      <c r="F122" s="3" t="s">
        <v>356</v>
      </c>
      <c r="G122" s="3" t="s">
        <v>82</v>
      </c>
      <c r="H122" s="3" t="s">
        <v>82</v>
      </c>
      <c r="I122" s="3" t="s">
        <v>317</v>
      </c>
      <c r="O122" s="3" t="s">
        <v>48</v>
      </c>
      <c r="R122" s="3" t="s">
        <v>244</v>
      </c>
      <c r="X122" s="3" t="s">
        <v>52</v>
      </c>
      <c r="Y122" s="3" t="s">
        <v>54</v>
      </c>
    </row>
    <row r="123">
      <c r="A123" s="3">
        <v>122.0</v>
      </c>
      <c r="B123" s="3" t="s">
        <v>40</v>
      </c>
      <c r="C123" s="3" t="s">
        <v>413</v>
      </c>
      <c r="D123" s="3">
        <v>2001.0</v>
      </c>
      <c r="E123" s="3" t="s">
        <v>414</v>
      </c>
      <c r="F123" s="3" t="s">
        <v>57</v>
      </c>
      <c r="G123" s="3" t="s">
        <v>58</v>
      </c>
      <c r="H123" s="3" t="s">
        <v>58</v>
      </c>
      <c r="I123" s="3" t="s">
        <v>286</v>
      </c>
      <c r="O123" s="3" t="s">
        <v>61</v>
      </c>
      <c r="R123" s="3" t="s">
        <v>49</v>
      </c>
      <c r="T123" s="3" t="s">
        <v>60</v>
      </c>
      <c r="U123" s="3" t="s">
        <v>47</v>
      </c>
      <c r="V123" s="3" t="s">
        <v>50</v>
      </c>
      <c r="W123" s="3" t="s">
        <v>147</v>
      </c>
      <c r="X123" s="3" t="s">
        <v>52</v>
      </c>
      <c r="Y123" s="3" t="s">
        <v>53</v>
      </c>
      <c r="Z123" s="3" t="s">
        <v>51</v>
      </c>
      <c r="AA123" s="3" t="s">
        <v>54</v>
      </c>
      <c r="AB123" s="3" t="s">
        <v>64</v>
      </c>
    </row>
    <row r="124">
      <c r="A124" s="3">
        <v>123.0</v>
      </c>
      <c r="B124" s="3" t="s">
        <v>40</v>
      </c>
      <c r="C124" s="3" t="s">
        <v>415</v>
      </c>
      <c r="D124" s="3">
        <v>2020.0</v>
      </c>
      <c r="E124" s="3" t="s">
        <v>416</v>
      </c>
      <c r="F124" s="3" t="s">
        <v>123</v>
      </c>
      <c r="G124" s="3" t="s">
        <v>124</v>
      </c>
      <c r="H124" s="3" t="s">
        <v>124</v>
      </c>
      <c r="I124" s="3" t="s">
        <v>110</v>
      </c>
      <c r="J124" s="3" t="s">
        <v>155</v>
      </c>
      <c r="K124" s="3" t="s">
        <v>205</v>
      </c>
      <c r="O124" s="3" t="s">
        <v>61</v>
      </c>
      <c r="P124" s="3" t="s">
        <v>247</v>
      </c>
      <c r="R124" s="3" t="s">
        <v>49</v>
      </c>
      <c r="T124" s="3" t="s">
        <v>238</v>
      </c>
      <c r="V124" s="3" t="s">
        <v>117</v>
      </c>
      <c r="X124" s="3" t="s">
        <v>52</v>
      </c>
      <c r="Y124" s="3" t="s">
        <v>53</v>
      </c>
      <c r="Z124" s="3" t="s">
        <v>235</v>
      </c>
      <c r="AA124" s="3" t="s">
        <v>118</v>
      </c>
    </row>
    <row r="125">
      <c r="A125" s="3">
        <v>124.0</v>
      </c>
      <c r="B125" s="3" t="s">
        <v>40</v>
      </c>
      <c r="C125" s="3" t="s">
        <v>417</v>
      </c>
      <c r="D125" s="3">
        <v>1995.0</v>
      </c>
      <c r="E125" s="3" t="s">
        <v>418</v>
      </c>
      <c r="F125" s="3" t="s">
        <v>57</v>
      </c>
      <c r="G125" s="3" t="s">
        <v>58</v>
      </c>
      <c r="H125" s="3" t="s">
        <v>58</v>
      </c>
      <c r="I125" s="3" t="s">
        <v>286</v>
      </c>
      <c r="O125" s="3" t="s">
        <v>61</v>
      </c>
      <c r="P125" s="3" t="s">
        <v>48</v>
      </c>
      <c r="R125" s="3" t="s">
        <v>49</v>
      </c>
      <c r="T125" s="3" t="s">
        <v>50</v>
      </c>
      <c r="U125" s="3" t="s">
        <v>77</v>
      </c>
      <c r="X125" s="3" t="s">
        <v>52</v>
      </c>
      <c r="Y125" s="3" t="s">
        <v>53</v>
      </c>
      <c r="Z125" s="3" t="s">
        <v>54</v>
      </c>
    </row>
    <row r="126">
      <c r="A126" s="3">
        <v>125.0</v>
      </c>
      <c r="B126" s="3" t="s">
        <v>40</v>
      </c>
      <c r="C126" s="3" t="s">
        <v>419</v>
      </c>
      <c r="D126" s="3">
        <v>2009.0</v>
      </c>
      <c r="E126" s="3" t="s">
        <v>420</v>
      </c>
      <c r="F126" s="3" t="s">
        <v>328</v>
      </c>
      <c r="G126" s="3" t="s">
        <v>124</v>
      </c>
      <c r="H126" s="3" t="s">
        <v>124</v>
      </c>
      <c r="I126" s="3" t="s">
        <v>155</v>
      </c>
      <c r="O126" s="3" t="s">
        <v>61</v>
      </c>
      <c r="R126" s="3" t="s">
        <v>49</v>
      </c>
      <c r="X126" s="3" t="s">
        <v>52</v>
      </c>
      <c r="Y126" s="3" t="s">
        <v>53</v>
      </c>
      <c r="Z126" s="3" t="s">
        <v>78</v>
      </c>
    </row>
    <row r="127">
      <c r="A127" s="3">
        <v>126.0</v>
      </c>
      <c r="B127" s="3" t="s">
        <v>40</v>
      </c>
      <c r="C127" s="3" t="s">
        <v>421</v>
      </c>
      <c r="D127" s="3">
        <v>2010.0</v>
      </c>
      <c r="E127" s="3" t="s">
        <v>422</v>
      </c>
      <c r="F127" s="3" t="s">
        <v>57</v>
      </c>
      <c r="G127" s="3" t="s">
        <v>58</v>
      </c>
      <c r="H127" s="3" t="s">
        <v>58</v>
      </c>
      <c r="I127" s="3" t="s">
        <v>110</v>
      </c>
      <c r="O127" s="3" t="s">
        <v>61</v>
      </c>
      <c r="R127" s="3" t="s">
        <v>49</v>
      </c>
      <c r="S127" s="3" t="s">
        <v>134</v>
      </c>
      <c r="T127" s="3" t="s">
        <v>147</v>
      </c>
      <c r="U127" s="3" t="s">
        <v>62</v>
      </c>
      <c r="X127" s="3" t="s">
        <v>52</v>
      </c>
      <c r="Y127" s="3" t="s">
        <v>53</v>
      </c>
      <c r="Z127" s="3" t="s">
        <v>64</v>
      </c>
    </row>
    <row r="128">
      <c r="A128" s="3">
        <v>127.0</v>
      </c>
      <c r="B128" s="3" t="s">
        <v>40</v>
      </c>
      <c r="C128" s="3" t="s">
        <v>423</v>
      </c>
      <c r="D128" s="3">
        <v>2018.0</v>
      </c>
      <c r="E128" s="6" t="s">
        <v>424</v>
      </c>
      <c r="F128" s="3" t="s">
        <v>201</v>
      </c>
      <c r="G128" s="3" t="s">
        <v>58</v>
      </c>
      <c r="H128" s="3" t="s">
        <v>58</v>
      </c>
      <c r="I128" s="3" t="s">
        <v>110</v>
      </c>
      <c r="O128" s="3" t="s">
        <v>61</v>
      </c>
      <c r="R128" s="3" t="s">
        <v>143</v>
      </c>
      <c r="T128" s="3" t="s">
        <v>87</v>
      </c>
      <c r="X128" s="3" t="s">
        <v>52</v>
      </c>
      <c r="Y128" s="3" t="s">
        <v>53</v>
      </c>
      <c r="Z128" s="3" t="s">
        <v>64</v>
      </c>
    </row>
    <row r="129">
      <c r="A129" s="3">
        <v>128.0</v>
      </c>
      <c r="B129" s="3" t="s">
        <v>106</v>
      </c>
      <c r="D129" s="3">
        <v>2016.0</v>
      </c>
      <c r="E129" s="3" t="s">
        <v>425</v>
      </c>
      <c r="F129" s="3" t="s">
        <v>123</v>
      </c>
      <c r="G129" s="3" t="s">
        <v>124</v>
      </c>
      <c r="I129" s="3" t="s">
        <v>266</v>
      </c>
      <c r="O129" s="3" t="s">
        <v>247</v>
      </c>
      <c r="P129" s="3" t="s">
        <v>267</v>
      </c>
      <c r="R129" s="3" t="s">
        <v>49</v>
      </c>
      <c r="T129" s="3" t="s">
        <v>125</v>
      </c>
      <c r="X129" s="3" t="s">
        <v>52</v>
      </c>
      <c r="Y129" s="3" t="s">
        <v>53</v>
      </c>
      <c r="Z129" s="3" t="s">
        <v>64</v>
      </c>
    </row>
    <row r="130">
      <c r="A130" s="3">
        <v>129.0</v>
      </c>
      <c r="B130" s="3" t="s">
        <v>106</v>
      </c>
      <c r="D130" s="3">
        <v>2020.0</v>
      </c>
      <c r="E130" s="3" t="s">
        <v>426</v>
      </c>
      <c r="F130" s="3" t="s">
        <v>427</v>
      </c>
      <c r="G130" s="3" t="s">
        <v>142</v>
      </c>
      <c r="I130" s="3" t="s">
        <v>110</v>
      </c>
      <c r="O130" s="3" t="s">
        <v>61</v>
      </c>
      <c r="R130" s="3" t="s">
        <v>134</v>
      </c>
      <c r="T130" s="3" t="s">
        <v>147</v>
      </c>
      <c r="U130" s="3" t="s">
        <v>62</v>
      </c>
      <c r="X130" s="3" t="s">
        <v>52</v>
      </c>
      <c r="Y130" s="3" t="s">
        <v>53</v>
      </c>
      <c r="Z130" s="3" t="s">
        <v>64</v>
      </c>
    </row>
    <row r="131">
      <c r="A131" s="3">
        <v>130.0</v>
      </c>
      <c r="B131" s="3" t="s">
        <v>55</v>
      </c>
      <c r="D131" s="3">
        <v>1993.0</v>
      </c>
      <c r="E131" s="3" t="s">
        <v>428</v>
      </c>
      <c r="F131" s="3" t="s">
        <v>57</v>
      </c>
      <c r="G131" s="3" t="s">
        <v>58</v>
      </c>
      <c r="H131" s="3" t="s">
        <v>58</v>
      </c>
      <c r="I131" s="3" t="s">
        <v>69</v>
      </c>
      <c r="O131" s="3" t="s">
        <v>61</v>
      </c>
      <c r="R131" s="3" t="s">
        <v>134</v>
      </c>
      <c r="T131" s="3" t="s">
        <v>63</v>
      </c>
      <c r="X131" s="3" t="s">
        <v>52</v>
      </c>
      <c r="Y131" s="3" t="s">
        <v>53</v>
      </c>
      <c r="Z131" s="3" t="s">
        <v>65</v>
      </c>
    </row>
    <row r="132">
      <c r="A132" s="3">
        <v>131.0</v>
      </c>
      <c r="B132" s="3" t="s">
        <v>40</v>
      </c>
      <c r="C132" s="3" t="s">
        <v>429</v>
      </c>
      <c r="D132" s="3">
        <v>1993.0</v>
      </c>
      <c r="E132" s="3" t="s">
        <v>430</v>
      </c>
      <c r="F132" s="3" t="s">
        <v>187</v>
      </c>
      <c r="G132" s="3" t="s">
        <v>58</v>
      </c>
      <c r="H132" s="3" t="s">
        <v>58</v>
      </c>
      <c r="I132" s="3" t="s">
        <v>110</v>
      </c>
      <c r="O132" s="3" t="s">
        <v>247</v>
      </c>
      <c r="R132" s="3" t="s">
        <v>134</v>
      </c>
      <c r="X132" s="3" t="s">
        <v>52</v>
      </c>
      <c r="Y132" s="3" t="s">
        <v>53</v>
      </c>
    </row>
    <row r="133">
      <c r="A133" s="3">
        <v>132.0</v>
      </c>
      <c r="B133" s="3" t="s">
        <v>40</v>
      </c>
      <c r="C133" s="3" t="s">
        <v>431</v>
      </c>
      <c r="D133" s="3">
        <v>2012.0</v>
      </c>
      <c r="E133" s="3" t="s">
        <v>432</v>
      </c>
      <c r="F133" s="3" t="s">
        <v>433</v>
      </c>
      <c r="G133" s="3" t="s">
        <v>44</v>
      </c>
      <c r="H133" s="3" t="s">
        <v>45</v>
      </c>
      <c r="I133" s="3" t="s">
        <v>46</v>
      </c>
      <c r="O133" s="3" t="s">
        <v>61</v>
      </c>
      <c r="R133" s="3" t="s">
        <v>49</v>
      </c>
      <c r="X133" s="3" t="s">
        <v>52</v>
      </c>
      <c r="Y133" s="3" t="s">
        <v>53</v>
      </c>
    </row>
    <row r="134">
      <c r="A134" s="3">
        <v>133.0</v>
      </c>
      <c r="B134" s="3" t="s">
        <v>40</v>
      </c>
      <c r="C134" s="3" t="s">
        <v>434</v>
      </c>
      <c r="D134" s="3">
        <v>2013.0</v>
      </c>
      <c r="E134" s="3" t="s">
        <v>435</v>
      </c>
      <c r="F134" s="3" t="s">
        <v>436</v>
      </c>
      <c r="G134" s="3" t="s">
        <v>58</v>
      </c>
      <c r="H134" s="3" t="s">
        <v>58</v>
      </c>
      <c r="I134" s="3" t="s">
        <v>104</v>
      </c>
      <c r="O134" s="3" t="s">
        <v>61</v>
      </c>
      <c r="R134" s="3" t="s">
        <v>250</v>
      </c>
      <c r="X134" s="3" t="s">
        <v>52</v>
      </c>
      <c r="Y134" s="3" t="s">
        <v>53</v>
      </c>
    </row>
    <row r="135">
      <c r="A135" s="3">
        <v>134.0</v>
      </c>
      <c r="B135" s="3" t="s">
        <v>40</v>
      </c>
      <c r="C135" s="3" t="s">
        <v>437</v>
      </c>
      <c r="D135" s="3">
        <v>2015.0</v>
      </c>
      <c r="E135" s="3" t="s">
        <v>438</v>
      </c>
      <c r="F135" s="3" t="s">
        <v>129</v>
      </c>
      <c r="G135" s="3" t="s">
        <v>82</v>
      </c>
      <c r="H135" s="3" t="s">
        <v>82</v>
      </c>
      <c r="I135" s="3" t="s">
        <v>314</v>
      </c>
      <c r="O135" s="3" t="s">
        <v>48</v>
      </c>
      <c r="R135" s="3" t="s">
        <v>250</v>
      </c>
      <c r="X135" s="3" t="s">
        <v>52</v>
      </c>
      <c r="Y135" s="3" t="s">
        <v>53</v>
      </c>
    </row>
    <row r="136">
      <c r="A136" s="3">
        <v>135.0</v>
      </c>
      <c r="B136" s="3" t="s">
        <v>40</v>
      </c>
      <c r="C136" s="3" t="s">
        <v>439</v>
      </c>
      <c r="D136" s="3">
        <v>2018.0</v>
      </c>
      <c r="E136" s="3" t="s">
        <v>440</v>
      </c>
      <c r="F136" s="3" t="s">
        <v>441</v>
      </c>
      <c r="G136" s="3" t="s">
        <v>101</v>
      </c>
      <c r="H136" s="3" t="s">
        <v>102</v>
      </c>
      <c r="I136" s="3" t="s">
        <v>205</v>
      </c>
      <c r="O136" s="3" t="s">
        <v>61</v>
      </c>
      <c r="R136" s="3" t="s">
        <v>134</v>
      </c>
      <c r="X136" s="3" t="s">
        <v>52</v>
      </c>
      <c r="Y136" s="3" t="s">
        <v>53</v>
      </c>
    </row>
    <row r="137">
      <c r="A137" s="3">
        <v>136.0</v>
      </c>
      <c r="B137" s="3" t="s">
        <v>106</v>
      </c>
      <c r="D137" s="3">
        <v>1987.0</v>
      </c>
      <c r="E137" s="3" t="s">
        <v>442</v>
      </c>
      <c r="F137" s="3" t="s">
        <v>158</v>
      </c>
      <c r="G137" s="3" t="s">
        <v>58</v>
      </c>
      <c r="I137" s="3" t="s">
        <v>110</v>
      </c>
      <c r="O137" s="3" t="s">
        <v>61</v>
      </c>
      <c r="R137" s="3" t="s">
        <v>49</v>
      </c>
      <c r="X137" s="3" t="s">
        <v>52</v>
      </c>
      <c r="Y137" s="3" t="s">
        <v>53</v>
      </c>
    </row>
    <row r="138">
      <c r="A138" s="3">
        <v>137.0</v>
      </c>
      <c r="B138" s="3" t="s">
        <v>55</v>
      </c>
      <c r="D138" s="3">
        <v>1989.0</v>
      </c>
      <c r="E138" s="3" t="s">
        <v>443</v>
      </c>
      <c r="F138" s="3" t="s">
        <v>444</v>
      </c>
      <c r="G138" s="3" t="s">
        <v>44</v>
      </c>
      <c r="H138" s="3" t="s">
        <v>45</v>
      </c>
      <c r="I138" s="3" t="s">
        <v>83</v>
      </c>
      <c r="J138" s="3" t="s">
        <v>445</v>
      </c>
      <c r="O138" s="3" t="s">
        <v>61</v>
      </c>
      <c r="R138" s="3" t="s">
        <v>134</v>
      </c>
      <c r="X138" s="3" t="s">
        <v>52</v>
      </c>
      <c r="Y138" s="3" t="s">
        <v>53</v>
      </c>
    </row>
    <row r="139">
      <c r="A139" s="3">
        <v>138.0</v>
      </c>
      <c r="B139" s="3" t="s">
        <v>55</v>
      </c>
      <c r="D139" s="3">
        <v>1992.0</v>
      </c>
      <c r="E139" s="3" t="s">
        <v>446</v>
      </c>
      <c r="F139" s="3" t="s">
        <v>447</v>
      </c>
      <c r="G139" s="3" t="s">
        <v>58</v>
      </c>
      <c r="H139" s="3" t="s">
        <v>58</v>
      </c>
      <c r="I139" s="3" t="s">
        <v>287</v>
      </c>
      <c r="J139" s="3" t="s">
        <v>388</v>
      </c>
      <c r="K139" s="3" t="s">
        <v>76</v>
      </c>
      <c r="L139" s="3" t="s">
        <v>69</v>
      </c>
      <c r="O139" s="3" t="s">
        <v>61</v>
      </c>
      <c r="R139" s="3" t="s">
        <v>49</v>
      </c>
      <c r="X139" s="3" t="s">
        <v>52</v>
      </c>
      <c r="Y139" s="3" t="s">
        <v>53</v>
      </c>
    </row>
    <row r="140">
      <c r="A140" s="3">
        <v>139.0</v>
      </c>
      <c r="B140" s="3" t="s">
        <v>55</v>
      </c>
      <c r="D140" s="3">
        <v>1997.0</v>
      </c>
      <c r="E140" s="3" t="s">
        <v>448</v>
      </c>
      <c r="F140" s="3" t="s">
        <v>449</v>
      </c>
      <c r="G140" s="3" t="s">
        <v>101</v>
      </c>
      <c r="H140" s="3" t="s">
        <v>102</v>
      </c>
      <c r="I140" s="3" t="s">
        <v>192</v>
      </c>
      <c r="O140" s="3" t="s">
        <v>61</v>
      </c>
      <c r="P140" s="3" t="s">
        <v>48</v>
      </c>
      <c r="R140" s="3" t="s">
        <v>49</v>
      </c>
      <c r="X140" s="3" t="s">
        <v>52</v>
      </c>
      <c r="Y140" s="3" t="s">
        <v>53</v>
      </c>
    </row>
    <row r="141">
      <c r="A141" s="3">
        <v>140.0</v>
      </c>
      <c r="B141" s="3" t="s">
        <v>55</v>
      </c>
      <c r="D141" s="3">
        <v>2013.0</v>
      </c>
      <c r="E141" s="3" t="s">
        <v>450</v>
      </c>
      <c r="F141" s="3" t="s">
        <v>265</v>
      </c>
      <c r="G141" s="3" t="s">
        <v>91</v>
      </c>
      <c r="H141" s="3" t="s">
        <v>91</v>
      </c>
      <c r="I141" s="3" t="s">
        <v>243</v>
      </c>
      <c r="J141" s="3" t="s">
        <v>92</v>
      </c>
      <c r="K141" s="3" t="s">
        <v>225</v>
      </c>
      <c r="O141" s="3" t="s">
        <v>61</v>
      </c>
      <c r="P141" s="3" t="s">
        <v>48</v>
      </c>
      <c r="R141" s="3" t="s">
        <v>250</v>
      </c>
      <c r="X141" s="3" t="s">
        <v>52</v>
      </c>
      <c r="Y141" s="3" t="s">
        <v>53</v>
      </c>
    </row>
    <row r="142">
      <c r="A142" s="3">
        <v>141.0</v>
      </c>
      <c r="B142" s="3" t="s">
        <v>40</v>
      </c>
      <c r="C142" s="3" t="s">
        <v>451</v>
      </c>
      <c r="D142" s="3">
        <v>1993.0</v>
      </c>
      <c r="E142" s="3" t="s">
        <v>452</v>
      </c>
      <c r="F142" s="3" t="s">
        <v>129</v>
      </c>
      <c r="G142" s="3" t="s">
        <v>82</v>
      </c>
      <c r="H142" s="3" t="s">
        <v>82</v>
      </c>
      <c r="I142" s="3" t="s">
        <v>453</v>
      </c>
      <c r="O142" s="3" t="s">
        <v>61</v>
      </c>
      <c r="X142" s="3" t="s">
        <v>52</v>
      </c>
      <c r="Y142" s="3" t="s">
        <v>78</v>
      </c>
    </row>
    <row r="143">
      <c r="A143" s="3">
        <v>142.0</v>
      </c>
      <c r="B143" s="3" t="s">
        <v>40</v>
      </c>
      <c r="C143" s="3" t="s">
        <v>454</v>
      </c>
      <c r="D143" s="3">
        <v>2003.0</v>
      </c>
      <c r="E143" s="3" t="s">
        <v>455</v>
      </c>
      <c r="F143" s="3" t="s">
        <v>129</v>
      </c>
      <c r="G143" s="3" t="s">
        <v>82</v>
      </c>
      <c r="H143" s="3" t="s">
        <v>82</v>
      </c>
      <c r="I143" s="3" t="s">
        <v>384</v>
      </c>
      <c r="O143" s="3" t="s">
        <v>61</v>
      </c>
      <c r="X143" s="3" t="s">
        <v>52</v>
      </c>
      <c r="Y143" s="3" t="s">
        <v>78</v>
      </c>
    </row>
    <row r="144">
      <c r="A144" s="3">
        <v>143.0</v>
      </c>
      <c r="B144" s="3" t="s">
        <v>40</v>
      </c>
      <c r="C144" s="3" t="s">
        <v>456</v>
      </c>
      <c r="D144" s="3">
        <v>2012.0</v>
      </c>
      <c r="E144" s="3" t="s">
        <v>457</v>
      </c>
      <c r="F144" s="3" t="s">
        <v>458</v>
      </c>
      <c r="G144" s="3" t="s">
        <v>58</v>
      </c>
      <c r="H144" s="3" t="s">
        <v>58</v>
      </c>
      <c r="I144" s="3" t="s">
        <v>96</v>
      </c>
      <c r="O144" s="3" t="s">
        <v>48</v>
      </c>
      <c r="X144" s="3" t="s">
        <v>52</v>
      </c>
      <c r="Y144" s="3" t="s">
        <v>78</v>
      </c>
    </row>
    <row r="145">
      <c r="A145" s="3">
        <v>144.0</v>
      </c>
      <c r="B145" s="3" t="s">
        <v>40</v>
      </c>
      <c r="C145" s="3" t="s">
        <v>459</v>
      </c>
      <c r="D145" s="3">
        <v>2012.0</v>
      </c>
      <c r="E145" s="3" t="s">
        <v>460</v>
      </c>
      <c r="F145" s="3" t="s">
        <v>137</v>
      </c>
      <c r="G145" s="3" t="s">
        <v>44</v>
      </c>
      <c r="H145" s="3" t="s">
        <v>45</v>
      </c>
      <c r="I145" s="3" t="s">
        <v>461</v>
      </c>
      <c r="O145" s="3" t="s">
        <v>247</v>
      </c>
      <c r="R145" s="3" t="s">
        <v>50</v>
      </c>
      <c r="X145" s="3" t="s">
        <v>52</v>
      </c>
      <c r="Y145" s="3" t="s">
        <v>78</v>
      </c>
    </row>
    <row r="146">
      <c r="A146" s="3">
        <v>145.0</v>
      </c>
      <c r="B146" s="3" t="s">
        <v>40</v>
      </c>
      <c r="C146" s="3" t="s">
        <v>462</v>
      </c>
      <c r="D146" s="3">
        <v>2013.0</v>
      </c>
      <c r="E146" s="3" t="s">
        <v>463</v>
      </c>
      <c r="F146" s="3" t="s">
        <v>129</v>
      </c>
      <c r="G146" s="3" t="s">
        <v>82</v>
      </c>
      <c r="H146" s="3" t="s">
        <v>82</v>
      </c>
      <c r="I146" s="3" t="s">
        <v>453</v>
      </c>
      <c r="O146" s="3" t="s">
        <v>61</v>
      </c>
      <c r="X146" s="3" t="s">
        <v>52</v>
      </c>
      <c r="Y146" s="3" t="s">
        <v>78</v>
      </c>
    </row>
    <row r="147">
      <c r="A147" s="3">
        <v>146.0</v>
      </c>
      <c r="B147" s="3" t="s">
        <v>40</v>
      </c>
      <c r="C147" s="3" t="s">
        <v>464</v>
      </c>
      <c r="D147" s="3">
        <v>2014.0</v>
      </c>
      <c r="E147" s="3" t="s">
        <v>465</v>
      </c>
      <c r="F147" s="3" t="s">
        <v>356</v>
      </c>
      <c r="G147" s="3" t="s">
        <v>82</v>
      </c>
      <c r="H147" s="3" t="s">
        <v>82</v>
      </c>
      <c r="I147" s="3" t="s">
        <v>453</v>
      </c>
      <c r="O147" s="3" t="s">
        <v>61</v>
      </c>
      <c r="X147" s="3" t="s">
        <v>52</v>
      </c>
      <c r="Y147" s="3" t="s">
        <v>78</v>
      </c>
    </row>
    <row r="148">
      <c r="A148" s="3">
        <v>147.0</v>
      </c>
      <c r="B148" s="3" t="s">
        <v>40</v>
      </c>
      <c r="C148" s="3" t="s">
        <v>466</v>
      </c>
      <c r="D148" s="3">
        <v>2018.0</v>
      </c>
      <c r="E148" s="3" t="s">
        <v>467</v>
      </c>
      <c r="F148" s="3" t="s">
        <v>356</v>
      </c>
      <c r="G148" s="3" t="s">
        <v>82</v>
      </c>
      <c r="H148" s="3" t="s">
        <v>82</v>
      </c>
      <c r="I148" s="3" t="s">
        <v>314</v>
      </c>
      <c r="O148" s="3" t="s">
        <v>61</v>
      </c>
      <c r="P148" s="3" t="s">
        <v>48</v>
      </c>
      <c r="X148" s="3" t="s">
        <v>52</v>
      </c>
      <c r="Y148" s="3" t="s">
        <v>78</v>
      </c>
    </row>
    <row r="149">
      <c r="A149" s="3">
        <v>148.0</v>
      </c>
      <c r="B149" s="3" t="s">
        <v>40</v>
      </c>
      <c r="C149" s="3" t="s">
        <v>468</v>
      </c>
      <c r="D149" s="3">
        <v>2018.0</v>
      </c>
      <c r="E149" s="3" t="s">
        <v>469</v>
      </c>
      <c r="F149" s="3" t="s">
        <v>444</v>
      </c>
      <c r="G149" s="3" t="s">
        <v>44</v>
      </c>
      <c r="H149" s="3" t="s">
        <v>45</v>
      </c>
      <c r="I149" s="3" t="s">
        <v>208</v>
      </c>
      <c r="J149" s="3" t="s">
        <v>445</v>
      </c>
      <c r="X149" s="3" t="s">
        <v>52</v>
      </c>
      <c r="Y149" s="3" t="s">
        <v>78</v>
      </c>
    </row>
    <row r="150">
      <c r="A150" s="3">
        <v>149.0</v>
      </c>
      <c r="B150" s="3" t="s">
        <v>40</v>
      </c>
      <c r="C150" s="3" t="s">
        <v>470</v>
      </c>
      <c r="D150" s="3">
        <v>2018.0</v>
      </c>
      <c r="E150" s="3" t="s">
        <v>471</v>
      </c>
      <c r="F150" s="3" t="s">
        <v>129</v>
      </c>
      <c r="G150" s="3" t="s">
        <v>82</v>
      </c>
      <c r="H150" s="3" t="s">
        <v>82</v>
      </c>
      <c r="I150" s="3" t="s">
        <v>453</v>
      </c>
      <c r="O150" s="3" t="s">
        <v>61</v>
      </c>
      <c r="X150" s="3" t="s">
        <v>52</v>
      </c>
      <c r="Y150" s="3" t="s">
        <v>78</v>
      </c>
    </row>
    <row r="151">
      <c r="A151" s="3">
        <v>150.0</v>
      </c>
      <c r="B151" s="3" t="s">
        <v>55</v>
      </c>
      <c r="D151" s="3">
        <v>2012.0</v>
      </c>
      <c r="E151" s="3" t="s">
        <v>472</v>
      </c>
      <c r="F151" s="3" t="s">
        <v>473</v>
      </c>
      <c r="G151" s="3" t="s">
        <v>142</v>
      </c>
      <c r="H151" s="3" t="s">
        <v>142</v>
      </c>
      <c r="I151" s="3" t="s">
        <v>59</v>
      </c>
      <c r="O151" s="3" t="s">
        <v>61</v>
      </c>
      <c r="X151" s="3" t="s">
        <v>52</v>
      </c>
      <c r="Y151" s="3" t="s">
        <v>78</v>
      </c>
    </row>
    <row r="152">
      <c r="A152" s="3">
        <v>151.0</v>
      </c>
      <c r="B152" s="3" t="s">
        <v>106</v>
      </c>
      <c r="D152" s="3">
        <v>2008.0</v>
      </c>
      <c r="E152" s="3" t="s">
        <v>474</v>
      </c>
      <c r="F152" s="3" t="s">
        <v>475</v>
      </c>
      <c r="G152" s="3" t="s">
        <v>101</v>
      </c>
      <c r="I152" s="3" t="s">
        <v>309</v>
      </c>
      <c r="O152" s="3" t="s">
        <v>61</v>
      </c>
      <c r="P152" s="3" t="s">
        <v>247</v>
      </c>
      <c r="R152" s="3" t="s">
        <v>147</v>
      </c>
      <c r="S152" s="3" t="s">
        <v>62</v>
      </c>
      <c r="T152" s="3" t="s">
        <v>97</v>
      </c>
      <c r="V152" s="3" t="s">
        <v>244</v>
      </c>
      <c r="X152" s="3" t="s">
        <v>52</v>
      </c>
      <c r="Y152" s="3" t="s">
        <v>64</v>
      </c>
      <c r="Z152" s="3" t="s">
        <v>51</v>
      </c>
      <c r="AA152" s="3" t="s">
        <v>54</v>
      </c>
    </row>
    <row r="153">
      <c r="A153" s="3">
        <v>152.0</v>
      </c>
      <c r="B153" s="3" t="s">
        <v>55</v>
      </c>
      <c r="D153" s="3">
        <v>2009.0</v>
      </c>
      <c r="E153" s="3" t="s">
        <v>476</v>
      </c>
      <c r="F153" s="3" t="s">
        <v>269</v>
      </c>
      <c r="G153" s="3" t="s">
        <v>44</v>
      </c>
      <c r="H153" s="3" t="s">
        <v>45</v>
      </c>
      <c r="I153" s="3" t="s">
        <v>270</v>
      </c>
      <c r="O153" s="3" t="s">
        <v>61</v>
      </c>
      <c r="R153" s="3" t="s">
        <v>147</v>
      </c>
      <c r="T153" s="3" t="s">
        <v>47</v>
      </c>
      <c r="V153" s="3" t="s">
        <v>70</v>
      </c>
      <c r="X153" s="3" t="s">
        <v>52</v>
      </c>
      <c r="Y153" s="3" t="s">
        <v>64</v>
      </c>
      <c r="Z153" s="3" t="s">
        <v>51</v>
      </c>
      <c r="AA153" s="3" t="s">
        <v>71</v>
      </c>
    </row>
    <row r="154">
      <c r="A154" s="3">
        <v>153.0</v>
      </c>
      <c r="B154" s="3" t="s">
        <v>40</v>
      </c>
      <c r="C154" s="3" t="s">
        <v>300</v>
      </c>
      <c r="D154" s="3">
        <v>2016.0</v>
      </c>
      <c r="E154" s="3" t="s">
        <v>301</v>
      </c>
      <c r="F154" s="3" t="s">
        <v>298</v>
      </c>
      <c r="G154" s="3" t="s">
        <v>101</v>
      </c>
      <c r="H154" s="3" t="s">
        <v>102</v>
      </c>
      <c r="I154" s="3" t="s">
        <v>205</v>
      </c>
      <c r="J154" s="3" t="s">
        <v>110</v>
      </c>
      <c r="K154" s="3" t="s">
        <v>309</v>
      </c>
      <c r="L154" s="3" t="s">
        <v>155</v>
      </c>
      <c r="O154" s="3" t="s">
        <v>61</v>
      </c>
      <c r="R154" s="3" t="s">
        <v>62</v>
      </c>
      <c r="S154" s="3" t="s">
        <v>147</v>
      </c>
      <c r="T154" s="3" t="s">
        <v>97</v>
      </c>
      <c r="X154" s="3" t="s">
        <v>52</v>
      </c>
      <c r="Y154" s="3" t="s">
        <v>64</v>
      </c>
      <c r="Z154" s="3" t="s">
        <v>51</v>
      </c>
    </row>
    <row r="155">
      <c r="A155" s="3">
        <v>154.0</v>
      </c>
      <c r="B155" s="3" t="s">
        <v>106</v>
      </c>
      <c r="C155" s="3" t="s">
        <v>477</v>
      </c>
      <c r="D155" s="3">
        <v>2010.0</v>
      </c>
      <c r="E155" s="3" t="s">
        <v>478</v>
      </c>
      <c r="F155" s="3" t="s">
        <v>230</v>
      </c>
      <c r="G155" s="3" t="s">
        <v>101</v>
      </c>
      <c r="I155" s="3" t="s">
        <v>155</v>
      </c>
      <c r="J155" s="3" t="s">
        <v>309</v>
      </c>
      <c r="O155" s="3" t="s">
        <v>48</v>
      </c>
      <c r="P155" s="3" t="s">
        <v>61</v>
      </c>
      <c r="R155" s="3" t="s">
        <v>147</v>
      </c>
      <c r="T155" s="3" t="s">
        <v>238</v>
      </c>
      <c r="X155" s="3" t="s">
        <v>52</v>
      </c>
      <c r="Y155" s="3" t="s">
        <v>64</v>
      </c>
      <c r="Z155" s="3" t="s">
        <v>235</v>
      </c>
    </row>
    <row r="156">
      <c r="A156" s="3">
        <v>155.0</v>
      </c>
      <c r="B156" s="3" t="s">
        <v>106</v>
      </c>
      <c r="D156" s="3">
        <v>2018.0</v>
      </c>
      <c r="E156" s="3" t="s">
        <v>479</v>
      </c>
      <c r="F156" s="3" t="s">
        <v>123</v>
      </c>
      <c r="G156" s="3" t="s">
        <v>124</v>
      </c>
      <c r="I156" s="3" t="s">
        <v>155</v>
      </c>
      <c r="O156" s="3" t="s">
        <v>247</v>
      </c>
      <c r="P156" s="3" t="s">
        <v>61</v>
      </c>
      <c r="R156" s="3" t="s">
        <v>125</v>
      </c>
      <c r="T156" s="3" t="s">
        <v>238</v>
      </c>
      <c r="X156" s="3" t="s">
        <v>52</v>
      </c>
      <c r="Y156" s="3" t="s">
        <v>64</v>
      </c>
      <c r="Z156" s="3" t="s">
        <v>235</v>
      </c>
    </row>
    <row r="157">
      <c r="A157" s="3">
        <v>156.0</v>
      </c>
      <c r="B157" s="3" t="s">
        <v>106</v>
      </c>
      <c r="D157" s="3">
        <v>2018.0</v>
      </c>
      <c r="E157" s="3" t="s">
        <v>480</v>
      </c>
      <c r="F157" s="3" t="s">
        <v>298</v>
      </c>
      <c r="G157" s="3" t="s">
        <v>101</v>
      </c>
      <c r="I157" s="3" t="s">
        <v>309</v>
      </c>
      <c r="O157" s="3" t="s">
        <v>61</v>
      </c>
      <c r="R157" s="3" t="s">
        <v>62</v>
      </c>
      <c r="T157" s="3" t="s">
        <v>162</v>
      </c>
      <c r="V157" s="3" t="s">
        <v>238</v>
      </c>
      <c r="X157" s="3" t="s">
        <v>52</v>
      </c>
      <c r="Y157" s="3" t="s">
        <v>64</v>
      </c>
      <c r="Z157" s="3" t="s">
        <v>121</v>
      </c>
      <c r="AA157" s="3" t="s">
        <v>235</v>
      </c>
    </row>
    <row r="158">
      <c r="A158" s="3">
        <v>157.0</v>
      </c>
      <c r="B158" s="3" t="s">
        <v>106</v>
      </c>
      <c r="C158" s="3" t="s">
        <v>481</v>
      </c>
      <c r="D158" s="3">
        <v>2010.0</v>
      </c>
      <c r="E158" s="3" t="s">
        <v>482</v>
      </c>
      <c r="F158" s="3" t="s">
        <v>328</v>
      </c>
      <c r="G158" s="3" t="s">
        <v>124</v>
      </c>
      <c r="I158" s="3" t="s">
        <v>155</v>
      </c>
      <c r="J158" s="3" t="s">
        <v>110</v>
      </c>
      <c r="O158" s="3" t="s">
        <v>61</v>
      </c>
      <c r="R158" s="3" t="s">
        <v>87</v>
      </c>
      <c r="T158" s="3" t="s">
        <v>162</v>
      </c>
      <c r="W158" s="3" t="s">
        <v>111</v>
      </c>
      <c r="X158" s="3" t="s">
        <v>52</v>
      </c>
      <c r="Y158" s="3" t="s">
        <v>64</v>
      </c>
      <c r="Z158" s="3" t="s">
        <v>121</v>
      </c>
      <c r="AA158" s="3" t="s">
        <v>143</v>
      </c>
      <c r="AB158" s="3" t="s">
        <v>51</v>
      </c>
    </row>
    <row r="159">
      <c r="A159" s="3">
        <v>158.0</v>
      </c>
      <c r="B159" s="3" t="s">
        <v>106</v>
      </c>
      <c r="D159" s="3">
        <v>2001.0</v>
      </c>
      <c r="E159" s="3" t="s">
        <v>483</v>
      </c>
      <c r="F159" s="3" t="s">
        <v>484</v>
      </c>
      <c r="G159" s="3" t="s">
        <v>44</v>
      </c>
      <c r="I159" s="3" t="s">
        <v>485</v>
      </c>
      <c r="O159" s="3" t="s">
        <v>61</v>
      </c>
      <c r="P159" s="3" t="s">
        <v>267</v>
      </c>
      <c r="R159" s="3" t="s">
        <v>125</v>
      </c>
      <c r="T159" s="3" t="s">
        <v>260</v>
      </c>
      <c r="X159" s="3" t="s">
        <v>52</v>
      </c>
      <c r="Y159" s="3" t="s">
        <v>64</v>
      </c>
      <c r="Z159" s="3" t="s">
        <v>121</v>
      </c>
    </row>
    <row r="160">
      <c r="A160" s="3">
        <v>159.0</v>
      </c>
      <c r="B160" s="3" t="s">
        <v>106</v>
      </c>
      <c r="C160" s="3" t="s">
        <v>486</v>
      </c>
      <c r="D160" s="3">
        <v>2011.0</v>
      </c>
      <c r="E160" s="3" t="s">
        <v>487</v>
      </c>
      <c r="F160" s="3" t="s">
        <v>81</v>
      </c>
      <c r="G160" s="3" t="s">
        <v>82</v>
      </c>
      <c r="I160" s="3" t="s">
        <v>384</v>
      </c>
      <c r="O160" s="3" t="s">
        <v>61</v>
      </c>
      <c r="R160" s="3" t="s">
        <v>147</v>
      </c>
      <c r="T160" s="3" t="s">
        <v>392</v>
      </c>
      <c r="V160" s="3" t="s">
        <v>111</v>
      </c>
      <c r="X160" s="3" t="s">
        <v>52</v>
      </c>
      <c r="Y160" s="3" t="s">
        <v>64</v>
      </c>
      <c r="Z160" s="3" t="s">
        <v>54</v>
      </c>
      <c r="AA160" s="3" t="s">
        <v>51</v>
      </c>
    </row>
    <row r="161">
      <c r="A161" s="3">
        <v>160.0</v>
      </c>
      <c r="B161" s="3" t="s">
        <v>40</v>
      </c>
      <c r="C161" s="3" t="s">
        <v>488</v>
      </c>
      <c r="D161" s="3">
        <v>2003.0</v>
      </c>
      <c r="E161" s="3" t="s">
        <v>489</v>
      </c>
      <c r="F161" s="3" t="s">
        <v>158</v>
      </c>
      <c r="G161" s="3" t="s">
        <v>58</v>
      </c>
      <c r="H161" s="3" t="s">
        <v>58</v>
      </c>
      <c r="I161" s="3" t="s">
        <v>286</v>
      </c>
      <c r="O161" s="3" t="s">
        <v>61</v>
      </c>
      <c r="R161" s="3" t="s">
        <v>147</v>
      </c>
      <c r="T161" s="3" t="s">
        <v>50</v>
      </c>
      <c r="X161" s="3" t="s">
        <v>52</v>
      </c>
      <c r="Y161" s="3" t="s">
        <v>64</v>
      </c>
      <c r="Z161" s="3" t="s">
        <v>54</v>
      </c>
      <c r="AA161" s="3" t="s">
        <v>78</v>
      </c>
    </row>
    <row r="162">
      <c r="A162" s="3">
        <v>161.0</v>
      </c>
      <c r="B162" s="3" t="s">
        <v>40</v>
      </c>
      <c r="C162" s="3" t="s">
        <v>490</v>
      </c>
      <c r="D162" s="3">
        <v>2015.0</v>
      </c>
      <c r="E162" s="3" t="s">
        <v>491</v>
      </c>
      <c r="F162" s="3" t="s">
        <v>492</v>
      </c>
      <c r="G162" s="3" t="s">
        <v>58</v>
      </c>
      <c r="H162" s="3" t="s">
        <v>58</v>
      </c>
      <c r="I162" s="3" t="s">
        <v>110</v>
      </c>
      <c r="O162" s="3" t="s">
        <v>61</v>
      </c>
      <c r="R162" s="3" t="s">
        <v>147</v>
      </c>
      <c r="T162" s="3" t="s">
        <v>493</v>
      </c>
      <c r="X162" s="3" t="s">
        <v>52</v>
      </c>
      <c r="Y162" s="3" t="s">
        <v>64</v>
      </c>
      <c r="Z162" s="3" t="s">
        <v>54</v>
      </c>
    </row>
    <row r="163">
      <c r="A163" s="3">
        <v>162.0</v>
      </c>
      <c r="B163" s="3" t="s">
        <v>106</v>
      </c>
      <c r="C163" s="3" t="s">
        <v>494</v>
      </c>
      <c r="D163" s="3">
        <v>2011.0</v>
      </c>
      <c r="E163" s="3" t="s">
        <v>495</v>
      </c>
      <c r="F163" s="3" t="s">
        <v>496</v>
      </c>
      <c r="G163" s="3" t="s">
        <v>91</v>
      </c>
      <c r="I163" s="3" t="s">
        <v>173</v>
      </c>
      <c r="O163" s="3" t="s">
        <v>61</v>
      </c>
      <c r="R163" s="3" t="s">
        <v>87</v>
      </c>
      <c r="T163" s="3" t="s">
        <v>250</v>
      </c>
      <c r="V163" s="3" t="s">
        <v>111</v>
      </c>
      <c r="X163" s="3" t="s">
        <v>52</v>
      </c>
      <c r="Y163" s="3" t="s">
        <v>64</v>
      </c>
      <c r="Z163" s="3" t="s">
        <v>53</v>
      </c>
      <c r="AA163" s="3" t="s">
        <v>51</v>
      </c>
    </row>
    <row r="164">
      <c r="A164" s="3">
        <v>163.0</v>
      </c>
      <c r="B164" s="3" t="s">
        <v>106</v>
      </c>
      <c r="D164" s="3">
        <v>2020.0</v>
      </c>
      <c r="E164" s="3" t="s">
        <v>497</v>
      </c>
      <c r="F164" s="3" t="s">
        <v>498</v>
      </c>
      <c r="G164" s="3" t="s">
        <v>124</v>
      </c>
      <c r="I164" s="3" t="s">
        <v>110</v>
      </c>
      <c r="O164" s="3" t="s">
        <v>61</v>
      </c>
      <c r="P164" s="3" t="s">
        <v>247</v>
      </c>
      <c r="T164" s="3" t="s">
        <v>49</v>
      </c>
      <c r="V164" s="3" t="s">
        <v>47</v>
      </c>
      <c r="X164" s="3" t="s">
        <v>52</v>
      </c>
      <c r="Y164" s="3" t="s">
        <v>64</v>
      </c>
      <c r="Z164" s="3" t="s">
        <v>53</v>
      </c>
      <c r="AA164" s="3" t="s">
        <v>51</v>
      </c>
    </row>
    <row r="165">
      <c r="A165" s="3">
        <v>164.0</v>
      </c>
      <c r="B165" s="3" t="s">
        <v>106</v>
      </c>
      <c r="D165" s="3">
        <v>2009.0</v>
      </c>
      <c r="E165" s="3" t="s">
        <v>499</v>
      </c>
      <c r="F165" s="3" t="s">
        <v>328</v>
      </c>
      <c r="G165" s="3" t="s">
        <v>124</v>
      </c>
      <c r="I165" s="3" t="s">
        <v>155</v>
      </c>
      <c r="O165" s="3" t="s">
        <v>61</v>
      </c>
      <c r="P165" s="3" t="s">
        <v>267</v>
      </c>
      <c r="R165" s="3" t="s">
        <v>259</v>
      </c>
      <c r="S165" s="3" t="s">
        <v>147</v>
      </c>
      <c r="T165" s="3" t="s">
        <v>250</v>
      </c>
      <c r="V165" s="3" t="s">
        <v>162</v>
      </c>
      <c r="W165" s="3" t="s">
        <v>60</v>
      </c>
      <c r="X165" s="3" t="s">
        <v>52</v>
      </c>
      <c r="Y165" s="3" t="s">
        <v>64</v>
      </c>
      <c r="Z165" s="3" t="s">
        <v>53</v>
      </c>
      <c r="AA165" s="3" t="s">
        <v>121</v>
      </c>
      <c r="AB165" s="3" t="s">
        <v>51</v>
      </c>
    </row>
    <row r="166">
      <c r="A166" s="3">
        <v>165.0</v>
      </c>
      <c r="B166" s="3" t="s">
        <v>40</v>
      </c>
      <c r="C166" s="3" t="s">
        <v>500</v>
      </c>
      <c r="D166" s="3">
        <v>2013.0</v>
      </c>
      <c r="E166" s="3" t="s">
        <v>501</v>
      </c>
      <c r="F166" s="3" t="s">
        <v>473</v>
      </c>
      <c r="G166" s="3" t="s">
        <v>142</v>
      </c>
      <c r="H166" s="3" t="s">
        <v>142</v>
      </c>
      <c r="I166" s="3" t="s">
        <v>110</v>
      </c>
      <c r="O166" s="3" t="s">
        <v>61</v>
      </c>
      <c r="R166" s="3" t="s">
        <v>87</v>
      </c>
      <c r="T166" s="3" t="s">
        <v>49</v>
      </c>
      <c r="V166" s="3" t="s">
        <v>63</v>
      </c>
      <c r="X166" s="3" t="s">
        <v>52</v>
      </c>
      <c r="Y166" s="3" t="s">
        <v>64</v>
      </c>
      <c r="Z166" s="3" t="s">
        <v>53</v>
      </c>
      <c r="AA166" s="3" t="s">
        <v>65</v>
      </c>
    </row>
    <row r="167">
      <c r="A167" s="3">
        <v>166.0</v>
      </c>
      <c r="B167" s="3" t="s">
        <v>40</v>
      </c>
      <c r="C167" s="3" t="s">
        <v>502</v>
      </c>
      <c r="D167" s="3">
        <v>2015.0</v>
      </c>
      <c r="E167" s="3" t="s">
        <v>503</v>
      </c>
      <c r="F167" s="3" t="s">
        <v>504</v>
      </c>
      <c r="G167" s="3" t="s">
        <v>58</v>
      </c>
      <c r="H167" s="3" t="s">
        <v>58</v>
      </c>
      <c r="I167" s="3" t="s">
        <v>110</v>
      </c>
      <c r="O167" s="3" t="s">
        <v>61</v>
      </c>
      <c r="R167" s="3" t="s">
        <v>147</v>
      </c>
      <c r="T167" s="3" t="s">
        <v>143</v>
      </c>
      <c r="V167" s="3" t="s">
        <v>63</v>
      </c>
      <c r="X167" s="3" t="s">
        <v>52</v>
      </c>
      <c r="Y167" s="3" t="s">
        <v>64</v>
      </c>
      <c r="Z167" s="3" t="s">
        <v>53</v>
      </c>
      <c r="AA167" s="3" t="s">
        <v>65</v>
      </c>
    </row>
    <row r="168">
      <c r="A168" s="3">
        <v>167.0</v>
      </c>
      <c r="B168" s="3" t="s">
        <v>55</v>
      </c>
      <c r="D168" s="3">
        <v>1990.0</v>
      </c>
      <c r="E168" s="3" t="s">
        <v>505</v>
      </c>
      <c r="F168" s="3" t="s">
        <v>187</v>
      </c>
      <c r="G168" s="3" t="s">
        <v>58</v>
      </c>
      <c r="H168" s="3" t="s">
        <v>58</v>
      </c>
      <c r="I168" s="3" t="s">
        <v>286</v>
      </c>
      <c r="O168" s="3" t="s">
        <v>61</v>
      </c>
      <c r="R168" s="3" t="s">
        <v>147</v>
      </c>
      <c r="T168" s="3" t="s">
        <v>49</v>
      </c>
      <c r="V168" s="3" t="s">
        <v>63</v>
      </c>
      <c r="X168" s="3" t="s">
        <v>52</v>
      </c>
      <c r="Y168" s="3" t="s">
        <v>64</v>
      </c>
      <c r="Z168" s="3" t="s">
        <v>53</v>
      </c>
      <c r="AA168" s="3" t="s">
        <v>65</v>
      </c>
    </row>
    <row r="169">
      <c r="A169" s="3">
        <v>168.0</v>
      </c>
      <c r="B169" s="3" t="s">
        <v>40</v>
      </c>
      <c r="C169" s="3" t="s">
        <v>506</v>
      </c>
      <c r="D169" s="3">
        <v>2003.0</v>
      </c>
      <c r="E169" s="3" t="s">
        <v>507</v>
      </c>
      <c r="F169" s="3" t="s">
        <v>57</v>
      </c>
      <c r="G169" s="3" t="s">
        <v>58</v>
      </c>
      <c r="H169" s="3" t="s">
        <v>58</v>
      </c>
      <c r="I169" s="3" t="s">
        <v>110</v>
      </c>
      <c r="O169" s="3" t="s">
        <v>61</v>
      </c>
      <c r="R169" s="3" t="s">
        <v>87</v>
      </c>
      <c r="T169" s="3" t="s">
        <v>134</v>
      </c>
      <c r="X169" s="3" t="s">
        <v>52</v>
      </c>
      <c r="Y169" s="3" t="s">
        <v>64</v>
      </c>
      <c r="Z169" s="3" t="s">
        <v>53</v>
      </c>
    </row>
    <row r="170">
      <c r="A170" s="3">
        <v>169.0</v>
      </c>
      <c r="B170" s="3" t="s">
        <v>40</v>
      </c>
      <c r="C170" s="3" t="s">
        <v>508</v>
      </c>
      <c r="D170" s="3">
        <v>2013.0</v>
      </c>
      <c r="E170" s="3" t="s">
        <v>509</v>
      </c>
      <c r="F170" s="3" t="s">
        <v>510</v>
      </c>
      <c r="G170" s="3" t="s">
        <v>58</v>
      </c>
      <c r="H170" s="3" t="s">
        <v>58</v>
      </c>
      <c r="I170" s="3" t="s">
        <v>110</v>
      </c>
      <c r="O170" s="3" t="s">
        <v>61</v>
      </c>
      <c r="R170" s="3" t="s">
        <v>147</v>
      </c>
      <c r="T170" s="3" t="s">
        <v>143</v>
      </c>
      <c r="X170" s="3" t="s">
        <v>52</v>
      </c>
      <c r="Y170" s="3" t="s">
        <v>64</v>
      </c>
      <c r="Z170" s="3" t="s">
        <v>53</v>
      </c>
    </row>
    <row r="171">
      <c r="A171" s="3">
        <v>170.0</v>
      </c>
      <c r="B171" s="3" t="s">
        <v>40</v>
      </c>
      <c r="C171" s="3" t="s">
        <v>511</v>
      </c>
      <c r="D171" s="3">
        <v>2014.0</v>
      </c>
      <c r="E171" s="3" t="s">
        <v>512</v>
      </c>
      <c r="F171" s="3" t="s">
        <v>201</v>
      </c>
      <c r="G171" s="3" t="s">
        <v>58</v>
      </c>
      <c r="H171" s="3" t="s">
        <v>58</v>
      </c>
      <c r="I171" s="3" t="s">
        <v>110</v>
      </c>
      <c r="O171" s="3" t="s">
        <v>61</v>
      </c>
      <c r="R171" s="3" t="s">
        <v>87</v>
      </c>
      <c r="T171" s="3" t="s">
        <v>143</v>
      </c>
      <c r="X171" s="3" t="s">
        <v>52</v>
      </c>
      <c r="Y171" s="3" t="s">
        <v>64</v>
      </c>
      <c r="Z171" s="3" t="s">
        <v>53</v>
      </c>
    </row>
    <row r="172">
      <c r="A172" s="3">
        <v>171.0</v>
      </c>
      <c r="B172" s="3" t="s">
        <v>40</v>
      </c>
      <c r="C172" s="3" t="s">
        <v>513</v>
      </c>
      <c r="D172" s="3">
        <v>2017.0</v>
      </c>
      <c r="E172" s="3" t="s">
        <v>514</v>
      </c>
      <c r="F172" s="3" t="s">
        <v>515</v>
      </c>
      <c r="G172" s="3" t="s">
        <v>58</v>
      </c>
      <c r="H172" s="3" t="s">
        <v>58</v>
      </c>
      <c r="I172" s="3" t="s">
        <v>110</v>
      </c>
      <c r="O172" s="3" t="s">
        <v>61</v>
      </c>
      <c r="R172" s="3" t="s">
        <v>87</v>
      </c>
      <c r="T172" s="3" t="s">
        <v>516</v>
      </c>
      <c r="X172" s="3" t="s">
        <v>52</v>
      </c>
      <c r="Y172" s="3" t="s">
        <v>64</v>
      </c>
      <c r="Z172" s="3" t="s">
        <v>53</v>
      </c>
    </row>
    <row r="173">
      <c r="A173" s="3">
        <v>172.0</v>
      </c>
      <c r="B173" s="3" t="s">
        <v>106</v>
      </c>
      <c r="D173" s="3">
        <v>2004.0</v>
      </c>
      <c r="E173" s="3" t="s">
        <v>517</v>
      </c>
      <c r="F173" s="3" t="s">
        <v>518</v>
      </c>
      <c r="G173" s="3" t="s">
        <v>58</v>
      </c>
      <c r="I173" s="3" t="s">
        <v>110</v>
      </c>
      <c r="O173" s="3" t="s">
        <v>61</v>
      </c>
      <c r="P173" s="3" t="s">
        <v>48</v>
      </c>
      <c r="R173" s="3" t="s">
        <v>147</v>
      </c>
      <c r="T173" s="3" t="s">
        <v>49</v>
      </c>
      <c r="X173" s="3" t="s">
        <v>52</v>
      </c>
      <c r="Y173" s="3" t="s">
        <v>64</v>
      </c>
      <c r="Z173" s="3" t="s">
        <v>53</v>
      </c>
    </row>
    <row r="174">
      <c r="A174" s="3">
        <v>173.0</v>
      </c>
      <c r="B174" s="3" t="s">
        <v>40</v>
      </c>
      <c r="C174" s="3" t="s">
        <v>519</v>
      </c>
      <c r="D174" s="3">
        <v>2001.0</v>
      </c>
      <c r="E174" s="3" t="s">
        <v>520</v>
      </c>
      <c r="F174" s="3" t="s">
        <v>129</v>
      </c>
      <c r="G174" s="3" t="s">
        <v>82</v>
      </c>
      <c r="H174" s="3" t="s">
        <v>82</v>
      </c>
      <c r="I174" s="3" t="s">
        <v>453</v>
      </c>
      <c r="O174" s="3" t="s">
        <v>61</v>
      </c>
      <c r="X174" s="3" t="s">
        <v>52</v>
      </c>
      <c r="Y174" s="3" t="s">
        <v>64</v>
      </c>
      <c r="Z174" s="3" t="s">
        <v>78</v>
      </c>
    </row>
    <row r="175">
      <c r="A175" s="3">
        <v>174.0</v>
      </c>
      <c r="B175" s="3" t="s">
        <v>40</v>
      </c>
      <c r="C175" s="3" t="s">
        <v>521</v>
      </c>
      <c r="D175" s="3">
        <v>2011.0</v>
      </c>
      <c r="E175" s="3" t="s">
        <v>522</v>
      </c>
      <c r="F175" s="3" t="s">
        <v>129</v>
      </c>
      <c r="G175" s="3" t="s">
        <v>82</v>
      </c>
      <c r="H175" s="3" t="s">
        <v>82</v>
      </c>
      <c r="I175" s="3" t="s">
        <v>453</v>
      </c>
      <c r="O175" s="3" t="s">
        <v>61</v>
      </c>
      <c r="R175" s="3" t="s">
        <v>87</v>
      </c>
      <c r="X175" s="3" t="s">
        <v>52</v>
      </c>
      <c r="Y175" s="3" t="s">
        <v>64</v>
      </c>
      <c r="Z175" s="3" t="s">
        <v>78</v>
      </c>
    </row>
    <row r="176">
      <c r="A176" s="3">
        <v>175.0</v>
      </c>
      <c r="B176" s="3" t="s">
        <v>40</v>
      </c>
      <c r="C176" s="3" t="s">
        <v>523</v>
      </c>
      <c r="D176" s="3">
        <v>2008.0</v>
      </c>
      <c r="E176" s="3" t="s">
        <v>524</v>
      </c>
      <c r="F176" s="3" t="s">
        <v>129</v>
      </c>
      <c r="G176" s="3" t="s">
        <v>82</v>
      </c>
      <c r="H176" s="3" t="s">
        <v>82</v>
      </c>
      <c r="I176" s="3" t="s">
        <v>453</v>
      </c>
      <c r="O176" s="3" t="s">
        <v>61</v>
      </c>
      <c r="R176" s="3" t="s">
        <v>87</v>
      </c>
      <c r="T176" s="3" t="s">
        <v>87</v>
      </c>
      <c r="X176" s="3" t="s">
        <v>52</v>
      </c>
      <c r="Y176" s="3" t="s">
        <v>64</v>
      </c>
      <c r="Z176" s="3" t="s">
        <v>71</v>
      </c>
    </row>
    <row r="177">
      <c r="A177" s="3">
        <v>176.0</v>
      </c>
      <c r="B177" s="3" t="s">
        <v>106</v>
      </c>
      <c r="D177" s="3">
        <v>1988.0</v>
      </c>
      <c r="E177" s="3" t="s">
        <v>525</v>
      </c>
      <c r="F177" s="3" t="s">
        <v>526</v>
      </c>
      <c r="G177" s="3" t="s">
        <v>58</v>
      </c>
      <c r="I177" s="3" t="s">
        <v>110</v>
      </c>
      <c r="O177" s="3" t="s">
        <v>247</v>
      </c>
      <c r="R177" s="3" t="s">
        <v>125</v>
      </c>
      <c r="T177" s="3" t="s">
        <v>63</v>
      </c>
      <c r="V177" s="3" t="s">
        <v>47</v>
      </c>
      <c r="X177" s="3" t="s">
        <v>52</v>
      </c>
      <c r="Y177" s="3" t="s">
        <v>64</v>
      </c>
      <c r="Z177" s="3" t="s">
        <v>65</v>
      </c>
      <c r="AA177" s="3" t="s">
        <v>51</v>
      </c>
    </row>
    <row r="178">
      <c r="A178" s="3">
        <v>177.0</v>
      </c>
      <c r="B178" s="3" t="s">
        <v>106</v>
      </c>
      <c r="D178" s="3">
        <v>1988.0</v>
      </c>
      <c r="E178" s="3" t="s">
        <v>527</v>
      </c>
      <c r="F178" s="3" t="s">
        <v>187</v>
      </c>
      <c r="G178" s="3" t="s">
        <v>58</v>
      </c>
      <c r="I178" s="3" t="s">
        <v>110</v>
      </c>
      <c r="O178" s="3" t="s">
        <v>267</v>
      </c>
      <c r="P178" s="3" t="s">
        <v>61</v>
      </c>
      <c r="R178" s="3" t="s">
        <v>125</v>
      </c>
      <c r="T178" s="3" t="s">
        <v>63</v>
      </c>
      <c r="X178" s="3" t="s">
        <v>52</v>
      </c>
      <c r="Y178" s="3" t="s">
        <v>64</v>
      </c>
      <c r="Z178" s="3" t="s">
        <v>65</v>
      </c>
    </row>
    <row r="179">
      <c r="A179" s="3">
        <v>178.0</v>
      </c>
      <c r="B179" s="3" t="s">
        <v>106</v>
      </c>
      <c r="D179" s="3">
        <v>2004.0</v>
      </c>
      <c r="E179" s="3" t="s">
        <v>528</v>
      </c>
      <c r="F179" s="3" t="s">
        <v>213</v>
      </c>
      <c r="G179" s="3" t="s">
        <v>58</v>
      </c>
      <c r="I179" s="3" t="s">
        <v>110</v>
      </c>
      <c r="O179" s="3" t="s">
        <v>247</v>
      </c>
      <c r="P179" s="3" t="s">
        <v>267</v>
      </c>
      <c r="R179" s="3" t="s">
        <v>125</v>
      </c>
      <c r="T179" s="3" t="s">
        <v>63</v>
      </c>
      <c r="X179" s="3" t="s">
        <v>52</v>
      </c>
      <c r="Y179" s="3" t="s">
        <v>64</v>
      </c>
      <c r="Z179" s="3" t="s">
        <v>65</v>
      </c>
    </row>
    <row r="180">
      <c r="A180" s="3">
        <v>179.0</v>
      </c>
      <c r="B180" s="3" t="s">
        <v>106</v>
      </c>
      <c r="C180" s="3" t="s">
        <v>529</v>
      </c>
      <c r="D180" s="3">
        <v>2013.0</v>
      </c>
      <c r="E180" s="3" t="s">
        <v>530</v>
      </c>
      <c r="F180" s="3" t="s">
        <v>444</v>
      </c>
      <c r="G180" s="3" t="s">
        <v>44</v>
      </c>
      <c r="I180" s="3" t="s">
        <v>485</v>
      </c>
      <c r="O180" s="3" t="s">
        <v>61</v>
      </c>
      <c r="R180" s="3" t="s">
        <v>87</v>
      </c>
      <c r="X180" s="3" t="s">
        <v>52</v>
      </c>
      <c r="Y180" s="3" t="s">
        <v>64</v>
      </c>
      <c r="Z180" s="3" t="s">
        <v>143</v>
      </c>
    </row>
    <row r="181">
      <c r="A181" s="3">
        <v>180.0</v>
      </c>
      <c r="B181" s="3" t="s">
        <v>106</v>
      </c>
      <c r="C181" s="3" t="s">
        <v>531</v>
      </c>
      <c r="D181" s="3">
        <v>2013.0</v>
      </c>
      <c r="E181" s="3" t="s">
        <v>532</v>
      </c>
      <c r="F181" s="3" t="s">
        <v>533</v>
      </c>
      <c r="G181" s="3" t="s">
        <v>58</v>
      </c>
      <c r="I181" s="3" t="s">
        <v>110</v>
      </c>
      <c r="O181" s="3" t="s">
        <v>61</v>
      </c>
      <c r="R181" s="3" t="s">
        <v>87</v>
      </c>
      <c r="X181" s="3" t="s">
        <v>52</v>
      </c>
      <c r="Y181" s="3" t="s">
        <v>64</v>
      </c>
      <c r="Z181" s="3" t="s">
        <v>143</v>
      </c>
    </row>
    <row r="182">
      <c r="A182" s="3">
        <v>181.0</v>
      </c>
      <c r="B182" s="3" t="s">
        <v>106</v>
      </c>
      <c r="C182" s="3" t="s">
        <v>534</v>
      </c>
      <c r="D182" s="3">
        <v>2014.0</v>
      </c>
      <c r="E182" s="3" t="s">
        <v>535</v>
      </c>
      <c r="F182" s="3" t="s">
        <v>129</v>
      </c>
      <c r="G182" s="3" t="s">
        <v>82</v>
      </c>
      <c r="I182" s="3" t="s">
        <v>453</v>
      </c>
      <c r="O182" s="3" t="s">
        <v>61</v>
      </c>
      <c r="R182" s="3" t="s">
        <v>87</v>
      </c>
      <c r="X182" s="3" t="s">
        <v>52</v>
      </c>
      <c r="Y182" s="3" t="s">
        <v>64</v>
      </c>
      <c r="Z182" s="3" t="s">
        <v>143</v>
      </c>
    </row>
    <row r="183">
      <c r="A183" s="3">
        <v>182.0</v>
      </c>
      <c r="B183" s="3" t="s">
        <v>106</v>
      </c>
      <c r="C183" s="3" t="s">
        <v>536</v>
      </c>
      <c r="D183" s="3">
        <v>2014.0</v>
      </c>
      <c r="E183" s="3" t="s">
        <v>537</v>
      </c>
      <c r="F183" s="3" t="s">
        <v>538</v>
      </c>
      <c r="G183" s="3" t="s">
        <v>124</v>
      </c>
      <c r="I183" s="3" t="s">
        <v>155</v>
      </c>
      <c r="J183" s="3" t="s">
        <v>110</v>
      </c>
      <c r="K183" s="3" t="s">
        <v>205</v>
      </c>
      <c r="O183" s="3" t="s">
        <v>61</v>
      </c>
      <c r="X183" s="3" t="s">
        <v>52</v>
      </c>
      <c r="Y183" s="3" t="s">
        <v>64</v>
      </c>
      <c r="Z183" s="3" t="s">
        <v>143</v>
      </c>
    </row>
    <row r="184">
      <c r="A184" s="3">
        <v>183.0</v>
      </c>
      <c r="B184" s="3" t="s">
        <v>40</v>
      </c>
      <c r="C184" s="3" t="s">
        <v>539</v>
      </c>
      <c r="D184" s="3">
        <v>2011.0</v>
      </c>
      <c r="E184" s="3" t="s">
        <v>540</v>
      </c>
      <c r="F184" s="3" t="s">
        <v>541</v>
      </c>
      <c r="G184" s="3" t="s">
        <v>541</v>
      </c>
      <c r="H184" s="3" t="s">
        <v>541</v>
      </c>
      <c r="I184" s="3" t="s">
        <v>384</v>
      </c>
      <c r="J184" s="3" t="s">
        <v>461</v>
      </c>
      <c r="O184" s="3" t="s">
        <v>61</v>
      </c>
      <c r="P184" s="3" t="s">
        <v>247</v>
      </c>
      <c r="R184" s="3" t="s">
        <v>147</v>
      </c>
      <c r="X184" s="3" t="s">
        <v>52</v>
      </c>
      <c r="Y184" s="3" t="s">
        <v>64</v>
      </c>
    </row>
    <row r="185">
      <c r="A185" s="3">
        <v>184.0</v>
      </c>
      <c r="B185" s="3" t="s">
        <v>40</v>
      </c>
      <c r="C185" s="3" t="s">
        <v>542</v>
      </c>
      <c r="D185" s="3">
        <v>2019.0</v>
      </c>
      <c r="E185" s="3" t="s">
        <v>543</v>
      </c>
      <c r="F185" s="3" t="s">
        <v>137</v>
      </c>
      <c r="G185" s="3" t="s">
        <v>44</v>
      </c>
      <c r="H185" s="3" t="s">
        <v>45</v>
      </c>
      <c r="I185" s="3" t="s">
        <v>461</v>
      </c>
      <c r="O185" s="3" t="s">
        <v>61</v>
      </c>
      <c r="R185" s="3" t="s">
        <v>87</v>
      </c>
      <c r="X185" s="3" t="s">
        <v>52</v>
      </c>
      <c r="Y185" s="3" t="s">
        <v>64</v>
      </c>
    </row>
    <row r="186">
      <c r="A186" s="3">
        <v>185.0</v>
      </c>
      <c r="B186" s="3" t="s">
        <v>106</v>
      </c>
      <c r="D186" s="3">
        <v>1986.0</v>
      </c>
      <c r="E186" s="3" t="s">
        <v>544</v>
      </c>
      <c r="F186" s="3" t="s">
        <v>356</v>
      </c>
      <c r="G186" s="3" t="s">
        <v>82</v>
      </c>
      <c r="I186" s="3" t="s">
        <v>453</v>
      </c>
      <c r="O186" s="3" t="s">
        <v>267</v>
      </c>
      <c r="R186" s="3" t="s">
        <v>125</v>
      </c>
      <c r="X186" s="3" t="s">
        <v>52</v>
      </c>
      <c r="Y186" s="3" t="s">
        <v>64</v>
      </c>
    </row>
    <row r="187">
      <c r="A187" s="3">
        <v>186.0</v>
      </c>
      <c r="B187" s="3" t="s">
        <v>106</v>
      </c>
      <c r="D187" s="3">
        <v>1987.0</v>
      </c>
      <c r="E187" s="3" t="s">
        <v>545</v>
      </c>
      <c r="F187" s="3" t="s">
        <v>498</v>
      </c>
      <c r="G187" s="3" t="s">
        <v>124</v>
      </c>
      <c r="I187" s="3" t="s">
        <v>155</v>
      </c>
      <c r="O187" s="3" t="s">
        <v>267</v>
      </c>
      <c r="R187" s="3" t="s">
        <v>147</v>
      </c>
      <c r="X187" s="3" t="s">
        <v>52</v>
      </c>
      <c r="Y187" s="3" t="s">
        <v>64</v>
      </c>
    </row>
    <row r="188">
      <c r="A188" s="3">
        <v>187.0</v>
      </c>
      <c r="B188" s="3" t="s">
        <v>106</v>
      </c>
      <c r="D188" s="3">
        <v>1989.0</v>
      </c>
      <c r="E188" s="3" t="s">
        <v>546</v>
      </c>
      <c r="F188" s="3" t="s">
        <v>129</v>
      </c>
      <c r="G188" s="3" t="s">
        <v>82</v>
      </c>
      <c r="I188" s="3" t="s">
        <v>384</v>
      </c>
      <c r="O188" s="3" t="s">
        <v>247</v>
      </c>
      <c r="R188" s="3" t="s">
        <v>147</v>
      </c>
      <c r="X188" s="3" t="s">
        <v>52</v>
      </c>
      <c r="Y188" s="3" t="s">
        <v>64</v>
      </c>
    </row>
    <row r="189">
      <c r="A189" s="3">
        <v>188.0</v>
      </c>
      <c r="B189" s="3" t="s">
        <v>106</v>
      </c>
      <c r="D189" s="3">
        <v>1989.0</v>
      </c>
      <c r="E189" s="3" t="s">
        <v>547</v>
      </c>
      <c r="F189" s="3" t="s">
        <v>213</v>
      </c>
      <c r="G189" s="3" t="s">
        <v>58</v>
      </c>
      <c r="I189" s="3" t="s">
        <v>110</v>
      </c>
      <c r="O189" s="3" t="s">
        <v>267</v>
      </c>
      <c r="R189" s="3" t="s">
        <v>125</v>
      </c>
      <c r="X189" s="3" t="s">
        <v>52</v>
      </c>
      <c r="Y189" s="3" t="s">
        <v>64</v>
      </c>
    </row>
    <row r="190">
      <c r="A190" s="3">
        <v>189.0</v>
      </c>
      <c r="B190" s="3" t="s">
        <v>106</v>
      </c>
      <c r="D190" s="3">
        <v>1989.0</v>
      </c>
      <c r="E190" s="3" t="s">
        <v>548</v>
      </c>
      <c r="F190" s="3" t="s">
        <v>549</v>
      </c>
      <c r="G190" s="3" t="s">
        <v>58</v>
      </c>
      <c r="I190" s="3" t="s">
        <v>110</v>
      </c>
      <c r="O190" s="3" t="s">
        <v>267</v>
      </c>
      <c r="P190" s="3" t="s">
        <v>61</v>
      </c>
      <c r="R190" s="3" t="s">
        <v>125</v>
      </c>
      <c r="X190" s="3" t="s">
        <v>52</v>
      </c>
      <c r="Y190" s="3" t="s">
        <v>64</v>
      </c>
    </row>
    <row r="191">
      <c r="A191" s="3">
        <v>190.0</v>
      </c>
      <c r="B191" s="3" t="s">
        <v>106</v>
      </c>
      <c r="D191" s="3">
        <v>2004.0</v>
      </c>
      <c r="E191" s="3" t="s">
        <v>550</v>
      </c>
      <c r="F191" s="3" t="s">
        <v>129</v>
      </c>
      <c r="G191" s="3" t="s">
        <v>82</v>
      </c>
      <c r="I191" s="3" t="s">
        <v>453</v>
      </c>
      <c r="O191" s="3" t="s">
        <v>61</v>
      </c>
      <c r="R191" s="3" t="s">
        <v>125</v>
      </c>
      <c r="X191" s="3" t="s">
        <v>52</v>
      </c>
      <c r="Y191" s="3" t="s">
        <v>64</v>
      </c>
    </row>
    <row r="192">
      <c r="A192" s="3">
        <v>191.0</v>
      </c>
      <c r="B192" s="3" t="s">
        <v>106</v>
      </c>
      <c r="D192" s="3">
        <v>2006.0</v>
      </c>
      <c r="E192" s="3" t="s">
        <v>551</v>
      </c>
      <c r="F192" s="3" t="s">
        <v>552</v>
      </c>
      <c r="G192" s="3" t="s">
        <v>58</v>
      </c>
      <c r="I192" s="3" t="s">
        <v>110</v>
      </c>
      <c r="O192" s="3" t="s">
        <v>247</v>
      </c>
      <c r="R192" s="3" t="s">
        <v>125</v>
      </c>
      <c r="X192" s="3" t="s">
        <v>52</v>
      </c>
      <c r="Y192" s="3" t="s">
        <v>64</v>
      </c>
    </row>
    <row r="193">
      <c r="A193" s="3">
        <v>192.0</v>
      </c>
      <c r="B193" s="3" t="s">
        <v>106</v>
      </c>
      <c r="D193" s="3">
        <v>2007.0</v>
      </c>
      <c r="E193" s="3" t="s">
        <v>553</v>
      </c>
      <c r="F193" s="3" t="s">
        <v>541</v>
      </c>
      <c r="G193" s="3" t="s">
        <v>541</v>
      </c>
      <c r="I193" s="3" t="s">
        <v>266</v>
      </c>
      <c r="O193" s="3" t="s">
        <v>267</v>
      </c>
      <c r="R193" s="3" t="s">
        <v>125</v>
      </c>
      <c r="X193" s="3" t="s">
        <v>52</v>
      </c>
      <c r="Y193" s="3" t="s">
        <v>64</v>
      </c>
    </row>
    <row r="194">
      <c r="A194" s="3">
        <v>193.0</v>
      </c>
      <c r="B194" s="3" t="s">
        <v>106</v>
      </c>
      <c r="D194" s="3">
        <v>2009.0</v>
      </c>
      <c r="E194" s="3" t="s">
        <v>554</v>
      </c>
      <c r="F194" s="3" t="s">
        <v>498</v>
      </c>
      <c r="G194" s="3" t="s">
        <v>124</v>
      </c>
      <c r="I194" s="3" t="s">
        <v>110</v>
      </c>
      <c r="J194" s="3" t="s">
        <v>205</v>
      </c>
      <c r="K194" s="3" t="s">
        <v>155</v>
      </c>
      <c r="O194" s="3" t="s">
        <v>247</v>
      </c>
      <c r="P194" s="3" t="s">
        <v>61</v>
      </c>
      <c r="R194" s="3" t="s">
        <v>259</v>
      </c>
      <c r="S194" s="3" t="s">
        <v>62</v>
      </c>
      <c r="X194" s="3" t="s">
        <v>52</v>
      </c>
      <c r="Y194" s="3" t="s">
        <v>64</v>
      </c>
    </row>
    <row r="195">
      <c r="A195" s="3">
        <v>194.0</v>
      </c>
      <c r="B195" s="3" t="s">
        <v>106</v>
      </c>
      <c r="C195" s="3" t="s">
        <v>555</v>
      </c>
      <c r="D195" s="3">
        <v>2011.0</v>
      </c>
      <c r="E195" s="3" t="s">
        <v>556</v>
      </c>
      <c r="F195" s="3" t="s">
        <v>475</v>
      </c>
      <c r="G195" s="3" t="s">
        <v>124</v>
      </c>
      <c r="H195" s="3" t="s">
        <v>101</v>
      </c>
      <c r="I195" s="3" t="s">
        <v>110</v>
      </c>
      <c r="J195" s="3" t="s">
        <v>205</v>
      </c>
      <c r="K195" s="3" t="s">
        <v>155</v>
      </c>
      <c r="L195" s="3" t="s">
        <v>309</v>
      </c>
      <c r="O195" s="3" t="s">
        <v>48</v>
      </c>
      <c r="P195" s="3" t="s">
        <v>61</v>
      </c>
      <c r="R195" s="3" t="s">
        <v>147</v>
      </c>
      <c r="S195" s="3" t="s">
        <v>62</v>
      </c>
      <c r="X195" s="3" t="s">
        <v>52</v>
      </c>
      <c r="Y195" s="3" t="s">
        <v>64</v>
      </c>
    </row>
    <row r="196">
      <c r="A196" s="3">
        <v>195.0</v>
      </c>
      <c r="B196" s="3" t="s">
        <v>106</v>
      </c>
      <c r="C196" s="3" t="s">
        <v>557</v>
      </c>
      <c r="D196" s="3">
        <v>2011.0</v>
      </c>
      <c r="E196" s="3" t="s">
        <v>558</v>
      </c>
      <c r="F196" s="3" t="s">
        <v>559</v>
      </c>
      <c r="G196" s="3" t="s">
        <v>58</v>
      </c>
      <c r="I196" s="3" t="s">
        <v>110</v>
      </c>
      <c r="O196" s="3" t="s">
        <v>61</v>
      </c>
      <c r="R196" s="3" t="s">
        <v>147</v>
      </c>
      <c r="X196" s="3" t="s">
        <v>52</v>
      </c>
      <c r="Y196" s="3" t="s">
        <v>64</v>
      </c>
    </row>
    <row r="197">
      <c r="A197" s="3">
        <v>196.0</v>
      </c>
      <c r="B197" s="3" t="s">
        <v>55</v>
      </c>
      <c r="D197" s="3">
        <v>1990.0</v>
      </c>
      <c r="E197" s="3" t="s">
        <v>560</v>
      </c>
      <c r="F197" s="3" t="s">
        <v>258</v>
      </c>
      <c r="G197" s="3" t="s">
        <v>91</v>
      </c>
      <c r="H197" s="3" t="s">
        <v>91</v>
      </c>
      <c r="I197" s="3" t="s">
        <v>225</v>
      </c>
      <c r="J197" s="3" t="s">
        <v>173</v>
      </c>
      <c r="K197" s="3" t="s">
        <v>92</v>
      </c>
      <c r="O197" s="3" t="s">
        <v>61</v>
      </c>
      <c r="R197" s="3" t="s">
        <v>62</v>
      </c>
      <c r="X197" s="3" t="s">
        <v>52</v>
      </c>
      <c r="Y197" s="3" t="s">
        <v>64</v>
      </c>
    </row>
    <row r="198">
      <c r="A198" s="3">
        <v>197.0</v>
      </c>
      <c r="B198" s="3" t="s">
        <v>106</v>
      </c>
      <c r="D198" s="3">
        <v>2020.0</v>
      </c>
      <c r="E198" s="3" t="s">
        <v>561</v>
      </c>
      <c r="F198" s="3" t="s">
        <v>562</v>
      </c>
      <c r="G198" s="3" t="s">
        <v>58</v>
      </c>
      <c r="I198" s="3" t="s">
        <v>110</v>
      </c>
      <c r="O198" s="3" t="s">
        <v>61</v>
      </c>
      <c r="P198" s="3" t="s">
        <v>247</v>
      </c>
      <c r="X198" s="3" t="s">
        <v>52</v>
      </c>
      <c r="Y198" s="3" t="s">
        <v>64</v>
      </c>
    </row>
    <row r="199">
      <c r="A199" s="3">
        <v>198.0</v>
      </c>
      <c r="B199" s="3" t="s">
        <v>40</v>
      </c>
      <c r="C199" s="3" t="s">
        <v>563</v>
      </c>
      <c r="D199" s="3">
        <v>2003.0</v>
      </c>
      <c r="E199" s="3" t="s">
        <v>564</v>
      </c>
      <c r="F199" s="3" t="s">
        <v>68</v>
      </c>
      <c r="G199" s="3" t="s">
        <v>58</v>
      </c>
      <c r="H199" s="3" t="s">
        <v>58</v>
      </c>
      <c r="I199" s="3" t="s">
        <v>96</v>
      </c>
      <c r="O199" s="3" t="s">
        <v>61</v>
      </c>
      <c r="P199" s="3" t="s">
        <v>48</v>
      </c>
      <c r="R199" s="3" t="s">
        <v>70</v>
      </c>
      <c r="T199" s="3" t="s">
        <v>60</v>
      </c>
      <c r="U199" s="3" t="s">
        <v>47</v>
      </c>
      <c r="V199" s="3" t="s">
        <v>77</v>
      </c>
      <c r="X199" s="3" t="s">
        <v>52</v>
      </c>
      <c r="Y199" s="3" t="s">
        <v>71</v>
      </c>
      <c r="Z199" s="3" t="s">
        <v>51</v>
      </c>
      <c r="AA199" s="3" t="s">
        <v>54</v>
      </c>
    </row>
    <row r="200">
      <c r="A200" s="3">
        <v>199.0</v>
      </c>
      <c r="B200" s="3" t="s">
        <v>72</v>
      </c>
      <c r="C200" s="3" t="s">
        <v>565</v>
      </c>
      <c r="D200" s="3">
        <v>2010.0</v>
      </c>
      <c r="E200" s="3" t="s">
        <v>566</v>
      </c>
      <c r="F200" s="3" t="s">
        <v>328</v>
      </c>
      <c r="G200" s="3" t="s">
        <v>124</v>
      </c>
      <c r="H200" s="3" t="s">
        <v>124</v>
      </c>
      <c r="I200" s="3" t="s">
        <v>155</v>
      </c>
      <c r="O200" s="3" t="s">
        <v>61</v>
      </c>
      <c r="P200" s="3" t="s">
        <v>48</v>
      </c>
      <c r="Q200" s="3" t="s">
        <v>247</v>
      </c>
      <c r="R200" s="3" t="s">
        <v>567</v>
      </c>
      <c r="T200" s="3" t="s">
        <v>47</v>
      </c>
      <c r="V200" s="3" t="s">
        <v>63</v>
      </c>
      <c r="X200" s="3" t="s">
        <v>52</v>
      </c>
      <c r="Y200" s="3" t="s">
        <v>71</v>
      </c>
      <c r="Z200" s="3" t="s">
        <v>51</v>
      </c>
      <c r="AA200" s="3" t="s">
        <v>65</v>
      </c>
    </row>
    <row r="201">
      <c r="A201" s="3">
        <v>200.0</v>
      </c>
      <c r="B201" s="3" t="s">
        <v>72</v>
      </c>
      <c r="C201" s="3" t="s">
        <v>568</v>
      </c>
      <c r="D201" s="3">
        <v>2001.0</v>
      </c>
      <c r="E201" s="3" t="s">
        <v>569</v>
      </c>
      <c r="F201" s="3" t="s">
        <v>100</v>
      </c>
      <c r="G201" s="3" t="s">
        <v>101</v>
      </c>
      <c r="H201" s="3" t="s">
        <v>102</v>
      </c>
      <c r="I201" s="3" t="s">
        <v>254</v>
      </c>
      <c r="O201" s="3" t="s">
        <v>61</v>
      </c>
      <c r="R201" s="3" t="s">
        <v>87</v>
      </c>
      <c r="T201" s="3" t="s">
        <v>87</v>
      </c>
      <c r="X201" s="3" t="s">
        <v>52</v>
      </c>
      <c r="Y201" s="3" t="s">
        <v>71</v>
      </c>
      <c r="Z201" s="3" t="s">
        <v>51</v>
      </c>
    </row>
    <row r="202">
      <c r="A202" s="3">
        <v>201.0</v>
      </c>
      <c r="B202" s="3" t="s">
        <v>106</v>
      </c>
      <c r="D202" s="3">
        <v>2020.0</v>
      </c>
      <c r="E202" s="3" t="s">
        <v>570</v>
      </c>
      <c r="F202" s="3" t="s">
        <v>298</v>
      </c>
      <c r="G202" s="3" t="s">
        <v>101</v>
      </c>
      <c r="I202" s="3" t="s">
        <v>155</v>
      </c>
      <c r="O202" s="3" t="s">
        <v>61</v>
      </c>
      <c r="T202" s="3" t="s">
        <v>111</v>
      </c>
      <c r="X202" s="3" t="s">
        <v>52</v>
      </c>
      <c r="Y202" s="3" t="s">
        <v>71</v>
      </c>
      <c r="Z202" s="3" t="s">
        <v>51</v>
      </c>
    </row>
    <row r="203">
      <c r="A203" s="3">
        <v>202.0</v>
      </c>
      <c r="B203" s="3" t="s">
        <v>40</v>
      </c>
      <c r="C203" s="3" t="s">
        <v>571</v>
      </c>
      <c r="D203" s="3">
        <v>2014.0</v>
      </c>
      <c r="E203" s="3" t="s">
        <v>572</v>
      </c>
      <c r="F203" s="3" t="s">
        <v>43</v>
      </c>
      <c r="G203" s="3" t="s">
        <v>44</v>
      </c>
      <c r="H203" s="3" t="s">
        <v>45</v>
      </c>
      <c r="I203" s="3" t="s">
        <v>46</v>
      </c>
      <c r="O203" s="3" t="s">
        <v>61</v>
      </c>
      <c r="P203" s="3" t="s">
        <v>247</v>
      </c>
      <c r="R203" s="3" t="s">
        <v>70</v>
      </c>
      <c r="T203" s="3" t="s">
        <v>260</v>
      </c>
      <c r="V203" s="3" t="s">
        <v>259</v>
      </c>
      <c r="W203" s="3" t="s">
        <v>47</v>
      </c>
      <c r="X203" s="3" t="s">
        <v>52</v>
      </c>
      <c r="Y203" s="3" t="s">
        <v>71</v>
      </c>
      <c r="Z203" s="3" t="s">
        <v>121</v>
      </c>
      <c r="AA203" s="3" t="s">
        <v>64</v>
      </c>
      <c r="AB203" s="3" t="s">
        <v>51</v>
      </c>
    </row>
    <row r="204">
      <c r="A204" s="3">
        <v>203.0</v>
      </c>
      <c r="B204" s="3" t="s">
        <v>40</v>
      </c>
      <c r="C204" s="3" t="s">
        <v>573</v>
      </c>
      <c r="D204" s="3">
        <v>2012.0</v>
      </c>
      <c r="E204" s="3" t="s">
        <v>574</v>
      </c>
      <c r="F204" s="3" t="s">
        <v>575</v>
      </c>
      <c r="G204" s="3" t="s">
        <v>44</v>
      </c>
      <c r="H204" s="3" t="s">
        <v>45</v>
      </c>
      <c r="I204" s="3" t="s">
        <v>461</v>
      </c>
      <c r="O204" s="3" t="s">
        <v>61</v>
      </c>
      <c r="P204" s="3" t="s">
        <v>247</v>
      </c>
      <c r="R204" s="3" t="s">
        <v>87</v>
      </c>
      <c r="T204" s="3" t="s">
        <v>87</v>
      </c>
      <c r="X204" s="3" t="s">
        <v>52</v>
      </c>
      <c r="Y204" s="3" t="s">
        <v>71</v>
      </c>
      <c r="Z204" s="3" t="s">
        <v>64</v>
      </c>
      <c r="AA204" s="3" t="s">
        <v>78</v>
      </c>
      <c r="AB204" s="3" t="s">
        <v>118</v>
      </c>
    </row>
    <row r="205">
      <c r="A205" s="3">
        <v>204.0</v>
      </c>
      <c r="B205" s="3" t="s">
        <v>40</v>
      </c>
      <c r="C205" s="3" t="s">
        <v>576</v>
      </c>
      <c r="D205" s="3">
        <v>2007.0</v>
      </c>
      <c r="E205" s="3" t="s">
        <v>577</v>
      </c>
      <c r="F205" s="3" t="s">
        <v>100</v>
      </c>
      <c r="G205" s="3" t="s">
        <v>101</v>
      </c>
      <c r="H205" s="3" t="s">
        <v>102</v>
      </c>
      <c r="I205" s="3" t="s">
        <v>254</v>
      </c>
      <c r="O205" s="3" t="s">
        <v>48</v>
      </c>
      <c r="P205" s="3" t="s">
        <v>61</v>
      </c>
      <c r="R205" s="3" t="s">
        <v>70</v>
      </c>
      <c r="T205" s="3" t="s">
        <v>63</v>
      </c>
      <c r="V205" s="3" t="s">
        <v>250</v>
      </c>
      <c r="X205" s="3" t="s">
        <v>52</v>
      </c>
      <c r="Y205" s="3" t="s">
        <v>71</v>
      </c>
      <c r="Z205" s="3" t="s">
        <v>65</v>
      </c>
      <c r="AA205" s="3" t="s">
        <v>53</v>
      </c>
    </row>
    <row r="206">
      <c r="A206" s="3">
        <v>205.0</v>
      </c>
      <c r="B206" s="3" t="s">
        <v>40</v>
      </c>
      <c r="C206" s="3" t="s">
        <v>578</v>
      </c>
      <c r="D206" s="3">
        <v>2005.0</v>
      </c>
      <c r="E206" s="3" t="s">
        <v>579</v>
      </c>
      <c r="F206" s="3" t="s">
        <v>129</v>
      </c>
      <c r="G206" s="3" t="s">
        <v>82</v>
      </c>
      <c r="H206" s="3" t="s">
        <v>82</v>
      </c>
      <c r="I206" s="3" t="s">
        <v>317</v>
      </c>
      <c r="J206" s="3" t="s">
        <v>314</v>
      </c>
      <c r="O206" s="3" t="s">
        <v>48</v>
      </c>
      <c r="R206" s="3" t="s">
        <v>70</v>
      </c>
      <c r="X206" s="3" t="s">
        <v>52</v>
      </c>
      <c r="Y206" s="3" t="s">
        <v>71</v>
      </c>
    </row>
    <row r="207">
      <c r="A207" s="3">
        <v>206.0</v>
      </c>
      <c r="B207" s="3" t="s">
        <v>40</v>
      </c>
      <c r="C207" s="3" t="s">
        <v>580</v>
      </c>
      <c r="D207" s="3">
        <v>2006.0</v>
      </c>
      <c r="E207" s="3" t="s">
        <v>581</v>
      </c>
      <c r="F207" s="3" t="s">
        <v>201</v>
      </c>
      <c r="G207" s="3" t="s">
        <v>58</v>
      </c>
      <c r="H207" s="3" t="s">
        <v>58</v>
      </c>
      <c r="I207" s="3" t="s">
        <v>69</v>
      </c>
      <c r="O207" s="3" t="s">
        <v>61</v>
      </c>
      <c r="R207" s="3" t="s">
        <v>70</v>
      </c>
      <c r="X207" s="3" t="s">
        <v>52</v>
      </c>
      <c r="Y207" s="3" t="s">
        <v>71</v>
      </c>
    </row>
    <row r="208">
      <c r="A208" s="3">
        <v>207.0</v>
      </c>
      <c r="B208" s="3" t="s">
        <v>40</v>
      </c>
      <c r="C208" s="3" t="s">
        <v>582</v>
      </c>
      <c r="D208" s="3">
        <v>2017.0</v>
      </c>
      <c r="E208" s="3" t="s">
        <v>583</v>
      </c>
      <c r="F208" s="3" t="s">
        <v>372</v>
      </c>
      <c r="G208" s="3" t="s">
        <v>101</v>
      </c>
      <c r="H208" s="3" t="s">
        <v>102</v>
      </c>
      <c r="I208" s="3" t="s">
        <v>103</v>
      </c>
      <c r="O208" s="3" t="s">
        <v>48</v>
      </c>
      <c r="X208" s="3" t="s">
        <v>52</v>
      </c>
      <c r="Y208" s="3" t="s">
        <v>71</v>
      </c>
    </row>
    <row r="209">
      <c r="A209" s="3">
        <v>208.0</v>
      </c>
      <c r="B209" s="3" t="s">
        <v>40</v>
      </c>
      <c r="C209" s="3" t="s">
        <v>584</v>
      </c>
      <c r="D209" s="3">
        <v>2018.0</v>
      </c>
      <c r="E209" s="3" t="s">
        <v>585</v>
      </c>
      <c r="F209" s="3" t="s">
        <v>129</v>
      </c>
      <c r="G209" s="3" t="s">
        <v>82</v>
      </c>
      <c r="H209" s="3" t="s">
        <v>82</v>
      </c>
      <c r="I209" s="3" t="s">
        <v>317</v>
      </c>
      <c r="O209" s="3" t="s">
        <v>61</v>
      </c>
      <c r="P209" s="3" t="s">
        <v>48</v>
      </c>
      <c r="R209" s="3" t="s">
        <v>63</v>
      </c>
      <c r="T209" s="3" t="s">
        <v>117</v>
      </c>
      <c r="X209" s="3" t="s">
        <v>52</v>
      </c>
      <c r="Y209" s="3" t="s">
        <v>65</v>
      </c>
      <c r="Z209" s="3" t="s">
        <v>118</v>
      </c>
    </row>
    <row r="210">
      <c r="A210" s="3">
        <v>209.0</v>
      </c>
      <c r="B210" s="3" t="s">
        <v>40</v>
      </c>
      <c r="C210" s="3" t="s">
        <v>586</v>
      </c>
      <c r="D210" s="3">
        <v>2019.0</v>
      </c>
      <c r="E210" s="3" t="s">
        <v>587</v>
      </c>
      <c r="F210" s="3" t="s">
        <v>356</v>
      </c>
      <c r="G210" s="3" t="s">
        <v>82</v>
      </c>
      <c r="H210" s="3" t="s">
        <v>82</v>
      </c>
      <c r="I210" s="3" t="s">
        <v>254</v>
      </c>
      <c r="O210" s="3" t="s">
        <v>61</v>
      </c>
      <c r="R210" s="3" t="s">
        <v>63</v>
      </c>
      <c r="T210" s="3" t="s">
        <v>87</v>
      </c>
      <c r="X210" s="3" t="s">
        <v>52</v>
      </c>
      <c r="Y210" s="3" t="s">
        <v>65</v>
      </c>
      <c r="Z210" s="3" t="s">
        <v>121</v>
      </c>
    </row>
    <row r="211">
      <c r="A211" s="3">
        <v>210.0</v>
      </c>
      <c r="B211" s="3" t="s">
        <v>40</v>
      </c>
      <c r="C211" s="3" t="s">
        <v>588</v>
      </c>
      <c r="D211" s="3">
        <v>2009.0</v>
      </c>
      <c r="E211" s="3" t="s">
        <v>589</v>
      </c>
      <c r="F211" s="3" t="s">
        <v>158</v>
      </c>
      <c r="G211" s="3" t="s">
        <v>58</v>
      </c>
      <c r="H211" s="3" t="s">
        <v>58</v>
      </c>
      <c r="I211" s="3" t="s">
        <v>76</v>
      </c>
      <c r="O211" s="3" t="s">
        <v>61</v>
      </c>
      <c r="R211" s="3" t="s">
        <v>63</v>
      </c>
      <c r="T211" s="3" t="s">
        <v>50</v>
      </c>
      <c r="U211" s="3" t="s">
        <v>77</v>
      </c>
      <c r="X211" s="3" t="s">
        <v>52</v>
      </c>
      <c r="Y211" s="3" t="s">
        <v>65</v>
      </c>
      <c r="Z211" s="3" t="s">
        <v>54</v>
      </c>
    </row>
    <row r="212">
      <c r="A212" s="3">
        <v>211.0</v>
      </c>
      <c r="B212" s="3" t="s">
        <v>55</v>
      </c>
      <c r="D212" s="3">
        <v>1993.0</v>
      </c>
      <c r="E212" s="3" t="s">
        <v>590</v>
      </c>
      <c r="F212" s="3" t="s">
        <v>305</v>
      </c>
      <c r="G212" s="3" t="s">
        <v>58</v>
      </c>
      <c r="H212" s="3" t="s">
        <v>58</v>
      </c>
      <c r="I212" s="3" t="s">
        <v>69</v>
      </c>
      <c r="O212" s="3" t="s">
        <v>61</v>
      </c>
      <c r="R212" s="3" t="s">
        <v>63</v>
      </c>
      <c r="T212" s="3" t="s">
        <v>244</v>
      </c>
      <c r="X212" s="3" t="s">
        <v>52</v>
      </c>
      <c r="Y212" s="3" t="s">
        <v>65</v>
      </c>
      <c r="Z212" s="3" t="s">
        <v>54</v>
      </c>
    </row>
    <row r="213">
      <c r="A213" s="3">
        <v>212.0</v>
      </c>
      <c r="B213" s="3" t="s">
        <v>40</v>
      </c>
      <c r="C213" s="3" t="s">
        <v>591</v>
      </c>
      <c r="D213" s="3">
        <v>2001.0</v>
      </c>
      <c r="E213" s="3" t="s">
        <v>592</v>
      </c>
      <c r="F213" s="3" t="s">
        <v>68</v>
      </c>
      <c r="G213" s="3" t="s">
        <v>58</v>
      </c>
      <c r="H213" s="3" t="s">
        <v>58</v>
      </c>
      <c r="I213" s="3" t="s">
        <v>96</v>
      </c>
      <c r="O213" s="3" t="s">
        <v>61</v>
      </c>
      <c r="P213" s="3" t="s">
        <v>48</v>
      </c>
      <c r="R213" s="3" t="s">
        <v>63</v>
      </c>
      <c r="X213" s="3" t="s">
        <v>52</v>
      </c>
      <c r="Y213" s="3" t="s">
        <v>65</v>
      </c>
      <c r="Z213" s="3" t="s">
        <v>78</v>
      </c>
    </row>
    <row r="214">
      <c r="A214" s="3">
        <v>213.0</v>
      </c>
      <c r="B214" s="3" t="s">
        <v>40</v>
      </c>
      <c r="C214" s="3" t="s">
        <v>593</v>
      </c>
      <c r="D214" s="3">
        <v>2018.0</v>
      </c>
      <c r="E214" s="3" t="s">
        <v>594</v>
      </c>
      <c r="F214" s="3" t="s">
        <v>43</v>
      </c>
      <c r="G214" s="3" t="s">
        <v>44</v>
      </c>
      <c r="H214" s="3" t="s">
        <v>45</v>
      </c>
      <c r="I214" s="3" t="s">
        <v>275</v>
      </c>
      <c r="O214" s="3" t="s">
        <v>61</v>
      </c>
      <c r="R214" s="3" t="s">
        <v>63</v>
      </c>
      <c r="X214" s="3" t="s">
        <v>52</v>
      </c>
      <c r="Y214" s="3" t="s">
        <v>65</v>
      </c>
      <c r="Z214" s="3" t="s">
        <v>78</v>
      </c>
    </row>
    <row r="215">
      <c r="A215" s="3">
        <v>214.0</v>
      </c>
      <c r="B215" s="3" t="s">
        <v>40</v>
      </c>
      <c r="C215" s="3" t="s">
        <v>595</v>
      </c>
      <c r="D215" s="3">
        <v>2018.0</v>
      </c>
      <c r="E215" s="3" t="s">
        <v>596</v>
      </c>
      <c r="F215" s="3" t="s">
        <v>213</v>
      </c>
      <c r="G215" s="3" t="s">
        <v>58</v>
      </c>
      <c r="H215" s="3" t="s">
        <v>58</v>
      </c>
      <c r="I215" s="3" t="s">
        <v>69</v>
      </c>
      <c r="O215" s="3" t="s">
        <v>61</v>
      </c>
      <c r="R215" s="3" t="s">
        <v>63</v>
      </c>
      <c r="T215" s="3" t="s">
        <v>62</v>
      </c>
      <c r="X215" s="3" t="s">
        <v>52</v>
      </c>
      <c r="Y215" s="3" t="s">
        <v>65</v>
      </c>
      <c r="Z215" s="3" t="s">
        <v>64</v>
      </c>
      <c r="AA215" s="3" t="s">
        <v>121</v>
      </c>
    </row>
    <row r="216">
      <c r="A216" s="3">
        <v>215.0</v>
      </c>
      <c r="B216" s="3" t="s">
        <v>106</v>
      </c>
      <c r="C216" s="3" t="s">
        <v>597</v>
      </c>
      <c r="D216" s="3">
        <v>2012.0</v>
      </c>
      <c r="E216" s="3" t="s">
        <v>598</v>
      </c>
      <c r="F216" s="3" t="s">
        <v>43</v>
      </c>
      <c r="G216" s="3" t="s">
        <v>44</v>
      </c>
      <c r="I216" s="3" t="s">
        <v>485</v>
      </c>
      <c r="O216" s="3" t="s">
        <v>61</v>
      </c>
      <c r="R216" s="3" t="s">
        <v>63</v>
      </c>
      <c r="T216" s="3" t="s">
        <v>62</v>
      </c>
      <c r="W216" s="3" t="s">
        <v>111</v>
      </c>
      <c r="X216" s="3" t="s">
        <v>52</v>
      </c>
      <c r="Y216" s="3" t="s">
        <v>65</v>
      </c>
      <c r="Z216" s="3" t="s">
        <v>64</v>
      </c>
      <c r="AA216" s="3" t="s">
        <v>143</v>
      </c>
      <c r="AB216" s="3" t="s">
        <v>51</v>
      </c>
    </row>
    <row r="217">
      <c r="A217" s="3">
        <v>216.0</v>
      </c>
      <c r="B217" s="3" t="s">
        <v>40</v>
      </c>
      <c r="C217" s="3" t="s">
        <v>599</v>
      </c>
      <c r="D217" s="3">
        <v>2017.0</v>
      </c>
      <c r="E217" s="3" t="s">
        <v>600</v>
      </c>
      <c r="F217" s="3" t="s">
        <v>433</v>
      </c>
      <c r="G217" s="3" t="s">
        <v>44</v>
      </c>
      <c r="H217" s="3" t="s">
        <v>45</v>
      </c>
      <c r="I217" s="3" t="s">
        <v>485</v>
      </c>
      <c r="O217" s="3" t="s">
        <v>61</v>
      </c>
      <c r="P217" s="3" t="s">
        <v>247</v>
      </c>
      <c r="R217" s="3" t="s">
        <v>63</v>
      </c>
      <c r="T217" s="3" t="s">
        <v>87</v>
      </c>
      <c r="X217" s="3" t="s">
        <v>52</v>
      </c>
      <c r="Y217" s="3" t="s">
        <v>65</v>
      </c>
      <c r="Z217" s="3" t="s">
        <v>64</v>
      </c>
    </row>
    <row r="218">
      <c r="A218" s="3">
        <v>217.0</v>
      </c>
      <c r="B218" s="3" t="s">
        <v>40</v>
      </c>
      <c r="C218" s="3" t="s">
        <v>601</v>
      </c>
      <c r="D218" s="3">
        <v>2001.0</v>
      </c>
      <c r="E218" s="3" t="s">
        <v>602</v>
      </c>
      <c r="F218" s="3" t="s">
        <v>81</v>
      </c>
      <c r="G218" s="3" t="s">
        <v>82</v>
      </c>
      <c r="H218" s="3" t="s">
        <v>82</v>
      </c>
      <c r="I218" s="3" t="s">
        <v>314</v>
      </c>
      <c r="J218" s="3" t="s">
        <v>254</v>
      </c>
      <c r="O218" s="3" t="s">
        <v>61</v>
      </c>
      <c r="P218" s="3" t="s">
        <v>48</v>
      </c>
      <c r="R218" s="3" t="s">
        <v>63</v>
      </c>
      <c r="T218" s="3" t="s">
        <v>70</v>
      </c>
      <c r="X218" s="3" t="s">
        <v>52</v>
      </c>
      <c r="Y218" s="3" t="s">
        <v>65</v>
      </c>
      <c r="Z218" s="3" t="s">
        <v>71</v>
      </c>
    </row>
    <row r="219">
      <c r="A219" s="3">
        <v>218.0</v>
      </c>
      <c r="B219" s="3" t="s">
        <v>55</v>
      </c>
      <c r="D219" s="3">
        <v>1990.0</v>
      </c>
      <c r="E219" s="3" t="s">
        <v>603</v>
      </c>
      <c r="F219" s="3" t="s">
        <v>541</v>
      </c>
      <c r="G219" s="3" t="s">
        <v>541</v>
      </c>
      <c r="H219" s="3" t="s">
        <v>541</v>
      </c>
      <c r="I219" s="3" t="s">
        <v>69</v>
      </c>
      <c r="O219" s="3" t="s">
        <v>61</v>
      </c>
      <c r="R219" s="3" t="s">
        <v>63</v>
      </c>
      <c r="T219" s="3" t="s">
        <v>70</v>
      </c>
      <c r="X219" s="3" t="s">
        <v>52</v>
      </c>
      <c r="Y219" s="3" t="s">
        <v>65</v>
      </c>
      <c r="Z219" s="3" t="s">
        <v>71</v>
      </c>
    </row>
    <row r="220">
      <c r="A220" s="3">
        <v>219.0</v>
      </c>
      <c r="B220" s="3" t="s">
        <v>55</v>
      </c>
      <c r="D220" s="3">
        <v>1991.0</v>
      </c>
      <c r="E220" s="3" t="s">
        <v>604</v>
      </c>
      <c r="F220" s="3" t="s">
        <v>605</v>
      </c>
      <c r="G220" s="3" t="s">
        <v>44</v>
      </c>
      <c r="H220" s="3" t="s">
        <v>45</v>
      </c>
      <c r="I220" s="3" t="s">
        <v>208</v>
      </c>
      <c r="J220" s="3" t="s">
        <v>275</v>
      </c>
      <c r="O220" s="3" t="s">
        <v>61</v>
      </c>
      <c r="R220" s="3" t="s">
        <v>63</v>
      </c>
      <c r="X220" s="3" t="s">
        <v>52</v>
      </c>
      <c r="Y220" s="3" t="s">
        <v>65</v>
      </c>
      <c r="Z220" s="3" t="s">
        <v>143</v>
      </c>
    </row>
    <row r="221">
      <c r="A221" s="3">
        <v>220.0</v>
      </c>
      <c r="B221" s="3" t="s">
        <v>40</v>
      </c>
      <c r="C221" s="3" t="s">
        <v>606</v>
      </c>
      <c r="D221" s="3">
        <v>1993.0</v>
      </c>
      <c r="E221" s="3" t="s">
        <v>607</v>
      </c>
      <c r="F221" s="3" t="s">
        <v>57</v>
      </c>
      <c r="G221" s="3" t="s">
        <v>58</v>
      </c>
      <c r="H221" s="3" t="s">
        <v>58</v>
      </c>
      <c r="I221" s="3" t="s">
        <v>69</v>
      </c>
      <c r="O221" s="3" t="s">
        <v>61</v>
      </c>
      <c r="R221" s="3" t="s">
        <v>63</v>
      </c>
      <c r="X221" s="3" t="s">
        <v>52</v>
      </c>
      <c r="Y221" s="3" t="s">
        <v>65</v>
      </c>
    </row>
    <row r="222">
      <c r="A222" s="3">
        <v>221.0</v>
      </c>
      <c r="B222" s="3" t="s">
        <v>40</v>
      </c>
      <c r="C222" s="3" t="s">
        <v>174</v>
      </c>
      <c r="D222" s="3">
        <v>2001.0</v>
      </c>
      <c r="E222" s="3" t="s">
        <v>608</v>
      </c>
      <c r="F222" s="3" t="s">
        <v>158</v>
      </c>
      <c r="G222" s="3" t="s">
        <v>58</v>
      </c>
      <c r="H222" s="3" t="s">
        <v>58</v>
      </c>
      <c r="I222" s="3" t="s">
        <v>69</v>
      </c>
      <c r="O222" s="3" t="s">
        <v>61</v>
      </c>
      <c r="R222" s="3" t="s">
        <v>63</v>
      </c>
      <c r="X222" s="3" t="s">
        <v>52</v>
      </c>
      <c r="Y222" s="3" t="s">
        <v>65</v>
      </c>
    </row>
    <row r="223">
      <c r="A223" s="3">
        <v>222.0</v>
      </c>
      <c r="B223" s="3" t="s">
        <v>40</v>
      </c>
      <c r="C223" s="3" t="s">
        <v>609</v>
      </c>
      <c r="D223" s="3">
        <v>2001.0</v>
      </c>
      <c r="E223" s="3" t="s">
        <v>610</v>
      </c>
      <c r="F223" s="3" t="s">
        <v>129</v>
      </c>
      <c r="G223" s="3" t="s">
        <v>82</v>
      </c>
      <c r="H223" s="3" t="s">
        <v>82</v>
      </c>
      <c r="I223" s="3" t="s">
        <v>254</v>
      </c>
      <c r="J223" s="3" t="s">
        <v>314</v>
      </c>
      <c r="O223" s="3" t="s">
        <v>61</v>
      </c>
      <c r="R223" s="3" t="s">
        <v>63</v>
      </c>
      <c r="X223" s="3" t="s">
        <v>52</v>
      </c>
      <c r="Y223" s="3" t="s">
        <v>65</v>
      </c>
    </row>
    <row r="224">
      <c r="A224" s="3">
        <v>223.0</v>
      </c>
      <c r="B224" s="3" t="s">
        <v>40</v>
      </c>
      <c r="C224" s="3" t="s">
        <v>611</v>
      </c>
      <c r="D224" s="3">
        <v>2005.0</v>
      </c>
      <c r="E224" s="3" t="s">
        <v>612</v>
      </c>
      <c r="F224" s="3" t="s">
        <v>81</v>
      </c>
      <c r="G224" s="3" t="s">
        <v>82</v>
      </c>
      <c r="H224" s="3" t="s">
        <v>82</v>
      </c>
      <c r="I224" s="3" t="s">
        <v>254</v>
      </c>
      <c r="O224" s="3" t="s">
        <v>61</v>
      </c>
      <c r="R224" s="3" t="s">
        <v>63</v>
      </c>
      <c r="X224" s="3" t="s">
        <v>52</v>
      </c>
      <c r="Y224" s="3" t="s">
        <v>65</v>
      </c>
    </row>
    <row r="225">
      <c r="A225" s="3">
        <v>224.0</v>
      </c>
      <c r="B225" s="3" t="s">
        <v>40</v>
      </c>
      <c r="C225" s="3" t="s">
        <v>613</v>
      </c>
      <c r="D225" s="3">
        <v>2008.0</v>
      </c>
      <c r="E225" s="3" t="s">
        <v>614</v>
      </c>
      <c r="F225" s="3" t="s">
        <v>129</v>
      </c>
      <c r="G225" s="3" t="s">
        <v>82</v>
      </c>
      <c r="H225" s="3" t="s">
        <v>82</v>
      </c>
      <c r="I225" s="3" t="s">
        <v>453</v>
      </c>
      <c r="O225" s="3" t="s">
        <v>61</v>
      </c>
      <c r="R225" s="3" t="s">
        <v>63</v>
      </c>
      <c r="X225" s="3" t="s">
        <v>52</v>
      </c>
      <c r="Y225" s="3" t="s">
        <v>65</v>
      </c>
    </row>
    <row r="226">
      <c r="A226" s="3">
        <v>225.0</v>
      </c>
      <c r="B226" s="3" t="s">
        <v>40</v>
      </c>
      <c r="C226" s="3" t="s">
        <v>615</v>
      </c>
      <c r="D226" s="3">
        <v>2009.0</v>
      </c>
      <c r="E226" s="3" t="s">
        <v>616</v>
      </c>
      <c r="F226" s="3" t="s">
        <v>356</v>
      </c>
      <c r="G226" s="3" t="s">
        <v>82</v>
      </c>
      <c r="H226" s="3" t="s">
        <v>82</v>
      </c>
      <c r="I226" s="3" t="s">
        <v>317</v>
      </c>
      <c r="O226" s="3" t="s">
        <v>61</v>
      </c>
      <c r="R226" s="3" t="s">
        <v>63</v>
      </c>
      <c r="X226" s="3" t="s">
        <v>52</v>
      </c>
      <c r="Y226" s="3" t="s">
        <v>65</v>
      </c>
    </row>
    <row r="227">
      <c r="A227" s="3">
        <v>226.0</v>
      </c>
      <c r="B227" s="3" t="s">
        <v>40</v>
      </c>
      <c r="C227" s="3" t="s">
        <v>617</v>
      </c>
      <c r="D227" s="3">
        <v>2010.0</v>
      </c>
      <c r="E227" s="3" t="s">
        <v>618</v>
      </c>
      <c r="F227" s="3" t="s">
        <v>356</v>
      </c>
      <c r="G227" s="3" t="s">
        <v>82</v>
      </c>
      <c r="H227" s="3" t="s">
        <v>82</v>
      </c>
      <c r="I227" s="3" t="s">
        <v>254</v>
      </c>
      <c r="O227" s="3" t="s">
        <v>48</v>
      </c>
      <c r="R227" s="3" t="s">
        <v>63</v>
      </c>
      <c r="X227" s="3" t="s">
        <v>52</v>
      </c>
      <c r="Y227" s="3" t="s">
        <v>65</v>
      </c>
    </row>
    <row r="228">
      <c r="A228" s="3">
        <v>227.0</v>
      </c>
      <c r="B228" s="3" t="s">
        <v>40</v>
      </c>
      <c r="C228" s="3" t="s">
        <v>619</v>
      </c>
      <c r="D228" s="3">
        <v>2011.0</v>
      </c>
      <c r="E228" s="3" t="s">
        <v>620</v>
      </c>
      <c r="F228" s="3" t="s">
        <v>356</v>
      </c>
      <c r="G228" s="3" t="s">
        <v>82</v>
      </c>
      <c r="H228" s="3" t="s">
        <v>82</v>
      </c>
      <c r="I228" s="3" t="s">
        <v>314</v>
      </c>
      <c r="O228" s="3" t="s">
        <v>61</v>
      </c>
      <c r="P228" s="3" t="s">
        <v>48</v>
      </c>
      <c r="R228" s="3" t="s">
        <v>63</v>
      </c>
      <c r="X228" s="3" t="s">
        <v>52</v>
      </c>
      <c r="Y228" s="3" t="s">
        <v>65</v>
      </c>
    </row>
    <row r="229">
      <c r="A229" s="3">
        <v>228.0</v>
      </c>
      <c r="B229" s="3" t="s">
        <v>40</v>
      </c>
      <c r="C229" s="3" t="s">
        <v>621</v>
      </c>
      <c r="D229" s="3">
        <v>2015.0</v>
      </c>
      <c r="E229" s="3" t="s">
        <v>622</v>
      </c>
      <c r="F229" s="3" t="s">
        <v>187</v>
      </c>
      <c r="G229" s="3" t="s">
        <v>58</v>
      </c>
      <c r="H229" s="3" t="s">
        <v>58</v>
      </c>
      <c r="I229" s="3" t="s">
        <v>96</v>
      </c>
      <c r="J229" s="3" t="s">
        <v>285</v>
      </c>
      <c r="O229" s="3" t="s">
        <v>61</v>
      </c>
      <c r="R229" s="3" t="s">
        <v>63</v>
      </c>
      <c r="X229" s="3" t="s">
        <v>52</v>
      </c>
      <c r="Y229" s="3" t="s">
        <v>65</v>
      </c>
    </row>
    <row r="230">
      <c r="A230" s="3">
        <v>229.0</v>
      </c>
      <c r="B230" s="3" t="s">
        <v>40</v>
      </c>
      <c r="C230" s="3" t="s">
        <v>623</v>
      </c>
      <c r="D230" s="3">
        <v>2015.0</v>
      </c>
      <c r="E230" s="3" t="s">
        <v>624</v>
      </c>
      <c r="F230" s="3" t="s">
        <v>213</v>
      </c>
      <c r="G230" s="3" t="s">
        <v>58</v>
      </c>
      <c r="H230" s="3" t="s">
        <v>58</v>
      </c>
      <c r="I230" s="3" t="s">
        <v>69</v>
      </c>
      <c r="O230" s="3" t="s">
        <v>61</v>
      </c>
      <c r="R230" s="3" t="s">
        <v>63</v>
      </c>
      <c r="X230" s="3" t="s">
        <v>52</v>
      </c>
      <c r="Y230" s="3" t="s">
        <v>65</v>
      </c>
    </row>
    <row r="231">
      <c r="A231" s="3">
        <v>230.0</v>
      </c>
      <c r="B231" s="3" t="s">
        <v>40</v>
      </c>
      <c r="C231" s="3" t="s">
        <v>625</v>
      </c>
      <c r="D231" s="3">
        <v>2020.0</v>
      </c>
      <c r="E231" s="3" t="s">
        <v>626</v>
      </c>
      <c r="F231" s="3" t="s">
        <v>356</v>
      </c>
      <c r="G231" s="3" t="s">
        <v>82</v>
      </c>
      <c r="H231" s="3" t="s">
        <v>82</v>
      </c>
      <c r="I231" s="3" t="s">
        <v>254</v>
      </c>
      <c r="O231" s="3" t="s">
        <v>61</v>
      </c>
      <c r="R231" s="3" t="s">
        <v>63</v>
      </c>
      <c r="X231" s="3" t="s">
        <v>52</v>
      </c>
      <c r="Y231" s="3" t="s">
        <v>65</v>
      </c>
    </row>
    <row r="232">
      <c r="A232" s="3">
        <v>231.0</v>
      </c>
      <c r="B232" s="3" t="s">
        <v>106</v>
      </c>
      <c r="D232" s="3">
        <v>2004.0</v>
      </c>
      <c r="E232" s="3" t="s">
        <v>627</v>
      </c>
      <c r="F232" s="3" t="s">
        <v>129</v>
      </c>
      <c r="G232" s="3" t="s">
        <v>82</v>
      </c>
      <c r="I232" s="3" t="s">
        <v>453</v>
      </c>
      <c r="O232" s="3" t="s">
        <v>61</v>
      </c>
      <c r="R232" s="3" t="s">
        <v>63</v>
      </c>
      <c r="X232" s="3" t="s">
        <v>52</v>
      </c>
      <c r="Y232" s="3" t="s">
        <v>65</v>
      </c>
    </row>
    <row r="233">
      <c r="A233" s="3">
        <v>232.0</v>
      </c>
      <c r="B233" s="3" t="s">
        <v>106</v>
      </c>
      <c r="D233" s="3">
        <v>2007.0</v>
      </c>
      <c r="E233" s="3" t="s">
        <v>628</v>
      </c>
      <c r="F233" s="3" t="s">
        <v>552</v>
      </c>
      <c r="G233" s="3" t="s">
        <v>58</v>
      </c>
      <c r="I233" s="3" t="s">
        <v>110</v>
      </c>
      <c r="O233" s="3" t="s">
        <v>61</v>
      </c>
      <c r="R233" s="3" t="s">
        <v>63</v>
      </c>
      <c r="X233" s="3" t="s">
        <v>52</v>
      </c>
      <c r="Y233" s="3" t="s">
        <v>65</v>
      </c>
    </row>
    <row r="234">
      <c r="A234" s="3">
        <v>233.0</v>
      </c>
      <c r="B234" s="3" t="s">
        <v>106</v>
      </c>
      <c r="C234" s="3" t="s">
        <v>629</v>
      </c>
      <c r="D234" s="3">
        <v>2011.0</v>
      </c>
      <c r="E234" s="3" t="s">
        <v>630</v>
      </c>
      <c r="F234" s="3" t="s">
        <v>305</v>
      </c>
      <c r="G234" s="3" t="s">
        <v>58</v>
      </c>
      <c r="I234" s="3" t="s">
        <v>110</v>
      </c>
      <c r="O234" s="3" t="s">
        <v>61</v>
      </c>
      <c r="R234" s="3" t="s">
        <v>631</v>
      </c>
      <c r="X234" s="3" t="s">
        <v>52</v>
      </c>
      <c r="Y234" s="3" t="s">
        <v>65</v>
      </c>
    </row>
    <row r="235">
      <c r="A235" s="3">
        <v>234.0</v>
      </c>
      <c r="B235" s="3" t="s">
        <v>55</v>
      </c>
      <c r="D235" s="3">
        <v>1992.0</v>
      </c>
      <c r="E235" s="3" t="s">
        <v>632</v>
      </c>
      <c r="F235" s="3" t="s">
        <v>129</v>
      </c>
      <c r="G235" s="3" t="s">
        <v>82</v>
      </c>
      <c r="H235" s="3" t="s">
        <v>82</v>
      </c>
      <c r="I235" s="3" t="s">
        <v>83</v>
      </c>
      <c r="O235" s="3" t="s">
        <v>61</v>
      </c>
      <c r="R235" s="3" t="s">
        <v>63</v>
      </c>
      <c r="X235" s="3" t="s">
        <v>52</v>
      </c>
      <c r="Y235" s="3" t="s">
        <v>65</v>
      </c>
    </row>
    <row r="236">
      <c r="A236" s="3">
        <v>235.0</v>
      </c>
      <c r="B236" s="3" t="s">
        <v>106</v>
      </c>
      <c r="C236" s="3" t="s">
        <v>633</v>
      </c>
      <c r="D236" s="3">
        <v>1992.0</v>
      </c>
      <c r="E236" s="3" t="s">
        <v>634</v>
      </c>
      <c r="F236" s="3" t="s">
        <v>541</v>
      </c>
      <c r="G236" s="3" t="s">
        <v>541</v>
      </c>
      <c r="I236" s="3" t="s">
        <v>635</v>
      </c>
      <c r="O236" s="3" t="s">
        <v>61</v>
      </c>
      <c r="X236" s="3" t="s">
        <v>52</v>
      </c>
      <c r="Y236" s="3" t="s">
        <v>143</v>
      </c>
    </row>
    <row r="237">
      <c r="A237" s="3">
        <v>236.0</v>
      </c>
      <c r="B237" s="3" t="s">
        <v>106</v>
      </c>
      <c r="C237" s="3" t="s">
        <v>636</v>
      </c>
      <c r="D237" s="3">
        <v>1997.0</v>
      </c>
      <c r="E237" s="3" t="s">
        <v>637</v>
      </c>
      <c r="F237" s="3" t="s">
        <v>638</v>
      </c>
      <c r="G237" s="3" t="s">
        <v>44</v>
      </c>
      <c r="I237" s="3" t="s">
        <v>46</v>
      </c>
      <c r="O237" s="3" t="s">
        <v>61</v>
      </c>
      <c r="X237" s="3" t="s">
        <v>52</v>
      </c>
      <c r="Y237" s="3" t="s">
        <v>143</v>
      </c>
    </row>
    <row r="238">
      <c r="A238" s="3">
        <v>237.0</v>
      </c>
      <c r="B238" s="3" t="s">
        <v>106</v>
      </c>
      <c r="C238" s="3" t="s">
        <v>639</v>
      </c>
      <c r="D238" s="3">
        <v>1998.0</v>
      </c>
      <c r="E238" s="3" t="s">
        <v>640</v>
      </c>
      <c r="F238" s="3" t="s">
        <v>475</v>
      </c>
      <c r="G238" s="3" t="s">
        <v>541</v>
      </c>
      <c r="I238" s="3" t="s">
        <v>110</v>
      </c>
      <c r="O238" s="3" t="s">
        <v>61</v>
      </c>
      <c r="X238" s="3" t="s">
        <v>52</v>
      </c>
      <c r="Y238" s="3" t="s">
        <v>143</v>
      </c>
    </row>
    <row r="239">
      <c r="A239" s="3">
        <v>238.0</v>
      </c>
      <c r="B239" s="3" t="s">
        <v>106</v>
      </c>
      <c r="C239" s="3" t="s">
        <v>641</v>
      </c>
      <c r="D239" s="3">
        <v>2011.0</v>
      </c>
      <c r="E239" s="3" t="s">
        <v>642</v>
      </c>
      <c r="F239" s="3" t="s">
        <v>643</v>
      </c>
      <c r="G239" s="3" t="s">
        <v>101</v>
      </c>
      <c r="I239" s="3" t="s">
        <v>110</v>
      </c>
      <c r="O239" s="3" t="s">
        <v>61</v>
      </c>
      <c r="X239" s="3" t="s">
        <v>52</v>
      </c>
      <c r="Y239" s="3" t="s">
        <v>143</v>
      </c>
    </row>
    <row r="240">
      <c r="A240" s="3">
        <v>239.0</v>
      </c>
      <c r="B240" s="3" t="s">
        <v>106</v>
      </c>
      <c r="C240" s="3" t="s">
        <v>644</v>
      </c>
      <c r="D240" s="3">
        <v>2012.0</v>
      </c>
      <c r="E240" s="3" t="s">
        <v>645</v>
      </c>
      <c r="F240" s="3" t="s">
        <v>43</v>
      </c>
      <c r="G240" s="3" t="s">
        <v>44</v>
      </c>
      <c r="I240" s="3" t="s">
        <v>46</v>
      </c>
      <c r="O240" s="3" t="s">
        <v>61</v>
      </c>
      <c r="X240" s="3" t="s">
        <v>52</v>
      </c>
      <c r="Y240" s="3" t="s">
        <v>143</v>
      </c>
    </row>
    <row r="241">
      <c r="A241" s="3">
        <v>240.0</v>
      </c>
      <c r="B241" s="3" t="s">
        <v>106</v>
      </c>
      <c r="C241" s="3" t="s">
        <v>646</v>
      </c>
      <c r="D241" s="3">
        <v>2013.0</v>
      </c>
      <c r="E241" s="3" t="s">
        <v>647</v>
      </c>
      <c r="F241" s="3" t="s">
        <v>444</v>
      </c>
      <c r="G241" s="3" t="s">
        <v>44</v>
      </c>
      <c r="I241" s="3" t="s">
        <v>485</v>
      </c>
      <c r="O241" s="3" t="s">
        <v>61</v>
      </c>
      <c r="X241" s="3" t="s">
        <v>52</v>
      </c>
      <c r="Y241" s="3" t="s">
        <v>143</v>
      </c>
    </row>
    <row r="242">
      <c r="A242" s="3">
        <v>241.0</v>
      </c>
      <c r="B242" s="3" t="s">
        <v>40</v>
      </c>
      <c r="C242" s="3" t="s">
        <v>648</v>
      </c>
      <c r="D242" s="3">
        <v>2000.0</v>
      </c>
      <c r="E242" s="3" t="s">
        <v>649</v>
      </c>
      <c r="F242" s="3" t="s">
        <v>541</v>
      </c>
      <c r="G242" s="3" t="s">
        <v>541</v>
      </c>
      <c r="H242" s="3" t="s">
        <v>541</v>
      </c>
      <c r="I242" s="3" t="s">
        <v>635</v>
      </c>
      <c r="O242" s="3" t="s">
        <v>61</v>
      </c>
      <c r="X242" s="3" t="s">
        <v>52</v>
      </c>
      <c r="Y242" s="3" t="s">
        <v>650</v>
      </c>
    </row>
    <row r="243">
      <c r="A243" s="3">
        <v>242.0</v>
      </c>
      <c r="B243" s="3" t="s">
        <v>40</v>
      </c>
      <c r="C243" s="3" t="s">
        <v>651</v>
      </c>
      <c r="D243" s="3">
        <v>1989.0</v>
      </c>
      <c r="E243" s="3" t="s">
        <v>652</v>
      </c>
      <c r="F243" s="3" t="s">
        <v>68</v>
      </c>
      <c r="G243" s="3" t="s">
        <v>58</v>
      </c>
      <c r="H243" s="3" t="s">
        <v>58</v>
      </c>
      <c r="I243" s="3" t="s">
        <v>69</v>
      </c>
      <c r="O243" s="3" t="s">
        <v>61</v>
      </c>
      <c r="X243" s="3" t="s">
        <v>52</v>
      </c>
    </row>
    <row r="244">
      <c r="A244" s="3">
        <v>243.0</v>
      </c>
      <c r="B244" s="3" t="s">
        <v>40</v>
      </c>
      <c r="C244" s="3" t="s">
        <v>653</v>
      </c>
      <c r="D244" s="3">
        <v>1990.0</v>
      </c>
      <c r="E244" s="3" t="s">
        <v>654</v>
      </c>
      <c r="F244" s="3" t="s">
        <v>265</v>
      </c>
      <c r="G244" s="3" t="s">
        <v>91</v>
      </c>
      <c r="H244" s="3" t="s">
        <v>91</v>
      </c>
      <c r="I244" s="3" t="s">
        <v>173</v>
      </c>
      <c r="J244" s="3" t="s">
        <v>92</v>
      </c>
      <c r="O244" s="3" t="s">
        <v>247</v>
      </c>
      <c r="X244" s="3" t="s">
        <v>52</v>
      </c>
    </row>
    <row r="245">
      <c r="A245" s="3">
        <v>244.0</v>
      </c>
      <c r="B245" s="3" t="s">
        <v>40</v>
      </c>
      <c r="C245" s="3" t="s">
        <v>655</v>
      </c>
      <c r="D245" s="3">
        <v>1991.0</v>
      </c>
      <c r="E245" s="3" t="s">
        <v>656</v>
      </c>
      <c r="F245" s="3" t="s">
        <v>129</v>
      </c>
      <c r="G245" s="3" t="s">
        <v>82</v>
      </c>
      <c r="H245" s="3" t="s">
        <v>82</v>
      </c>
      <c r="I245" s="3" t="s">
        <v>384</v>
      </c>
      <c r="O245" s="3" t="s">
        <v>247</v>
      </c>
      <c r="X245" s="3" t="s">
        <v>52</v>
      </c>
    </row>
    <row r="246">
      <c r="A246" s="3">
        <v>245.0</v>
      </c>
      <c r="B246" s="3" t="s">
        <v>40</v>
      </c>
      <c r="C246" s="3" t="s">
        <v>657</v>
      </c>
      <c r="D246" s="3">
        <v>1993.0</v>
      </c>
      <c r="E246" s="3" t="s">
        <v>658</v>
      </c>
      <c r="F246" s="3" t="s">
        <v>129</v>
      </c>
      <c r="G246" s="3" t="s">
        <v>82</v>
      </c>
      <c r="H246" s="3" t="s">
        <v>82</v>
      </c>
      <c r="I246" s="3" t="s">
        <v>317</v>
      </c>
      <c r="O246" s="3" t="s">
        <v>61</v>
      </c>
      <c r="P246" s="3" t="s">
        <v>48</v>
      </c>
      <c r="X246" s="3" t="s">
        <v>52</v>
      </c>
    </row>
    <row r="247">
      <c r="A247" s="3">
        <v>246.0</v>
      </c>
      <c r="B247" s="3" t="s">
        <v>40</v>
      </c>
      <c r="C247" s="3" t="s">
        <v>659</v>
      </c>
      <c r="D247" s="3">
        <v>1993.0</v>
      </c>
      <c r="E247" s="3" t="s">
        <v>660</v>
      </c>
      <c r="F247" s="3" t="s">
        <v>158</v>
      </c>
      <c r="G247" s="3" t="s">
        <v>58</v>
      </c>
      <c r="H247" s="3" t="s">
        <v>58</v>
      </c>
      <c r="I247" s="3" t="s">
        <v>96</v>
      </c>
      <c r="O247" s="3" t="s">
        <v>61</v>
      </c>
      <c r="X247" s="3" t="s">
        <v>52</v>
      </c>
    </row>
    <row r="248">
      <c r="A248" s="3">
        <v>247.0</v>
      </c>
      <c r="B248" s="3" t="s">
        <v>40</v>
      </c>
      <c r="C248" s="3" t="s">
        <v>661</v>
      </c>
      <c r="D248" s="3">
        <v>1994.0</v>
      </c>
      <c r="E248" s="3" t="s">
        <v>662</v>
      </c>
      <c r="F248" s="3" t="s">
        <v>356</v>
      </c>
      <c r="G248" s="3" t="s">
        <v>82</v>
      </c>
      <c r="H248" s="3" t="s">
        <v>82</v>
      </c>
      <c r="I248" s="3" t="s">
        <v>317</v>
      </c>
      <c r="O248" s="3" t="s">
        <v>61</v>
      </c>
      <c r="X248" s="3" t="s">
        <v>52</v>
      </c>
    </row>
    <row r="249">
      <c r="A249" s="3">
        <v>248.0</v>
      </c>
      <c r="B249" s="3" t="s">
        <v>40</v>
      </c>
      <c r="C249" s="3" t="s">
        <v>663</v>
      </c>
      <c r="D249" s="3">
        <v>1994.0</v>
      </c>
      <c r="E249" s="3" t="s">
        <v>664</v>
      </c>
      <c r="F249" s="3" t="s">
        <v>129</v>
      </c>
      <c r="G249" s="3" t="s">
        <v>82</v>
      </c>
      <c r="H249" s="3" t="s">
        <v>82</v>
      </c>
      <c r="I249" s="3" t="s">
        <v>317</v>
      </c>
      <c r="O249" s="3" t="s">
        <v>61</v>
      </c>
      <c r="P249" s="3" t="s">
        <v>48</v>
      </c>
      <c r="X249" s="3" t="s">
        <v>52</v>
      </c>
    </row>
    <row r="250">
      <c r="A250" s="3">
        <v>249.0</v>
      </c>
      <c r="B250" s="3" t="s">
        <v>40</v>
      </c>
      <c r="C250" s="3" t="s">
        <v>665</v>
      </c>
      <c r="D250" s="3">
        <v>1994.0</v>
      </c>
      <c r="E250" s="3" t="s">
        <v>666</v>
      </c>
      <c r="F250" s="3" t="s">
        <v>129</v>
      </c>
      <c r="G250" s="3" t="s">
        <v>82</v>
      </c>
      <c r="H250" s="3" t="s">
        <v>82</v>
      </c>
      <c r="I250" s="3" t="s">
        <v>317</v>
      </c>
      <c r="O250" s="3" t="s">
        <v>61</v>
      </c>
      <c r="X250" s="3" t="s">
        <v>52</v>
      </c>
    </row>
    <row r="251">
      <c r="A251" s="3">
        <v>250.0</v>
      </c>
      <c r="B251" s="3" t="s">
        <v>40</v>
      </c>
      <c r="C251" s="3" t="s">
        <v>667</v>
      </c>
      <c r="D251" s="3">
        <v>1994.0</v>
      </c>
      <c r="E251" s="3" t="s">
        <v>668</v>
      </c>
      <c r="F251" s="3" t="s">
        <v>129</v>
      </c>
      <c r="G251" s="3" t="s">
        <v>82</v>
      </c>
      <c r="H251" s="3" t="s">
        <v>82</v>
      </c>
      <c r="I251" s="3" t="s">
        <v>317</v>
      </c>
      <c r="O251" s="3" t="s">
        <v>48</v>
      </c>
      <c r="X251" s="3" t="s">
        <v>52</v>
      </c>
    </row>
    <row r="252">
      <c r="A252" s="3">
        <v>251.0</v>
      </c>
      <c r="B252" s="3" t="s">
        <v>40</v>
      </c>
      <c r="C252" s="3" t="s">
        <v>669</v>
      </c>
      <c r="D252" s="3">
        <v>1994.0</v>
      </c>
      <c r="E252" s="3" t="s">
        <v>670</v>
      </c>
      <c r="F252" s="3" t="s">
        <v>129</v>
      </c>
      <c r="G252" s="3" t="s">
        <v>82</v>
      </c>
      <c r="H252" s="3" t="s">
        <v>82</v>
      </c>
      <c r="I252" s="3" t="s">
        <v>384</v>
      </c>
      <c r="O252" s="3" t="s">
        <v>61</v>
      </c>
      <c r="X252" s="3" t="s">
        <v>52</v>
      </c>
    </row>
    <row r="253">
      <c r="A253" s="3">
        <v>252.0</v>
      </c>
      <c r="B253" s="3" t="s">
        <v>40</v>
      </c>
      <c r="C253" s="3" t="s">
        <v>671</v>
      </c>
      <c r="D253" s="3">
        <v>1996.0</v>
      </c>
      <c r="E253" s="3" t="s">
        <v>672</v>
      </c>
      <c r="F253" s="3" t="s">
        <v>356</v>
      </c>
      <c r="G253" s="3" t="s">
        <v>82</v>
      </c>
      <c r="H253" s="3" t="s">
        <v>82</v>
      </c>
      <c r="I253" s="3" t="s">
        <v>317</v>
      </c>
      <c r="O253" s="3" t="s">
        <v>48</v>
      </c>
      <c r="X253" s="3" t="s">
        <v>52</v>
      </c>
    </row>
    <row r="254">
      <c r="A254" s="3">
        <v>253.0</v>
      </c>
      <c r="B254" s="3" t="s">
        <v>40</v>
      </c>
      <c r="C254" s="3" t="s">
        <v>673</v>
      </c>
      <c r="D254" s="3">
        <v>1996.0</v>
      </c>
      <c r="E254" s="3" t="s">
        <v>674</v>
      </c>
      <c r="F254" s="3" t="s">
        <v>129</v>
      </c>
      <c r="G254" s="3" t="s">
        <v>82</v>
      </c>
      <c r="H254" s="3" t="s">
        <v>82</v>
      </c>
      <c r="I254" s="3" t="s">
        <v>314</v>
      </c>
      <c r="O254" s="3" t="s">
        <v>61</v>
      </c>
      <c r="X254" s="3" t="s">
        <v>52</v>
      </c>
    </row>
    <row r="255">
      <c r="A255" s="3">
        <v>254.0</v>
      </c>
      <c r="B255" s="3" t="s">
        <v>40</v>
      </c>
      <c r="C255" s="3" t="s">
        <v>675</v>
      </c>
      <c r="D255" s="3">
        <v>1997.0</v>
      </c>
      <c r="E255" s="3" t="s">
        <v>676</v>
      </c>
      <c r="F255" s="3" t="s">
        <v>356</v>
      </c>
      <c r="G255" s="3" t="s">
        <v>82</v>
      </c>
      <c r="H255" s="3" t="s">
        <v>82</v>
      </c>
      <c r="I255" s="3" t="s">
        <v>384</v>
      </c>
      <c r="O255" s="3" t="s">
        <v>61</v>
      </c>
      <c r="X255" s="3" t="s">
        <v>52</v>
      </c>
    </row>
    <row r="256">
      <c r="A256" s="3">
        <v>255.0</v>
      </c>
      <c r="B256" s="3" t="s">
        <v>40</v>
      </c>
      <c r="C256" s="3" t="s">
        <v>677</v>
      </c>
      <c r="D256" s="3">
        <v>1997.0</v>
      </c>
      <c r="E256" s="3" t="s">
        <v>678</v>
      </c>
      <c r="F256" s="3" t="s">
        <v>311</v>
      </c>
      <c r="G256" s="3" t="s">
        <v>58</v>
      </c>
      <c r="H256" s="3" t="s">
        <v>58</v>
      </c>
      <c r="I256" s="3" t="s">
        <v>254</v>
      </c>
      <c r="O256" s="3" t="s">
        <v>61</v>
      </c>
      <c r="X256" s="3" t="s">
        <v>52</v>
      </c>
    </row>
    <row r="257">
      <c r="A257" s="3">
        <v>256.0</v>
      </c>
      <c r="B257" s="3" t="s">
        <v>40</v>
      </c>
      <c r="C257" s="3" t="s">
        <v>679</v>
      </c>
      <c r="D257" s="3">
        <v>1998.0</v>
      </c>
      <c r="E257" s="3" t="s">
        <v>680</v>
      </c>
      <c r="F257" s="3" t="s">
        <v>129</v>
      </c>
      <c r="G257" s="3" t="s">
        <v>82</v>
      </c>
      <c r="H257" s="3" t="s">
        <v>82</v>
      </c>
      <c r="I257" s="3" t="s">
        <v>317</v>
      </c>
      <c r="O257" s="3" t="s">
        <v>48</v>
      </c>
      <c r="X257" s="3" t="s">
        <v>52</v>
      </c>
    </row>
    <row r="258">
      <c r="A258" s="3">
        <v>257.0</v>
      </c>
      <c r="B258" s="3" t="s">
        <v>40</v>
      </c>
      <c r="C258" s="3" t="s">
        <v>681</v>
      </c>
      <c r="D258" s="3">
        <v>1998.0</v>
      </c>
      <c r="E258" s="3" t="s">
        <v>682</v>
      </c>
      <c r="F258" s="3" t="s">
        <v>129</v>
      </c>
      <c r="G258" s="3" t="s">
        <v>82</v>
      </c>
      <c r="H258" s="3" t="s">
        <v>82</v>
      </c>
      <c r="I258" s="3" t="s">
        <v>317</v>
      </c>
      <c r="J258" s="3" t="s">
        <v>314</v>
      </c>
      <c r="K258" s="3" t="s">
        <v>254</v>
      </c>
      <c r="O258" s="3" t="s">
        <v>48</v>
      </c>
      <c r="X258" s="3" t="s">
        <v>52</v>
      </c>
    </row>
    <row r="259">
      <c r="A259" s="3">
        <v>258.0</v>
      </c>
      <c r="B259" s="3" t="s">
        <v>40</v>
      </c>
      <c r="C259" s="3" t="s">
        <v>683</v>
      </c>
      <c r="D259" s="3">
        <v>1998.0</v>
      </c>
      <c r="E259" s="3" t="s">
        <v>684</v>
      </c>
      <c r="F259" s="3" t="s">
        <v>68</v>
      </c>
      <c r="G259" s="3" t="s">
        <v>58</v>
      </c>
      <c r="H259" s="3" t="s">
        <v>58</v>
      </c>
      <c r="I259" s="3" t="s">
        <v>69</v>
      </c>
      <c r="O259" s="3" t="s">
        <v>61</v>
      </c>
      <c r="X259" s="3" t="s">
        <v>52</v>
      </c>
    </row>
    <row r="260">
      <c r="A260" s="3">
        <v>259.0</v>
      </c>
      <c r="B260" s="3" t="s">
        <v>40</v>
      </c>
      <c r="C260" s="3" t="s">
        <v>685</v>
      </c>
      <c r="D260" s="3">
        <v>1998.0</v>
      </c>
      <c r="E260" s="3" t="s">
        <v>686</v>
      </c>
      <c r="F260" s="3" t="s">
        <v>311</v>
      </c>
      <c r="G260" s="3" t="s">
        <v>58</v>
      </c>
      <c r="H260" s="3" t="s">
        <v>58</v>
      </c>
      <c r="I260" s="3" t="s">
        <v>254</v>
      </c>
      <c r="O260" s="3" t="s">
        <v>61</v>
      </c>
      <c r="X260" s="3" t="s">
        <v>52</v>
      </c>
    </row>
    <row r="261">
      <c r="A261" s="3">
        <v>260.0</v>
      </c>
      <c r="B261" s="3" t="s">
        <v>40</v>
      </c>
      <c r="C261" s="3" t="s">
        <v>687</v>
      </c>
      <c r="D261" s="3">
        <v>1999.0</v>
      </c>
      <c r="E261" s="3" t="s">
        <v>688</v>
      </c>
      <c r="F261" s="3" t="s">
        <v>129</v>
      </c>
      <c r="G261" s="3" t="s">
        <v>82</v>
      </c>
      <c r="H261" s="3" t="s">
        <v>82</v>
      </c>
      <c r="I261" s="3" t="s">
        <v>317</v>
      </c>
      <c r="O261" s="3" t="s">
        <v>48</v>
      </c>
      <c r="X261" s="3" t="s">
        <v>52</v>
      </c>
    </row>
    <row r="262">
      <c r="A262" s="3">
        <v>261.0</v>
      </c>
      <c r="B262" s="3" t="s">
        <v>40</v>
      </c>
      <c r="C262" s="3" t="s">
        <v>689</v>
      </c>
      <c r="D262" s="3">
        <v>1999.0</v>
      </c>
      <c r="E262" s="3" t="s">
        <v>690</v>
      </c>
      <c r="F262" s="3" t="s">
        <v>95</v>
      </c>
      <c r="G262" s="3" t="s">
        <v>58</v>
      </c>
      <c r="H262" s="3" t="s">
        <v>58</v>
      </c>
      <c r="I262" s="3" t="s">
        <v>96</v>
      </c>
      <c r="O262" s="3" t="s">
        <v>61</v>
      </c>
      <c r="X262" s="3" t="s">
        <v>52</v>
      </c>
    </row>
    <row r="263">
      <c r="A263" s="3">
        <v>262.0</v>
      </c>
      <c r="B263" s="3" t="s">
        <v>40</v>
      </c>
      <c r="C263" s="3" t="s">
        <v>691</v>
      </c>
      <c r="D263" s="3">
        <v>1999.0</v>
      </c>
      <c r="E263" s="3" t="s">
        <v>692</v>
      </c>
      <c r="F263" s="3" t="s">
        <v>129</v>
      </c>
      <c r="G263" s="3" t="s">
        <v>82</v>
      </c>
      <c r="H263" s="3" t="s">
        <v>82</v>
      </c>
      <c r="I263" s="3" t="s">
        <v>314</v>
      </c>
      <c r="O263" s="3" t="s">
        <v>48</v>
      </c>
      <c r="X263" s="3" t="s">
        <v>52</v>
      </c>
    </row>
    <row r="264">
      <c r="A264" s="3">
        <v>263.0</v>
      </c>
      <c r="B264" s="3" t="s">
        <v>40</v>
      </c>
      <c r="C264" s="3" t="s">
        <v>693</v>
      </c>
      <c r="D264" s="3">
        <v>1999.0</v>
      </c>
      <c r="E264" s="3" t="s">
        <v>694</v>
      </c>
      <c r="F264" s="3" t="s">
        <v>68</v>
      </c>
      <c r="G264" s="3" t="s">
        <v>58</v>
      </c>
      <c r="H264" s="3" t="s">
        <v>58</v>
      </c>
      <c r="I264" s="3" t="s">
        <v>76</v>
      </c>
      <c r="O264" s="3" t="s">
        <v>61</v>
      </c>
      <c r="X264" s="3" t="s">
        <v>52</v>
      </c>
    </row>
    <row r="265">
      <c r="A265" s="3">
        <v>264.0</v>
      </c>
      <c r="B265" s="3" t="s">
        <v>40</v>
      </c>
      <c r="C265" s="3" t="s">
        <v>695</v>
      </c>
      <c r="D265" s="3">
        <v>1999.0</v>
      </c>
      <c r="E265" s="3" t="s">
        <v>696</v>
      </c>
      <c r="F265" s="3" t="s">
        <v>311</v>
      </c>
      <c r="G265" s="3" t="s">
        <v>58</v>
      </c>
      <c r="H265" s="3" t="s">
        <v>58</v>
      </c>
      <c r="I265" s="3" t="s">
        <v>254</v>
      </c>
      <c r="O265" s="3" t="s">
        <v>61</v>
      </c>
      <c r="X265" s="3" t="s">
        <v>52</v>
      </c>
    </row>
    <row r="266">
      <c r="A266" s="3">
        <v>265.0</v>
      </c>
      <c r="B266" s="3" t="s">
        <v>40</v>
      </c>
      <c r="C266" s="3" t="s">
        <v>697</v>
      </c>
      <c r="D266" s="3">
        <v>1999.0</v>
      </c>
      <c r="E266" s="3" t="s">
        <v>698</v>
      </c>
      <c r="F266" s="3" t="s">
        <v>515</v>
      </c>
      <c r="G266" s="3" t="s">
        <v>58</v>
      </c>
      <c r="H266" s="3" t="s">
        <v>58</v>
      </c>
      <c r="I266" s="3" t="s">
        <v>110</v>
      </c>
      <c r="O266" s="3" t="s">
        <v>61</v>
      </c>
      <c r="X266" s="3" t="s">
        <v>52</v>
      </c>
    </row>
    <row r="267">
      <c r="A267" s="3">
        <v>266.0</v>
      </c>
      <c r="B267" s="3" t="s">
        <v>40</v>
      </c>
      <c r="C267" s="3" t="s">
        <v>699</v>
      </c>
      <c r="D267" s="3">
        <v>2000.0</v>
      </c>
      <c r="E267" s="3" t="s">
        <v>700</v>
      </c>
      <c r="F267" s="3" t="s">
        <v>356</v>
      </c>
      <c r="G267" s="3" t="s">
        <v>82</v>
      </c>
      <c r="H267" s="3" t="s">
        <v>82</v>
      </c>
      <c r="I267" s="3" t="s">
        <v>317</v>
      </c>
      <c r="O267" s="3" t="s">
        <v>48</v>
      </c>
      <c r="X267" s="3" t="s">
        <v>52</v>
      </c>
    </row>
    <row r="268">
      <c r="A268" s="3">
        <v>267.0</v>
      </c>
      <c r="B268" s="3" t="s">
        <v>40</v>
      </c>
      <c r="C268" s="3" t="s">
        <v>701</v>
      </c>
      <c r="D268" s="3">
        <v>2000.0</v>
      </c>
      <c r="E268" s="3" t="s">
        <v>702</v>
      </c>
      <c r="F268" s="3" t="s">
        <v>253</v>
      </c>
      <c r="G268" s="3" t="s">
        <v>58</v>
      </c>
      <c r="H268" s="3" t="s">
        <v>58</v>
      </c>
      <c r="I268" s="3" t="s">
        <v>96</v>
      </c>
      <c r="O268" s="3" t="s">
        <v>61</v>
      </c>
      <c r="X268" s="3" t="s">
        <v>52</v>
      </c>
    </row>
    <row r="269">
      <c r="A269" s="3">
        <v>268.0</v>
      </c>
      <c r="B269" s="3" t="s">
        <v>40</v>
      </c>
      <c r="C269" s="3" t="s">
        <v>703</v>
      </c>
      <c r="D269" s="3">
        <v>2000.0</v>
      </c>
      <c r="E269" s="3" t="s">
        <v>704</v>
      </c>
      <c r="F269" s="3" t="s">
        <v>129</v>
      </c>
      <c r="G269" s="3" t="s">
        <v>82</v>
      </c>
      <c r="H269" s="3" t="s">
        <v>82</v>
      </c>
      <c r="I269" s="3" t="s">
        <v>314</v>
      </c>
      <c r="O269" s="3" t="s">
        <v>61</v>
      </c>
      <c r="P269" s="3" t="s">
        <v>48</v>
      </c>
      <c r="X269" s="3" t="s">
        <v>52</v>
      </c>
    </row>
    <row r="270">
      <c r="A270" s="3">
        <v>269.0</v>
      </c>
      <c r="B270" s="3" t="s">
        <v>40</v>
      </c>
      <c r="C270" s="3" t="s">
        <v>705</v>
      </c>
      <c r="D270" s="3">
        <v>2000.0</v>
      </c>
      <c r="E270" s="3" t="s">
        <v>706</v>
      </c>
      <c r="F270" s="3" t="s">
        <v>356</v>
      </c>
      <c r="G270" s="3" t="s">
        <v>82</v>
      </c>
      <c r="H270" s="3" t="s">
        <v>82</v>
      </c>
      <c r="I270" s="3" t="s">
        <v>254</v>
      </c>
      <c r="O270" s="3" t="s">
        <v>61</v>
      </c>
      <c r="X270" s="3" t="s">
        <v>52</v>
      </c>
    </row>
    <row r="271">
      <c r="A271" s="3">
        <v>270.0</v>
      </c>
      <c r="B271" s="3" t="s">
        <v>40</v>
      </c>
      <c r="C271" s="3" t="s">
        <v>707</v>
      </c>
      <c r="D271" s="3">
        <v>2000.0</v>
      </c>
      <c r="E271" s="3" t="s">
        <v>708</v>
      </c>
      <c r="F271" s="3" t="s">
        <v>129</v>
      </c>
      <c r="G271" s="3" t="s">
        <v>82</v>
      </c>
      <c r="H271" s="3" t="s">
        <v>82</v>
      </c>
      <c r="I271" s="3" t="s">
        <v>254</v>
      </c>
      <c r="O271" s="3" t="s">
        <v>61</v>
      </c>
      <c r="X271" s="3" t="s">
        <v>52</v>
      </c>
    </row>
    <row r="272">
      <c r="A272" s="3">
        <v>271.0</v>
      </c>
      <c r="B272" s="3" t="s">
        <v>40</v>
      </c>
      <c r="C272" s="3" t="s">
        <v>709</v>
      </c>
      <c r="D272" s="3">
        <v>2001.0</v>
      </c>
      <c r="E272" s="3" t="s">
        <v>710</v>
      </c>
      <c r="F272" s="3" t="s">
        <v>129</v>
      </c>
      <c r="G272" s="3" t="s">
        <v>82</v>
      </c>
      <c r="H272" s="3" t="s">
        <v>82</v>
      </c>
      <c r="I272" s="3" t="s">
        <v>317</v>
      </c>
      <c r="O272" s="3" t="s">
        <v>48</v>
      </c>
      <c r="X272" s="3" t="s">
        <v>52</v>
      </c>
    </row>
    <row r="273">
      <c r="A273" s="3">
        <v>272.0</v>
      </c>
      <c r="B273" s="3" t="s">
        <v>40</v>
      </c>
      <c r="C273" s="3" t="s">
        <v>711</v>
      </c>
      <c r="D273" s="3">
        <v>2001.0</v>
      </c>
      <c r="E273" s="3" t="s">
        <v>712</v>
      </c>
      <c r="F273" s="3" t="s">
        <v>158</v>
      </c>
      <c r="G273" s="3" t="s">
        <v>58</v>
      </c>
      <c r="H273" s="3" t="s">
        <v>58</v>
      </c>
      <c r="I273" s="3" t="s">
        <v>69</v>
      </c>
      <c r="O273" s="3" t="s">
        <v>48</v>
      </c>
      <c r="X273" s="3" t="s">
        <v>52</v>
      </c>
    </row>
    <row r="274">
      <c r="A274" s="3">
        <v>273.0</v>
      </c>
      <c r="B274" s="3" t="s">
        <v>40</v>
      </c>
      <c r="C274" s="3" t="s">
        <v>713</v>
      </c>
      <c r="D274" s="3">
        <v>2001.0</v>
      </c>
      <c r="E274" s="3" t="s">
        <v>714</v>
      </c>
      <c r="F274" s="3" t="s">
        <v>129</v>
      </c>
      <c r="G274" s="3" t="s">
        <v>82</v>
      </c>
      <c r="H274" s="3" t="s">
        <v>82</v>
      </c>
      <c r="I274" s="3" t="s">
        <v>314</v>
      </c>
      <c r="O274" s="3" t="s">
        <v>61</v>
      </c>
      <c r="P274" s="3" t="s">
        <v>48</v>
      </c>
      <c r="X274" s="3" t="s">
        <v>52</v>
      </c>
    </row>
    <row r="275">
      <c r="A275" s="3">
        <v>274.0</v>
      </c>
      <c r="B275" s="3" t="s">
        <v>40</v>
      </c>
      <c r="C275" s="3" t="s">
        <v>715</v>
      </c>
      <c r="D275" s="3">
        <v>2001.0</v>
      </c>
      <c r="E275" s="3" t="s">
        <v>716</v>
      </c>
      <c r="F275" s="3" t="s">
        <v>253</v>
      </c>
      <c r="G275" s="3" t="s">
        <v>58</v>
      </c>
      <c r="H275" s="3" t="s">
        <v>58</v>
      </c>
      <c r="I275" s="3" t="s">
        <v>254</v>
      </c>
      <c r="O275" s="3" t="s">
        <v>61</v>
      </c>
      <c r="X275" s="3" t="s">
        <v>52</v>
      </c>
    </row>
    <row r="276">
      <c r="A276" s="3">
        <v>275.0</v>
      </c>
      <c r="B276" s="3" t="s">
        <v>40</v>
      </c>
      <c r="C276" s="3" t="s">
        <v>717</v>
      </c>
      <c r="D276" s="3">
        <v>2002.0</v>
      </c>
      <c r="E276" s="3" t="s">
        <v>718</v>
      </c>
      <c r="F276" s="3" t="s">
        <v>158</v>
      </c>
      <c r="G276" s="3" t="s">
        <v>58</v>
      </c>
      <c r="H276" s="3" t="s">
        <v>58</v>
      </c>
      <c r="I276" s="3" t="s">
        <v>69</v>
      </c>
      <c r="J276" s="3" t="s">
        <v>285</v>
      </c>
      <c r="O276" s="3" t="s">
        <v>48</v>
      </c>
      <c r="X276" s="3" t="s">
        <v>52</v>
      </c>
    </row>
    <row r="277">
      <c r="A277" s="3">
        <v>276.0</v>
      </c>
      <c r="B277" s="3" t="s">
        <v>40</v>
      </c>
      <c r="C277" s="3" t="s">
        <v>719</v>
      </c>
      <c r="D277" s="3">
        <v>2002.0</v>
      </c>
      <c r="E277" s="3" t="s">
        <v>720</v>
      </c>
      <c r="F277" s="3" t="s">
        <v>129</v>
      </c>
      <c r="G277" s="3" t="s">
        <v>82</v>
      </c>
      <c r="H277" s="3" t="s">
        <v>82</v>
      </c>
      <c r="I277" s="3" t="s">
        <v>384</v>
      </c>
      <c r="O277" s="3" t="s">
        <v>61</v>
      </c>
      <c r="X277" s="3" t="s">
        <v>52</v>
      </c>
    </row>
    <row r="278">
      <c r="A278" s="3">
        <v>277.0</v>
      </c>
      <c r="B278" s="3" t="s">
        <v>40</v>
      </c>
      <c r="C278" s="3" t="s">
        <v>378</v>
      </c>
      <c r="D278" s="3">
        <v>2002.0</v>
      </c>
      <c r="E278" s="3" t="s">
        <v>721</v>
      </c>
      <c r="F278" s="3" t="s">
        <v>81</v>
      </c>
      <c r="G278" s="3" t="s">
        <v>82</v>
      </c>
      <c r="H278" s="3" t="s">
        <v>82</v>
      </c>
      <c r="I278" s="3" t="s">
        <v>254</v>
      </c>
      <c r="O278" s="3" t="s">
        <v>61</v>
      </c>
      <c r="X278" s="3" t="s">
        <v>52</v>
      </c>
    </row>
    <row r="279">
      <c r="A279" s="3">
        <v>278.0</v>
      </c>
      <c r="B279" s="3" t="s">
        <v>40</v>
      </c>
      <c r="C279" s="3" t="s">
        <v>722</v>
      </c>
      <c r="D279" s="3">
        <v>2003.0</v>
      </c>
      <c r="E279" s="3" t="s">
        <v>723</v>
      </c>
      <c r="F279" s="3" t="s">
        <v>129</v>
      </c>
      <c r="G279" s="3" t="s">
        <v>82</v>
      </c>
      <c r="H279" s="3" t="s">
        <v>82</v>
      </c>
      <c r="I279" s="3" t="s">
        <v>314</v>
      </c>
      <c r="O279" s="3" t="s">
        <v>61</v>
      </c>
      <c r="P279" s="3" t="s">
        <v>48</v>
      </c>
      <c r="X279" s="3" t="s">
        <v>52</v>
      </c>
    </row>
    <row r="280">
      <c r="A280" s="3">
        <v>279.0</v>
      </c>
      <c r="B280" s="3" t="s">
        <v>40</v>
      </c>
      <c r="C280" s="3" t="s">
        <v>724</v>
      </c>
      <c r="D280" s="3">
        <v>2004.0</v>
      </c>
      <c r="E280" s="3" t="s">
        <v>725</v>
      </c>
      <c r="F280" s="3" t="s">
        <v>68</v>
      </c>
      <c r="G280" s="3" t="s">
        <v>58</v>
      </c>
      <c r="H280" s="3" t="s">
        <v>58</v>
      </c>
      <c r="I280" s="3" t="s">
        <v>69</v>
      </c>
      <c r="O280" s="3" t="s">
        <v>61</v>
      </c>
      <c r="X280" s="3" t="s">
        <v>52</v>
      </c>
    </row>
    <row r="281">
      <c r="A281" s="3">
        <v>280.0</v>
      </c>
      <c r="B281" s="3" t="s">
        <v>40</v>
      </c>
      <c r="C281" s="3" t="s">
        <v>726</v>
      </c>
      <c r="D281" s="3">
        <v>2004.0</v>
      </c>
      <c r="E281" s="3" t="s">
        <v>727</v>
      </c>
      <c r="F281" s="3" t="s">
        <v>356</v>
      </c>
      <c r="G281" s="3" t="s">
        <v>82</v>
      </c>
      <c r="H281" s="3" t="s">
        <v>82</v>
      </c>
      <c r="I281" s="3" t="s">
        <v>254</v>
      </c>
      <c r="O281" s="3" t="s">
        <v>61</v>
      </c>
      <c r="P281" s="3" t="s">
        <v>48</v>
      </c>
      <c r="X281" s="3" t="s">
        <v>52</v>
      </c>
    </row>
    <row r="282">
      <c r="A282" s="3">
        <v>281.0</v>
      </c>
      <c r="B282" s="3" t="s">
        <v>40</v>
      </c>
      <c r="C282" s="3" t="s">
        <v>728</v>
      </c>
      <c r="D282" s="3">
        <v>2004.0</v>
      </c>
      <c r="E282" s="3" t="s">
        <v>729</v>
      </c>
      <c r="F282" s="3" t="s">
        <v>356</v>
      </c>
      <c r="G282" s="3" t="s">
        <v>82</v>
      </c>
      <c r="H282" s="3" t="s">
        <v>82</v>
      </c>
      <c r="I282" s="3" t="s">
        <v>254</v>
      </c>
      <c r="O282" s="3" t="s">
        <v>48</v>
      </c>
      <c r="X282" s="3" t="s">
        <v>52</v>
      </c>
    </row>
    <row r="283">
      <c r="A283" s="3">
        <v>282.0</v>
      </c>
      <c r="B283" s="3" t="s">
        <v>40</v>
      </c>
      <c r="C283" s="3" t="s">
        <v>730</v>
      </c>
      <c r="D283" s="3">
        <v>2004.0</v>
      </c>
      <c r="E283" s="3" t="s">
        <v>731</v>
      </c>
      <c r="F283" s="3" t="s">
        <v>81</v>
      </c>
      <c r="G283" s="3" t="s">
        <v>82</v>
      </c>
      <c r="H283" s="3" t="s">
        <v>82</v>
      </c>
      <c r="I283" s="3" t="s">
        <v>254</v>
      </c>
      <c r="O283" s="3" t="s">
        <v>61</v>
      </c>
      <c r="X283" s="3" t="s">
        <v>52</v>
      </c>
    </row>
    <row r="284">
      <c r="A284" s="3">
        <v>283.0</v>
      </c>
      <c r="B284" s="3" t="s">
        <v>40</v>
      </c>
      <c r="C284" s="3" t="s">
        <v>732</v>
      </c>
      <c r="D284" s="3">
        <v>2005.0</v>
      </c>
      <c r="E284" s="3" t="s">
        <v>733</v>
      </c>
      <c r="F284" s="3" t="s">
        <v>158</v>
      </c>
      <c r="G284" s="3" t="s">
        <v>58</v>
      </c>
      <c r="H284" s="3" t="s">
        <v>58</v>
      </c>
      <c r="I284" s="3" t="s">
        <v>69</v>
      </c>
      <c r="J284" s="3" t="s">
        <v>285</v>
      </c>
      <c r="O284" s="3" t="s">
        <v>61</v>
      </c>
      <c r="X284" s="3" t="s">
        <v>52</v>
      </c>
    </row>
    <row r="285">
      <c r="A285" s="3">
        <v>284.0</v>
      </c>
      <c r="B285" s="3" t="s">
        <v>40</v>
      </c>
      <c r="C285" s="3" t="s">
        <v>734</v>
      </c>
      <c r="D285" s="3">
        <v>2005.0</v>
      </c>
      <c r="E285" s="3" t="s">
        <v>735</v>
      </c>
      <c r="F285" s="3" t="s">
        <v>129</v>
      </c>
      <c r="G285" s="3" t="s">
        <v>82</v>
      </c>
      <c r="H285" s="3" t="s">
        <v>82</v>
      </c>
      <c r="I285" s="3" t="s">
        <v>384</v>
      </c>
      <c r="O285" s="3" t="s">
        <v>61</v>
      </c>
      <c r="X285" s="3" t="s">
        <v>52</v>
      </c>
    </row>
    <row r="286">
      <c r="A286" s="3">
        <v>285.0</v>
      </c>
      <c r="B286" s="3" t="s">
        <v>40</v>
      </c>
      <c r="C286" s="3" t="s">
        <v>736</v>
      </c>
      <c r="D286" s="3">
        <v>2005.0</v>
      </c>
      <c r="E286" s="3" t="s">
        <v>737</v>
      </c>
      <c r="F286" s="3" t="s">
        <v>253</v>
      </c>
      <c r="G286" s="3" t="s">
        <v>58</v>
      </c>
      <c r="H286" s="3" t="s">
        <v>58</v>
      </c>
      <c r="I286" s="3" t="s">
        <v>254</v>
      </c>
      <c r="O286" s="3" t="s">
        <v>61</v>
      </c>
      <c r="X286" s="3" t="s">
        <v>52</v>
      </c>
    </row>
    <row r="287">
      <c r="A287" s="3">
        <v>286.0</v>
      </c>
      <c r="B287" s="3" t="s">
        <v>40</v>
      </c>
      <c r="C287" s="3" t="s">
        <v>738</v>
      </c>
      <c r="D287" s="3">
        <v>2006.0</v>
      </c>
      <c r="E287" s="3" t="s">
        <v>739</v>
      </c>
      <c r="F287" s="3" t="s">
        <v>57</v>
      </c>
      <c r="G287" s="3" t="s">
        <v>58</v>
      </c>
      <c r="H287" s="3" t="s">
        <v>58</v>
      </c>
      <c r="I287" s="3" t="s">
        <v>69</v>
      </c>
      <c r="O287" s="3" t="s">
        <v>61</v>
      </c>
      <c r="X287" s="3" t="s">
        <v>52</v>
      </c>
    </row>
    <row r="288">
      <c r="A288" s="3">
        <v>287.0</v>
      </c>
      <c r="B288" s="3" t="s">
        <v>40</v>
      </c>
      <c r="C288" s="3" t="s">
        <v>740</v>
      </c>
      <c r="D288" s="3">
        <v>2006.0</v>
      </c>
      <c r="E288" s="3" t="s">
        <v>741</v>
      </c>
      <c r="F288" s="3" t="s">
        <v>68</v>
      </c>
      <c r="G288" s="3" t="s">
        <v>58</v>
      </c>
      <c r="H288" s="3" t="s">
        <v>58</v>
      </c>
      <c r="I288" s="3" t="s">
        <v>76</v>
      </c>
      <c r="O288" s="3" t="s">
        <v>61</v>
      </c>
      <c r="X288" s="3" t="s">
        <v>52</v>
      </c>
    </row>
    <row r="289">
      <c r="A289" s="3">
        <v>288.0</v>
      </c>
      <c r="B289" s="3" t="s">
        <v>40</v>
      </c>
      <c r="C289" s="3" t="s">
        <v>742</v>
      </c>
      <c r="D289" s="3">
        <v>2006.0</v>
      </c>
      <c r="E289" s="3" t="s">
        <v>743</v>
      </c>
      <c r="F289" s="3" t="s">
        <v>253</v>
      </c>
      <c r="G289" s="3" t="s">
        <v>58</v>
      </c>
      <c r="H289" s="3" t="s">
        <v>58</v>
      </c>
      <c r="I289" s="3" t="s">
        <v>254</v>
      </c>
      <c r="O289" s="3" t="s">
        <v>61</v>
      </c>
      <c r="X289" s="3" t="s">
        <v>52</v>
      </c>
    </row>
    <row r="290">
      <c r="A290" s="3">
        <v>289.0</v>
      </c>
      <c r="B290" s="3" t="s">
        <v>40</v>
      </c>
      <c r="C290" s="3" t="s">
        <v>744</v>
      </c>
      <c r="D290" s="3">
        <v>2007.0</v>
      </c>
      <c r="E290" s="3" t="s">
        <v>745</v>
      </c>
      <c r="F290" s="3" t="s">
        <v>81</v>
      </c>
      <c r="G290" s="3" t="s">
        <v>82</v>
      </c>
      <c r="H290" s="3" t="s">
        <v>82</v>
      </c>
      <c r="I290" s="3" t="s">
        <v>314</v>
      </c>
      <c r="O290" s="3" t="s">
        <v>61</v>
      </c>
      <c r="P290" s="3" t="s">
        <v>48</v>
      </c>
      <c r="X290" s="3" t="s">
        <v>52</v>
      </c>
    </row>
    <row r="291">
      <c r="A291" s="3">
        <v>290.0</v>
      </c>
      <c r="B291" s="3" t="s">
        <v>40</v>
      </c>
      <c r="C291" s="3" t="s">
        <v>746</v>
      </c>
      <c r="D291" s="3">
        <v>2007.0</v>
      </c>
      <c r="E291" s="3" t="s">
        <v>747</v>
      </c>
      <c r="F291" s="3" t="s">
        <v>356</v>
      </c>
      <c r="G291" s="3" t="s">
        <v>82</v>
      </c>
      <c r="H291" s="3" t="s">
        <v>82</v>
      </c>
      <c r="I291" s="3" t="s">
        <v>254</v>
      </c>
      <c r="O291" s="3" t="s">
        <v>61</v>
      </c>
      <c r="X291" s="3" t="s">
        <v>52</v>
      </c>
    </row>
    <row r="292">
      <c r="A292" s="3">
        <v>291.0</v>
      </c>
      <c r="B292" s="3" t="s">
        <v>40</v>
      </c>
      <c r="C292" s="3" t="s">
        <v>748</v>
      </c>
      <c r="D292" s="3">
        <v>2007.0</v>
      </c>
      <c r="E292" s="3" t="s">
        <v>749</v>
      </c>
      <c r="F292" s="3" t="s">
        <v>129</v>
      </c>
      <c r="G292" s="3" t="s">
        <v>82</v>
      </c>
      <c r="H292" s="3" t="s">
        <v>82</v>
      </c>
      <c r="I292" s="3" t="s">
        <v>254</v>
      </c>
      <c r="O292" s="3" t="s">
        <v>61</v>
      </c>
      <c r="X292" s="3" t="s">
        <v>52</v>
      </c>
    </row>
    <row r="293">
      <c r="A293" s="3">
        <v>292.0</v>
      </c>
      <c r="B293" s="3" t="s">
        <v>40</v>
      </c>
      <c r="C293" s="3" t="s">
        <v>750</v>
      </c>
      <c r="D293" s="3">
        <v>2007.0</v>
      </c>
      <c r="E293" s="3" t="s">
        <v>751</v>
      </c>
      <c r="F293" s="3" t="s">
        <v>75</v>
      </c>
      <c r="G293" s="3" t="s">
        <v>58</v>
      </c>
      <c r="H293" s="3" t="s">
        <v>58</v>
      </c>
      <c r="I293" s="3" t="s">
        <v>110</v>
      </c>
      <c r="O293" s="3" t="s">
        <v>247</v>
      </c>
      <c r="X293" s="3" t="s">
        <v>52</v>
      </c>
    </row>
    <row r="294">
      <c r="A294" s="3">
        <v>293.0</v>
      </c>
      <c r="B294" s="3" t="s">
        <v>40</v>
      </c>
      <c r="C294" s="3" t="s">
        <v>752</v>
      </c>
      <c r="D294" s="3">
        <v>2008.0</v>
      </c>
      <c r="E294" s="3" t="s">
        <v>753</v>
      </c>
      <c r="F294" s="3" t="s">
        <v>356</v>
      </c>
      <c r="G294" s="3" t="s">
        <v>82</v>
      </c>
      <c r="H294" s="3" t="s">
        <v>82</v>
      </c>
      <c r="I294" s="3" t="s">
        <v>317</v>
      </c>
      <c r="O294" s="3" t="s">
        <v>48</v>
      </c>
      <c r="X294" s="3" t="s">
        <v>52</v>
      </c>
    </row>
    <row r="295">
      <c r="A295" s="3">
        <v>294.0</v>
      </c>
      <c r="B295" s="3" t="s">
        <v>40</v>
      </c>
      <c r="C295" s="3" t="s">
        <v>754</v>
      </c>
      <c r="D295" s="3">
        <v>2008.0</v>
      </c>
      <c r="E295" s="3" t="s">
        <v>755</v>
      </c>
      <c r="F295" s="3" t="s">
        <v>391</v>
      </c>
      <c r="G295" s="3" t="s">
        <v>58</v>
      </c>
      <c r="H295" s="3" t="s">
        <v>58</v>
      </c>
      <c r="I295" s="3" t="s">
        <v>96</v>
      </c>
      <c r="O295" s="3" t="s">
        <v>48</v>
      </c>
      <c r="X295" s="3" t="s">
        <v>52</v>
      </c>
    </row>
    <row r="296">
      <c r="A296" s="3">
        <v>295.0</v>
      </c>
      <c r="B296" s="3" t="s">
        <v>40</v>
      </c>
      <c r="C296" s="3" t="s">
        <v>756</v>
      </c>
      <c r="D296" s="3">
        <v>2008.0</v>
      </c>
      <c r="E296" s="3" t="s">
        <v>757</v>
      </c>
      <c r="F296" s="3" t="s">
        <v>356</v>
      </c>
      <c r="G296" s="3" t="s">
        <v>82</v>
      </c>
      <c r="H296" s="3" t="s">
        <v>82</v>
      </c>
      <c r="I296" s="3" t="s">
        <v>314</v>
      </c>
      <c r="O296" s="3" t="s">
        <v>61</v>
      </c>
      <c r="P296" s="3" t="s">
        <v>48</v>
      </c>
      <c r="X296" s="3" t="s">
        <v>52</v>
      </c>
    </row>
    <row r="297">
      <c r="A297" s="3">
        <v>296.0</v>
      </c>
      <c r="B297" s="3" t="s">
        <v>40</v>
      </c>
      <c r="C297" s="3" t="s">
        <v>758</v>
      </c>
      <c r="D297" s="3">
        <v>2008.0</v>
      </c>
      <c r="E297" s="3" t="s">
        <v>759</v>
      </c>
      <c r="F297" s="3" t="s">
        <v>43</v>
      </c>
      <c r="G297" s="3" t="s">
        <v>44</v>
      </c>
      <c r="H297" s="3" t="s">
        <v>45</v>
      </c>
      <c r="I297" s="3" t="s">
        <v>46</v>
      </c>
      <c r="O297" s="3" t="s">
        <v>61</v>
      </c>
      <c r="X297" s="3" t="s">
        <v>52</v>
      </c>
    </row>
    <row r="298">
      <c r="A298" s="3">
        <v>297.0</v>
      </c>
      <c r="B298" s="3" t="s">
        <v>40</v>
      </c>
      <c r="C298" s="3" t="s">
        <v>760</v>
      </c>
      <c r="D298" s="3">
        <v>2008.0</v>
      </c>
      <c r="E298" s="3" t="s">
        <v>761</v>
      </c>
      <c r="F298" s="3" t="s">
        <v>541</v>
      </c>
      <c r="G298" s="3" t="s">
        <v>541</v>
      </c>
      <c r="H298" s="3" t="s">
        <v>541</v>
      </c>
      <c r="I298" s="3" t="s">
        <v>635</v>
      </c>
      <c r="O298" s="3" t="s">
        <v>61</v>
      </c>
      <c r="X298" s="3" t="s">
        <v>52</v>
      </c>
    </row>
    <row r="299">
      <c r="A299" s="3">
        <v>298.0</v>
      </c>
      <c r="B299" s="3" t="s">
        <v>40</v>
      </c>
      <c r="C299" s="3" t="s">
        <v>762</v>
      </c>
      <c r="D299" s="3">
        <v>2008.0</v>
      </c>
      <c r="E299" s="3" t="s">
        <v>763</v>
      </c>
      <c r="F299" s="3" t="s">
        <v>129</v>
      </c>
      <c r="G299" s="3" t="s">
        <v>82</v>
      </c>
      <c r="H299" s="3" t="s">
        <v>82</v>
      </c>
      <c r="I299" s="3" t="s">
        <v>254</v>
      </c>
      <c r="O299" s="3" t="s">
        <v>61</v>
      </c>
      <c r="X299" s="3" t="s">
        <v>52</v>
      </c>
    </row>
    <row r="300">
      <c r="A300" s="3">
        <v>299.0</v>
      </c>
      <c r="B300" s="3" t="s">
        <v>40</v>
      </c>
      <c r="C300" s="3" t="s">
        <v>764</v>
      </c>
      <c r="D300" s="3">
        <v>2009.0</v>
      </c>
      <c r="E300" s="3" t="s">
        <v>765</v>
      </c>
      <c r="F300" s="3" t="s">
        <v>129</v>
      </c>
      <c r="G300" s="3" t="s">
        <v>82</v>
      </c>
      <c r="H300" s="3" t="s">
        <v>82</v>
      </c>
      <c r="I300" s="3" t="s">
        <v>317</v>
      </c>
      <c r="O300" s="3" t="s">
        <v>61</v>
      </c>
      <c r="X300" s="3" t="s">
        <v>52</v>
      </c>
    </row>
    <row r="301">
      <c r="A301" s="3">
        <v>300.0</v>
      </c>
      <c r="B301" s="3" t="s">
        <v>40</v>
      </c>
      <c r="C301" s="3" t="s">
        <v>766</v>
      </c>
      <c r="D301" s="3">
        <v>2009.0</v>
      </c>
      <c r="E301" s="3" t="s">
        <v>767</v>
      </c>
      <c r="F301" s="3" t="s">
        <v>449</v>
      </c>
      <c r="G301" s="3" t="s">
        <v>101</v>
      </c>
      <c r="H301" s="3" t="s">
        <v>102</v>
      </c>
      <c r="I301" s="3" t="s">
        <v>768</v>
      </c>
      <c r="J301" s="3" t="s">
        <v>769</v>
      </c>
      <c r="K301" s="3" t="s">
        <v>103</v>
      </c>
      <c r="L301" s="3" t="s">
        <v>205</v>
      </c>
      <c r="O301" s="3" t="s">
        <v>61</v>
      </c>
      <c r="X301" s="3" t="s">
        <v>52</v>
      </c>
    </row>
    <row r="302">
      <c r="A302" s="3">
        <v>301.0</v>
      </c>
      <c r="B302" s="3" t="s">
        <v>40</v>
      </c>
      <c r="C302" s="3" t="s">
        <v>770</v>
      </c>
      <c r="D302" s="3">
        <v>2009.0</v>
      </c>
      <c r="E302" s="3" t="s">
        <v>771</v>
      </c>
      <c r="F302" s="3" t="s">
        <v>253</v>
      </c>
      <c r="G302" s="3" t="s">
        <v>58</v>
      </c>
      <c r="H302" s="3" t="s">
        <v>58</v>
      </c>
      <c r="I302" s="3" t="s">
        <v>254</v>
      </c>
      <c r="O302" s="3" t="s">
        <v>61</v>
      </c>
      <c r="X302" s="3" t="s">
        <v>52</v>
      </c>
    </row>
    <row r="303">
      <c r="A303" s="3">
        <v>302.0</v>
      </c>
      <c r="B303" s="3" t="s">
        <v>40</v>
      </c>
      <c r="C303" s="3" t="s">
        <v>772</v>
      </c>
      <c r="D303" s="3">
        <v>2010.0</v>
      </c>
      <c r="E303" s="3" t="s">
        <v>773</v>
      </c>
      <c r="F303" s="3" t="s">
        <v>328</v>
      </c>
      <c r="G303" s="3" t="s">
        <v>124</v>
      </c>
      <c r="H303" s="3" t="s">
        <v>124</v>
      </c>
      <c r="I303" s="3" t="s">
        <v>155</v>
      </c>
      <c r="O303" s="3" t="s">
        <v>61</v>
      </c>
      <c r="X303" s="3" t="s">
        <v>52</v>
      </c>
    </row>
    <row r="304">
      <c r="A304" s="3">
        <v>303.0</v>
      </c>
      <c r="B304" s="3" t="s">
        <v>40</v>
      </c>
      <c r="C304" s="3" t="s">
        <v>774</v>
      </c>
      <c r="D304" s="3">
        <v>2010.0</v>
      </c>
      <c r="E304" s="3" t="s">
        <v>775</v>
      </c>
      <c r="F304" s="3" t="s">
        <v>356</v>
      </c>
      <c r="G304" s="3" t="s">
        <v>82</v>
      </c>
      <c r="H304" s="3" t="s">
        <v>82</v>
      </c>
      <c r="I304" s="3" t="s">
        <v>317</v>
      </c>
      <c r="O304" s="3" t="s">
        <v>48</v>
      </c>
      <c r="X304" s="3" t="s">
        <v>52</v>
      </c>
    </row>
    <row r="305">
      <c r="A305" s="3">
        <v>304.0</v>
      </c>
      <c r="B305" s="3" t="s">
        <v>40</v>
      </c>
      <c r="C305" s="3" t="s">
        <v>776</v>
      </c>
      <c r="D305" s="3">
        <v>2010.0</v>
      </c>
      <c r="E305" s="3" t="s">
        <v>777</v>
      </c>
      <c r="F305" s="3" t="s">
        <v>129</v>
      </c>
      <c r="G305" s="3" t="s">
        <v>82</v>
      </c>
      <c r="H305" s="3" t="s">
        <v>82</v>
      </c>
      <c r="I305" s="3" t="s">
        <v>314</v>
      </c>
      <c r="O305" s="3" t="s">
        <v>61</v>
      </c>
      <c r="P305" s="3" t="s">
        <v>48</v>
      </c>
      <c r="X305" s="3" t="s">
        <v>52</v>
      </c>
    </row>
    <row r="306">
      <c r="A306" s="3">
        <v>305.0</v>
      </c>
      <c r="B306" s="3" t="s">
        <v>40</v>
      </c>
      <c r="C306" s="3" t="s">
        <v>778</v>
      </c>
      <c r="D306" s="3">
        <v>2010.0</v>
      </c>
      <c r="E306" s="3" t="s">
        <v>779</v>
      </c>
      <c r="F306" s="3" t="s">
        <v>43</v>
      </c>
      <c r="G306" s="3" t="s">
        <v>44</v>
      </c>
      <c r="H306" s="3" t="s">
        <v>45</v>
      </c>
      <c r="I306" s="3" t="s">
        <v>46</v>
      </c>
      <c r="O306" s="3" t="s">
        <v>61</v>
      </c>
      <c r="X306" s="3" t="s">
        <v>52</v>
      </c>
    </row>
    <row r="307">
      <c r="A307" s="3">
        <v>306.0</v>
      </c>
      <c r="B307" s="3" t="s">
        <v>40</v>
      </c>
      <c r="C307" s="3" t="s">
        <v>780</v>
      </c>
      <c r="D307" s="3">
        <v>2011.0</v>
      </c>
      <c r="E307" s="3" t="s">
        <v>781</v>
      </c>
      <c r="F307" s="3" t="s">
        <v>129</v>
      </c>
      <c r="G307" s="3" t="s">
        <v>82</v>
      </c>
      <c r="H307" s="3" t="s">
        <v>82</v>
      </c>
      <c r="I307" s="3" t="s">
        <v>317</v>
      </c>
      <c r="O307" s="3" t="s">
        <v>48</v>
      </c>
      <c r="X307" s="3" t="s">
        <v>52</v>
      </c>
    </row>
    <row r="308">
      <c r="A308" s="3">
        <v>307.0</v>
      </c>
      <c r="B308" s="3" t="s">
        <v>40</v>
      </c>
      <c r="C308" s="3" t="s">
        <v>782</v>
      </c>
      <c r="D308" s="3">
        <v>2011.0</v>
      </c>
      <c r="E308" s="3" t="s">
        <v>783</v>
      </c>
      <c r="F308" s="3" t="s">
        <v>129</v>
      </c>
      <c r="G308" s="3" t="s">
        <v>82</v>
      </c>
      <c r="H308" s="3" t="s">
        <v>82</v>
      </c>
      <c r="I308" s="3" t="s">
        <v>317</v>
      </c>
      <c r="O308" s="3" t="s">
        <v>61</v>
      </c>
      <c r="X308" s="3" t="s">
        <v>52</v>
      </c>
    </row>
    <row r="309">
      <c r="A309" s="3">
        <v>308.0</v>
      </c>
      <c r="B309" s="3" t="s">
        <v>40</v>
      </c>
      <c r="C309" s="3" t="s">
        <v>784</v>
      </c>
      <c r="D309" s="3">
        <v>2011.0</v>
      </c>
      <c r="E309" s="3" t="s">
        <v>785</v>
      </c>
      <c r="F309" s="3" t="s">
        <v>129</v>
      </c>
      <c r="G309" s="3" t="s">
        <v>82</v>
      </c>
      <c r="H309" s="3" t="s">
        <v>82</v>
      </c>
      <c r="I309" s="3" t="s">
        <v>314</v>
      </c>
      <c r="O309" s="3" t="s">
        <v>61</v>
      </c>
      <c r="P309" s="3" t="s">
        <v>48</v>
      </c>
      <c r="X309" s="3" t="s">
        <v>52</v>
      </c>
    </row>
    <row r="310">
      <c r="A310" s="3">
        <v>309.0</v>
      </c>
      <c r="B310" s="3" t="s">
        <v>40</v>
      </c>
      <c r="C310" s="3" t="s">
        <v>786</v>
      </c>
      <c r="D310" s="3">
        <v>2011.0</v>
      </c>
      <c r="E310" s="3" t="s">
        <v>787</v>
      </c>
      <c r="F310" s="3" t="s">
        <v>129</v>
      </c>
      <c r="G310" s="3" t="s">
        <v>82</v>
      </c>
      <c r="H310" s="3" t="s">
        <v>82</v>
      </c>
      <c r="I310" s="3" t="s">
        <v>453</v>
      </c>
      <c r="O310" s="3" t="s">
        <v>61</v>
      </c>
      <c r="X310" s="3" t="s">
        <v>52</v>
      </c>
    </row>
    <row r="311">
      <c r="A311" s="3">
        <v>310.0</v>
      </c>
      <c r="B311" s="3" t="s">
        <v>40</v>
      </c>
      <c r="C311" s="3" t="s">
        <v>788</v>
      </c>
      <c r="D311" s="3">
        <v>2012.0</v>
      </c>
      <c r="E311" s="3" t="s">
        <v>789</v>
      </c>
      <c r="F311" s="3" t="s">
        <v>43</v>
      </c>
      <c r="G311" s="3" t="s">
        <v>44</v>
      </c>
      <c r="H311" s="3" t="s">
        <v>45</v>
      </c>
      <c r="I311" s="3" t="s">
        <v>46</v>
      </c>
      <c r="O311" s="3" t="s">
        <v>247</v>
      </c>
      <c r="X311" s="3" t="s">
        <v>52</v>
      </c>
    </row>
    <row r="312">
      <c r="A312" s="3">
        <v>311.0</v>
      </c>
      <c r="B312" s="3" t="s">
        <v>40</v>
      </c>
      <c r="C312" s="3" t="s">
        <v>790</v>
      </c>
      <c r="D312" s="3">
        <v>2012.0</v>
      </c>
      <c r="E312" s="3" t="s">
        <v>791</v>
      </c>
      <c r="F312" s="3" t="s">
        <v>129</v>
      </c>
      <c r="G312" s="3" t="s">
        <v>82</v>
      </c>
      <c r="H312" s="3" t="s">
        <v>82</v>
      </c>
      <c r="I312" s="3" t="s">
        <v>314</v>
      </c>
      <c r="O312" s="3" t="s">
        <v>61</v>
      </c>
      <c r="P312" s="3" t="s">
        <v>48</v>
      </c>
      <c r="X312" s="3" t="s">
        <v>52</v>
      </c>
    </row>
    <row r="313">
      <c r="A313" s="3">
        <v>312.0</v>
      </c>
      <c r="B313" s="3" t="s">
        <v>40</v>
      </c>
      <c r="C313" s="3" t="s">
        <v>792</v>
      </c>
      <c r="D313" s="3">
        <v>2012.0</v>
      </c>
      <c r="E313" s="3" t="s">
        <v>793</v>
      </c>
      <c r="F313" s="3" t="s">
        <v>57</v>
      </c>
      <c r="G313" s="3" t="s">
        <v>58</v>
      </c>
      <c r="H313" s="3" t="s">
        <v>58</v>
      </c>
      <c r="I313" s="3" t="s">
        <v>69</v>
      </c>
      <c r="J313" s="3" t="s">
        <v>285</v>
      </c>
      <c r="O313" s="3" t="s">
        <v>61</v>
      </c>
      <c r="X313" s="3" t="s">
        <v>52</v>
      </c>
    </row>
    <row r="314">
      <c r="A314" s="3">
        <v>313.0</v>
      </c>
      <c r="B314" s="3" t="s">
        <v>40</v>
      </c>
      <c r="C314" s="3" t="s">
        <v>794</v>
      </c>
      <c r="D314" s="3">
        <v>2012.0</v>
      </c>
      <c r="E314" s="3" t="s">
        <v>795</v>
      </c>
      <c r="F314" s="3" t="s">
        <v>113</v>
      </c>
      <c r="G314" s="3" t="s">
        <v>44</v>
      </c>
      <c r="H314" s="3" t="s">
        <v>45</v>
      </c>
      <c r="I314" s="3" t="s">
        <v>275</v>
      </c>
      <c r="O314" s="3" t="s">
        <v>61</v>
      </c>
      <c r="X314" s="3" t="s">
        <v>52</v>
      </c>
    </row>
    <row r="315">
      <c r="A315" s="3">
        <v>314.0</v>
      </c>
      <c r="B315" s="3" t="s">
        <v>40</v>
      </c>
      <c r="C315" s="3" t="s">
        <v>796</v>
      </c>
      <c r="D315" s="3">
        <v>2012.0</v>
      </c>
      <c r="E315" s="3" t="s">
        <v>797</v>
      </c>
      <c r="F315" s="3" t="s">
        <v>43</v>
      </c>
      <c r="G315" s="3" t="s">
        <v>44</v>
      </c>
      <c r="H315" s="3" t="s">
        <v>45</v>
      </c>
      <c r="I315" s="3" t="s">
        <v>485</v>
      </c>
      <c r="O315" s="3" t="s">
        <v>61</v>
      </c>
      <c r="X315" s="3" t="s">
        <v>52</v>
      </c>
    </row>
    <row r="316">
      <c r="A316" s="3">
        <v>315.0</v>
      </c>
      <c r="B316" s="3" t="s">
        <v>40</v>
      </c>
      <c r="C316" s="3" t="s">
        <v>798</v>
      </c>
      <c r="D316" s="3">
        <v>2012.0</v>
      </c>
      <c r="E316" s="3" t="s">
        <v>799</v>
      </c>
      <c r="F316" s="3" t="s">
        <v>184</v>
      </c>
      <c r="G316" s="3" t="s">
        <v>58</v>
      </c>
      <c r="H316" s="3" t="s">
        <v>58</v>
      </c>
      <c r="I316" s="3" t="s">
        <v>110</v>
      </c>
      <c r="J316" s="3" t="s">
        <v>69</v>
      </c>
      <c r="O316" s="3" t="s">
        <v>61</v>
      </c>
      <c r="X316" s="3" t="s">
        <v>52</v>
      </c>
    </row>
    <row r="317">
      <c r="A317" s="3">
        <v>316.0</v>
      </c>
      <c r="B317" s="3" t="s">
        <v>40</v>
      </c>
      <c r="C317" s="3" t="s">
        <v>800</v>
      </c>
      <c r="D317" s="3">
        <v>2013.0</v>
      </c>
      <c r="E317" s="3" t="s">
        <v>801</v>
      </c>
      <c r="F317" s="3" t="s">
        <v>68</v>
      </c>
      <c r="G317" s="3" t="s">
        <v>58</v>
      </c>
      <c r="H317" s="3" t="s">
        <v>58</v>
      </c>
      <c r="I317" s="3" t="s">
        <v>69</v>
      </c>
      <c r="O317" s="3" t="s">
        <v>61</v>
      </c>
      <c r="X317" s="3" t="s">
        <v>52</v>
      </c>
    </row>
    <row r="318">
      <c r="A318" s="3">
        <v>317.0</v>
      </c>
      <c r="B318" s="3" t="s">
        <v>40</v>
      </c>
      <c r="C318" s="3" t="s">
        <v>802</v>
      </c>
      <c r="D318" s="3">
        <v>2013.0</v>
      </c>
      <c r="E318" s="3" t="s">
        <v>803</v>
      </c>
      <c r="F318" s="3" t="s">
        <v>458</v>
      </c>
      <c r="G318" s="3" t="s">
        <v>58</v>
      </c>
      <c r="H318" s="3" t="s">
        <v>58</v>
      </c>
      <c r="I318" s="3" t="s">
        <v>69</v>
      </c>
      <c r="O318" s="3" t="s">
        <v>61</v>
      </c>
      <c r="X318" s="3" t="s">
        <v>52</v>
      </c>
    </row>
    <row r="319">
      <c r="A319" s="3">
        <v>318.0</v>
      </c>
      <c r="B319" s="3" t="s">
        <v>40</v>
      </c>
      <c r="C319" s="3" t="s">
        <v>804</v>
      </c>
      <c r="D319" s="3">
        <v>2013.0</v>
      </c>
      <c r="E319" s="3" t="s">
        <v>805</v>
      </c>
      <c r="F319" s="3" t="s">
        <v>541</v>
      </c>
      <c r="G319" s="3" t="s">
        <v>541</v>
      </c>
      <c r="H319" s="3" t="s">
        <v>541</v>
      </c>
      <c r="I319" s="3" t="s">
        <v>384</v>
      </c>
      <c r="J319" s="3" t="s">
        <v>461</v>
      </c>
      <c r="O319" s="3" t="s">
        <v>61</v>
      </c>
      <c r="X319" s="3" t="s">
        <v>52</v>
      </c>
    </row>
    <row r="320">
      <c r="A320" s="3">
        <v>319.0</v>
      </c>
      <c r="B320" s="3" t="s">
        <v>40</v>
      </c>
      <c r="C320" s="3" t="s">
        <v>806</v>
      </c>
      <c r="D320" s="3">
        <v>2013.0</v>
      </c>
      <c r="E320" s="3" t="s">
        <v>807</v>
      </c>
      <c r="F320" s="3" t="s">
        <v>321</v>
      </c>
      <c r="G320" s="3" t="s">
        <v>101</v>
      </c>
      <c r="H320" s="3" t="s">
        <v>102</v>
      </c>
      <c r="I320" s="3" t="s">
        <v>110</v>
      </c>
      <c r="J320" s="3" t="s">
        <v>205</v>
      </c>
      <c r="O320" s="3" t="s">
        <v>61</v>
      </c>
      <c r="P320" s="3" t="s">
        <v>48</v>
      </c>
      <c r="X320" s="3" t="s">
        <v>52</v>
      </c>
    </row>
    <row r="321">
      <c r="A321" s="3">
        <v>320.0</v>
      </c>
      <c r="B321" s="3" t="s">
        <v>40</v>
      </c>
      <c r="C321" s="3" t="s">
        <v>808</v>
      </c>
      <c r="D321" s="3">
        <v>2014.0</v>
      </c>
      <c r="E321" s="3" t="s">
        <v>809</v>
      </c>
      <c r="F321" s="3" t="s">
        <v>158</v>
      </c>
      <c r="G321" s="3" t="s">
        <v>58</v>
      </c>
      <c r="H321" s="3" t="s">
        <v>58</v>
      </c>
      <c r="I321" s="3" t="s">
        <v>285</v>
      </c>
      <c r="J321" s="3" t="s">
        <v>69</v>
      </c>
      <c r="O321" s="3" t="s">
        <v>61</v>
      </c>
      <c r="X321" s="3" t="s">
        <v>52</v>
      </c>
    </row>
    <row r="322">
      <c r="A322" s="3">
        <v>321.0</v>
      </c>
      <c r="B322" s="3" t="s">
        <v>40</v>
      </c>
      <c r="C322" s="3" t="s">
        <v>437</v>
      </c>
      <c r="D322" s="3">
        <v>2014.0</v>
      </c>
      <c r="E322" s="3" t="s">
        <v>810</v>
      </c>
      <c r="F322" s="3" t="s">
        <v>129</v>
      </c>
      <c r="G322" s="3" t="s">
        <v>82</v>
      </c>
      <c r="H322" s="3" t="s">
        <v>82</v>
      </c>
      <c r="I322" s="3" t="s">
        <v>314</v>
      </c>
      <c r="O322" s="3" t="s">
        <v>48</v>
      </c>
      <c r="X322" s="3" t="s">
        <v>52</v>
      </c>
    </row>
    <row r="323">
      <c r="A323" s="3">
        <v>322.0</v>
      </c>
      <c r="B323" s="3" t="s">
        <v>40</v>
      </c>
      <c r="C323" s="3" t="s">
        <v>811</v>
      </c>
      <c r="D323" s="3">
        <v>2014.0</v>
      </c>
      <c r="E323" s="3" t="s">
        <v>812</v>
      </c>
      <c r="F323" s="3" t="s">
        <v>449</v>
      </c>
      <c r="G323" s="3" t="s">
        <v>101</v>
      </c>
      <c r="H323" s="3" t="s">
        <v>102</v>
      </c>
      <c r="I323" s="3" t="s">
        <v>813</v>
      </c>
      <c r="J323" s="3" t="s">
        <v>768</v>
      </c>
      <c r="K323" s="3" t="s">
        <v>103</v>
      </c>
      <c r="L323" s="3" t="s">
        <v>266</v>
      </c>
      <c r="O323" s="3" t="s">
        <v>61</v>
      </c>
      <c r="X323" s="3" t="s">
        <v>52</v>
      </c>
    </row>
    <row r="324">
      <c r="A324" s="3">
        <v>323.0</v>
      </c>
      <c r="B324" s="3" t="s">
        <v>40</v>
      </c>
      <c r="C324" s="3" t="s">
        <v>814</v>
      </c>
      <c r="D324" s="3">
        <v>2014.0</v>
      </c>
      <c r="E324" s="3" t="s">
        <v>815</v>
      </c>
      <c r="F324" s="3" t="s">
        <v>341</v>
      </c>
      <c r="G324" s="3" t="s">
        <v>44</v>
      </c>
      <c r="H324" s="3" t="s">
        <v>45</v>
      </c>
      <c r="I324" s="3" t="s">
        <v>46</v>
      </c>
      <c r="O324" s="3" t="s">
        <v>61</v>
      </c>
      <c r="X324" s="3" t="s">
        <v>52</v>
      </c>
    </row>
    <row r="325">
      <c r="A325" s="3">
        <v>324.0</v>
      </c>
      <c r="B325" s="3" t="s">
        <v>40</v>
      </c>
      <c r="C325" s="3" t="s">
        <v>816</v>
      </c>
      <c r="D325" s="3">
        <v>2014.0</v>
      </c>
      <c r="E325" s="3" t="s">
        <v>817</v>
      </c>
      <c r="F325" s="3" t="s">
        <v>129</v>
      </c>
      <c r="G325" s="3" t="s">
        <v>82</v>
      </c>
      <c r="H325" s="3" t="s">
        <v>82</v>
      </c>
      <c r="I325" s="3" t="s">
        <v>254</v>
      </c>
      <c r="O325" s="3" t="s">
        <v>61</v>
      </c>
      <c r="X325" s="3" t="s">
        <v>52</v>
      </c>
    </row>
    <row r="326">
      <c r="A326" s="3">
        <v>325.0</v>
      </c>
      <c r="B326" s="3" t="s">
        <v>40</v>
      </c>
      <c r="C326" s="3" t="s">
        <v>818</v>
      </c>
      <c r="D326" s="3">
        <v>2015.0</v>
      </c>
      <c r="E326" s="3" t="s">
        <v>819</v>
      </c>
      <c r="F326" s="3" t="s">
        <v>496</v>
      </c>
      <c r="G326" s="3" t="s">
        <v>91</v>
      </c>
      <c r="H326" s="3" t="s">
        <v>91</v>
      </c>
      <c r="I326" s="3" t="s">
        <v>173</v>
      </c>
      <c r="O326" s="3" t="s">
        <v>247</v>
      </c>
      <c r="X326" s="3" t="s">
        <v>52</v>
      </c>
    </row>
    <row r="327">
      <c r="A327" s="3">
        <v>326.0</v>
      </c>
      <c r="B327" s="3" t="s">
        <v>40</v>
      </c>
      <c r="C327" s="3" t="s">
        <v>820</v>
      </c>
      <c r="D327" s="3">
        <v>2015.0</v>
      </c>
      <c r="E327" s="3" t="s">
        <v>821</v>
      </c>
      <c r="F327" s="3" t="s">
        <v>100</v>
      </c>
      <c r="G327" s="3" t="s">
        <v>101</v>
      </c>
      <c r="H327" s="3" t="s">
        <v>102</v>
      </c>
      <c r="I327" s="3" t="s">
        <v>768</v>
      </c>
      <c r="O327" s="3" t="s">
        <v>61</v>
      </c>
      <c r="X327" s="3" t="s">
        <v>52</v>
      </c>
    </row>
    <row r="328">
      <c r="A328" s="3">
        <v>327.0</v>
      </c>
      <c r="B328" s="3" t="s">
        <v>40</v>
      </c>
      <c r="C328" s="3" t="s">
        <v>822</v>
      </c>
      <c r="D328" s="3">
        <v>2015.0</v>
      </c>
      <c r="E328" s="3" t="s">
        <v>823</v>
      </c>
      <c r="F328" s="3" t="s">
        <v>253</v>
      </c>
      <c r="G328" s="3" t="s">
        <v>58</v>
      </c>
      <c r="H328" s="3" t="s">
        <v>58</v>
      </c>
      <c r="I328" s="3" t="s">
        <v>254</v>
      </c>
      <c r="O328" s="3" t="s">
        <v>61</v>
      </c>
      <c r="X328" s="3" t="s">
        <v>52</v>
      </c>
    </row>
    <row r="329">
      <c r="A329" s="3">
        <v>328.0</v>
      </c>
      <c r="B329" s="3" t="s">
        <v>40</v>
      </c>
      <c r="C329" s="3" t="s">
        <v>824</v>
      </c>
      <c r="D329" s="3">
        <v>2016.0</v>
      </c>
      <c r="E329" s="3" t="s">
        <v>825</v>
      </c>
      <c r="F329" s="3" t="s">
        <v>298</v>
      </c>
      <c r="G329" s="3" t="s">
        <v>101</v>
      </c>
      <c r="H329" s="3" t="s">
        <v>102</v>
      </c>
      <c r="I329" s="3" t="s">
        <v>103</v>
      </c>
      <c r="O329" s="3" t="s">
        <v>48</v>
      </c>
      <c r="X329" s="3" t="s">
        <v>52</v>
      </c>
    </row>
    <row r="330">
      <c r="A330" s="3">
        <v>329.0</v>
      </c>
      <c r="B330" s="3" t="s">
        <v>40</v>
      </c>
      <c r="C330" s="3" t="s">
        <v>826</v>
      </c>
      <c r="D330" s="3">
        <v>2016.0</v>
      </c>
      <c r="E330" s="3" t="s">
        <v>827</v>
      </c>
      <c r="F330" s="3" t="s">
        <v>328</v>
      </c>
      <c r="G330" s="3" t="s">
        <v>124</v>
      </c>
      <c r="H330" s="3" t="s">
        <v>124</v>
      </c>
      <c r="I330" s="3" t="s">
        <v>285</v>
      </c>
      <c r="J330" s="3" t="s">
        <v>103</v>
      </c>
      <c r="O330" s="3" t="s">
        <v>61</v>
      </c>
      <c r="X330" s="3" t="s">
        <v>52</v>
      </c>
    </row>
    <row r="331">
      <c r="A331" s="3">
        <v>330.0</v>
      </c>
      <c r="B331" s="3" t="s">
        <v>40</v>
      </c>
      <c r="C331" s="3" t="s">
        <v>828</v>
      </c>
      <c r="D331" s="3">
        <v>2016.0</v>
      </c>
      <c r="E331" s="3" t="s">
        <v>829</v>
      </c>
      <c r="F331" s="3" t="s">
        <v>81</v>
      </c>
      <c r="G331" s="3" t="s">
        <v>82</v>
      </c>
      <c r="H331" s="3" t="s">
        <v>82</v>
      </c>
      <c r="I331" s="3" t="s">
        <v>314</v>
      </c>
      <c r="O331" s="3" t="s">
        <v>48</v>
      </c>
      <c r="X331" s="3" t="s">
        <v>52</v>
      </c>
    </row>
    <row r="332">
      <c r="A332" s="3">
        <v>331.0</v>
      </c>
      <c r="B332" s="3" t="s">
        <v>40</v>
      </c>
      <c r="C332" s="3" t="s">
        <v>830</v>
      </c>
      <c r="D332" s="3">
        <v>2016.0</v>
      </c>
      <c r="E332" s="3" t="s">
        <v>831</v>
      </c>
      <c r="F332" s="3" t="s">
        <v>137</v>
      </c>
      <c r="G332" s="3" t="s">
        <v>44</v>
      </c>
      <c r="H332" s="3" t="s">
        <v>45</v>
      </c>
      <c r="I332" s="3" t="s">
        <v>461</v>
      </c>
      <c r="O332" s="3" t="s">
        <v>61</v>
      </c>
      <c r="X332" s="3" t="s">
        <v>52</v>
      </c>
    </row>
    <row r="333">
      <c r="A333" s="3">
        <v>332.0</v>
      </c>
      <c r="B333" s="3" t="s">
        <v>40</v>
      </c>
      <c r="C333" s="3" t="s">
        <v>832</v>
      </c>
      <c r="D333" s="3">
        <v>2017.0</v>
      </c>
      <c r="E333" s="3" t="s">
        <v>833</v>
      </c>
      <c r="F333" s="3" t="s">
        <v>356</v>
      </c>
      <c r="G333" s="3" t="s">
        <v>82</v>
      </c>
      <c r="H333" s="3" t="s">
        <v>82</v>
      </c>
      <c r="I333" s="3" t="s">
        <v>317</v>
      </c>
      <c r="O333" s="3" t="s">
        <v>48</v>
      </c>
      <c r="X333" s="3" t="s">
        <v>52</v>
      </c>
    </row>
    <row r="334">
      <c r="A334" s="3">
        <v>333.0</v>
      </c>
      <c r="B334" s="3" t="s">
        <v>40</v>
      </c>
      <c r="C334" s="3" t="s">
        <v>834</v>
      </c>
      <c r="D334" s="3">
        <v>2017.0</v>
      </c>
      <c r="E334" s="3" t="s">
        <v>835</v>
      </c>
      <c r="F334" s="3" t="s">
        <v>129</v>
      </c>
      <c r="G334" s="3" t="s">
        <v>82</v>
      </c>
      <c r="H334" s="3" t="s">
        <v>82</v>
      </c>
      <c r="I334" s="3" t="s">
        <v>317</v>
      </c>
      <c r="O334" s="3" t="s">
        <v>48</v>
      </c>
      <c r="X334" s="3" t="s">
        <v>52</v>
      </c>
    </row>
    <row r="335">
      <c r="A335" s="3">
        <v>334.0</v>
      </c>
      <c r="B335" s="3" t="s">
        <v>40</v>
      </c>
      <c r="C335" s="3" t="s">
        <v>836</v>
      </c>
      <c r="D335" s="3">
        <v>2017.0</v>
      </c>
      <c r="E335" s="3" t="s">
        <v>837</v>
      </c>
      <c r="F335" s="3" t="s">
        <v>298</v>
      </c>
      <c r="G335" s="3" t="s">
        <v>101</v>
      </c>
      <c r="H335" s="3" t="s">
        <v>102</v>
      </c>
      <c r="I335" s="3" t="s">
        <v>103</v>
      </c>
      <c r="O335" s="3" t="s">
        <v>48</v>
      </c>
      <c r="P335" s="3" t="s">
        <v>61</v>
      </c>
      <c r="X335" s="3" t="s">
        <v>52</v>
      </c>
    </row>
    <row r="336">
      <c r="A336" s="3">
        <v>335.0</v>
      </c>
      <c r="B336" s="3" t="s">
        <v>40</v>
      </c>
      <c r="C336" s="3" t="s">
        <v>838</v>
      </c>
      <c r="D336" s="3">
        <v>2017.0</v>
      </c>
      <c r="E336" s="3" t="s">
        <v>839</v>
      </c>
      <c r="F336" s="3" t="s">
        <v>100</v>
      </c>
      <c r="G336" s="3" t="s">
        <v>101</v>
      </c>
      <c r="H336" s="3" t="s">
        <v>102</v>
      </c>
      <c r="I336" s="3" t="s">
        <v>104</v>
      </c>
      <c r="O336" s="3" t="s">
        <v>61</v>
      </c>
      <c r="X336" s="3" t="s">
        <v>52</v>
      </c>
    </row>
    <row r="337">
      <c r="A337" s="3">
        <v>336.0</v>
      </c>
      <c r="B337" s="3" t="s">
        <v>40</v>
      </c>
      <c r="C337" s="3" t="s">
        <v>840</v>
      </c>
      <c r="D337" s="3">
        <v>2017.0</v>
      </c>
      <c r="E337" s="3" t="s">
        <v>841</v>
      </c>
      <c r="F337" s="3" t="s">
        <v>100</v>
      </c>
      <c r="G337" s="3" t="s">
        <v>101</v>
      </c>
      <c r="H337" s="3" t="s">
        <v>102</v>
      </c>
      <c r="I337" s="3" t="s">
        <v>104</v>
      </c>
      <c r="O337" s="3" t="s">
        <v>61</v>
      </c>
      <c r="X337" s="3" t="s">
        <v>52</v>
      </c>
    </row>
    <row r="338">
      <c r="A338" s="3">
        <v>337.0</v>
      </c>
      <c r="B338" s="3" t="s">
        <v>40</v>
      </c>
      <c r="C338" s="3" t="s">
        <v>842</v>
      </c>
      <c r="D338" s="3">
        <v>2017.0</v>
      </c>
      <c r="E338" s="3" t="s">
        <v>843</v>
      </c>
      <c r="F338" s="3" t="s">
        <v>372</v>
      </c>
      <c r="G338" s="3" t="s">
        <v>101</v>
      </c>
      <c r="H338" s="3" t="s">
        <v>102</v>
      </c>
      <c r="I338" s="3" t="s">
        <v>69</v>
      </c>
      <c r="O338" s="3" t="s">
        <v>48</v>
      </c>
      <c r="X338" s="3" t="s">
        <v>52</v>
      </c>
    </row>
    <row r="339">
      <c r="A339" s="3">
        <v>338.0</v>
      </c>
      <c r="B339" s="3" t="s">
        <v>40</v>
      </c>
      <c r="C339" s="3" t="s">
        <v>844</v>
      </c>
      <c r="D339" s="3">
        <v>2017.0</v>
      </c>
      <c r="E339" s="3" t="s">
        <v>845</v>
      </c>
      <c r="F339" s="3" t="s">
        <v>356</v>
      </c>
      <c r="G339" s="3" t="s">
        <v>82</v>
      </c>
      <c r="H339" s="3" t="s">
        <v>82</v>
      </c>
      <c r="I339" s="3" t="s">
        <v>254</v>
      </c>
      <c r="O339" s="3" t="s">
        <v>61</v>
      </c>
      <c r="X339" s="3" t="s">
        <v>52</v>
      </c>
    </row>
    <row r="340">
      <c r="A340" s="3">
        <v>339.0</v>
      </c>
      <c r="B340" s="3" t="s">
        <v>40</v>
      </c>
      <c r="C340" s="3" t="s">
        <v>846</v>
      </c>
      <c r="D340" s="3">
        <v>2017.0</v>
      </c>
      <c r="E340" s="3" t="s">
        <v>847</v>
      </c>
      <c r="F340" s="3" t="s">
        <v>492</v>
      </c>
      <c r="G340" s="3" t="s">
        <v>58</v>
      </c>
      <c r="H340" s="3" t="s">
        <v>58</v>
      </c>
      <c r="I340" s="3" t="s">
        <v>254</v>
      </c>
      <c r="O340" s="3" t="s">
        <v>61</v>
      </c>
      <c r="X340" s="3" t="s">
        <v>52</v>
      </c>
    </row>
    <row r="341">
      <c r="A341" s="3">
        <v>340.0</v>
      </c>
      <c r="B341" s="3" t="s">
        <v>40</v>
      </c>
      <c r="C341" s="3" t="s">
        <v>848</v>
      </c>
      <c r="D341" s="3">
        <v>2018.0</v>
      </c>
      <c r="E341" s="3" t="s">
        <v>849</v>
      </c>
      <c r="F341" s="3" t="s">
        <v>129</v>
      </c>
      <c r="G341" s="3" t="s">
        <v>82</v>
      </c>
      <c r="H341" s="3" t="s">
        <v>82</v>
      </c>
      <c r="I341" s="3" t="s">
        <v>317</v>
      </c>
      <c r="O341" s="3" t="s">
        <v>61</v>
      </c>
      <c r="P341" s="3" t="s">
        <v>48</v>
      </c>
      <c r="X341" s="3" t="s">
        <v>52</v>
      </c>
    </row>
    <row r="342">
      <c r="A342" s="3">
        <v>341.0</v>
      </c>
      <c r="B342" s="3" t="s">
        <v>40</v>
      </c>
      <c r="C342" s="3" t="s">
        <v>850</v>
      </c>
      <c r="D342" s="3">
        <v>2018.0</v>
      </c>
      <c r="E342" s="3" t="s">
        <v>851</v>
      </c>
      <c r="F342" s="3" t="s">
        <v>436</v>
      </c>
      <c r="G342" s="3" t="s">
        <v>58</v>
      </c>
      <c r="H342" s="3" t="s">
        <v>58</v>
      </c>
      <c r="I342" s="3" t="s">
        <v>104</v>
      </c>
      <c r="O342" s="3" t="s">
        <v>61</v>
      </c>
      <c r="X342" s="3" t="s">
        <v>52</v>
      </c>
    </row>
    <row r="343">
      <c r="A343" s="3">
        <v>342.0</v>
      </c>
      <c r="B343" s="3" t="s">
        <v>40</v>
      </c>
      <c r="C343" s="3" t="s">
        <v>852</v>
      </c>
      <c r="D343" s="3">
        <v>2018.0</v>
      </c>
      <c r="E343" s="3" t="s">
        <v>853</v>
      </c>
      <c r="F343" s="3" t="s">
        <v>43</v>
      </c>
      <c r="G343" s="3" t="s">
        <v>44</v>
      </c>
      <c r="H343" s="3" t="s">
        <v>45</v>
      </c>
      <c r="I343" s="3" t="s">
        <v>46</v>
      </c>
      <c r="O343" s="3" t="s">
        <v>61</v>
      </c>
      <c r="X343" s="3" t="s">
        <v>52</v>
      </c>
    </row>
    <row r="344">
      <c r="A344" s="3">
        <v>343.0</v>
      </c>
      <c r="B344" s="3" t="s">
        <v>40</v>
      </c>
      <c r="C344" s="3" t="s">
        <v>854</v>
      </c>
      <c r="D344" s="3">
        <v>2018.0</v>
      </c>
      <c r="E344" s="3" t="s">
        <v>855</v>
      </c>
      <c r="F344" s="3" t="s">
        <v>100</v>
      </c>
      <c r="G344" s="3" t="s">
        <v>101</v>
      </c>
      <c r="H344" s="3" t="s">
        <v>102</v>
      </c>
      <c r="I344" s="3" t="s">
        <v>205</v>
      </c>
      <c r="J344" s="3" t="s">
        <v>155</v>
      </c>
      <c r="K344" s="3" t="s">
        <v>110</v>
      </c>
      <c r="O344" s="3" t="s">
        <v>61</v>
      </c>
      <c r="X344" s="3" t="s">
        <v>52</v>
      </c>
    </row>
    <row r="345">
      <c r="A345" s="3">
        <v>344.0</v>
      </c>
      <c r="B345" s="3" t="s">
        <v>40</v>
      </c>
      <c r="C345" s="3" t="s">
        <v>856</v>
      </c>
      <c r="D345" s="3">
        <v>2018.0</v>
      </c>
      <c r="E345" s="3" t="s">
        <v>857</v>
      </c>
      <c r="F345" s="3" t="s">
        <v>308</v>
      </c>
      <c r="G345" s="3" t="s">
        <v>101</v>
      </c>
      <c r="H345" s="3" t="s">
        <v>102</v>
      </c>
      <c r="I345" s="3" t="s">
        <v>205</v>
      </c>
      <c r="J345" s="3" t="s">
        <v>155</v>
      </c>
      <c r="O345" s="3" t="s">
        <v>61</v>
      </c>
      <c r="X345" s="3" t="s">
        <v>52</v>
      </c>
    </row>
    <row r="346">
      <c r="A346" s="3">
        <v>345.0</v>
      </c>
      <c r="B346" s="3" t="s">
        <v>40</v>
      </c>
      <c r="C346" s="3" t="s">
        <v>858</v>
      </c>
      <c r="D346" s="3">
        <v>2018.0</v>
      </c>
      <c r="E346" s="3" t="s">
        <v>859</v>
      </c>
      <c r="F346" s="3" t="s">
        <v>129</v>
      </c>
      <c r="G346" s="3" t="s">
        <v>82</v>
      </c>
      <c r="H346" s="3" t="s">
        <v>82</v>
      </c>
      <c r="I346" s="3" t="s">
        <v>254</v>
      </c>
      <c r="O346" s="3" t="s">
        <v>61</v>
      </c>
      <c r="X346" s="3" t="s">
        <v>52</v>
      </c>
    </row>
    <row r="347">
      <c r="A347" s="3">
        <v>346.0</v>
      </c>
      <c r="B347" s="3" t="s">
        <v>40</v>
      </c>
      <c r="C347" s="3" t="s">
        <v>860</v>
      </c>
      <c r="D347" s="3">
        <v>2018.0</v>
      </c>
      <c r="E347" s="3" t="s">
        <v>861</v>
      </c>
      <c r="F347" s="3" t="s">
        <v>43</v>
      </c>
      <c r="G347" s="3" t="s">
        <v>44</v>
      </c>
      <c r="H347" s="3" t="s">
        <v>45</v>
      </c>
      <c r="I347" s="3" t="s">
        <v>485</v>
      </c>
      <c r="J347" s="3" t="s">
        <v>46</v>
      </c>
      <c r="O347" s="3" t="s">
        <v>61</v>
      </c>
      <c r="X347" s="3" t="s">
        <v>52</v>
      </c>
    </row>
    <row r="348">
      <c r="A348" s="3">
        <v>347.0</v>
      </c>
      <c r="B348" s="3" t="s">
        <v>40</v>
      </c>
      <c r="C348" s="3" t="s">
        <v>862</v>
      </c>
      <c r="D348" s="3">
        <v>2018.0</v>
      </c>
      <c r="E348" s="3" t="s">
        <v>863</v>
      </c>
      <c r="F348" s="3" t="s">
        <v>100</v>
      </c>
      <c r="G348" s="3" t="s">
        <v>101</v>
      </c>
      <c r="H348" s="3" t="s">
        <v>102</v>
      </c>
      <c r="I348" s="3" t="s">
        <v>110</v>
      </c>
      <c r="J348" s="3" t="s">
        <v>155</v>
      </c>
      <c r="K348" s="3" t="s">
        <v>205</v>
      </c>
      <c r="O348" s="3" t="s">
        <v>61</v>
      </c>
      <c r="X348" s="3" t="s">
        <v>52</v>
      </c>
    </row>
    <row r="349">
      <c r="A349" s="3">
        <v>348.0</v>
      </c>
      <c r="B349" s="3" t="s">
        <v>40</v>
      </c>
      <c r="C349" s="3" t="s">
        <v>864</v>
      </c>
      <c r="D349" s="3">
        <v>2019.0</v>
      </c>
      <c r="E349" s="3" t="s">
        <v>865</v>
      </c>
      <c r="F349" s="3" t="s">
        <v>129</v>
      </c>
      <c r="G349" s="3" t="s">
        <v>82</v>
      </c>
      <c r="H349" s="3" t="s">
        <v>82</v>
      </c>
      <c r="I349" s="3" t="s">
        <v>866</v>
      </c>
      <c r="O349" s="3" t="s">
        <v>48</v>
      </c>
      <c r="X349" s="3" t="s">
        <v>52</v>
      </c>
    </row>
    <row r="350">
      <c r="A350" s="3">
        <v>349.0</v>
      </c>
      <c r="B350" s="3" t="s">
        <v>40</v>
      </c>
      <c r="C350" s="3" t="s">
        <v>867</v>
      </c>
      <c r="D350" s="3">
        <v>2019.0</v>
      </c>
      <c r="E350" s="3" t="s">
        <v>868</v>
      </c>
      <c r="F350" s="3" t="s">
        <v>129</v>
      </c>
      <c r="G350" s="3" t="s">
        <v>82</v>
      </c>
      <c r="H350" s="3" t="s">
        <v>82</v>
      </c>
      <c r="I350" s="3" t="s">
        <v>866</v>
      </c>
      <c r="O350" s="3" t="s">
        <v>48</v>
      </c>
      <c r="X350" s="3" t="s">
        <v>52</v>
      </c>
    </row>
    <row r="351">
      <c r="A351" s="3">
        <v>350.0</v>
      </c>
      <c r="B351" s="3" t="s">
        <v>40</v>
      </c>
      <c r="C351" s="3" t="s">
        <v>869</v>
      </c>
      <c r="D351" s="3">
        <v>2019.0</v>
      </c>
      <c r="E351" s="3" t="s">
        <v>870</v>
      </c>
      <c r="F351" s="3" t="s">
        <v>129</v>
      </c>
      <c r="G351" s="3" t="s">
        <v>82</v>
      </c>
      <c r="H351" s="3" t="s">
        <v>82</v>
      </c>
      <c r="I351" s="3" t="s">
        <v>866</v>
      </c>
      <c r="O351" s="3" t="s">
        <v>48</v>
      </c>
      <c r="X351" s="3" t="s">
        <v>52</v>
      </c>
    </row>
    <row r="352">
      <c r="A352" s="3">
        <v>351.0</v>
      </c>
      <c r="B352" s="3" t="s">
        <v>40</v>
      </c>
      <c r="C352" s="3" t="s">
        <v>871</v>
      </c>
      <c r="D352" s="3">
        <v>2019.0</v>
      </c>
      <c r="E352" s="3" t="s">
        <v>872</v>
      </c>
      <c r="F352" s="3" t="s">
        <v>129</v>
      </c>
      <c r="G352" s="3" t="s">
        <v>82</v>
      </c>
      <c r="H352" s="3" t="s">
        <v>82</v>
      </c>
      <c r="I352" s="3" t="s">
        <v>866</v>
      </c>
      <c r="O352" s="3" t="s">
        <v>48</v>
      </c>
      <c r="X352" s="3" t="s">
        <v>52</v>
      </c>
    </row>
    <row r="353">
      <c r="A353" s="3">
        <v>352.0</v>
      </c>
      <c r="B353" s="3" t="s">
        <v>40</v>
      </c>
      <c r="C353" s="3" t="s">
        <v>873</v>
      </c>
      <c r="D353" s="3">
        <v>2019.0</v>
      </c>
      <c r="E353" s="3" t="s">
        <v>874</v>
      </c>
      <c r="F353" s="3" t="s">
        <v>68</v>
      </c>
      <c r="G353" s="3" t="s">
        <v>58</v>
      </c>
      <c r="H353" s="3" t="s">
        <v>58</v>
      </c>
      <c r="I353" s="3" t="s">
        <v>96</v>
      </c>
      <c r="O353" s="3" t="s">
        <v>61</v>
      </c>
      <c r="P353" s="3" t="s">
        <v>48</v>
      </c>
      <c r="X353" s="3" t="s">
        <v>52</v>
      </c>
    </row>
    <row r="354">
      <c r="A354" s="3">
        <v>353.0</v>
      </c>
      <c r="B354" s="3" t="s">
        <v>40</v>
      </c>
      <c r="C354" s="3" t="s">
        <v>875</v>
      </c>
      <c r="D354" s="3">
        <v>2019.0</v>
      </c>
      <c r="E354" s="3" t="s">
        <v>876</v>
      </c>
      <c r="F354" s="3" t="s">
        <v>877</v>
      </c>
      <c r="G354" s="3" t="s">
        <v>101</v>
      </c>
      <c r="H354" s="3" t="s">
        <v>102</v>
      </c>
      <c r="I354" s="3" t="s">
        <v>205</v>
      </c>
      <c r="J354" s="3" t="s">
        <v>155</v>
      </c>
      <c r="O354" s="3" t="s">
        <v>61</v>
      </c>
      <c r="X354" s="3" t="s">
        <v>52</v>
      </c>
    </row>
    <row r="355">
      <c r="A355" s="3">
        <v>354.0</v>
      </c>
      <c r="B355" s="3" t="s">
        <v>40</v>
      </c>
      <c r="C355" s="3" t="s">
        <v>878</v>
      </c>
      <c r="D355" s="3">
        <v>2019.0</v>
      </c>
      <c r="E355" s="3" t="s">
        <v>879</v>
      </c>
      <c r="F355" s="3" t="s">
        <v>880</v>
      </c>
      <c r="G355" s="3" t="s">
        <v>101</v>
      </c>
      <c r="H355" s="3" t="s">
        <v>102</v>
      </c>
      <c r="I355" s="3" t="s">
        <v>768</v>
      </c>
      <c r="O355" s="3" t="s">
        <v>61</v>
      </c>
      <c r="X355" s="3" t="s">
        <v>52</v>
      </c>
    </row>
    <row r="356">
      <c r="A356" s="3">
        <v>355.0</v>
      </c>
      <c r="B356" s="3" t="s">
        <v>40</v>
      </c>
      <c r="C356" s="3" t="s">
        <v>881</v>
      </c>
      <c r="D356" s="3">
        <v>2019.0</v>
      </c>
      <c r="E356" s="3" t="s">
        <v>882</v>
      </c>
      <c r="F356" s="3" t="s">
        <v>253</v>
      </c>
      <c r="G356" s="3" t="s">
        <v>58</v>
      </c>
      <c r="H356" s="3" t="s">
        <v>58</v>
      </c>
      <c r="I356" s="3" t="s">
        <v>254</v>
      </c>
      <c r="O356" s="3" t="s">
        <v>61</v>
      </c>
      <c r="X356" s="3" t="s">
        <v>52</v>
      </c>
    </row>
    <row r="357">
      <c r="A357" s="3">
        <v>356.0</v>
      </c>
      <c r="B357" s="3" t="s">
        <v>40</v>
      </c>
      <c r="C357" s="3" t="s">
        <v>883</v>
      </c>
      <c r="D357" s="3">
        <v>2020.0</v>
      </c>
      <c r="E357" s="3" t="s">
        <v>884</v>
      </c>
      <c r="F357" s="3" t="s">
        <v>356</v>
      </c>
      <c r="G357" s="3" t="s">
        <v>82</v>
      </c>
      <c r="H357" s="3" t="s">
        <v>82</v>
      </c>
      <c r="I357" s="3" t="s">
        <v>254</v>
      </c>
      <c r="O357" s="3" t="s">
        <v>61</v>
      </c>
      <c r="X357" s="3" t="s">
        <v>52</v>
      </c>
    </row>
    <row r="358">
      <c r="A358" s="3">
        <v>357.0</v>
      </c>
      <c r="B358" s="3" t="s">
        <v>40</v>
      </c>
      <c r="C358" s="3" t="s">
        <v>885</v>
      </c>
      <c r="D358" s="3">
        <v>2020.0</v>
      </c>
      <c r="E358" s="3" t="s">
        <v>886</v>
      </c>
      <c r="F358" s="3" t="s">
        <v>95</v>
      </c>
      <c r="G358" s="3" t="s">
        <v>58</v>
      </c>
      <c r="H358" s="3" t="s">
        <v>58</v>
      </c>
      <c r="I358" s="3" t="s">
        <v>254</v>
      </c>
      <c r="O358" s="3" t="s">
        <v>61</v>
      </c>
      <c r="X358" s="3" t="s">
        <v>52</v>
      </c>
    </row>
    <row r="359">
      <c r="A359" s="3">
        <v>358.0</v>
      </c>
      <c r="B359" s="3" t="s">
        <v>106</v>
      </c>
      <c r="D359" s="3">
        <v>1986.0</v>
      </c>
      <c r="E359" s="3" t="s">
        <v>887</v>
      </c>
      <c r="F359" s="3" t="s">
        <v>356</v>
      </c>
      <c r="G359" s="3" t="s">
        <v>82</v>
      </c>
      <c r="I359" s="3" t="s">
        <v>384</v>
      </c>
      <c r="O359" s="3" t="s">
        <v>61</v>
      </c>
      <c r="X359" s="3" t="s">
        <v>52</v>
      </c>
    </row>
    <row r="360">
      <c r="A360" s="3">
        <v>359.0</v>
      </c>
      <c r="B360" s="3" t="s">
        <v>106</v>
      </c>
      <c r="C360" s="3" t="s">
        <v>888</v>
      </c>
      <c r="D360" s="3">
        <v>1992.0</v>
      </c>
      <c r="E360" s="3" t="s">
        <v>889</v>
      </c>
      <c r="F360" s="3" t="s">
        <v>391</v>
      </c>
      <c r="G360" s="3" t="s">
        <v>58</v>
      </c>
      <c r="I360" s="3" t="s">
        <v>110</v>
      </c>
      <c r="O360" s="3" t="s">
        <v>61</v>
      </c>
      <c r="X360" s="3" t="s">
        <v>52</v>
      </c>
    </row>
    <row r="361">
      <c r="A361" s="3">
        <v>360.0</v>
      </c>
      <c r="B361" s="3" t="s">
        <v>106</v>
      </c>
      <c r="C361" s="3" t="s">
        <v>890</v>
      </c>
      <c r="D361" s="3">
        <v>1992.0</v>
      </c>
      <c r="E361" s="3" t="s">
        <v>891</v>
      </c>
      <c r="F361" s="3" t="s">
        <v>892</v>
      </c>
      <c r="G361" s="3" t="s">
        <v>44</v>
      </c>
      <c r="I361" s="3" t="s">
        <v>485</v>
      </c>
      <c r="O361" s="3" t="s">
        <v>48</v>
      </c>
      <c r="X361" s="3" t="s">
        <v>52</v>
      </c>
    </row>
    <row r="362">
      <c r="A362" s="3">
        <v>361.0</v>
      </c>
      <c r="B362" s="3" t="s">
        <v>106</v>
      </c>
      <c r="C362" s="3" t="s">
        <v>893</v>
      </c>
      <c r="D362" s="3">
        <v>1993.0</v>
      </c>
      <c r="E362" s="3" t="s">
        <v>894</v>
      </c>
      <c r="F362" s="3" t="s">
        <v>113</v>
      </c>
      <c r="G362" s="3" t="s">
        <v>44</v>
      </c>
      <c r="I362" s="3" t="s">
        <v>485</v>
      </c>
      <c r="O362" s="3" t="s">
        <v>61</v>
      </c>
      <c r="X362" s="3" t="s">
        <v>52</v>
      </c>
    </row>
    <row r="363">
      <c r="A363" s="3">
        <v>362.0</v>
      </c>
      <c r="B363" s="3" t="s">
        <v>106</v>
      </c>
      <c r="C363" s="3" t="s">
        <v>895</v>
      </c>
      <c r="D363" s="3">
        <v>1995.0</v>
      </c>
      <c r="E363" s="3" t="s">
        <v>896</v>
      </c>
      <c r="F363" s="3" t="s">
        <v>897</v>
      </c>
      <c r="G363" s="3" t="s">
        <v>58</v>
      </c>
      <c r="I363" s="3" t="s">
        <v>110</v>
      </c>
      <c r="O363" s="3" t="s">
        <v>61</v>
      </c>
      <c r="X363" s="3" t="s">
        <v>52</v>
      </c>
    </row>
    <row r="364">
      <c r="A364" s="3">
        <v>363.0</v>
      </c>
      <c r="B364" s="3" t="s">
        <v>106</v>
      </c>
      <c r="C364" s="3" t="s">
        <v>898</v>
      </c>
      <c r="D364" s="3">
        <v>1995.0</v>
      </c>
      <c r="E364" s="3" t="s">
        <v>899</v>
      </c>
      <c r="F364" s="3" t="s">
        <v>90</v>
      </c>
      <c r="G364" s="3" t="s">
        <v>91</v>
      </c>
      <c r="I364" s="3" t="s">
        <v>92</v>
      </c>
      <c r="O364" s="3" t="s">
        <v>61</v>
      </c>
      <c r="P364" s="3" t="s">
        <v>48</v>
      </c>
      <c r="X364" s="3" t="s">
        <v>52</v>
      </c>
    </row>
    <row r="365">
      <c r="A365" s="3">
        <v>364.0</v>
      </c>
      <c r="B365" s="3" t="s">
        <v>106</v>
      </c>
      <c r="C365" s="3" t="s">
        <v>900</v>
      </c>
      <c r="D365" s="3">
        <v>1996.0</v>
      </c>
      <c r="E365" s="3" t="s">
        <v>901</v>
      </c>
      <c r="F365" s="3" t="s">
        <v>113</v>
      </c>
      <c r="G365" s="3" t="s">
        <v>44</v>
      </c>
      <c r="I365" s="3" t="s">
        <v>485</v>
      </c>
      <c r="O365" s="3" t="s">
        <v>61</v>
      </c>
      <c r="X365" s="3" t="s">
        <v>52</v>
      </c>
    </row>
    <row r="366">
      <c r="A366" s="3">
        <v>365.0</v>
      </c>
      <c r="B366" s="3" t="s">
        <v>106</v>
      </c>
      <c r="C366" s="3" t="s">
        <v>902</v>
      </c>
      <c r="D366" s="3">
        <v>1999.0</v>
      </c>
      <c r="E366" s="3" t="s">
        <v>903</v>
      </c>
      <c r="F366" s="3" t="s">
        <v>220</v>
      </c>
      <c r="G366" s="3" t="s">
        <v>44</v>
      </c>
      <c r="I366" s="3" t="s">
        <v>46</v>
      </c>
      <c r="O366" s="3" t="s">
        <v>61</v>
      </c>
      <c r="X366" s="3" t="s">
        <v>52</v>
      </c>
    </row>
    <row r="367">
      <c r="A367" s="3">
        <v>366.0</v>
      </c>
      <c r="B367" s="3" t="s">
        <v>106</v>
      </c>
      <c r="D367" s="3">
        <v>2001.0</v>
      </c>
      <c r="E367" s="3" t="s">
        <v>904</v>
      </c>
      <c r="F367" s="3" t="s">
        <v>905</v>
      </c>
      <c r="G367" s="3" t="s">
        <v>44</v>
      </c>
      <c r="I367" s="3" t="s">
        <v>485</v>
      </c>
      <c r="O367" s="3" t="s">
        <v>61</v>
      </c>
      <c r="X367" s="3" t="s">
        <v>52</v>
      </c>
    </row>
    <row r="368">
      <c r="A368" s="3">
        <v>367.0</v>
      </c>
      <c r="B368" s="3" t="s">
        <v>106</v>
      </c>
      <c r="D368" s="3">
        <v>2002.0</v>
      </c>
      <c r="E368" s="3" t="s">
        <v>906</v>
      </c>
      <c r="F368" s="3" t="s">
        <v>515</v>
      </c>
      <c r="G368" s="3" t="s">
        <v>58</v>
      </c>
      <c r="I368" s="3" t="s">
        <v>110</v>
      </c>
      <c r="O368" s="3" t="s">
        <v>247</v>
      </c>
      <c r="X368" s="3" t="s">
        <v>52</v>
      </c>
    </row>
    <row r="369">
      <c r="A369" s="3">
        <v>368.0</v>
      </c>
      <c r="B369" s="3" t="s">
        <v>106</v>
      </c>
      <c r="D369" s="3">
        <v>2002.0</v>
      </c>
      <c r="E369" s="3" t="s">
        <v>907</v>
      </c>
      <c r="F369" s="3" t="s">
        <v>341</v>
      </c>
      <c r="G369" s="3" t="s">
        <v>44</v>
      </c>
      <c r="I369" s="3" t="s">
        <v>46</v>
      </c>
      <c r="O369" s="3" t="s">
        <v>267</v>
      </c>
      <c r="X369" s="3" t="s">
        <v>52</v>
      </c>
    </row>
    <row r="370">
      <c r="A370" s="3">
        <v>369.0</v>
      </c>
      <c r="B370" s="3" t="s">
        <v>106</v>
      </c>
      <c r="D370" s="3">
        <v>2002.0</v>
      </c>
      <c r="E370" s="3" t="s">
        <v>908</v>
      </c>
      <c r="F370" s="3" t="s">
        <v>359</v>
      </c>
      <c r="G370" s="3" t="s">
        <v>91</v>
      </c>
      <c r="I370" s="3" t="s">
        <v>290</v>
      </c>
      <c r="O370" s="3" t="s">
        <v>48</v>
      </c>
      <c r="P370" s="3" t="s">
        <v>247</v>
      </c>
      <c r="Q370" s="3" t="s">
        <v>61</v>
      </c>
      <c r="X370" s="3" t="s">
        <v>52</v>
      </c>
    </row>
    <row r="371">
      <c r="A371" s="3">
        <v>370.0</v>
      </c>
      <c r="B371" s="3" t="s">
        <v>106</v>
      </c>
      <c r="D371" s="3">
        <v>2002.0</v>
      </c>
      <c r="E371" s="3" t="s">
        <v>909</v>
      </c>
      <c r="F371" s="3" t="s">
        <v>220</v>
      </c>
      <c r="G371" s="3" t="s">
        <v>44</v>
      </c>
      <c r="I371" s="3" t="s">
        <v>46</v>
      </c>
      <c r="O371" s="3" t="s">
        <v>247</v>
      </c>
      <c r="P371" s="3" t="s">
        <v>61</v>
      </c>
      <c r="X371" s="3" t="s">
        <v>52</v>
      </c>
    </row>
    <row r="372">
      <c r="A372" s="3">
        <v>371.0</v>
      </c>
      <c r="B372" s="3" t="s">
        <v>106</v>
      </c>
      <c r="D372" s="3">
        <v>2003.0</v>
      </c>
      <c r="E372" s="3" t="s">
        <v>910</v>
      </c>
      <c r="F372" s="3" t="s">
        <v>911</v>
      </c>
      <c r="G372" s="3" t="s">
        <v>91</v>
      </c>
      <c r="I372" s="3" t="s">
        <v>92</v>
      </c>
      <c r="J372" s="3" t="s">
        <v>173</v>
      </c>
      <c r="O372" s="3" t="s">
        <v>61</v>
      </c>
      <c r="P372" s="3" t="s">
        <v>247</v>
      </c>
      <c r="X372" s="3" t="s">
        <v>52</v>
      </c>
    </row>
    <row r="373">
      <c r="A373" s="3">
        <v>372.0</v>
      </c>
      <c r="B373" s="3" t="s">
        <v>106</v>
      </c>
      <c r="D373" s="3">
        <v>2003.0</v>
      </c>
      <c r="E373" s="3" t="s">
        <v>912</v>
      </c>
      <c r="F373" s="3" t="s">
        <v>187</v>
      </c>
      <c r="G373" s="3" t="s">
        <v>58</v>
      </c>
      <c r="I373" s="3" t="s">
        <v>110</v>
      </c>
      <c r="O373" s="3" t="s">
        <v>247</v>
      </c>
      <c r="X373" s="3" t="s">
        <v>52</v>
      </c>
    </row>
    <row r="374">
      <c r="A374" s="3">
        <v>373.0</v>
      </c>
      <c r="B374" s="3" t="s">
        <v>106</v>
      </c>
      <c r="D374" s="3">
        <v>2004.0</v>
      </c>
      <c r="E374" s="3" t="s">
        <v>913</v>
      </c>
      <c r="F374" s="3" t="s">
        <v>43</v>
      </c>
      <c r="G374" s="3" t="s">
        <v>44</v>
      </c>
      <c r="I374" s="3" t="s">
        <v>485</v>
      </c>
      <c r="O374" s="3" t="s">
        <v>247</v>
      </c>
      <c r="X374" s="3" t="s">
        <v>52</v>
      </c>
    </row>
    <row r="375">
      <c r="A375" s="3">
        <v>374.0</v>
      </c>
      <c r="B375" s="3" t="s">
        <v>106</v>
      </c>
      <c r="D375" s="3">
        <v>2004.0</v>
      </c>
      <c r="E375" s="3" t="s">
        <v>914</v>
      </c>
      <c r="F375" s="3" t="s">
        <v>341</v>
      </c>
      <c r="G375" s="3" t="s">
        <v>44</v>
      </c>
      <c r="I375" s="3" t="s">
        <v>46</v>
      </c>
      <c r="O375" s="3" t="s">
        <v>267</v>
      </c>
      <c r="X375" s="3" t="s">
        <v>52</v>
      </c>
    </row>
    <row r="376">
      <c r="A376" s="3">
        <v>375.0</v>
      </c>
      <c r="B376" s="3" t="s">
        <v>106</v>
      </c>
      <c r="D376" s="3">
        <v>2006.0</v>
      </c>
      <c r="E376" s="3" t="s">
        <v>915</v>
      </c>
      <c r="F376" s="3" t="s">
        <v>141</v>
      </c>
      <c r="G376" s="3" t="s">
        <v>142</v>
      </c>
      <c r="I376" s="3" t="s">
        <v>110</v>
      </c>
      <c r="O376" s="3" t="s">
        <v>61</v>
      </c>
      <c r="P376" s="3" t="s">
        <v>247</v>
      </c>
      <c r="X376" s="3" t="s">
        <v>52</v>
      </c>
    </row>
    <row r="377">
      <c r="A377" s="3">
        <v>376.0</v>
      </c>
      <c r="B377" s="3" t="s">
        <v>106</v>
      </c>
      <c r="D377" s="3">
        <v>2008.0</v>
      </c>
      <c r="E377" s="3" t="s">
        <v>916</v>
      </c>
      <c r="F377" s="3" t="s">
        <v>129</v>
      </c>
      <c r="G377" s="3" t="s">
        <v>82</v>
      </c>
      <c r="I377" s="3" t="s">
        <v>453</v>
      </c>
      <c r="O377" s="3" t="s">
        <v>61</v>
      </c>
      <c r="X377" s="3" t="s">
        <v>52</v>
      </c>
    </row>
    <row r="378">
      <c r="A378" s="3">
        <v>377.0</v>
      </c>
      <c r="B378" s="3" t="s">
        <v>106</v>
      </c>
      <c r="D378" s="3">
        <v>2008.0</v>
      </c>
      <c r="E378" s="3" t="s">
        <v>917</v>
      </c>
      <c r="F378" s="3" t="s">
        <v>880</v>
      </c>
      <c r="G378" s="3" t="s">
        <v>101</v>
      </c>
      <c r="I378" s="3" t="s">
        <v>309</v>
      </c>
      <c r="O378" s="3" t="s">
        <v>61</v>
      </c>
      <c r="X378" s="3" t="s">
        <v>52</v>
      </c>
    </row>
    <row r="379">
      <c r="A379" s="3">
        <v>378.0</v>
      </c>
      <c r="B379" s="3" t="s">
        <v>106</v>
      </c>
      <c r="D379" s="3">
        <v>2008.0</v>
      </c>
      <c r="E379" s="3" t="s">
        <v>918</v>
      </c>
      <c r="F379" s="3" t="s">
        <v>341</v>
      </c>
      <c r="G379" s="3" t="s">
        <v>44</v>
      </c>
      <c r="I379" s="3" t="s">
        <v>46</v>
      </c>
      <c r="O379" s="3" t="s">
        <v>247</v>
      </c>
      <c r="X379" s="3" t="s">
        <v>52</v>
      </c>
    </row>
    <row r="380">
      <c r="A380" s="3">
        <v>379.0</v>
      </c>
      <c r="B380" s="3" t="s">
        <v>106</v>
      </c>
      <c r="D380" s="3">
        <v>2008.0</v>
      </c>
      <c r="E380" s="3" t="s">
        <v>919</v>
      </c>
      <c r="F380" s="3" t="s">
        <v>341</v>
      </c>
      <c r="G380" s="3" t="s">
        <v>44</v>
      </c>
      <c r="I380" s="3" t="s">
        <v>461</v>
      </c>
      <c r="O380" s="3" t="s">
        <v>247</v>
      </c>
      <c r="X380" s="3" t="s">
        <v>52</v>
      </c>
    </row>
    <row r="381">
      <c r="A381" s="3">
        <v>380.0</v>
      </c>
      <c r="B381" s="3" t="s">
        <v>106</v>
      </c>
      <c r="D381" s="3">
        <v>2008.0</v>
      </c>
      <c r="E381" s="3" t="s">
        <v>920</v>
      </c>
      <c r="F381" s="3" t="s">
        <v>129</v>
      </c>
      <c r="G381" s="3" t="s">
        <v>82</v>
      </c>
      <c r="I381" s="3" t="s">
        <v>453</v>
      </c>
      <c r="O381" s="3" t="s">
        <v>61</v>
      </c>
      <c r="P381" s="3" t="s">
        <v>267</v>
      </c>
      <c r="X381" s="3" t="s">
        <v>52</v>
      </c>
    </row>
    <row r="382">
      <c r="A382" s="3">
        <v>381.0</v>
      </c>
      <c r="B382" s="3" t="s">
        <v>106</v>
      </c>
      <c r="C382" s="3" t="s">
        <v>921</v>
      </c>
      <c r="D382" s="3">
        <v>2010.0</v>
      </c>
      <c r="E382" s="3" t="s">
        <v>922</v>
      </c>
      <c r="F382" s="3" t="s">
        <v>923</v>
      </c>
      <c r="G382" s="3" t="s">
        <v>91</v>
      </c>
      <c r="I382" s="3" t="s">
        <v>173</v>
      </c>
      <c r="O382" s="3" t="s">
        <v>61</v>
      </c>
      <c r="X382" s="3" t="s">
        <v>52</v>
      </c>
    </row>
    <row r="383">
      <c r="A383" s="3">
        <v>382.0</v>
      </c>
      <c r="B383" s="3" t="s">
        <v>106</v>
      </c>
      <c r="C383" s="3" t="s">
        <v>924</v>
      </c>
      <c r="D383" s="3">
        <v>2011.0</v>
      </c>
      <c r="E383" s="3" t="s">
        <v>925</v>
      </c>
      <c r="F383" s="3" t="s">
        <v>492</v>
      </c>
      <c r="G383" s="3" t="s">
        <v>58</v>
      </c>
      <c r="I383" s="3" t="s">
        <v>110</v>
      </c>
      <c r="O383" s="3" t="s">
        <v>61</v>
      </c>
      <c r="X383" s="3" t="s">
        <v>52</v>
      </c>
    </row>
    <row r="384">
      <c r="A384" s="3">
        <v>383.0</v>
      </c>
      <c r="B384" s="3" t="s">
        <v>106</v>
      </c>
      <c r="C384" s="3" t="s">
        <v>926</v>
      </c>
      <c r="D384" s="3">
        <v>2011.0</v>
      </c>
      <c r="E384" s="3" t="s">
        <v>927</v>
      </c>
      <c r="F384" s="3" t="s">
        <v>928</v>
      </c>
      <c r="G384" s="3" t="s">
        <v>101</v>
      </c>
      <c r="I384" s="3" t="s">
        <v>110</v>
      </c>
      <c r="O384" s="3" t="s">
        <v>61</v>
      </c>
      <c r="X384" s="3" t="s">
        <v>52</v>
      </c>
    </row>
    <row r="385">
      <c r="A385" s="3">
        <v>384.0</v>
      </c>
      <c r="B385" s="3" t="s">
        <v>106</v>
      </c>
      <c r="C385" s="3" t="s">
        <v>929</v>
      </c>
      <c r="D385" s="3">
        <v>2011.0</v>
      </c>
      <c r="E385" s="3" t="s">
        <v>930</v>
      </c>
      <c r="F385" s="3" t="s">
        <v>43</v>
      </c>
      <c r="G385" s="3" t="s">
        <v>44</v>
      </c>
      <c r="I385" s="3" t="s">
        <v>485</v>
      </c>
      <c r="O385" s="3" t="s">
        <v>61</v>
      </c>
      <c r="X385" s="3" t="s">
        <v>52</v>
      </c>
    </row>
    <row r="386">
      <c r="A386" s="3">
        <v>385.0</v>
      </c>
      <c r="B386" s="3" t="s">
        <v>106</v>
      </c>
      <c r="C386" s="3" t="s">
        <v>931</v>
      </c>
      <c r="D386" s="3">
        <v>2013.0</v>
      </c>
      <c r="E386" s="3" t="s">
        <v>932</v>
      </c>
      <c r="F386" s="3" t="s">
        <v>308</v>
      </c>
      <c r="G386" s="3" t="s">
        <v>124</v>
      </c>
      <c r="I386" s="3" t="s">
        <v>155</v>
      </c>
      <c r="J386" s="3" t="s">
        <v>205</v>
      </c>
      <c r="O386" s="3" t="s">
        <v>61</v>
      </c>
      <c r="X386" s="3" t="s">
        <v>52</v>
      </c>
    </row>
    <row r="387">
      <c r="A387" s="3">
        <v>386.0</v>
      </c>
      <c r="B387" s="3" t="s">
        <v>106</v>
      </c>
      <c r="C387" s="3" t="s">
        <v>933</v>
      </c>
      <c r="D387" s="3">
        <v>2014.0</v>
      </c>
      <c r="E387" s="3" t="s">
        <v>934</v>
      </c>
      <c r="F387" s="3" t="s">
        <v>880</v>
      </c>
      <c r="G387" s="3" t="s">
        <v>101</v>
      </c>
      <c r="I387" s="3" t="s">
        <v>309</v>
      </c>
      <c r="O387" s="3" t="s">
        <v>61</v>
      </c>
      <c r="X387" s="3" t="s">
        <v>52</v>
      </c>
    </row>
    <row r="388">
      <c r="A388" s="3">
        <v>387.0</v>
      </c>
      <c r="B388" s="3" t="s">
        <v>106</v>
      </c>
      <c r="C388" s="3" t="s">
        <v>935</v>
      </c>
      <c r="D388" s="3">
        <v>2014.0</v>
      </c>
      <c r="E388" s="3" t="s">
        <v>936</v>
      </c>
      <c r="F388" s="3" t="s">
        <v>204</v>
      </c>
      <c r="G388" s="3" t="s">
        <v>101</v>
      </c>
      <c r="I388" s="3" t="s">
        <v>205</v>
      </c>
      <c r="O388" s="3" t="s">
        <v>61</v>
      </c>
      <c r="X388" s="3" t="s">
        <v>52</v>
      </c>
    </row>
    <row r="389">
      <c r="A389" s="3">
        <v>388.0</v>
      </c>
      <c r="B389" s="3" t="s">
        <v>55</v>
      </c>
      <c r="D389" s="3">
        <v>1990.0</v>
      </c>
      <c r="E389" s="3" t="s">
        <v>937</v>
      </c>
      <c r="F389" s="3" t="s">
        <v>68</v>
      </c>
      <c r="G389" s="3" t="s">
        <v>58</v>
      </c>
      <c r="H389" s="3" t="s">
        <v>58</v>
      </c>
      <c r="I389" s="3" t="s">
        <v>69</v>
      </c>
      <c r="O389" s="3" t="s">
        <v>61</v>
      </c>
      <c r="X389" s="3" t="s">
        <v>52</v>
      </c>
    </row>
    <row r="390">
      <c r="A390" s="3">
        <v>389.0</v>
      </c>
      <c r="B390" s="3" t="s">
        <v>55</v>
      </c>
      <c r="D390" s="3">
        <v>1991.0</v>
      </c>
      <c r="E390" s="3" t="s">
        <v>938</v>
      </c>
      <c r="F390" s="3" t="s">
        <v>123</v>
      </c>
      <c r="G390" s="3" t="s">
        <v>124</v>
      </c>
      <c r="H390" s="3" t="s">
        <v>124</v>
      </c>
      <c r="I390" s="3" t="s">
        <v>285</v>
      </c>
      <c r="J390" s="3" t="s">
        <v>110</v>
      </c>
      <c r="O390" s="3" t="s">
        <v>61</v>
      </c>
      <c r="X390" s="3" t="s">
        <v>52</v>
      </c>
    </row>
    <row r="391">
      <c r="A391" s="3">
        <v>390.0</v>
      </c>
      <c r="B391" s="3" t="s">
        <v>55</v>
      </c>
      <c r="D391" s="3">
        <v>1991.0</v>
      </c>
      <c r="E391" s="3" t="s">
        <v>939</v>
      </c>
      <c r="F391" s="3" t="s">
        <v>68</v>
      </c>
      <c r="G391" s="3" t="s">
        <v>58</v>
      </c>
      <c r="H391" s="3" t="s">
        <v>58</v>
      </c>
      <c r="I391" s="3" t="s">
        <v>69</v>
      </c>
      <c r="O391" s="3" t="s">
        <v>61</v>
      </c>
      <c r="X391" s="3" t="s">
        <v>52</v>
      </c>
    </row>
    <row r="392">
      <c r="A392" s="3">
        <v>391.0</v>
      </c>
      <c r="B392" s="3" t="s">
        <v>55</v>
      </c>
      <c r="D392" s="3">
        <v>1991.0</v>
      </c>
      <c r="E392" s="3" t="s">
        <v>940</v>
      </c>
      <c r="F392" s="3" t="s">
        <v>541</v>
      </c>
      <c r="G392" s="3" t="s">
        <v>541</v>
      </c>
      <c r="H392" s="3" t="s">
        <v>541</v>
      </c>
      <c r="I392" s="3" t="s">
        <v>69</v>
      </c>
      <c r="O392" s="3" t="s">
        <v>61</v>
      </c>
      <c r="X392" s="3" t="s">
        <v>52</v>
      </c>
    </row>
    <row r="393">
      <c r="A393" s="3">
        <v>392.0</v>
      </c>
      <c r="B393" s="3" t="s">
        <v>55</v>
      </c>
      <c r="D393" s="3">
        <v>1992.0</v>
      </c>
      <c r="E393" s="3" t="s">
        <v>941</v>
      </c>
      <c r="F393" s="3" t="s">
        <v>201</v>
      </c>
      <c r="G393" s="3" t="s">
        <v>58</v>
      </c>
      <c r="H393" s="3" t="s">
        <v>58</v>
      </c>
      <c r="I393" s="3" t="s">
        <v>285</v>
      </c>
      <c r="O393" s="3" t="s">
        <v>61</v>
      </c>
      <c r="X393" s="3" t="s">
        <v>52</v>
      </c>
    </row>
    <row r="394">
      <c r="A394" s="3">
        <v>393.0</v>
      </c>
      <c r="B394" s="3" t="s">
        <v>55</v>
      </c>
      <c r="D394" s="3">
        <v>1992.0</v>
      </c>
      <c r="E394" s="3" t="s">
        <v>942</v>
      </c>
      <c r="F394" s="3" t="s">
        <v>68</v>
      </c>
      <c r="G394" s="3" t="s">
        <v>58</v>
      </c>
      <c r="H394" s="3" t="s">
        <v>58</v>
      </c>
      <c r="I394" s="3" t="s">
        <v>286</v>
      </c>
      <c r="O394" s="3" t="s">
        <v>61</v>
      </c>
      <c r="X394" s="3" t="s">
        <v>52</v>
      </c>
    </row>
    <row r="395">
      <c r="A395" s="3">
        <v>394.0</v>
      </c>
      <c r="B395" s="3" t="s">
        <v>55</v>
      </c>
      <c r="D395" s="3">
        <v>1993.0</v>
      </c>
      <c r="E395" s="3" t="s">
        <v>943</v>
      </c>
      <c r="F395" s="3" t="s">
        <v>158</v>
      </c>
      <c r="G395" s="3" t="s">
        <v>58</v>
      </c>
      <c r="H395" s="3" t="s">
        <v>58</v>
      </c>
      <c r="I395" s="3" t="s">
        <v>96</v>
      </c>
      <c r="J395" s="3" t="s">
        <v>285</v>
      </c>
      <c r="O395" s="3" t="s">
        <v>61</v>
      </c>
      <c r="X395" s="3" t="s">
        <v>52</v>
      </c>
    </row>
    <row r="396">
      <c r="A396" s="3">
        <v>395.0</v>
      </c>
      <c r="B396" s="3" t="s">
        <v>55</v>
      </c>
      <c r="D396" s="3">
        <v>1997.0</v>
      </c>
      <c r="E396" s="3" t="s">
        <v>944</v>
      </c>
      <c r="F396" s="3" t="s">
        <v>549</v>
      </c>
      <c r="G396" s="3" t="s">
        <v>58</v>
      </c>
      <c r="H396" s="3" t="s">
        <v>58</v>
      </c>
      <c r="I396" s="3" t="s">
        <v>69</v>
      </c>
      <c r="O396" s="3" t="s">
        <v>61</v>
      </c>
      <c r="X396" s="3" t="s">
        <v>52</v>
      </c>
    </row>
    <row r="397">
      <c r="A397" s="3">
        <v>396.0</v>
      </c>
      <c r="B397" s="3" t="s">
        <v>55</v>
      </c>
      <c r="D397" s="3">
        <v>2003.0</v>
      </c>
      <c r="E397" s="3" t="s">
        <v>945</v>
      </c>
      <c r="F397" s="3" t="s">
        <v>298</v>
      </c>
      <c r="G397" s="3" t="s">
        <v>101</v>
      </c>
      <c r="H397" s="3" t="s">
        <v>102</v>
      </c>
      <c r="I397" s="3" t="s">
        <v>103</v>
      </c>
      <c r="O397" s="3" t="s">
        <v>48</v>
      </c>
      <c r="P397" s="3" t="s">
        <v>61</v>
      </c>
      <c r="X397" s="3" t="s">
        <v>52</v>
      </c>
    </row>
    <row r="398">
      <c r="A398" s="3">
        <v>397.0</v>
      </c>
      <c r="B398" s="3" t="s">
        <v>55</v>
      </c>
      <c r="D398" s="3">
        <v>2008.0</v>
      </c>
      <c r="E398" s="3" t="s">
        <v>946</v>
      </c>
      <c r="F398" s="3" t="s">
        <v>123</v>
      </c>
      <c r="G398" s="3" t="s">
        <v>124</v>
      </c>
      <c r="H398" s="3" t="s">
        <v>124</v>
      </c>
      <c r="I398" s="3" t="s">
        <v>103</v>
      </c>
      <c r="J398" s="3" t="s">
        <v>768</v>
      </c>
      <c r="K398" s="3" t="s">
        <v>205</v>
      </c>
      <c r="L398" s="3" t="s">
        <v>155</v>
      </c>
      <c r="M398" s="3" t="s">
        <v>110</v>
      </c>
      <c r="O398" s="3" t="s">
        <v>61</v>
      </c>
      <c r="X398" s="3" t="s">
        <v>52</v>
      </c>
    </row>
    <row r="399">
      <c r="A399" s="3">
        <v>398.0</v>
      </c>
      <c r="B399" s="3" t="s">
        <v>55</v>
      </c>
      <c r="D399" s="3">
        <v>2008.0</v>
      </c>
      <c r="E399" s="3" t="s">
        <v>947</v>
      </c>
      <c r="F399" s="3" t="s">
        <v>880</v>
      </c>
      <c r="G399" s="3" t="s">
        <v>101</v>
      </c>
      <c r="H399" s="3" t="s">
        <v>102</v>
      </c>
      <c r="I399" s="3" t="s">
        <v>768</v>
      </c>
      <c r="O399" s="3" t="s">
        <v>61</v>
      </c>
      <c r="X399" s="3" t="s">
        <v>52</v>
      </c>
    </row>
    <row r="400">
      <c r="A400" s="3">
        <v>399.0</v>
      </c>
      <c r="B400" s="3" t="s">
        <v>55</v>
      </c>
      <c r="D400" s="3">
        <v>2009.0</v>
      </c>
      <c r="E400" s="3" t="s">
        <v>948</v>
      </c>
      <c r="F400" s="3" t="s">
        <v>496</v>
      </c>
      <c r="G400" s="3" t="s">
        <v>91</v>
      </c>
      <c r="H400" s="3" t="s">
        <v>91</v>
      </c>
      <c r="I400" s="3" t="s">
        <v>173</v>
      </c>
      <c r="J400" s="3" t="s">
        <v>92</v>
      </c>
      <c r="O400" s="3" t="s">
        <v>61</v>
      </c>
      <c r="X400" s="3" t="s">
        <v>52</v>
      </c>
    </row>
    <row r="401">
      <c r="A401" s="3">
        <v>400.0</v>
      </c>
      <c r="B401" s="3" t="s">
        <v>55</v>
      </c>
      <c r="D401" s="3">
        <v>2011.0</v>
      </c>
      <c r="E401" s="3" t="s">
        <v>949</v>
      </c>
      <c r="F401" s="3" t="s">
        <v>220</v>
      </c>
      <c r="G401" s="3" t="s">
        <v>44</v>
      </c>
      <c r="H401" s="3" t="s">
        <v>45</v>
      </c>
      <c r="I401" s="3" t="s">
        <v>208</v>
      </c>
      <c r="J401" s="3" t="s">
        <v>445</v>
      </c>
      <c r="O401" s="3" t="s">
        <v>61</v>
      </c>
      <c r="X401" s="3" t="s">
        <v>52</v>
      </c>
    </row>
    <row r="402">
      <c r="A402" s="3">
        <v>401.0</v>
      </c>
      <c r="B402" s="3" t="s">
        <v>55</v>
      </c>
      <c r="D402" s="3">
        <v>2012.0</v>
      </c>
      <c r="E402" s="3" t="s">
        <v>950</v>
      </c>
      <c r="F402" s="3" t="s">
        <v>204</v>
      </c>
      <c r="G402" s="3" t="s">
        <v>101</v>
      </c>
      <c r="H402" s="3" t="s">
        <v>102</v>
      </c>
      <c r="I402" s="3" t="s">
        <v>951</v>
      </c>
      <c r="O402" s="3" t="s">
        <v>61</v>
      </c>
      <c r="X402" s="3" t="s">
        <v>52</v>
      </c>
    </row>
    <row r="403">
      <c r="A403" s="3">
        <v>402.0</v>
      </c>
      <c r="B403" s="3" t="s">
        <v>55</v>
      </c>
      <c r="D403" s="3">
        <v>2012.0</v>
      </c>
      <c r="E403" s="3" t="s">
        <v>952</v>
      </c>
      <c r="F403" s="3" t="s">
        <v>204</v>
      </c>
      <c r="G403" s="3" t="s">
        <v>101</v>
      </c>
      <c r="H403" s="3" t="s">
        <v>102</v>
      </c>
      <c r="I403" s="3" t="s">
        <v>813</v>
      </c>
      <c r="O403" s="3" t="s">
        <v>61</v>
      </c>
      <c r="X403" s="3" t="s">
        <v>52</v>
      </c>
    </row>
    <row r="404">
      <c r="A404" s="3">
        <v>403.0</v>
      </c>
      <c r="B404" s="3" t="s">
        <v>55</v>
      </c>
      <c r="D404" s="3">
        <v>2013.0</v>
      </c>
      <c r="E404" s="3" t="s">
        <v>953</v>
      </c>
      <c r="F404" s="3" t="s">
        <v>123</v>
      </c>
      <c r="G404" s="3" t="s">
        <v>124</v>
      </c>
      <c r="H404" s="3" t="s">
        <v>124</v>
      </c>
      <c r="I404" s="3" t="s">
        <v>103</v>
      </c>
      <c r="J404" s="3" t="s">
        <v>205</v>
      </c>
      <c r="O404" s="3" t="s">
        <v>48</v>
      </c>
      <c r="P404" s="3" t="s">
        <v>61</v>
      </c>
      <c r="X404" s="3" t="s">
        <v>52</v>
      </c>
    </row>
    <row r="405">
      <c r="A405" s="3">
        <v>404.0</v>
      </c>
      <c r="B405" s="3" t="s">
        <v>55</v>
      </c>
      <c r="D405" s="3">
        <v>2014.0</v>
      </c>
      <c r="E405" s="3" t="s">
        <v>954</v>
      </c>
      <c r="F405" s="3" t="s">
        <v>498</v>
      </c>
      <c r="G405" s="3" t="s">
        <v>124</v>
      </c>
      <c r="H405" s="3" t="s">
        <v>124</v>
      </c>
      <c r="I405" s="3" t="s">
        <v>955</v>
      </c>
      <c r="O405" s="3" t="s">
        <v>61</v>
      </c>
      <c r="X405" s="3" t="s">
        <v>52</v>
      </c>
    </row>
    <row r="406">
      <c r="A406" s="3">
        <v>405.0</v>
      </c>
      <c r="B406" s="3" t="s">
        <v>55</v>
      </c>
      <c r="D406" s="3">
        <v>2014.0</v>
      </c>
      <c r="E406" s="3" t="s">
        <v>956</v>
      </c>
      <c r="F406" s="3" t="s">
        <v>308</v>
      </c>
      <c r="G406" s="3" t="s">
        <v>101</v>
      </c>
      <c r="H406" s="3" t="s">
        <v>102</v>
      </c>
      <c r="I406" s="3" t="s">
        <v>205</v>
      </c>
      <c r="O406" s="3" t="s">
        <v>61</v>
      </c>
      <c r="X406" s="3" t="s">
        <v>52</v>
      </c>
    </row>
    <row r="407">
      <c r="A407" s="3">
        <v>406.0</v>
      </c>
      <c r="B407" s="3" t="s">
        <v>55</v>
      </c>
      <c r="D407" s="3">
        <v>2017.0</v>
      </c>
      <c r="E407" s="3" t="s">
        <v>957</v>
      </c>
      <c r="F407" s="3" t="s">
        <v>204</v>
      </c>
      <c r="G407" s="3" t="s">
        <v>101</v>
      </c>
      <c r="H407" s="3" t="s">
        <v>102</v>
      </c>
      <c r="I407" s="3" t="s">
        <v>951</v>
      </c>
      <c r="O407" s="3" t="s">
        <v>61</v>
      </c>
      <c r="P407" s="3" t="s">
        <v>48</v>
      </c>
      <c r="X407" s="3" t="s">
        <v>52</v>
      </c>
    </row>
    <row r="408">
      <c r="A408" s="3">
        <v>407.0</v>
      </c>
      <c r="B408" s="3" t="s">
        <v>106</v>
      </c>
      <c r="D408" s="3">
        <v>2015.0</v>
      </c>
      <c r="E408" s="3" t="s">
        <v>958</v>
      </c>
      <c r="F408" s="3" t="s">
        <v>123</v>
      </c>
      <c r="G408" s="3" t="s">
        <v>124</v>
      </c>
      <c r="H408" s="3" t="s">
        <v>124</v>
      </c>
      <c r="I408" s="3" t="s">
        <v>155</v>
      </c>
      <c r="O408" s="3" t="s">
        <v>61</v>
      </c>
      <c r="X408" s="3" t="s">
        <v>52</v>
      </c>
    </row>
    <row r="409">
      <c r="A409" s="3">
        <v>408.0</v>
      </c>
      <c r="B409" s="3" t="s">
        <v>106</v>
      </c>
      <c r="D409" s="3">
        <v>2016.0</v>
      </c>
      <c r="E409" s="3" t="s">
        <v>959</v>
      </c>
      <c r="F409" s="3" t="s">
        <v>230</v>
      </c>
      <c r="G409" s="3" t="s">
        <v>101</v>
      </c>
      <c r="I409" s="3" t="s">
        <v>266</v>
      </c>
      <c r="O409" s="3" t="s">
        <v>61</v>
      </c>
      <c r="X409" s="3" t="s">
        <v>52</v>
      </c>
    </row>
    <row r="410">
      <c r="A410" s="3">
        <v>409.0</v>
      </c>
      <c r="B410" s="3" t="s">
        <v>106</v>
      </c>
      <c r="D410" s="3">
        <v>2016.0</v>
      </c>
      <c r="E410" s="3" t="s">
        <v>960</v>
      </c>
      <c r="F410" s="3" t="s">
        <v>961</v>
      </c>
      <c r="G410" s="3" t="s">
        <v>142</v>
      </c>
      <c r="I410" s="3" t="s">
        <v>110</v>
      </c>
      <c r="O410" s="3" t="s">
        <v>61</v>
      </c>
      <c r="X410" s="3" t="s">
        <v>52</v>
      </c>
    </row>
    <row r="411">
      <c r="A411" s="3">
        <v>410.0</v>
      </c>
      <c r="B411" s="3" t="s">
        <v>106</v>
      </c>
      <c r="D411" s="3">
        <v>2016.0</v>
      </c>
      <c r="E411" s="3" t="s">
        <v>962</v>
      </c>
      <c r="F411" s="3" t="s">
        <v>963</v>
      </c>
      <c r="G411" s="3" t="s">
        <v>91</v>
      </c>
      <c r="I411" s="3" t="s">
        <v>290</v>
      </c>
      <c r="O411" s="3" t="s">
        <v>267</v>
      </c>
      <c r="X411" s="3" t="s">
        <v>52</v>
      </c>
    </row>
    <row r="412">
      <c r="A412" s="3">
        <v>411.0</v>
      </c>
      <c r="B412" s="3" t="s">
        <v>106</v>
      </c>
      <c r="D412" s="3">
        <v>2017.0</v>
      </c>
      <c r="E412" s="3" t="s">
        <v>964</v>
      </c>
      <c r="F412" s="3" t="s">
        <v>123</v>
      </c>
      <c r="G412" s="3" t="s">
        <v>124</v>
      </c>
      <c r="I412" s="3" t="s">
        <v>155</v>
      </c>
      <c r="O412" s="3" t="s">
        <v>247</v>
      </c>
      <c r="P412" s="3" t="s">
        <v>61</v>
      </c>
      <c r="X412" s="3" t="s">
        <v>52</v>
      </c>
    </row>
    <row r="413">
      <c r="A413" s="3">
        <v>412.0</v>
      </c>
      <c r="B413" s="3" t="s">
        <v>106</v>
      </c>
      <c r="D413" s="3">
        <v>2017.0</v>
      </c>
      <c r="E413" s="3" t="s">
        <v>965</v>
      </c>
      <c r="F413" s="3" t="s">
        <v>102</v>
      </c>
      <c r="G413" s="3" t="s">
        <v>101</v>
      </c>
      <c r="I413" s="3" t="s">
        <v>205</v>
      </c>
      <c r="O413" s="3" t="s">
        <v>247</v>
      </c>
      <c r="X413" s="3" t="s">
        <v>52</v>
      </c>
    </row>
    <row r="414">
      <c r="A414" s="3">
        <v>413.0</v>
      </c>
      <c r="B414" s="3" t="s">
        <v>106</v>
      </c>
      <c r="D414" s="3">
        <v>2017.0</v>
      </c>
      <c r="E414" s="3" t="s">
        <v>966</v>
      </c>
      <c r="F414" s="3" t="s">
        <v>141</v>
      </c>
      <c r="G414" s="3" t="s">
        <v>142</v>
      </c>
      <c r="I414" s="3" t="s">
        <v>110</v>
      </c>
      <c r="O414" s="3" t="s">
        <v>247</v>
      </c>
      <c r="X414" s="3" t="s">
        <v>52</v>
      </c>
    </row>
    <row r="415">
      <c r="A415" s="3">
        <v>414.0</v>
      </c>
      <c r="B415" s="3" t="s">
        <v>106</v>
      </c>
      <c r="D415" s="3">
        <v>2018.0</v>
      </c>
      <c r="E415" s="3" t="s">
        <v>967</v>
      </c>
      <c r="F415" s="3" t="s">
        <v>123</v>
      </c>
      <c r="G415" s="3" t="s">
        <v>124</v>
      </c>
      <c r="I415" s="3" t="s">
        <v>155</v>
      </c>
      <c r="O415" s="3" t="s">
        <v>247</v>
      </c>
      <c r="X415" s="3" t="s">
        <v>52</v>
      </c>
    </row>
    <row r="416">
      <c r="A416" s="3">
        <v>415.0</v>
      </c>
      <c r="B416" s="3" t="s">
        <v>106</v>
      </c>
      <c r="D416" s="3">
        <v>2018.0</v>
      </c>
      <c r="E416" s="3" t="s">
        <v>968</v>
      </c>
      <c r="F416" s="3" t="s">
        <v>204</v>
      </c>
      <c r="G416" s="3" t="s">
        <v>101</v>
      </c>
      <c r="I416" s="3" t="s">
        <v>155</v>
      </c>
      <c r="J416" s="3" t="s">
        <v>205</v>
      </c>
      <c r="O416" s="3" t="s">
        <v>61</v>
      </c>
      <c r="X416" s="3" t="s">
        <v>52</v>
      </c>
    </row>
    <row r="417">
      <c r="A417" s="3">
        <v>416.0</v>
      </c>
      <c r="B417" s="3" t="s">
        <v>106</v>
      </c>
      <c r="D417" s="3">
        <v>2018.0</v>
      </c>
      <c r="E417" s="3" t="s">
        <v>969</v>
      </c>
      <c r="F417" s="3" t="s">
        <v>123</v>
      </c>
      <c r="G417" s="3" t="s">
        <v>124</v>
      </c>
      <c r="I417" s="3" t="s">
        <v>155</v>
      </c>
      <c r="O417" s="3" t="s">
        <v>61</v>
      </c>
      <c r="P417" s="3" t="s">
        <v>267</v>
      </c>
      <c r="X417" s="3" t="s">
        <v>52</v>
      </c>
    </row>
    <row r="418">
      <c r="A418" s="3">
        <v>417.0</v>
      </c>
      <c r="B418" s="3" t="s">
        <v>106</v>
      </c>
      <c r="D418" s="3">
        <v>2018.0</v>
      </c>
      <c r="E418" s="3" t="s">
        <v>970</v>
      </c>
      <c r="F418" s="3" t="s">
        <v>123</v>
      </c>
      <c r="G418" s="3" t="s">
        <v>124</v>
      </c>
      <c r="I418" s="3" t="s">
        <v>266</v>
      </c>
      <c r="O418" s="3" t="s">
        <v>267</v>
      </c>
      <c r="X418" s="3" t="s">
        <v>52</v>
      </c>
    </row>
    <row r="419">
      <c r="A419" s="3">
        <v>418.0</v>
      </c>
      <c r="B419" s="3" t="s">
        <v>106</v>
      </c>
      <c r="D419" s="3">
        <v>2018.0</v>
      </c>
      <c r="E419" s="3" t="s">
        <v>971</v>
      </c>
      <c r="F419" s="3" t="s">
        <v>444</v>
      </c>
      <c r="G419" s="3" t="s">
        <v>44</v>
      </c>
      <c r="I419" s="3" t="s">
        <v>485</v>
      </c>
      <c r="O419" s="3" t="s">
        <v>247</v>
      </c>
      <c r="X419" s="3" t="s">
        <v>52</v>
      </c>
    </row>
    <row r="420">
      <c r="A420" s="3">
        <v>419.0</v>
      </c>
      <c r="B420" s="3" t="s">
        <v>106</v>
      </c>
      <c r="D420" s="3">
        <v>2018.0</v>
      </c>
      <c r="E420" s="3" t="s">
        <v>972</v>
      </c>
      <c r="F420" s="3" t="s">
        <v>220</v>
      </c>
      <c r="G420" s="3" t="s">
        <v>44</v>
      </c>
      <c r="I420" s="3" t="s">
        <v>485</v>
      </c>
      <c r="O420" s="3" t="s">
        <v>61</v>
      </c>
      <c r="X420" s="3" t="s">
        <v>52</v>
      </c>
    </row>
    <row r="421">
      <c r="A421" s="3">
        <v>420.0</v>
      </c>
      <c r="B421" s="3" t="s">
        <v>106</v>
      </c>
      <c r="D421" s="3">
        <v>2019.0</v>
      </c>
      <c r="E421" s="3" t="s">
        <v>973</v>
      </c>
      <c r="F421" s="3" t="s">
        <v>496</v>
      </c>
      <c r="G421" s="3" t="s">
        <v>91</v>
      </c>
      <c r="I421" s="3" t="s">
        <v>173</v>
      </c>
      <c r="O421" s="3" t="s">
        <v>247</v>
      </c>
      <c r="X421" s="3" t="s">
        <v>52</v>
      </c>
    </row>
    <row r="422">
      <c r="A422" s="3">
        <v>421.0</v>
      </c>
      <c r="B422" s="3" t="s">
        <v>106</v>
      </c>
      <c r="D422" s="3">
        <v>2019.0</v>
      </c>
      <c r="E422" s="3" t="s">
        <v>974</v>
      </c>
      <c r="F422" s="3" t="s">
        <v>204</v>
      </c>
      <c r="G422" s="3" t="s">
        <v>101</v>
      </c>
      <c r="I422" s="3" t="s">
        <v>205</v>
      </c>
      <c r="O422" s="3" t="s">
        <v>61</v>
      </c>
      <c r="X422" s="3" t="s">
        <v>52</v>
      </c>
    </row>
    <row r="423">
      <c r="A423" s="3">
        <v>422.0</v>
      </c>
      <c r="B423" s="3" t="s">
        <v>106</v>
      </c>
      <c r="D423" s="3">
        <v>2019.0</v>
      </c>
      <c r="E423" s="3" t="s">
        <v>975</v>
      </c>
      <c r="F423" s="3" t="s">
        <v>475</v>
      </c>
      <c r="G423" s="3" t="s">
        <v>101</v>
      </c>
      <c r="I423" s="3" t="s">
        <v>266</v>
      </c>
      <c r="O423" s="3" t="s">
        <v>61</v>
      </c>
      <c r="X423" s="3" t="s">
        <v>52</v>
      </c>
    </row>
    <row r="424">
      <c r="A424" s="3">
        <v>423.0</v>
      </c>
      <c r="B424" s="3" t="s">
        <v>106</v>
      </c>
      <c r="D424" s="3">
        <v>2020.0</v>
      </c>
      <c r="E424" s="3" t="s">
        <v>976</v>
      </c>
      <c r="F424" s="3" t="s">
        <v>928</v>
      </c>
      <c r="G424" s="3" t="s">
        <v>101</v>
      </c>
      <c r="I424" s="3" t="s">
        <v>205</v>
      </c>
      <c r="O424" s="3" t="s">
        <v>61</v>
      </c>
      <c r="X424" s="3" t="s">
        <v>52</v>
      </c>
    </row>
    <row r="425">
      <c r="A425" s="3">
        <v>424.0</v>
      </c>
      <c r="B425" s="3" t="s">
        <v>106</v>
      </c>
      <c r="D425" s="3">
        <v>2020.0</v>
      </c>
      <c r="E425" s="3" t="s">
        <v>977</v>
      </c>
      <c r="F425" s="3" t="s">
        <v>298</v>
      </c>
      <c r="G425" s="3" t="s">
        <v>101</v>
      </c>
      <c r="I425" s="3" t="s">
        <v>309</v>
      </c>
      <c r="O425" s="3" t="s">
        <v>61</v>
      </c>
      <c r="X425" s="3" t="s">
        <v>52</v>
      </c>
    </row>
    <row r="426">
      <c r="A426" s="3">
        <v>425.0</v>
      </c>
      <c r="B426" s="3" t="s">
        <v>106</v>
      </c>
      <c r="D426" s="3">
        <v>2020.0</v>
      </c>
      <c r="E426" s="3" t="s">
        <v>970</v>
      </c>
      <c r="F426" s="3" t="s">
        <v>123</v>
      </c>
      <c r="G426" s="3" t="s">
        <v>124</v>
      </c>
      <c r="I426" s="3" t="s">
        <v>110</v>
      </c>
      <c r="J426" s="3" t="s">
        <v>205</v>
      </c>
      <c r="K426" s="3" t="s">
        <v>155</v>
      </c>
      <c r="O426" s="3" t="s">
        <v>125</v>
      </c>
      <c r="X426" s="3" t="s">
        <v>52</v>
      </c>
    </row>
    <row r="427">
      <c r="A427" s="3">
        <v>426.0</v>
      </c>
      <c r="B427" s="3" t="s">
        <v>40</v>
      </c>
      <c r="C427" s="3" t="s">
        <v>978</v>
      </c>
      <c r="D427" s="3">
        <v>2020.0</v>
      </c>
      <c r="E427" s="3" t="s">
        <v>979</v>
      </c>
      <c r="F427" s="3" t="s">
        <v>129</v>
      </c>
      <c r="G427" s="3" t="s">
        <v>82</v>
      </c>
      <c r="H427" s="3" t="s">
        <v>82</v>
      </c>
      <c r="I427" s="3" t="s">
        <v>317</v>
      </c>
      <c r="O427" s="3" t="s">
        <v>117</v>
      </c>
      <c r="R427" s="3" t="s">
        <v>48</v>
      </c>
      <c r="T427" s="3" t="s">
        <v>70</v>
      </c>
      <c r="X427" s="3" t="s">
        <v>118</v>
      </c>
      <c r="Y427" s="3" t="s">
        <v>52</v>
      </c>
      <c r="Z427" s="3" t="s">
        <v>71</v>
      </c>
    </row>
    <row r="428">
      <c r="A428" s="3">
        <v>427.0</v>
      </c>
      <c r="B428" s="3" t="s">
        <v>40</v>
      </c>
      <c r="C428" s="3" t="s">
        <v>980</v>
      </c>
      <c r="D428" s="3">
        <v>2007.0</v>
      </c>
      <c r="E428" s="3" t="s">
        <v>981</v>
      </c>
      <c r="F428" s="3" t="s">
        <v>158</v>
      </c>
      <c r="G428" s="3" t="s">
        <v>58</v>
      </c>
      <c r="H428" s="3" t="s">
        <v>58</v>
      </c>
      <c r="I428" s="3" t="s">
        <v>110</v>
      </c>
      <c r="O428" s="3" t="s">
        <v>322</v>
      </c>
      <c r="X428" s="3" t="s">
        <v>118</v>
      </c>
      <c r="Y428" s="3" t="s">
        <v>78</v>
      </c>
    </row>
    <row r="429">
      <c r="A429" s="3">
        <v>428.0</v>
      </c>
      <c r="B429" s="3" t="s">
        <v>40</v>
      </c>
      <c r="C429" s="3" t="s">
        <v>978</v>
      </c>
      <c r="D429" s="3">
        <v>2019.0</v>
      </c>
      <c r="E429" s="3" t="s">
        <v>982</v>
      </c>
      <c r="F429" s="3" t="s">
        <v>129</v>
      </c>
      <c r="G429" s="3" t="s">
        <v>82</v>
      </c>
      <c r="H429" s="3" t="s">
        <v>82</v>
      </c>
      <c r="I429" s="3" t="s">
        <v>317</v>
      </c>
      <c r="O429" s="3" t="s">
        <v>117</v>
      </c>
      <c r="R429" s="3" t="s">
        <v>70</v>
      </c>
      <c r="T429" s="3" t="s">
        <v>48</v>
      </c>
      <c r="X429" s="3" t="s">
        <v>118</v>
      </c>
      <c r="Y429" s="3" t="s">
        <v>71</v>
      </c>
      <c r="Z429" s="3" t="s">
        <v>52</v>
      </c>
    </row>
    <row r="430">
      <c r="A430" s="3">
        <v>429.0</v>
      </c>
      <c r="B430" s="3" t="s">
        <v>40</v>
      </c>
      <c r="C430" s="3" t="s">
        <v>983</v>
      </c>
      <c r="D430" s="3">
        <v>2017.0</v>
      </c>
      <c r="E430" s="3" t="s">
        <v>984</v>
      </c>
      <c r="F430" s="3" t="s">
        <v>129</v>
      </c>
      <c r="G430" s="3" t="s">
        <v>82</v>
      </c>
      <c r="H430" s="3" t="s">
        <v>82</v>
      </c>
      <c r="I430" s="3" t="s">
        <v>254</v>
      </c>
      <c r="O430" s="3" t="s">
        <v>117</v>
      </c>
      <c r="R430" s="3" t="s">
        <v>87</v>
      </c>
      <c r="T430" s="3" t="s">
        <v>63</v>
      </c>
      <c r="X430" s="3" t="s">
        <v>118</v>
      </c>
      <c r="Y430" s="3" t="s">
        <v>71</v>
      </c>
      <c r="Z430" s="3" t="s">
        <v>65</v>
      </c>
    </row>
    <row r="431">
      <c r="A431" s="3">
        <v>430.0</v>
      </c>
      <c r="B431" s="3" t="s">
        <v>40</v>
      </c>
      <c r="C431" s="3" t="s">
        <v>985</v>
      </c>
      <c r="D431" s="3">
        <v>2010.0</v>
      </c>
      <c r="E431" s="3" t="s">
        <v>986</v>
      </c>
      <c r="F431" s="3" t="s">
        <v>68</v>
      </c>
      <c r="G431" s="3" t="s">
        <v>58</v>
      </c>
      <c r="H431" s="3" t="s">
        <v>58</v>
      </c>
      <c r="I431" s="3" t="s">
        <v>69</v>
      </c>
      <c r="O431" s="3" t="s">
        <v>117</v>
      </c>
      <c r="R431" s="3" t="s">
        <v>63</v>
      </c>
      <c r="X431" s="3" t="s">
        <v>118</v>
      </c>
      <c r="Y431" s="3" t="s">
        <v>65</v>
      </c>
    </row>
    <row r="432">
      <c r="A432" s="3">
        <v>431.0</v>
      </c>
      <c r="B432" s="3" t="s">
        <v>40</v>
      </c>
      <c r="C432" s="3" t="s">
        <v>987</v>
      </c>
      <c r="D432" s="3">
        <v>2007.0</v>
      </c>
      <c r="E432" s="3" t="s">
        <v>988</v>
      </c>
      <c r="F432" s="3" t="s">
        <v>356</v>
      </c>
      <c r="G432" s="3" t="s">
        <v>82</v>
      </c>
      <c r="H432" s="3" t="s">
        <v>82</v>
      </c>
      <c r="I432" s="3" t="s">
        <v>254</v>
      </c>
      <c r="O432" s="3" t="s">
        <v>117</v>
      </c>
      <c r="X432" s="3" t="s">
        <v>118</v>
      </c>
    </row>
    <row r="433">
      <c r="A433" s="3">
        <v>432.0</v>
      </c>
      <c r="B433" s="3" t="s">
        <v>40</v>
      </c>
      <c r="C433" s="3" t="s">
        <v>989</v>
      </c>
      <c r="D433" s="3">
        <v>2010.0</v>
      </c>
      <c r="E433" s="3" t="s">
        <v>990</v>
      </c>
      <c r="F433" s="3" t="s">
        <v>81</v>
      </c>
      <c r="G433" s="3" t="s">
        <v>82</v>
      </c>
      <c r="H433" s="3" t="s">
        <v>82</v>
      </c>
      <c r="I433" s="3" t="s">
        <v>254</v>
      </c>
      <c r="O433" s="3" t="s">
        <v>117</v>
      </c>
      <c r="X433" s="3" t="s">
        <v>118</v>
      </c>
    </row>
    <row r="434">
      <c r="A434" s="3">
        <v>433.0</v>
      </c>
      <c r="B434" s="3" t="s">
        <v>40</v>
      </c>
      <c r="C434" s="3" t="s">
        <v>991</v>
      </c>
      <c r="D434" s="3">
        <v>2011.0</v>
      </c>
      <c r="E434" s="3" t="s">
        <v>992</v>
      </c>
      <c r="F434" s="3" t="s">
        <v>129</v>
      </c>
      <c r="G434" s="3" t="s">
        <v>82</v>
      </c>
      <c r="H434" s="3" t="s">
        <v>82</v>
      </c>
      <c r="I434" s="3" t="s">
        <v>254</v>
      </c>
      <c r="O434" s="3" t="s">
        <v>117</v>
      </c>
      <c r="X434" s="3" t="s">
        <v>118</v>
      </c>
    </row>
    <row r="435">
      <c r="A435" s="3">
        <v>434.0</v>
      </c>
      <c r="B435" s="3" t="s">
        <v>40</v>
      </c>
      <c r="C435" s="3" t="s">
        <v>993</v>
      </c>
      <c r="D435" s="3">
        <v>2011.0</v>
      </c>
      <c r="E435" s="3" t="s">
        <v>994</v>
      </c>
      <c r="F435" s="3" t="s">
        <v>57</v>
      </c>
      <c r="G435" s="3" t="s">
        <v>58</v>
      </c>
      <c r="H435" s="3" t="s">
        <v>58</v>
      </c>
      <c r="I435" s="3" t="s">
        <v>110</v>
      </c>
      <c r="O435" s="3" t="s">
        <v>117</v>
      </c>
      <c r="X435" s="3" t="s">
        <v>118</v>
      </c>
    </row>
    <row r="436">
      <c r="A436" s="3">
        <v>435.0</v>
      </c>
      <c r="B436" s="3" t="s">
        <v>40</v>
      </c>
      <c r="C436" s="3" t="s">
        <v>995</v>
      </c>
      <c r="D436" s="3">
        <v>2012.0</v>
      </c>
      <c r="E436" s="3" t="s">
        <v>996</v>
      </c>
      <c r="F436" s="3" t="s">
        <v>81</v>
      </c>
      <c r="G436" s="3" t="s">
        <v>82</v>
      </c>
      <c r="H436" s="3" t="s">
        <v>82</v>
      </c>
      <c r="I436" s="3" t="s">
        <v>254</v>
      </c>
      <c r="O436" s="3" t="s">
        <v>117</v>
      </c>
      <c r="X436" s="3" t="s">
        <v>118</v>
      </c>
    </row>
    <row r="437">
      <c r="A437" s="3">
        <v>436.0</v>
      </c>
      <c r="B437" s="3" t="s">
        <v>40</v>
      </c>
      <c r="C437" s="3" t="s">
        <v>997</v>
      </c>
      <c r="D437" s="3">
        <v>2013.0</v>
      </c>
      <c r="E437" s="3" t="s">
        <v>998</v>
      </c>
      <c r="F437" s="3" t="s">
        <v>129</v>
      </c>
      <c r="G437" s="3" t="s">
        <v>82</v>
      </c>
      <c r="H437" s="3" t="s">
        <v>82</v>
      </c>
      <c r="I437" s="3" t="s">
        <v>317</v>
      </c>
      <c r="O437" s="3" t="s">
        <v>117</v>
      </c>
      <c r="X437" s="3" t="s">
        <v>118</v>
      </c>
    </row>
    <row r="438">
      <c r="A438" s="3">
        <v>437.0</v>
      </c>
      <c r="B438" s="3" t="s">
        <v>40</v>
      </c>
      <c r="C438" s="3" t="s">
        <v>999</v>
      </c>
      <c r="D438" s="3">
        <v>2015.0</v>
      </c>
      <c r="E438" s="3" t="s">
        <v>1000</v>
      </c>
      <c r="F438" s="3" t="s">
        <v>129</v>
      </c>
      <c r="G438" s="3" t="s">
        <v>82</v>
      </c>
      <c r="H438" s="3" t="s">
        <v>82</v>
      </c>
      <c r="I438" s="3" t="s">
        <v>1001</v>
      </c>
      <c r="O438" s="3" t="s">
        <v>322</v>
      </c>
      <c r="X438" s="3" t="s">
        <v>118</v>
      </c>
    </row>
    <row r="439">
      <c r="A439" s="3">
        <v>438.0</v>
      </c>
      <c r="B439" s="3" t="s">
        <v>40</v>
      </c>
      <c r="C439" s="3" t="s">
        <v>1002</v>
      </c>
      <c r="D439" s="3">
        <v>2015.0</v>
      </c>
      <c r="E439" s="3" t="s">
        <v>1003</v>
      </c>
      <c r="F439" s="3" t="s">
        <v>129</v>
      </c>
      <c r="G439" s="3" t="s">
        <v>82</v>
      </c>
      <c r="H439" s="3" t="s">
        <v>82</v>
      </c>
      <c r="I439" s="3" t="s">
        <v>453</v>
      </c>
      <c r="O439" s="3" t="s">
        <v>332</v>
      </c>
      <c r="X439" s="3" t="s">
        <v>118</v>
      </c>
    </row>
    <row r="440">
      <c r="A440" s="3">
        <v>439.0</v>
      </c>
      <c r="B440" s="3" t="s">
        <v>40</v>
      </c>
      <c r="C440" s="3" t="s">
        <v>1004</v>
      </c>
      <c r="D440" s="3">
        <v>2016.0</v>
      </c>
      <c r="E440" s="3" t="s">
        <v>1005</v>
      </c>
      <c r="F440" s="3" t="s">
        <v>113</v>
      </c>
      <c r="G440" s="3" t="s">
        <v>44</v>
      </c>
      <c r="H440" s="3" t="s">
        <v>45</v>
      </c>
      <c r="I440" s="3" t="s">
        <v>114</v>
      </c>
      <c r="O440" s="3" t="s">
        <v>117</v>
      </c>
      <c r="X440" s="3" t="s">
        <v>118</v>
      </c>
    </row>
    <row r="441">
      <c r="A441" s="3">
        <v>440.0</v>
      </c>
      <c r="B441" s="3" t="s">
        <v>40</v>
      </c>
      <c r="C441" s="3" t="s">
        <v>1006</v>
      </c>
      <c r="D441" s="3">
        <v>2017.0</v>
      </c>
      <c r="E441" s="3" t="s">
        <v>1007</v>
      </c>
      <c r="F441" s="3" t="s">
        <v>129</v>
      </c>
      <c r="G441" s="3" t="s">
        <v>82</v>
      </c>
      <c r="H441" s="3" t="s">
        <v>82</v>
      </c>
      <c r="I441" s="3" t="s">
        <v>314</v>
      </c>
      <c r="J441" s="3" t="s">
        <v>317</v>
      </c>
      <c r="O441" s="3" t="s">
        <v>117</v>
      </c>
      <c r="X441" s="3" t="s">
        <v>118</v>
      </c>
    </row>
    <row r="442">
      <c r="A442" s="3">
        <v>441.0</v>
      </c>
      <c r="B442" s="3" t="s">
        <v>40</v>
      </c>
      <c r="C442" s="3" t="s">
        <v>1008</v>
      </c>
      <c r="D442" s="3">
        <v>2017.0</v>
      </c>
      <c r="E442" s="3" t="s">
        <v>1009</v>
      </c>
      <c r="F442" s="3" t="s">
        <v>43</v>
      </c>
      <c r="G442" s="3" t="s">
        <v>44</v>
      </c>
      <c r="H442" s="3" t="s">
        <v>45</v>
      </c>
      <c r="I442" s="3" t="s">
        <v>485</v>
      </c>
      <c r="O442" s="3" t="s">
        <v>332</v>
      </c>
      <c r="X442" s="3" t="s">
        <v>118</v>
      </c>
    </row>
    <row r="443">
      <c r="A443" s="3">
        <v>442.0</v>
      </c>
      <c r="B443" s="3" t="s">
        <v>40</v>
      </c>
      <c r="C443" s="3" t="s">
        <v>1010</v>
      </c>
      <c r="D443" s="3">
        <v>2018.0</v>
      </c>
      <c r="E443" s="3" t="s">
        <v>1011</v>
      </c>
      <c r="F443" s="3" t="s">
        <v>541</v>
      </c>
      <c r="G443" s="3" t="s">
        <v>541</v>
      </c>
      <c r="H443" s="3" t="s">
        <v>541</v>
      </c>
      <c r="I443" s="3" t="s">
        <v>266</v>
      </c>
      <c r="O443" s="3" t="s">
        <v>117</v>
      </c>
      <c r="X443" s="3" t="s">
        <v>118</v>
      </c>
    </row>
    <row r="444">
      <c r="A444" s="3">
        <v>443.0</v>
      </c>
      <c r="B444" s="3" t="s">
        <v>40</v>
      </c>
      <c r="C444" s="3" t="s">
        <v>1012</v>
      </c>
      <c r="D444" s="3">
        <v>2019.0</v>
      </c>
      <c r="E444" s="3" t="s">
        <v>1013</v>
      </c>
      <c r="F444" s="3" t="s">
        <v>68</v>
      </c>
      <c r="G444" s="3" t="s">
        <v>58</v>
      </c>
      <c r="H444" s="3" t="s">
        <v>58</v>
      </c>
      <c r="I444" s="3" t="s">
        <v>388</v>
      </c>
      <c r="O444" s="3" t="s">
        <v>117</v>
      </c>
      <c r="X444" s="3" t="s">
        <v>118</v>
      </c>
    </row>
    <row r="445">
      <c r="A445" s="3">
        <v>444.0</v>
      </c>
      <c r="B445" s="3" t="s">
        <v>40</v>
      </c>
      <c r="C445" s="3" t="s">
        <v>659</v>
      </c>
      <c r="D445" s="3">
        <v>2013.0</v>
      </c>
      <c r="E445" s="3" t="s">
        <v>1014</v>
      </c>
      <c r="F445" s="3" t="s">
        <v>356</v>
      </c>
      <c r="G445" s="3" t="s">
        <v>82</v>
      </c>
      <c r="H445" s="3" t="s">
        <v>82</v>
      </c>
      <c r="I445" s="3" t="s">
        <v>254</v>
      </c>
      <c r="O445" s="3" t="s">
        <v>117</v>
      </c>
      <c r="X445" s="3" t="s">
        <v>1015</v>
      </c>
    </row>
    <row r="446">
      <c r="A446" s="3">
        <v>445.0</v>
      </c>
      <c r="B446" s="3" t="s">
        <v>40</v>
      </c>
      <c r="C446" s="3" t="s">
        <v>1016</v>
      </c>
      <c r="D446" s="3">
        <v>1997.0</v>
      </c>
      <c r="E446" s="3" t="s">
        <v>1017</v>
      </c>
      <c r="F446" s="3" t="s">
        <v>433</v>
      </c>
      <c r="G446" s="3" t="s">
        <v>44</v>
      </c>
      <c r="H446" s="3" t="s">
        <v>45</v>
      </c>
      <c r="I446" s="3" t="s">
        <v>46</v>
      </c>
      <c r="O446" s="3" t="s">
        <v>238</v>
      </c>
      <c r="R446" s="3" t="s">
        <v>61</v>
      </c>
      <c r="S446" s="3" t="s">
        <v>48</v>
      </c>
      <c r="T446" s="3" t="s">
        <v>63</v>
      </c>
      <c r="V446" s="3" t="s">
        <v>49</v>
      </c>
      <c r="W446" s="3" t="s">
        <v>147</v>
      </c>
      <c r="X446" s="3" t="s">
        <v>235</v>
      </c>
      <c r="Y446" s="3" t="s">
        <v>52</v>
      </c>
      <c r="Z446" s="3" t="s">
        <v>65</v>
      </c>
      <c r="AA446" s="3" t="s">
        <v>53</v>
      </c>
      <c r="AB446" s="3" t="s">
        <v>64</v>
      </c>
    </row>
    <row r="447">
      <c r="A447" s="3">
        <v>446.0</v>
      </c>
      <c r="B447" s="3" t="s">
        <v>106</v>
      </c>
      <c r="C447" s="3" t="s">
        <v>1018</v>
      </c>
      <c r="D447" s="3">
        <v>1996.0</v>
      </c>
      <c r="E447" s="3" t="s">
        <v>1019</v>
      </c>
      <c r="F447" s="3" t="s">
        <v>444</v>
      </c>
      <c r="G447" s="3" t="s">
        <v>44</v>
      </c>
      <c r="I447" s="3" t="s">
        <v>485</v>
      </c>
      <c r="O447" s="3" t="s">
        <v>238</v>
      </c>
      <c r="R447" s="3" t="s">
        <v>61</v>
      </c>
      <c r="X447" s="3" t="s">
        <v>235</v>
      </c>
      <c r="Y447" s="3" t="s">
        <v>52</v>
      </c>
    </row>
    <row r="448">
      <c r="A448" s="3">
        <v>447.0</v>
      </c>
      <c r="B448" s="3" t="s">
        <v>106</v>
      </c>
      <c r="C448" s="3" t="s">
        <v>1020</v>
      </c>
      <c r="D448" s="3">
        <v>1995.0</v>
      </c>
      <c r="E448" s="3" t="s">
        <v>1021</v>
      </c>
      <c r="F448" s="3" t="s">
        <v>75</v>
      </c>
      <c r="G448" s="3" t="s">
        <v>58</v>
      </c>
      <c r="I448" s="3" t="s">
        <v>110</v>
      </c>
      <c r="O448" s="3" t="s">
        <v>234</v>
      </c>
      <c r="P448" s="3" t="s">
        <v>238</v>
      </c>
      <c r="R448" s="3" t="s">
        <v>147</v>
      </c>
      <c r="S448" s="3" t="s">
        <v>62</v>
      </c>
      <c r="T448" s="3" t="s">
        <v>111</v>
      </c>
      <c r="V448" s="3" t="s">
        <v>250</v>
      </c>
      <c r="W448" s="3" t="s">
        <v>61</v>
      </c>
      <c r="X448" s="3" t="s">
        <v>235</v>
      </c>
      <c r="Y448" s="3" t="s">
        <v>64</v>
      </c>
      <c r="Z448" s="3" t="s">
        <v>51</v>
      </c>
      <c r="AA448" s="3" t="s">
        <v>53</v>
      </c>
      <c r="AB448" s="3" t="s">
        <v>52</v>
      </c>
    </row>
    <row r="449">
      <c r="A449" s="3">
        <v>448.0</v>
      </c>
      <c r="B449" s="3" t="s">
        <v>106</v>
      </c>
      <c r="C449" s="3" t="s">
        <v>1022</v>
      </c>
      <c r="D449" s="3">
        <v>1994.0</v>
      </c>
      <c r="E449" s="3" t="s">
        <v>1023</v>
      </c>
      <c r="F449" s="3" t="s">
        <v>1024</v>
      </c>
      <c r="G449" s="3" t="s">
        <v>58</v>
      </c>
      <c r="I449" s="3" t="s">
        <v>110</v>
      </c>
      <c r="O449" s="3" t="s">
        <v>238</v>
      </c>
      <c r="X449" s="3" t="s">
        <v>235</v>
      </c>
    </row>
    <row r="450">
      <c r="A450" s="3">
        <v>449.0</v>
      </c>
      <c r="B450" s="3" t="s">
        <v>40</v>
      </c>
      <c r="C450" s="3" t="s">
        <v>1025</v>
      </c>
      <c r="D450" s="3">
        <v>2018.0</v>
      </c>
      <c r="E450" s="3" t="s">
        <v>1026</v>
      </c>
      <c r="F450" s="3" t="s">
        <v>1027</v>
      </c>
      <c r="G450" s="3" t="s">
        <v>58</v>
      </c>
      <c r="H450" s="3" t="s">
        <v>58</v>
      </c>
      <c r="I450" s="3" t="s">
        <v>110</v>
      </c>
      <c r="O450" s="3" t="s">
        <v>162</v>
      </c>
      <c r="R450" s="3" t="s">
        <v>134</v>
      </c>
      <c r="T450" s="3" t="s">
        <v>234</v>
      </c>
      <c r="V450" s="3" t="s">
        <v>47</v>
      </c>
      <c r="X450" s="3" t="s">
        <v>121</v>
      </c>
      <c r="Y450" s="3" t="s">
        <v>53</v>
      </c>
      <c r="Z450" s="3" t="s">
        <v>235</v>
      </c>
      <c r="AA450" s="3" t="s">
        <v>51</v>
      </c>
    </row>
    <row r="451">
      <c r="A451" s="3">
        <v>450.0</v>
      </c>
      <c r="B451" s="3" t="s">
        <v>40</v>
      </c>
      <c r="C451" s="3" t="s">
        <v>1028</v>
      </c>
      <c r="D451" s="3">
        <v>2009.0</v>
      </c>
      <c r="E451" s="3" t="s">
        <v>1029</v>
      </c>
      <c r="F451" s="3" t="s">
        <v>201</v>
      </c>
      <c r="G451" s="3" t="s">
        <v>58</v>
      </c>
      <c r="H451" s="3" t="s">
        <v>58</v>
      </c>
      <c r="I451" s="3" t="s">
        <v>110</v>
      </c>
      <c r="O451" s="3" t="s">
        <v>87</v>
      </c>
      <c r="R451" s="3" t="s">
        <v>87</v>
      </c>
      <c r="T451" s="3" t="s">
        <v>63</v>
      </c>
      <c r="X451" s="3" t="s">
        <v>121</v>
      </c>
      <c r="Y451" s="3" t="s">
        <v>64</v>
      </c>
      <c r="Z451" s="3" t="s">
        <v>65</v>
      </c>
    </row>
    <row r="452">
      <c r="A452" s="3">
        <v>451.0</v>
      </c>
      <c r="B452" s="3" t="s">
        <v>106</v>
      </c>
      <c r="D452" s="3">
        <v>2006.0</v>
      </c>
      <c r="E452" s="3" t="s">
        <v>1030</v>
      </c>
      <c r="F452" s="3" t="s">
        <v>526</v>
      </c>
      <c r="G452" s="3" t="s">
        <v>58</v>
      </c>
      <c r="I452" s="3" t="s">
        <v>110</v>
      </c>
      <c r="O452" s="3" t="s">
        <v>125</v>
      </c>
      <c r="R452" s="3" t="s">
        <v>125</v>
      </c>
      <c r="T452" s="3" t="s">
        <v>134</v>
      </c>
      <c r="V452" s="3" t="s">
        <v>125</v>
      </c>
      <c r="X452" s="3" t="s">
        <v>121</v>
      </c>
      <c r="Y452" s="3" t="s">
        <v>71</v>
      </c>
      <c r="Z452" s="3" t="s">
        <v>53</v>
      </c>
      <c r="AA452" s="3" t="s">
        <v>64</v>
      </c>
    </row>
    <row r="453">
      <c r="A453" s="3">
        <v>452.0</v>
      </c>
      <c r="B453" s="3" t="s">
        <v>40</v>
      </c>
      <c r="C453" s="3" t="s">
        <v>1031</v>
      </c>
      <c r="D453" s="3">
        <v>2015.0</v>
      </c>
      <c r="E453" s="3" t="s">
        <v>1032</v>
      </c>
      <c r="F453" s="3" t="s">
        <v>43</v>
      </c>
      <c r="G453" s="3" t="s">
        <v>44</v>
      </c>
      <c r="H453" s="3" t="s">
        <v>45</v>
      </c>
      <c r="I453" s="3" t="s">
        <v>46</v>
      </c>
      <c r="O453" s="3" t="s">
        <v>260</v>
      </c>
      <c r="R453" s="3" t="s">
        <v>70</v>
      </c>
      <c r="X453" s="3" t="s">
        <v>121</v>
      </c>
      <c r="Y453" s="3" t="s">
        <v>71</v>
      </c>
    </row>
    <row r="454">
      <c r="A454" s="3">
        <v>453.0</v>
      </c>
      <c r="B454" s="3" t="s">
        <v>106</v>
      </c>
      <c r="C454" s="3" t="s">
        <v>1033</v>
      </c>
      <c r="D454" s="3">
        <v>1999.0</v>
      </c>
      <c r="E454" s="3" t="s">
        <v>1034</v>
      </c>
      <c r="F454" s="3" t="s">
        <v>341</v>
      </c>
      <c r="G454" s="3" t="s">
        <v>44</v>
      </c>
      <c r="I454" s="3" t="s">
        <v>46</v>
      </c>
      <c r="O454" s="3" t="s">
        <v>162</v>
      </c>
      <c r="R454" s="3" t="s">
        <v>567</v>
      </c>
      <c r="X454" s="3" t="s">
        <v>121</v>
      </c>
      <c r="Y454" s="3" t="s">
        <v>71</v>
      </c>
    </row>
    <row r="455">
      <c r="A455" s="3">
        <v>454.0</v>
      </c>
      <c r="B455" s="3" t="s">
        <v>40</v>
      </c>
      <c r="C455" s="3" t="s">
        <v>1035</v>
      </c>
      <c r="D455" s="3">
        <v>2007.0</v>
      </c>
      <c r="E455" s="3" t="s">
        <v>1036</v>
      </c>
      <c r="F455" s="3" t="s">
        <v>356</v>
      </c>
      <c r="G455" s="3" t="s">
        <v>82</v>
      </c>
      <c r="H455" s="3" t="s">
        <v>82</v>
      </c>
      <c r="I455" s="3" t="s">
        <v>254</v>
      </c>
      <c r="O455" s="3" t="s">
        <v>162</v>
      </c>
      <c r="R455" s="3" t="s">
        <v>63</v>
      </c>
      <c r="X455" s="3" t="s">
        <v>121</v>
      </c>
      <c r="Y455" s="3" t="s">
        <v>65</v>
      </c>
    </row>
    <row r="456">
      <c r="A456" s="3">
        <v>455.0</v>
      </c>
      <c r="B456" s="3" t="s">
        <v>40</v>
      </c>
      <c r="C456" s="3" t="s">
        <v>1037</v>
      </c>
      <c r="D456" s="3">
        <v>2007.0</v>
      </c>
      <c r="E456" s="3" t="s">
        <v>1038</v>
      </c>
      <c r="F456" s="3" t="s">
        <v>356</v>
      </c>
      <c r="G456" s="3" t="s">
        <v>82</v>
      </c>
      <c r="H456" s="3" t="s">
        <v>82</v>
      </c>
      <c r="I456" s="3" t="s">
        <v>254</v>
      </c>
      <c r="O456" s="3" t="s">
        <v>162</v>
      </c>
      <c r="R456" s="3" t="s">
        <v>63</v>
      </c>
      <c r="X456" s="3" t="s">
        <v>121</v>
      </c>
      <c r="Y456" s="3" t="s">
        <v>65</v>
      </c>
    </row>
    <row r="457">
      <c r="A457" s="3">
        <v>456.0</v>
      </c>
      <c r="B457" s="3" t="s">
        <v>106</v>
      </c>
      <c r="C457" s="3" t="s">
        <v>1039</v>
      </c>
      <c r="D457" s="3">
        <v>1992.0</v>
      </c>
      <c r="E457" s="3" t="s">
        <v>1040</v>
      </c>
      <c r="F457" s="3" t="s">
        <v>113</v>
      </c>
      <c r="G457" s="3" t="s">
        <v>44</v>
      </c>
      <c r="I457" s="3" t="s">
        <v>46</v>
      </c>
      <c r="O457" s="3" t="s">
        <v>87</v>
      </c>
      <c r="X457" s="3" t="s">
        <v>121</v>
      </c>
      <c r="Y457" s="3" t="s">
        <v>143</v>
      </c>
    </row>
    <row r="458">
      <c r="A458" s="3">
        <v>457.0</v>
      </c>
      <c r="B458" s="3" t="s">
        <v>40</v>
      </c>
      <c r="C458" s="3" t="s">
        <v>1041</v>
      </c>
      <c r="D458" s="3">
        <v>1997.0</v>
      </c>
      <c r="E458" s="3" t="s">
        <v>1042</v>
      </c>
      <c r="F458" s="3" t="s">
        <v>444</v>
      </c>
      <c r="G458" s="3" t="s">
        <v>44</v>
      </c>
      <c r="H458" s="3" t="s">
        <v>45</v>
      </c>
      <c r="I458" s="3" t="s">
        <v>384</v>
      </c>
      <c r="O458" s="3" t="s">
        <v>1043</v>
      </c>
      <c r="X458" s="3" t="s">
        <v>121</v>
      </c>
    </row>
    <row r="459">
      <c r="A459" s="3">
        <v>458.0</v>
      </c>
      <c r="B459" s="3" t="s">
        <v>40</v>
      </c>
      <c r="C459" s="3" t="s">
        <v>1044</v>
      </c>
      <c r="D459" s="3">
        <v>2006.0</v>
      </c>
      <c r="E459" s="3" t="s">
        <v>1045</v>
      </c>
      <c r="F459" s="3" t="s">
        <v>123</v>
      </c>
      <c r="G459" s="3" t="s">
        <v>124</v>
      </c>
      <c r="H459" s="3" t="s">
        <v>124</v>
      </c>
      <c r="I459" s="3" t="s">
        <v>155</v>
      </c>
      <c r="O459" s="3" t="s">
        <v>260</v>
      </c>
      <c r="X459" s="3" t="s">
        <v>121</v>
      </c>
    </row>
    <row r="460">
      <c r="A460" s="3">
        <v>459.0</v>
      </c>
      <c r="B460" s="3" t="s">
        <v>40</v>
      </c>
      <c r="C460" s="3" t="s">
        <v>1046</v>
      </c>
      <c r="D460" s="3">
        <v>2011.0</v>
      </c>
      <c r="E460" s="3" t="s">
        <v>1047</v>
      </c>
      <c r="F460" s="3" t="s">
        <v>444</v>
      </c>
      <c r="G460" s="3" t="s">
        <v>44</v>
      </c>
      <c r="H460" s="3" t="s">
        <v>45</v>
      </c>
      <c r="I460" s="3" t="s">
        <v>485</v>
      </c>
      <c r="O460" s="3" t="s">
        <v>87</v>
      </c>
      <c r="X460" s="3" t="s">
        <v>121</v>
      </c>
    </row>
    <row r="461">
      <c r="A461" s="3">
        <v>460.0</v>
      </c>
      <c r="B461" s="3" t="s">
        <v>40</v>
      </c>
      <c r="C461" s="3" t="s">
        <v>1048</v>
      </c>
      <c r="D461" s="3">
        <v>2017.0</v>
      </c>
      <c r="E461" s="3" t="s">
        <v>1049</v>
      </c>
      <c r="F461" s="3" t="s">
        <v>129</v>
      </c>
      <c r="G461" s="3" t="s">
        <v>82</v>
      </c>
      <c r="H461" s="3" t="s">
        <v>82</v>
      </c>
      <c r="I461" s="3" t="s">
        <v>866</v>
      </c>
      <c r="O461" s="3" t="s">
        <v>162</v>
      </c>
      <c r="X461" s="3" t="s">
        <v>121</v>
      </c>
    </row>
    <row r="462">
      <c r="A462" s="3">
        <v>461.0</v>
      </c>
      <c r="B462" s="3" t="s">
        <v>40</v>
      </c>
      <c r="C462" s="3" t="s">
        <v>1050</v>
      </c>
      <c r="D462" s="3">
        <v>2019.0</v>
      </c>
      <c r="E462" s="3" t="s">
        <v>1051</v>
      </c>
      <c r="F462" s="3" t="s">
        <v>129</v>
      </c>
      <c r="G462" s="3" t="s">
        <v>82</v>
      </c>
      <c r="H462" s="3" t="s">
        <v>82</v>
      </c>
      <c r="I462" s="3" t="s">
        <v>254</v>
      </c>
      <c r="O462" s="3" t="s">
        <v>162</v>
      </c>
      <c r="X462" s="3" t="s">
        <v>121</v>
      </c>
    </row>
    <row r="463">
      <c r="A463" s="3">
        <v>462.0</v>
      </c>
      <c r="B463" s="3" t="s">
        <v>40</v>
      </c>
      <c r="C463" s="3" t="s">
        <v>1052</v>
      </c>
      <c r="D463" s="3">
        <v>2019.0</v>
      </c>
      <c r="E463" s="3" t="s">
        <v>1053</v>
      </c>
      <c r="F463" s="3" t="s">
        <v>109</v>
      </c>
      <c r="G463" s="3" t="s">
        <v>58</v>
      </c>
      <c r="H463" s="3" t="s">
        <v>58</v>
      </c>
      <c r="I463" s="3" t="s">
        <v>110</v>
      </c>
      <c r="O463" s="3" t="s">
        <v>162</v>
      </c>
      <c r="X463" s="3" t="s">
        <v>121</v>
      </c>
    </row>
    <row r="464">
      <c r="A464" s="3">
        <v>463.0</v>
      </c>
      <c r="B464" s="3" t="s">
        <v>40</v>
      </c>
      <c r="C464" s="3" t="s">
        <v>1054</v>
      </c>
      <c r="D464" s="3">
        <v>2020.0</v>
      </c>
      <c r="E464" s="3" t="s">
        <v>1055</v>
      </c>
      <c r="F464" s="3" t="s">
        <v>372</v>
      </c>
      <c r="G464" s="3" t="s">
        <v>101</v>
      </c>
      <c r="H464" s="3" t="s">
        <v>102</v>
      </c>
      <c r="I464" s="3" t="s">
        <v>110</v>
      </c>
      <c r="O464" s="3" t="s">
        <v>260</v>
      </c>
      <c r="X464" s="3" t="s">
        <v>121</v>
      </c>
    </row>
    <row r="465">
      <c r="A465" s="3">
        <v>464.0</v>
      </c>
      <c r="B465" s="3" t="s">
        <v>106</v>
      </c>
      <c r="C465" s="3" t="s">
        <v>1056</v>
      </c>
      <c r="D465" s="3">
        <v>1995.0</v>
      </c>
      <c r="E465" s="3" t="s">
        <v>1057</v>
      </c>
      <c r="F465" s="3" t="s">
        <v>341</v>
      </c>
      <c r="G465" s="3" t="s">
        <v>44</v>
      </c>
      <c r="I465" s="3" t="s">
        <v>46</v>
      </c>
      <c r="O465" s="3" t="s">
        <v>162</v>
      </c>
      <c r="X465" s="3" t="s">
        <v>121</v>
      </c>
    </row>
    <row r="466">
      <c r="A466" s="3">
        <v>465.0</v>
      </c>
      <c r="B466" s="3" t="s">
        <v>106</v>
      </c>
      <c r="C466" s="3" t="s">
        <v>1058</v>
      </c>
      <c r="D466" s="3">
        <v>1997.0</v>
      </c>
      <c r="E466" s="3" t="s">
        <v>1059</v>
      </c>
      <c r="F466" s="3" t="s">
        <v>341</v>
      </c>
      <c r="G466" s="3" t="s">
        <v>44</v>
      </c>
      <c r="I466" s="3" t="s">
        <v>46</v>
      </c>
      <c r="O466" s="3" t="s">
        <v>162</v>
      </c>
      <c r="X466" s="3" t="s">
        <v>121</v>
      </c>
    </row>
    <row r="467">
      <c r="A467" s="3">
        <v>466.0</v>
      </c>
      <c r="B467" s="3" t="s">
        <v>106</v>
      </c>
      <c r="D467" s="3">
        <v>2018.0</v>
      </c>
      <c r="E467" s="3" t="s">
        <v>1060</v>
      </c>
      <c r="F467" s="3" t="s">
        <v>43</v>
      </c>
      <c r="G467" s="3" t="s">
        <v>44</v>
      </c>
      <c r="I467" s="3" t="s">
        <v>485</v>
      </c>
      <c r="O467" s="3" t="s">
        <v>162</v>
      </c>
      <c r="X467" s="3" t="s">
        <v>121</v>
      </c>
    </row>
    <row r="468">
      <c r="A468" s="3">
        <v>467.0</v>
      </c>
      <c r="B468" s="3" t="s">
        <v>106</v>
      </c>
      <c r="D468" s="3">
        <v>2020.0</v>
      </c>
      <c r="E468" s="3" t="s">
        <v>1061</v>
      </c>
      <c r="F468" s="3" t="s">
        <v>298</v>
      </c>
      <c r="G468" s="3" t="s">
        <v>101</v>
      </c>
      <c r="I468" s="3" t="s">
        <v>155</v>
      </c>
      <c r="O468" s="3" t="s">
        <v>125</v>
      </c>
      <c r="X468" s="3" t="s">
        <v>121</v>
      </c>
    </row>
    <row r="469">
      <c r="A469" s="3">
        <v>468.0</v>
      </c>
      <c r="B469" s="3" t="s">
        <v>106</v>
      </c>
      <c r="C469" s="3" t="s">
        <v>1062</v>
      </c>
      <c r="D469" s="3">
        <v>1997.0</v>
      </c>
      <c r="E469" s="3" t="s">
        <v>1063</v>
      </c>
      <c r="F469" s="3" t="s">
        <v>484</v>
      </c>
      <c r="G469" s="3" t="s">
        <v>44</v>
      </c>
      <c r="I469" s="3" t="s">
        <v>46</v>
      </c>
      <c r="O469" s="3" t="s">
        <v>385</v>
      </c>
      <c r="R469" s="3" t="s">
        <v>61</v>
      </c>
      <c r="T469" s="3" t="s">
        <v>162</v>
      </c>
      <c r="X469" s="3" t="s">
        <v>54</v>
      </c>
      <c r="Y469" s="3" t="s">
        <v>52</v>
      </c>
      <c r="Z469" s="3" t="s">
        <v>121</v>
      </c>
    </row>
    <row r="470">
      <c r="A470" s="3">
        <v>469.0</v>
      </c>
      <c r="B470" s="3" t="s">
        <v>40</v>
      </c>
      <c r="C470" s="3" t="s">
        <v>1064</v>
      </c>
      <c r="D470" s="3">
        <v>2003.0</v>
      </c>
      <c r="E470" s="3" t="s">
        <v>1065</v>
      </c>
      <c r="F470" s="3" t="s">
        <v>158</v>
      </c>
      <c r="G470" s="3" t="s">
        <v>58</v>
      </c>
      <c r="H470" s="3" t="s">
        <v>58</v>
      </c>
      <c r="I470" s="3" t="s">
        <v>286</v>
      </c>
      <c r="O470" s="3" t="s">
        <v>244</v>
      </c>
      <c r="X470" s="3" t="s">
        <v>54</v>
      </c>
      <c r="Y470" s="3" t="s">
        <v>52</v>
      </c>
      <c r="Z470" s="3" t="s">
        <v>64</v>
      </c>
      <c r="AA470" s="3" t="s">
        <v>53</v>
      </c>
    </row>
    <row r="471">
      <c r="A471" s="3">
        <v>470.0</v>
      </c>
      <c r="B471" s="3" t="s">
        <v>40</v>
      </c>
      <c r="C471" s="3" t="s">
        <v>1066</v>
      </c>
      <c r="D471" s="3">
        <v>2008.0</v>
      </c>
      <c r="E471" s="3" t="s">
        <v>1067</v>
      </c>
      <c r="F471" s="3" t="s">
        <v>158</v>
      </c>
      <c r="G471" s="3" t="s">
        <v>58</v>
      </c>
      <c r="H471" s="3" t="s">
        <v>58</v>
      </c>
      <c r="I471" s="3" t="s">
        <v>286</v>
      </c>
      <c r="O471" s="3" t="s">
        <v>385</v>
      </c>
      <c r="R471" s="3" t="s">
        <v>61</v>
      </c>
      <c r="T471" s="3" t="s">
        <v>147</v>
      </c>
      <c r="V471" s="3" t="s">
        <v>63</v>
      </c>
      <c r="X471" s="3" t="s">
        <v>54</v>
      </c>
      <c r="Y471" s="3" t="s">
        <v>52</v>
      </c>
      <c r="Z471" s="3" t="s">
        <v>64</v>
      </c>
      <c r="AA471" s="3" t="s">
        <v>65</v>
      </c>
    </row>
    <row r="472">
      <c r="A472" s="3">
        <v>471.0</v>
      </c>
      <c r="B472" s="3" t="s">
        <v>40</v>
      </c>
      <c r="C472" s="3" t="s">
        <v>1068</v>
      </c>
      <c r="D472" s="3">
        <v>2017.0</v>
      </c>
      <c r="E472" s="3" t="s">
        <v>1069</v>
      </c>
      <c r="F472" s="3" t="s">
        <v>57</v>
      </c>
      <c r="G472" s="3" t="s">
        <v>58</v>
      </c>
      <c r="H472" s="3" t="s">
        <v>58</v>
      </c>
      <c r="I472" s="3" t="s">
        <v>286</v>
      </c>
      <c r="O472" s="3" t="s">
        <v>50</v>
      </c>
      <c r="R472" s="3" t="s">
        <v>61</v>
      </c>
      <c r="T472" s="3" t="s">
        <v>147</v>
      </c>
      <c r="X472" s="3" t="s">
        <v>54</v>
      </c>
      <c r="Y472" s="3" t="s">
        <v>52</v>
      </c>
      <c r="Z472" s="3" t="s">
        <v>64</v>
      </c>
    </row>
    <row r="473">
      <c r="A473" s="3">
        <v>472.0</v>
      </c>
      <c r="B473" s="3" t="s">
        <v>55</v>
      </c>
      <c r="D473" s="3">
        <v>1997.0</v>
      </c>
      <c r="E473" s="3" t="s">
        <v>1070</v>
      </c>
      <c r="F473" s="3" t="s">
        <v>1071</v>
      </c>
      <c r="G473" s="3" t="s">
        <v>91</v>
      </c>
      <c r="H473" s="3" t="s">
        <v>91</v>
      </c>
      <c r="I473" s="3" t="s">
        <v>225</v>
      </c>
      <c r="J473" s="3" t="s">
        <v>92</v>
      </c>
      <c r="O473" s="3" t="s">
        <v>50</v>
      </c>
      <c r="R473" s="3" t="s">
        <v>247</v>
      </c>
      <c r="X473" s="3" t="s">
        <v>54</v>
      </c>
      <c r="Y473" s="3" t="s">
        <v>52</v>
      </c>
    </row>
    <row r="474">
      <c r="A474" s="3">
        <v>473.0</v>
      </c>
      <c r="B474" s="3" t="s">
        <v>40</v>
      </c>
      <c r="C474" s="3" t="s">
        <v>1072</v>
      </c>
      <c r="D474" s="3">
        <v>2008.0</v>
      </c>
      <c r="E474" s="3" t="s">
        <v>1073</v>
      </c>
      <c r="F474" s="3" t="s">
        <v>57</v>
      </c>
      <c r="G474" s="3" t="s">
        <v>58</v>
      </c>
      <c r="H474" s="3" t="s">
        <v>58</v>
      </c>
      <c r="I474" s="3" t="s">
        <v>286</v>
      </c>
      <c r="O474" s="3" t="s">
        <v>77</v>
      </c>
      <c r="P474" s="3" t="s">
        <v>50</v>
      </c>
      <c r="R474" s="3" t="s">
        <v>49</v>
      </c>
      <c r="T474" s="3" t="s">
        <v>61</v>
      </c>
      <c r="V474" s="3" t="s">
        <v>147</v>
      </c>
      <c r="X474" s="3" t="s">
        <v>54</v>
      </c>
      <c r="Y474" s="3" t="s">
        <v>53</v>
      </c>
      <c r="Z474" s="3" t="s">
        <v>52</v>
      </c>
      <c r="AA474" s="3" t="s">
        <v>64</v>
      </c>
    </row>
    <row r="475">
      <c r="A475" s="3">
        <v>474.0</v>
      </c>
      <c r="B475" s="3" t="s">
        <v>55</v>
      </c>
      <c r="D475" s="3">
        <v>1993.0</v>
      </c>
      <c r="E475" s="3" t="s">
        <v>1074</v>
      </c>
      <c r="F475" s="3" t="s">
        <v>391</v>
      </c>
      <c r="G475" s="3" t="s">
        <v>58</v>
      </c>
      <c r="H475" s="3" t="s">
        <v>58</v>
      </c>
      <c r="I475" s="3" t="s">
        <v>286</v>
      </c>
      <c r="O475" s="3" t="s">
        <v>50</v>
      </c>
      <c r="R475" s="3" t="s">
        <v>49</v>
      </c>
      <c r="T475" s="3" t="s">
        <v>147</v>
      </c>
      <c r="X475" s="3" t="s">
        <v>54</v>
      </c>
      <c r="Y475" s="3" t="s">
        <v>53</v>
      </c>
      <c r="Z475" s="3" t="s">
        <v>64</v>
      </c>
    </row>
    <row r="476">
      <c r="A476" s="3">
        <v>475.0</v>
      </c>
      <c r="B476" s="3" t="s">
        <v>55</v>
      </c>
      <c r="D476" s="3">
        <v>2007.0</v>
      </c>
      <c r="E476" s="3" t="s">
        <v>1075</v>
      </c>
      <c r="F476" s="3" t="s">
        <v>158</v>
      </c>
      <c r="G476" s="3" t="s">
        <v>58</v>
      </c>
      <c r="H476" s="3" t="s">
        <v>58</v>
      </c>
      <c r="I476" s="3" t="s">
        <v>286</v>
      </c>
      <c r="O476" s="3" t="s">
        <v>50</v>
      </c>
      <c r="R476" s="3" t="s">
        <v>49</v>
      </c>
      <c r="T476" s="3" t="s">
        <v>70</v>
      </c>
      <c r="X476" s="3" t="s">
        <v>54</v>
      </c>
      <c r="Y476" s="3" t="s">
        <v>53</v>
      </c>
      <c r="Z476" s="3" t="s">
        <v>71</v>
      </c>
    </row>
    <row r="477">
      <c r="A477" s="3">
        <v>476.0</v>
      </c>
      <c r="B477" s="3" t="s">
        <v>40</v>
      </c>
      <c r="C477" s="3" t="s">
        <v>1076</v>
      </c>
      <c r="D477" s="3">
        <v>2012.0</v>
      </c>
      <c r="E477" s="3" t="s">
        <v>1077</v>
      </c>
      <c r="F477" s="3" t="s">
        <v>129</v>
      </c>
      <c r="G477" s="3" t="s">
        <v>82</v>
      </c>
      <c r="H477" s="3" t="s">
        <v>82</v>
      </c>
      <c r="I477" s="3" t="s">
        <v>384</v>
      </c>
      <c r="O477" s="3" t="s">
        <v>385</v>
      </c>
      <c r="R477" s="3" t="s">
        <v>134</v>
      </c>
      <c r="X477" s="3" t="s">
        <v>54</v>
      </c>
      <c r="Y477" s="3" t="s">
        <v>53</v>
      </c>
    </row>
    <row r="478">
      <c r="A478" s="3">
        <v>477.0</v>
      </c>
      <c r="B478" s="3" t="s">
        <v>40</v>
      </c>
      <c r="C478" s="3" t="s">
        <v>1078</v>
      </c>
      <c r="D478" s="3">
        <v>2018.0</v>
      </c>
      <c r="E478" s="3" t="s">
        <v>1079</v>
      </c>
      <c r="F478" s="3" t="s">
        <v>158</v>
      </c>
      <c r="G478" s="3" t="s">
        <v>58</v>
      </c>
      <c r="H478" s="3" t="s">
        <v>58</v>
      </c>
      <c r="I478" s="3" t="s">
        <v>286</v>
      </c>
      <c r="O478" s="3" t="s">
        <v>244</v>
      </c>
      <c r="R478" s="3" t="s">
        <v>49</v>
      </c>
      <c r="X478" s="3" t="s">
        <v>54</v>
      </c>
      <c r="Y478" s="3" t="s">
        <v>53</v>
      </c>
    </row>
    <row r="479">
      <c r="A479" s="3">
        <v>478.0</v>
      </c>
      <c r="B479" s="3" t="s">
        <v>72</v>
      </c>
      <c r="C479" s="3" t="s">
        <v>1080</v>
      </c>
      <c r="D479" s="3">
        <v>2014.0</v>
      </c>
      <c r="E479" s="3" t="s">
        <v>1081</v>
      </c>
      <c r="F479" s="3" t="s">
        <v>129</v>
      </c>
      <c r="G479" s="3" t="s">
        <v>82</v>
      </c>
      <c r="H479" s="3" t="s">
        <v>82</v>
      </c>
      <c r="I479" s="3" t="s">
        <v>130</v>
      </c>
      <c r="O479" s="3" t="s">
        <v>244</v>
      </c>
      <c r="T479" s="3" t="s">
        <v>60</v>
      </c>
      <c r="U479" s="3" t="s">
        <v>47</v>
      </c>
      <c r="X479" s="3" t="s">
        <v>54</v>
      </c>
      <c r="Y479" s="3" t="s">
        <v>78</v>
      </c>
      <c r="Z479" s="3" t="s">
        <v>51</v>
      </c>
    </row>
    <row r="480">
      <c r="A480" s="3">
        <v>479.0</v>
      </c>
      <c r="B480" s="3" t="s">
        <v>40</v>
      </c>
      <c r="C480" s="3" t="s">
        <v>1082</v>
      </c>
      <c r="D480" s="3">
        <v>2003.0</v>
      </c>
      <c r="E480" s="3" t="s">
        <v>1083</v>
      </c>
      <c r="F480" s="3" t="s">
        <v>129</v>
      </c>
      <c r="G480" s="3" t="s">
        <v>82</v>
      </c>
      <c r="H480" s="3" t="s">
        <v>82</v>
      </c>
      <c r="I480" s="3" t="s">
        <v>130</v>
      </c>
      <c r="O480" s="3" t="s">
        <v>244</v>
      </c>
      <c r="T480" s="3" t="s">
        <v>60</v>
      </c>
      <c r="U480" s="3" t="s">
        <v>47</v>
      </c>
      <c r="X480" s="3" t="s">
        <v>54</v>
      </c>
      <c r="Y480" s="3" t="s">
        <v>78</v>
      </c>
      <c r="Z480" s="3" t="s">
        <v>51</v>
      </c>
    </row>
    <row r="481">
      <c r="A481" s="3">
        <v>480.0</v>
      </c>
      <c r="B481" s="3" t="s">
        <v>40</v>
      </c>
      <c r="C481" s="3" t="s">
        <v>1084</v>
      </c>
      <c r="D481" s="3">
        <v>2011.0</v>
      </c>
      <c r="E481" s="3" t="s">
        <v>1085</v>
      </c>
      <c r="F481" s="3" t="s">
        <v>129</v>
      </c>
      <c r="G481" s="3" t="s">
        <v>82</v>
      </c>
      <c r="H481" s="3" t="s">
        <v>82</v>
      </c>
      <c r="I481" s="3" t="s">
        <v>130</v>
      </c>
      <c r="O481" s="3" t="s">
        <v>244</v>
      </c>
      <c r="T481" s="3" t="s">
        <v>60</v>
      </c>
      <c r="U481" s="3" t="s">
        <v>47</v>
      </c>
      <c r="X481" s="3" t="s">
        <v>54</v>
      </c>
      <c r="Y481" s="3" t="s">
        <v>78</v>
      </c>
      <c r="Z481" s="3" t="s">
        <v>51</v>
      </c>
    </row>
    <row r="482">
      <c r="A482" s="3">
        <v>481.0</v>
      </c>
      <c r="B482" s="3" t="s">
        <v>40</v>
      </c>
      <c r="C482" s="3" t="s">
        <v>1086</v>
      </c>
      <c r="D482" s="3">
        <v>2012.0</v>
      </c>
      <c r="E482" s="3" t="s">
        <v>1087</v>
      </c>
      <c r="F482" s="3" t="s">
        <v>129</v>
      </c>
      <c r="G482" s="3" t="s">
        <v>82</v>
      </c>
      <c r="H482" s="3" t="s">
        <v>82</v>
      </c>
      <c r="I482" s="3" t="s">
        <v>130</v>
      </c>
      <c r="O482" s="3" t="s">
        <v>244</v>
      </c>
      <c r="T482" s="3" t="s">
        <v>60</v>
      </c>
      <c r="U482" s="3" t="s">
        <v>47</v>
      </c>
      <c r="X482" s="3" t="s">
        <v>54</v>
      </c>
      <c r="Y482" s="3" t="s">
        <v>78</v>
      </c>
      <c r="Z482" s="3" t="s">
        <v>51</v>
      </c>
    </row>
    <row r="483">
      <c r="A483" s="3">
        <v>482.0</v>
      </c>
      <c r="B483" s="3" t="s">
        <v>40</v>
      </c>
      <c r="C483" s="3" t="s">
        <v>1088</v>
      </c>
      <c r="D483" s="3">
        <v>2012.0</v>
      </c>
      <c r="E483" s="3" t="s">
        <v>1089</v>
      </c>
      <c r="F483" s="3" t="s">
        <v>129</v>
      </c>
      <c r="G483" s="3" t="s">
        <v>82</v>
      </c>
      <c r="H483" s="3" t="s">
        <v>82</v>
      </c>
      <c r="I483" s="3" t="s">
        <v>130</v>
      </c>
      <c r="O483" s="3" t="s">
        <v>244</v>
      </c>
      <c r="T483" s="3" t="s">
        <v>60</v>
      </c>
      <c r="U483" s="3" t="s">
        <v>47</v>
      </c>
      <c r="X483" s="3" t="s">
        <v>54</v>
      </c>
      <c r="Y483" s="3" t="s">
        <v>78</v>
      </c>
      <c r="Z483" s="3" t="s">
        <v>51</v>
      </c>
    </row>
    <row r="484">
      <c r="A484" s="3">
        <v>483.0</v>
      </c>
      <c r="B484" s="3" t="s">
        <v>40</v>
      </c>
      <c r="C484" s="3" t="s">
        <v>1090</v>
      </c>
      <c r="D484" s="3">
        <v>2014.0</v>
      </c>
      <c r="E484" s="3" t="s">
        <v>1091</v>
      </c>
      <c r="F484" s="3" t="s">
        <v>129</v>
      </c>
      <c r="G484" s="3" t="s">
        <v>82</v>
      </c>
      <c r="H484" s="3" t="s">
        <v>82</v>
      </c>
      <c r="I484" s="3" t="s">
        <v>130</v>
      </c>
      <c r="O484" s="3" t="s">
        <v>244</v>
      </c>
      <c r="T484" s="3" t="s">
        <v>60</v>
      </c>
      <c r="U484" s="3" t="s">
        <v>47</v>
      </c>
      <c r="X484" s="3" t="s">
        <v>54</v>
      </c>
      <c r="Y484" s="3" t="s">
        <v>78</v>
      </c>
      <c r="Z484" s="3" t="s">
        <v>51</v>
      </c>
    </row>
    <row r="485">
      <c r="A485" s="3">
        <v>484.0</v>
      </c>
      <c r="B485" s="3" t="s">
        <v>40</v>
      </c>
      <c r="C485" s="3" t="s">
        <v>1092</v>
      </c>
      <c r="D485" s="3">
        <v>2003.0</v>
      </c>
      <c r="E485" s="3" t="s">
        <v>1093</v>
      </c>
      <c r="F485" s="3" t="s">
        <v>129</v>
      </c>
      <c r="G485" s="3" t="s">
        <v>82</v>
      </c>
      <c r="H485" s="3" t="s">
        <v>82</v>
      </c>
      <c r="I485" s="3" t="s">
        <v>384</v>
      </c>
      <c r="O485" s="3" t="s">
        <v>385</v>
      </c>
      <c r="X485" s="3" t="s">
        <v>54</v>
      </c>
      <c r="Y485" s="3" t="s">
        <v>78</v>
      </c>
    </row>
    <row r="486">
      <c r="A486" s="3">
        <v>485.0</v>
      </c>
      <c r="B486" s="3" t="s">
        <v>40</v>
      </c>
      <c r="C486" s="3" t="s">
        <v>1094</v>
      </c>
      <c r="D486" s="3">
        <v>2009.0</v>
      </c>
      <c r="E486" s="3" t="s">
        <v>1095</v>
      </c>
      <c r="F486" s="3" t="s">
        <v>129</v>
      </c>
      <c r="G486" s="3" t="s">
        <v>82</v>
      </c>
      <c r="H486" s="3" t="s">
        <v>82</v>
      </c>
      <c r="I486" s="3" t="s">
        <v>384</v>
      </c>
      <c r="O486" s="3" t="s">
        <v>385</v>
      </c>
      <c r="X486" s="3" t="s">
        <v>54</v>
      </c>
      <c r="Y486" s="3" t="s">
        <v>78</v>
      </c>
    </row>
    <row r="487">
      <c r="A487" s="3">
        <v>486.0</v>
      </c>
      <c r="B487" s="3" t="s">
        <v>40</v>
      </c>
      <c r="C487" s="3" t="s">
        <v>1096</v>
      </c>
      <c r="D487" s="3">
        <v>2011.0</v>
      </c>
      <c r="E487" s="3" t="s">
        <v>1097</v>
      </c>
      <c r="F487" s="3" t="s">
        <v>129</v>
      </c>
      <c r="G487" s="3" t="s">
        <v>82</v>
      </c>
      <c r="H487" s="3" t="s">
        <v>82</v>
      </c>
      <c r="I487" s="3" t="s">
        <v>130</v>
      </c>
      <c r="O487" s="3" t="s">
        <v>244</v>
      </c>
      <c r="X487" s="3" t="s">
        <v>54</v>
      </c>
      <c r="Y487" s="3" t="s">
        <v>78</v>
      </c>
    </row>
    <row r="488">
      <c r="A488" s="3">
        <v>487.0</v>
      </c>
      <c r="B488" s="3" t="s">
        <v>40</v>
      </c>
      <c r="C488" s="3" t="s">
        <v>1098</v>
      </c>
      <c r="D488" s="3">
        <v>2014.0</v>
      </c>
      <c r="E488" s="3" t="s">
        <v>1099</v>
      </c>
      <c r="F488" s="3" t="s">
        <v>129</v>
      </c>
      <c r="G488" s="3" t="s">
        <v>82</v>
      </c>
      <c r="H488" s="3" t="s">
        <v>82</v>
      </c>
      <c r="I488" s="3" t="s">
        <v>130</v>
      </c>
      <c r="O488" s="3" t="s">
        <v>244</v>
      </c>
      <c r="X488" s="3" t="s">
        <v>54</v>
      </c>
      <c r="Y488" s="3" t="s">
        <v>78</v>
      </c>
    </row>
    <row r="489">
      <c r="A489" s="3">
        <v>488.0</v>
      </c>
      <c r="B489" s="3" t="s">
        <v>40</v>
      </c>
      <c r="C489" s="3" t="s">
        <v>1100</v>
      </c>
      <c r="D489" s="3">
        <v>2007.0</v>
      </c>
      <c r="E489" s="3" t="s">
        <v>1101</v>
      </c>
      <c r="F489" s="3" t="s">
        <v>129</v>
      </c>
      <c r="G489" s="3" t="s">
        <v>82</v>
      </c>
      <c r="H489" s="3" t="s">
        <v>82</v>
      </c>
      <c r="I489" s="3" t="s">
        <v>453</v>
      </c>
      <c r="O489" s="3" t="s">
        <v>385</v>
      </c>
      <c r="X489" s="3" t="s">
        <v>54</v>
      </c>
      <c r="Y489" s="3" t="s">
        <v>1102</v>
      </c>
    </row>
    <row r="490">
      <c r="A490" s="3">
        <v>489.0</v>
      </c>
      <c r="B490" s="3" t="s">
        <v>40</v>
      </c>
      <c r="C490" s="3" t="s">
        <v>1103</v>
      </c>
      <c r="D490" s="3">
        <v>2010.0</v>
      </c>
      <c r="E490" s="3" t="s">
        <v>1104</v>
      </c>
      <c r="F490" s="3" t="s">
        <v>129</v>
      </c>
      <c r="G490" s="3" t="s">
        <v>82</v>
      </c>
      <c r="H490" s="3" t="s">
        <v>82</v>
      </c>
      <c r="I490" s="3" t="s">
        <v>384</v>
      </c>
      <c r="O490" s="3" t="s">
        <v>244</v>
      </c>
      <c r="R490" s="3" t="s">
        <v>147</v>
      </c>
      <c r="X490" s="3" t="s">
        <v>54</v>
      </c>
      <c r="Y490" s="3" t="s">
        <v>64</v>
      </c>
      <c r="Z490" s="3" t="s">
        <v>54</v>
      </c>
    </row>
    <row r="491">
      <c r="A491" s="3">
        <v>490.0</v>
      </c>
      <c r="B491" s="3" t="s">
        <v>72</v>
      </c>
      <c r="C491" s="3" t="s">
        <v>1105</v>
      </c>
      <c r="D491" s="3">
        <v>2014.0</v>
      </c>
      <c r="E491" s="3" t="s">
        <v>1106</v>
      </c>
      <c r="F491" s="3" t="s">
        <v>158</v>
      </c>
      <c r="G491" s="3" t="s">
        <v>58</v>
      </c>
      <c r="H491" s="3" t="s">
        <v>58</v>
      </c>
      <c r="I491" s="3" t="s">
        <v>286</v>
      </c>
      <c r="O491" s="3" t="s">
        <v>50</v>
      </c>
      <c r="R491" s="3" t="s">
        <v>147</v>
      </c>
      <c r="T491" s="3" t="s">
        <v>49</v>
      </c>
      <c r="X491" s="3" t="s">
        <v>54</v>
      </c>
      <c r="Y491" s="3" t="s">
        <v>64</v>
      </c>
      <c r="Z491" s="3" t="s">
        <v>53</v>
      </c>
    </row>
    <row r="492">
      <c r="A492" s="3">
        <v>491.0</v>
      </c>
      <c r="B492" s="3" t="s">
        <v>55</v>
      </c>
      <c r="D492" s="3">
        <v>2002.0</v>
      </c>
      <c r="E492" s="3" t="s">
        <v>1107</v>
      </c>
      <c r="F492" s="3" t="s">
        <v>158</v>
      </c>
      <c r="G492" s="3" t="s">
        <v>58</v>
      </c>
      <c r="H492" s="3" t="s">
        <v>58</v>
      </c>
      <c r="I492" s="3" t="s">
        <v>286</v>
      </c>
      <c r="O492" s="3" t="s">
        <v>50</v>
      </c>
      <c r="P492" s="3" t="s">
        <v>77</v>
      </c>
      <c r="R492" s="3" t="s">
        <v>147</v>
      </c>
      <c r="T492" s="3" t="s">
        <v>63</v>
      </c>
      <c r="V492" s="3" t="s">
        <v>49</v>
      </c>
      <c r="X492" s="3" t="s">
        <v>54</v>
      </c>
      <c r="Y492" s="3" t="s">
        <v>64</v>
      </c>
      <c r="Z492" s="3" t="s">
        <v>65</v>
      </c>
      <c r="AA492" s="3" t="s">
        <v>53</v>
      </c>
    </row>
    <row r="493">
      <c r="A493" s="3">
        <v>492.0</v>
      </c>
      <c r="B493" s="3" t="s">
        <v>40</v>
      </c>
      <c r="C493" s="3" t="s">
        <v>1108</v>
      </c>
      <c r="D493" s="3">
        <v>2015.0</v>
      </c>
      <c r="E493" s="3" t="s">
        <v>1109</v>
      </c>
      <c r="F493" s="3" t="s">
        <v>129</v>
      </c>
      <c r="G493" s="3" t="s">
        <v>82</v>
      </c>
      <c r="H493" s="3" t="s">
        <v>82</v>
      </c>
      <c r="I493" s="3" t="s">
        <v>314</v>
      </c>
      <c r="O493" s="3" t="s">
        <v>244</v>
      </c>
      <c r="R493" s="3" t="s">
        <v>62</v>
      </c>
      <c r="T493" s="3" t="s">
        <v>63</v>
      </c>
      <c r="X493" s="3" t="s">
        <v>54</v>
      </c>
      <c r="Y493" s="3" t="s">
        <v>64</v>
      </c>
      <c r="Z493" s="3" t="s">
        <v>65</v>
      </c>
    </row>
    <row r="494">
      <c r="A494" s="3">
        <v>493.0</v>
      </c>
      <c r="B494" s="3" t="s">
        <v>40</v>
      </c>
      <c r="C494" s="3" t="s">
        <v>1110</v>
      </c>
      <c r="D494" s="3">
        <v>2015.0</v>
      </c>
      <c r="E494" s="3" t="s">
        <v>1111</v>
      </c>
      <c r="F494" s="3" t="s">
        <v>129</v>
      </c>
      <c r="G494" s="3" t="s">
        <v>82</v>
      </c>
      <c r="H494" s="3" t="s">
        <v>82</v>
      </c>
      <c r="I494" s="3" t="s">
        <v>314</v>
      </c>
      <c r="O494" s="3" t="s">
        <v>244</v>
      </c>
      <c r="R494" s="3" t="s">
        <v>62</v>
      </c>
      <c r="T494" s="3" t="s">
        <v>63</v>
      </c>
      <c r="X494" s="3" t="s">
        <v>54</v>
      </c>
      <c r="Y494" s="3" t="s">
        <v>64</v>
      </c>
      <c r="Z494" s="3" t="s">
        <v>65</v>
      </c>
    </row>
    <row r="495">
      <c r="A495" s="3">
        <v>494.0</v>
      </c>
      <c r="B495" s="3" t="s">
        <v>40</v>
      </c>
      <c r="C495" s="3" t="s">
        <v>1112</v>
      </c>
      <c r="D495" s="3">
        <v>2002.0</v>
      </c>
      <c r="E495" s="3" t="s">
        <v>1113</v>
      </c>
      <c r="F495" s="3" t="s">
        <v>129</v>
      </c>
      <c r="G495" s="3" t="s">
        <v>82</v>
      </c>
      <c r="H495" s="3" t="s">
        <v>82</v>
      </c>
      <c r="I495" s="3" t="s">
        <v>384</v>
      </c>
      <c r="O495" s="3" t="s">
        <v>385</v>
      </c>
      <c r="R495" s="3" t="s">
        <v>147</v>
      </c>
      <c r="X495" s="3" t="s">
        <v>54</v>
      </c>
      <c r="Y495" s="3" t="s">
        <v>64</v>
      </c>
    </row>
    <row r="496">
      <c r="A496" s="3">
        <v>495.0</v>
      </c>
      <c r="B496" s="3" t="s">
        <v>40</v>
      </c>
      <c r="C496" s="3" t="s">
        <v>1114</v>
      </c>
      <c r="D496" s="3">
        <v>2014.0</v>
      </c>
      <c r="E496" s="3" t="s">
        <v>1115</v>
      </c>
      <c r="F496" s="3" t="s">
        <v>129</v>
      </c>
      <c r="G496" s="3" t="s">
        <v>82</v>
      </c>
      <c r="H496" s="3" t="s">
        <v>82</v>
      </c>
      <c r="I496" s="3" t="s">
        <v>384</v>
      </c>
      <c r="O496" s="3" t="s">
        <v>385</v>
      </c>
      <c r="R496" s="3" t="s">
        <v>87</v>
      </c>
      <c r="X496" s="3" t="s">
        <v>54</v>
      </c>
      <c r="Y496" s="3" t="s">
        <v>71</v>
      </c>
    </row>
    <row r="497">
      <c r="A497" s="3">
        <v>496.0</v>
      </c>
      <c r="B497" s="3" t="s">
        <v>40</v>
      </c>
      <c r="C497" s="3" t="s">
        <v>1116</v>
      </c>
      <c r="D497" s="3">
        <v>2003.0</v>
      </c>
      <c r="E497" s="3" t="s">
        <v>1117</v>
      </c>
      <c r="F497" s="3" t="s">
        <v>158</v>
      </c>
      <c r="G497" s="3" t="s">
        <v>58</v>
      </c>
      <c r="H497" s="3" t="s">
        <v>58</v>
      </c>
      <c r="I497" s="3" t="s">
        <v>286</v>
      </c>
      <c r="O497" s="3" t="s">
        <v>50</v>
      </c>
      <c r="R497" s="3" t="s">
        <v>63</v>
      </c>
      <c r="T497" s="3" t="s">
        <v>147</v>
      </c>
      <c r="X497" s="3" t="s">
        <v>54</v>
      </c>
      <c r="Y497" s="3" t="s">
        <v>65</v>
      </c>
      <c r="Z497" s="3" t="s">
        <v>64</v>
      </c>
    </row>
    <row r="498">
      <c r="A498" s="3">
        <v>497.0</v>
      </c>
      <c r="B498" s="3" t="s">
        <v>40</v>
      </c>
      <c r="C498" s="3" t="s">
        <v>1118</v>
      </c>
      <c r="D498" s="3">
        <v>2016.0</v>
      </c>
      <c r="E498" s="3" t="s">
        <v>1119</v>
      </c>
      <c r="F498" s="3" t="s">
        <v>129</v>
      </c>
      <c r="G498" s="3" t="s">
        <v>82</v>
      </c>
      <c r="H498" s="3" t="s">
        <v>82</v>
      </c>
      <c r="I498" s="3" t="s">
        <v>314</v>
      </c>
      <c r="O498" s="3" t="s">
        <v>385</v>
      </c>
      <c r="R498" s="3" t="s">
        <v>63</v>
      </c>
      <c r="T498" s="3" t="s">
        <v>62</v>
      </c>
      <c r="X498" s="3" t="s">
        <v>54</v>
      </c>
      <c r="Y498" s="3" t="s">
        <v>65</v>
      </c>
      <c r="Z498" s="3" t="s">
        <v>64</v>
      </c>
    </row>
    <row r="499">
      <c r="A499" s="3">
        <v>498.0</v>
      </c>
      <c r="B499" s="3" t="s">
        <v>40</v>
      </c>
      <c r="C499" s="3" t="s">
        <v>1120</v>
      </c>
      <c r="D499" s="3">
        <v>1989.0</v>
      </c>
      <c r="E499" s="3" t="s">
        <v>1121</v>
      </c>
      <c r="F499" s="3" t="s">
        <v>68</v>
      </c>
      <c r="G499" s="3" t="s">
        <v>58</v>
      </c>
      <c r="H499" s="3" t="s">
        <v>58</v>
      </c>
      <c r="I499" s="3" t="s">
        <v>110</v>
      </c>
      <c r="O499" s="3" t="s">
        <v>385</v>
      </c>
      <c r="X499" s="3" t="s">
        <v>54</v>
      </c>
    </row>
    <row r="500">
      <c r="A500" s="3">
        <v>499.0</v>
      </c>
      <c r="B500" s="3" t="s">
        <v>40</v>
      </c>
      <c r="C500" s="3" t="s">
        <v>1122</v>
      </c>
      <c r="D500" s="3">
        <v>1991.0</v>
      </c>
      <c r="E500" s="3" t="s">
        <v>1123</v>
      </c>
      <c r="F500" s="3" t="s">
        <v>356</v>
      </c>
      <c r="G500" s="3" t="s">
        <v>82</v>
      </c>
      <c r="H500" s="3" t="s">
        <v>82</v>
      </c>
      <c r="I500" s="3" t="s">
        <v>180</v>
      </c>
      <c r="J500" s="3" t="s">
        <v>287</v>
      </c>
      <c r="K500" s="3" t="s">
        <v>1001</v>
      </c>
      <c r="O500" s="3" t="s">
        <v>244</v>
      </c>
      <c r="X500" s="3" t="s">
        <v>54</v>
      </c>
    </row>
    <row r="501">
      <c r="A501" s="3">
        <v>500.0</v>
      </c>
      <c r="B501" s="3" t="s">
        <v>40</v>
      </c>
      <c r="C501" s="3" t="s">
        <v>1124</v>
      </c>
      <c r="D501" s="3">
        <v>1994.0</v>
      </c>
      <c r="E501" s="3" t="s">
        <v>1125</v>
      </c>
      <c r="F501" s="3" t="s">
        <v>129</v>
      </c>
      <c r="G501" s="3" t="s">
        <v>82</v>
      </c>
      <c r="H501" s="3" t="s">
        <v>82</v>
      </c>
      <c r="I501" s="3" t="s">
        <v>130</v>
      </c>
      <c r="O501" s="3" t="s">
        <v>244</v>
      </c>
      <c r="X501" s="3" t="s">
        <v>54</v>
      </c>
    </row>
    <row r="502">
      <c r="A502" s="3">
        <v>501.0</v>
      </c>
      <c r="B502" s="3" t="s">
        <v>40</v>
      </c>
      <c r="C502" s="3" t="s">
        <v>1126</v>
      </c>
      <c r="D502" s="3">
        <v>1995.0</v>
      </c>
      <c r="E502" s="3" t="s">
        <v>1127</v>
      </c>
      <c r="F502" s="3" t="s">
        <v>129</v>
      </c>
      <c r="G502" s="3" t="s">
        <v>82</v>
      </c>
      <c r="H502" s="3" t="s">
        <v>82</v>
      </c>
      <c r="I502" s="3" t="s">
        <v>453</v>
      </c>
      <c r="O502" s="3" t="s">
        <v>385</v>
      </c>
      <c r="X502" s="3" t="s">
        <v>54</v>
      </c>
    </row>
    <row r="503">
      <c r="A503" s="3">
        <v>502.0</v>
      </c>
      <c r="B503" s="3" t="s">
        <v>40</v>
      </c>
      <c r="C503" s="3" t="s">
        <v>1128</v>
      </c>
      <c r="D503" s="3">
        <v>1999.0</v>
      </c>
      <c r="E503" s="3" t="s">
        <v>1129</v>
      </c>
      <c r="F503" s="3" t="s">
        <v>391</v>
      </c>
      <c r="G503" s="3" t="s">
        <v>58</v>
      </c>
      <c r="H503" s="3" t="s">
        <v>58</v>
      </c>
      <c r="I503" s="3" t="s">
        <v>286</v>
      </c>
      <c r="O503" s="3" t="s">
        <v>50</v>
      </c>
      <c r="X503" s="3" t="s">
        <v>54</v>
      </c>
    </row>
    <row r="504">
      <c r="A504" s="3">
        <v>503.0</v>
      </c>
      <c r="B504" s="3" t="s">
        <v>40</v>
      </c>
      <c r="C504" s="3" t="s">
        <v>429</v>
      </c>
      <c r="D504" s="3">
        <v>1999.0</v>
      </c>
      <c r="E504" s="3" t="s">
        <v>1130</v>
      </c>
      <c r="F504" s="3" t="s">
        <v>187</v>
      </c>
      <c r="G504" s="3" t="s">
        <v>58</v>
      </c>
      <c r="H504" s="3" t="s">
        <v>58</v>
      </c>
      <c r="I504" s="3" t="s">
        <v>286</v>
      </c>
      <c r="O504" s="3" t="s">
        <v>50</v>
      </c>
      <c r="X504" s="3" t="s">
        <v>54</v>
      </c>
    </row>
    <row r="505">
      <c r="A505" s="3">
        <v>504.0</v>
      </c>
      <c r="B505" s="3" t="s">
        <v>40</v>
      </c>
      <c r="C505" s="3" t="s">
        <v>1131</v>
      </c>
      <c r="D505" s="3">
        <v>2000.0</v>
      </c>
      <c r="E505" s="3" t="s">
        <v>1132</v>
      </c>
      <c r="F505" s="3" t="s">
        <v>391</v>
      </c>
      <c r="G505" s="3" t="s">
        <v>58</v>
      </c>
      <c r="H505" s="3" t="s">
        <v>58</v>
      </c>
      <c r="I505" s="3" t="s">
        <v>96</v>
      </c>
      <c r="J505" s="3" t="s">
        <v>69</v>
      </c>
      <c r="K505" s="3" t="s">
        <v>76</v>
      </c>
      <c r="O505" s="3" t="s">
        <v>50</v>
      </c>
      <c r="X505" s="3" t="s">
        <v>54</v>
      </c>
    </row>
    <row r="506">
      <c r="A506" s="3">
        <v>505.0</v>
      </c>
      <c r="B506" s="3" t="s">
        <v>40</v>
      </c>
      <c r="C506" s="3" t="s">
        <v>1133</v>
      </c>
      <c r="D506" s="3">
        <v>2000.0</v>
      </c>
      <c r="E506" s="3" t="s">
        <v>1134</v>
      </c>
      <c r="F506" s="3" t="s">
        <v>68</v>
      </c>
      <c r="G506" s="3" t="s">
        <v>58</v>
      </c>
      <c r="H506" s="3" t="s">
        <v>58</v>
      </c>
      <c r="I506" s="3" t="s">
        <v>69</v>
      </c>
      <c r="O506" s="3" t="s">
        <v>244</v>
      </c>
      <c r="X506" s="3" t="s">
        <v>54</v>
      </c>
    </row>
    <row r="507">
      <c r="A507" s="3">
        <v>506.0</v>
      </c>
      <c r="B507" s="3" t="s">
        <v>40</v>
      </c>
      <c r="C507" s="3" t="s">
        <v>1135</v>
      </c>
      <c r="D507" s="3">
        <v>2000.0</v>
      </c>
      <c r="E507" s="3" t="s">
        <v>1136</v>
      </c>
      <c r="F507" s="3" t="s">
        <v>57</v>
      </c>
      <c r="G507" s="3" t="s">
        <v>58</v>
      </c>
      <c r="H507" s="3" t="s">
        <v>58</v>
      </c>
      <c r="I507" s="3" t="s">
        <v>286</v>
      </c>
      <c r="O507" s="3" t="s">
        <v>77</v>
      </c>
      <c r="X507" s="3" t="s">
        <v>54</v>
      </c>
    </row>
    <row r="508">
      <c r="A508" s="3">
        <v>507.0</v>
      </c>
      <c r="B508" s="3" t="s">
        <v>40</v>
      </c>
      <c r="C508" s="3" t="s">
        <v>1137</v>
      </c>
      <c r="D508" s="3">
        <v>2001.0</v>
      </c>
      <c r="E508" s="3" t="s">
        <v>1138</v>
      </c>
      <c r="F508" s="3" t="s">
        <v>391</v>
      </c>
      <c r="G508" s="3" t="s">
        <v>58</v>
      </c>
      <c r="H508" s="3" t="s">
        <v>58</v>
      </c>
      <c r="I508" s="3" t="s">
        <v>286</v>
      </c>
      <c r="O508" s="3" t="s">
        <v>50</v>
      </c>
      <c r="X508" s="3" t="s">
        <v>54</v>
      </c>
    </row>
    <row r="509">
      <c r="A509" s="3">
        <v>508.0</v>
      </c>
      <c r="B509" s="3" t="s">
        <v>40</v>
      </c>
      <c r="C509" s="3" t="s">
        <v>1139</v>
      </c>
      <c r="D509" s="3">
        <v>2001.0</v>
      </c>
      <c r="E509" s="3" t="s">
        <v>1140</v>
      </c>
      <c r="F509" s="3" t="s">
        <v>57</v>
      </c>
      <c r="G509" s="3" t="s">
        <v>58</v>
      </c>
      <c r="H509" s="3" t="s">
        <v>58</v>
      </c>
      <c r="I509" s="3" t="s">
        <v>286</v>
      </c>
      <c r="O509" s="3" t="s">
        <v>385</v>
      </c>
      <c r="X509" s="3" t="s">
        <v>54</v>
      </c>
    </row>
    <row r="510">
      <c r="A510" s="3">
        <v>509.0</v>
      </c>
      <c r="B510" s="3" t="s">
        <v>40</v>
      </c>
      <c r="C510" s="3" t="s">
        <v>1141</v>
      </c>
      <c r="D510" s="3">
        <v>2001.0</v>
      </c>
      <c r="E510" s="3" t="s">
        <v>1142</v>
      </c>
      <c r="F510" s="3" t="s">
        <v>68</v>
      </c>
      <c r="G510" s="3" t="s">
        <v>58</v>
      </c>
      <c r="H510" s="3" t="s">
        <v>58</v>
      </c>
      <c r="I510" s="3" t="s">
        <v>110</v>
      </c>
      <c r="J510" s="3" t="s">
        <v>76</v>
      </c>
      <c r="K510" s="3" t="s">
        <v>1001</v>
      </c>
      <c r="O510" s="3" t="s">
        <v>50</v>
      </c>
      <c r="X510" s="3" t="s">
        <v>54</v>
      </c>
    </row>
    <row r="511">
      <c r="A511" s="3">
        <v>510.0</v>
      </c>
      <c r="B511" s="3" t="s">
        <v>40</v>
      </c>
      <c r="C511" s="3" t="s">
        <v>1143</v>
      </c>
      <c r="D511" s="3">
        <v>2002.0</v>
      </c>
      <c r="E511" s="3" t="s">
        <v>1144</v>
      </c>
      <c r="F511" s="3" t="s">
        <v>129</v>
      </c>
      <c r="G511" s="3" t="s">
        <v>82</v>
      </c>
      <c r="H511" s="3" t="s">
        <v>82</v>
      </c>
      <c r="I511" s="3" t="s">
        <v>384</v>
      </c>
      <c r="O511" s="3" t="s">
        <v>385</v>
      </c>
      <c r="X511" s="3" t="s">
        <v>54</v>
      </c>
    </row>
    <row r="512">
      <c r="A512" s="3">
        <v>511.0</v>
      </c>
      <c r="B512" s="3" t="s">
        <v>40</v>
      </c>
      <c r="C512" s="3" t="s">
        <v>1145</v>
      </c>
      <c r="D512" s="3">
        <v>2002.0</v>
      </c>
      <c r="E512" s="3" t="s">
        <v>1146</v>
      </c>
      <c r="F512" s="3" t="s">
        <v>129</v>
      </c>
      <c r="G512" s="3" t="s">
        <v>82</v>
      </c>
      <c r="H512" s="3" t="s">
        <v>82</v>
      </c>
      <c r="I512" s="3" t="s">
        <v>384</v>
      </c>
      <c r="O512" s="3" t="s">
        <v>385</v>
      </c>
      <c r="X512" s="3" t="s">
        <v>54</v>
      </c>
    </row>
    <row r="513">
      <c r="A513" s="3">
        <v>512.0</v>
      </c>
      <c r="B513" s="3" t="s">
        <v>40</v>
      </c>
      <c r="C513" s="3" t="s">
        <v>1147</v>
      </c>
      <c r="D513" s="3">
        <v>2003.0</v>
      </c>
      <c r="E513" s="3" t="s">
        <v>1148</v>
      </c>
      <c r="F513" s="3" t="s">
        <v>57</v>
      </c>
      <c r="G513" s="3" t="s">
        <v>58</v>
      </c>
      <c r="H513" s="3" t="s">
        <v>58</v>
      </c>
      <c r="I513" s="3" t="s">
        <v>286</v>
      </c>
      <c r="O513" s="3" t="s">
        <v>50</v>
      </c>
      <c r="X513" s="3" t="s">
        <v>54</v>
      </c>
    </row>
    <row r="514">
      <c r="A514" s="3">
        <v>513.0</v>
      </c>
      <c r="B514" s="3" t="s">
        <v>40</v>
      </c>
      <c r="C514" s="3" t="s">
        <v>1149</v>
      </c>
      <c r="D514" s="3">
        <v>2003.0</v>
      </c>
      <c r="E514" s="3" t="s">
        <v>1150</v>
      </c>
      <c r="F514" s="3" t="s">
        <v>129</v>
      </c>
      <c r="G514" s="3" t="s">
        <v>82</v>
      </c>
      <c r="H514" s="3" t="s">
        <v>82</v>
      </c>
      <c r="I514" s="3" t="s">
        <v>130</v>
      </c>
      <c r="O514" s="3" t="s">
        <v>244</v>
      </c>
      <c r="X514" s="3" t="s">
        <v>54</v>
      </c>
    </row>
    <row r="515">
      <c r="A515" s="3">
        <v>514.0</v>
      </c>
      <c r="B515" s="3" t="s">
        <v>40</v>
      </c>
      <c r="C515" s="3" t="s">
        <v>1151</v>
      </c>
      <c r="D515" s="3">
        <v>2004.0</v>
      </c>
      <c r="E515" s="3" t="s">
        <v>1152</v>
      </c>
      <c r="F515" s="3" t="s">
        <v>184</v>
      </c>
      <c r="G515" s="3" t="s">
        <v>58</v>
      </c>
      <c r="H515" s="3" t="s">
        <v>58</v>
      </c>
      <c r="I515" s="3" t="s">
        <v>69</v>
      </c>
      <c r="O515" s="3" t="s">
        <v>385</v>
      </c>
      <c r="X515" s="3" t="s">
        <v>54</v>
      </c>
    </row>
    <row r="516">
      <c r="A516" s="3">
        <v>515.0</v>
      </c>
      <c r="B516" s="3" t="s">
        <v>40</v>
      </c>
      <c r="C516" s="3" t="s">
        <v>1153</v>
      </c>
      <c r="D516" s="3">
        <v>2004.0</v>
      </c>
      <c r="E516" s="3" t="s">
        <v>1154</v>
      </c>
      <c r="F516" s="3" t="s">
        <v>187</v>
      </c>
      <c r="G516" s="3" t="s">
        <v>58</v>
      </c>
      <c r="H516" s="3" t="s">
        <v>58</v>
      </c>
      <c r="I516" s="3" t="s">
        <v>286</v>
      </c>
      <c r="O516" s="3" t="s">
        <v>385</v>
      </c>
      <c r="X516" s="3" t="s">
        <v>54</v>
      </c>
    </row>
    <row r="517">
      <c r="A517" s="3">
        <v>516.0</v>
      </c>
      <c r="B517" s="3" t="s">
        <v>40</v>
      </c>
      <c r="C517" s="3" t="s">
        <v>1155</v>
      </c>
      <c r="D517" s="3">
        <v>2005.0</v>
      </c>
      <c r="E517" s="3" t="s">
        <v>1156</v>
      </c>
      <c r="F517" s="3" t="s">
        <v>444</v>
      </c>
      <c r="G517" s="3" t="s">
        <v>44</v>
      </c>
      <c r="H517" s="3" t="s">
        <v>45</v>
      </c>
      <c r="I517" s="3" t="s">
        <v>180</v>
      </c>
      <c r="O517" s="3" t="s">
        <v>244</v>
      </c>
      <c r="X517" s="3" t="s">
        <v>54</v>
      </c>
    </row>
    <row r="518">
      <c r="A518" s="3">
        <v>517.0</v>
      </c>
      <c r="B518" s="3" t="s">
        <v>40</v>
      </c>
      <c r="C518" s="3" t="s">
        <v>1157</v>
      </c>
      <c r="D518" s="3">
        <v>2005.0</v>
      </c>
      <c r="E518" s="3" t="s">
        <v>1158</v>
      </c>
      <c r="F518" s="3" t="s">
        <v>57</v>
      </c>
      <c r="G518" s="3" t="s">
        <v>58</v>
      </c>
      <c r="H518" s="3" t="s">
        <v>58</v>
      </c>
      <c r="I518" s="3" t="s">
        <v>286</v>
      </c>
      <c r="J518" s="3" t="s">
        <v>76</v>
      </c>
      <c r="O518" s="3" t="s">
        <v>77</v>
      </c>
      <c r="X518" s="3" t="s">
        <v>54</v>
      </c>
    </row>
    <row r="519">
      <c r="A519" s="3">
        <v>518.0</v>
      </c>
      <c r="B519" s="3" t="s">
        <v>40</v>
      </c>
      <c r="C519" s="3" t="s">
        <v>1159</v>
      </c>
      <c r="D519" s="3">
        <v>2005.0</v>
      </c>
      <c r="E519" s="3" t="s">
        <v>1160</v>
      </c>
      <c r="F519" s="3" t="s">
        <v>129</v>
      </c>
      <c r="G519" s="3" t="s">
        <v>82</v>
      </c>
      <c r="H519" s="3" t="s">
        <v>82</v>
      </c>
      <c r="I519" s="3" t="s">
        <v>384</v>
      </c>
      <c r="O519" s="3" t="s">
        <v>385</v>
      </c>
      <c r="X519" s="3" t="s">
        <v>54</v>
      </c>
    </row>
    <row r="520">
      <c r="A520" s="3">
        <v>519.0</v>
      </c>
      <c r="B520" s="3" t="s">
        <v>40</v>
      </c>
      <c r="C520" s="3" t="s">
        <v>1161</v>
      </c>
      <c r="D520" s="3">
        <v>2005.0</v>
      </c>
      <c r="E520" s="3" t="s">
        <v>1162</v>
      </c>
      <c r="F520" s="3" t="s">
        <v>129</v>
      </c>
      <c r="G520" s="3" t="s">
        <v>82</v>
      </c>
      <c r="H520" s="3" t="s">
        <v>82</v>
      </c>
      <c r="I520" s="3" t="s">
        <v>384</v>
      </c>
      <c r="O520" s="3" t="s">
        <v>385</v>
      </c>
      <c r="X520" s="3" t="s">
        <v>54</v>
      </c>
    </row>
    <row r="521">
      <c r="A521" s="3">
        <v>520.0</v>
      </c>
      <c r="B521" s="3" t="s">
        <v>40</v>
      </c>
      <c r="C521" s="3" t="s">
        <v>1163</v>
      </c>
      <c r="D521" s="3">
        <v>2006.0</v>
      </c>
      <c r="E521" s="3" t="s">
        <v>1164</v>
      </c>
      <c r="F521" s="3" t="s">
        <v>129</v>
      </c>
      <c r="G521" s="3" t="s">
        <v>82</v>
      </c>
      <c r="H521" s="3" t="s">
        <v>82</v>
      </c>
      <c r="I521" s="3" t="s">
        <v>453</v>
      </c>
      <c r="O521" s="3" t="s">
        <v>50</v>
      </c>
      <c r="X521" s="3" t="s">
        <v>54</v>
      </c>
    </row>
    <row r="522">
      <c r="A522" s="3">
        <v>521.0</v>
      </c>
      <c r="B522" s="3" t="s">
        <v>40</v>
      </c>
      <c r="C522" s="3" t="s">
        <v>1165</v>
      </c>
      <c r="D522" s="3">
        <v>2007.0</v>
      </c>
      <c r="E522" s="3" t="s">
        <v>1166</v>
      </c>
      <c r="F522" s="3" t="s">
        <v>391</v>
      </c>
      <c r="G522" s="3" t="s">
        <v>58</v>
      </c>
      <c r="H522" s="3" t="s">
        <v>58</v>
      </c>
      <c r="I522" s="3" t="s">
        <v>287</v>
      </c>
      <c r="O522" s="3" t="s">
        <v>50</v>
      </c>
      <c r="X522" s="3" t="s">
        <v>54</v>
      </c>
    </row>
    <row r="523">
      <c r="A523" s="3">
        <v>522.0</v>
      </c>
      <c r="B523" s="3" t="s">
        <v>40</v>
      </c>
      <c r="C523" s="3" t="s">
        <v>1167</v>
      </c>
      <c r="D523" s="3">
        <v>2007.0</v>
      </c>
      <c r="E523" s="3" t="s">
        <v>1168</v>
      </c>
      <c r="F523" s="3" t="s">
        <v>57</v>
      </c>
      <c r="G523" s="3" t="s">
        <v>58</v>
      </c>
      <c r="H523" s="3" t="s">
        <v>58</v>
      </c>
      <c r="I523" s="3" t="s">
        <v>286</v>
      </c>
      <c r="O523" s="3" t="s">
        <v>50</v>
      </c>
      <c r="X523" s="3" t="s">
        <v>54</v>
      </c>
    </row>
    <row r="524">
      <c r="A524" s="3">
        <v>523.0</v>
      </c>
      <c r="B524" s="3" t="s">
        <v>40</v>
      </c>
      <c r="C524" s="3" t="s">
        <v>1169</v>
      </c>
      <c r="D524" s="3">
        <v>2007.0</v>
      </c>
      <c r="E524" s="3" t="s">
        <v>1170</v>
      </c>
      <c r="F524" s="3" t="s">
        <v>356</v>
      </c>
      <c r="G524" s="3" t="s">
        <v>82</v>
      </c>
      <c r="H524" s="3" t="s">
        <v>82</v>
      </c>
      <c r="I524" s="3" t="s">
        <v>1001</v>
      </c>
      <c r="O524" s="3" t="s">
        <v>50</v>
      </c>
      <c r="X524" s="3" t="s">
        <v>54</v>
      </c>
    </row>
    <row r="525">
      <c r="A525" s="3">
        <v>524.0</v>
      </c>
      <c r="B525" s="3" t="s">
        <v>40</v>
      </c>
      <c r="C525" s="3" t="s">
        <v>1171</v>
      </c>
      <c r="D525" s="3">
        <v>2007.0</v>
      </c>
      <c r="E525" s="3" t="s">
        <v>1172</v>
      </c>
      <c r="F525" s="3" t="s">
        <v>129</v>
      </c>
      <c r="G525" s="3" t="s">
        <v>82</v>
      </c>
      <c r="H525" s="3" t="s">
        <v>82</v>
      </c>
      <c r="I525" s="3" t="s">
        <v>384</v>
      </c>
      <c r="O525" s="3" t="s">
        <v>385</v>
      </c>
      <c r="X525" s="3" t="s">
        <v>54</v>
      </c>
    </row>
    <row r="526">
      <c r="A526" s="3">
        <v>525.0</v>
      </c>
      <c r="B526" s="3" t="s">
        <v>40</v>
      </c>
      <c r="C526" s="3" t="s">
        <v>1173</v>
      </c>
      <c r="D526" s="3">
        <v>2007.0</v>
      </c>
      <c r="E526" s="3" t="s">
        <v>1174</v>
      </c>
      <c r="F526" s="3" t="s">
        <v>129</v>
      </c>
      <c r="G526" s="3" t="s">
        <v>82</v>
      </c>
      <c r="H526" s="3" t="s">
        <v>82</v>
      </c>
      <c r="I526" s="3" t="s">
        <v>453</v>
      </c>
      <c r="O526" s="3" t="s">
        <v>385</v>
      </c>
      <c r="X526" s="3" t="s">
        <v>54</v>
      </c>
    </row>
    <row r="527">
      <c r="A527" s="3">
        <v>526.0</v>
      </c>
      <c r="B527" s="3" t="s">
        <v>40</v>
      </c>
      <c r="C527" s="3" t="s">
        <v>1175</v>
      </c>
      <c r="D527" s="3">
        <v>2008.0</v>
      </c>
      <c r="E527" s="3" t="s">
        <v>1176</v>
      </c>
      <c r="F527" s="3" t="s">
        <v>391</v>
      </c>
      <c r="G527" s="3" t="s">
        <v>58</v>
      </c>
      <c r="H527" s="3" t="s">
        <v>58</v>
      </c>
      <c r="I527" s="3" t="s">
        <v>286</v>
      </c>
      <c r="J527" s="3" t="s">
        <v>76</v>
      </c>
      <c r="K527" s="3" t="s">
        <v>287</v>
      </c>
      <c r="L527" s="3" t="s">
        <v>69</v>
      </c>
      <c r="M527" s="3" t="s">
        <v>96</v>
      </c>
      <c r="O527" s="3" t="s">
        <v>50</v>
      </c>
      <c r="X527" s="3" t="s">
        <v>54</v>
      </c>
    </row>
    <row r="528">
      <c r="A528" s="3">
        <v>527.0</v>
      </c>
      <c r="B528" s="3" t="s">
        <v>40</v>
      </c>
      <c r="C528" s="3" t="s">
        <v>1177</v>
      </c>
      <c r="D528" s="3">
        <v>2008.0</v>
      </c>
      <c r="E528" s="3" t="s">
        <v>1178</v>
      </c>
      <c r="F528" s="3" t="s">
        <v>187</v>
      </c>
      <c r="G528" s="3" t="s">
        <v>58</v>
      </c>
      <c r="H528" s="3" t="s">
        <v>58</v>
      </c>
      <c r="I528" s="3" t="s">
        <v>286</v>
      </c>
      <c r="J528" s="3" t="s">
        <v>76</v>
      </c>
      <c r="O528" s="3" t="s">
        <v>244</v>
      </c>
      <c r="X528" s="3" t="s">
        <v>54</v>
      </c>
    </row>
    <row r="529">
      <c r="A529" s="3">
        <v>528.0</v>
      </c>
      <c r="B529" s="3" t="s">
        <v>40</v>
      </c>
      <c r="C529" s="3" t="s">
        <v>1179</v>
      </c>
      <c r="D529" s="3">
        <v>2008.0</v>
      </c>
      <c r="E529" s="3" t="s">
        <v>1180</v>
      </c>
      <c r="F529" s="3" t="s">
        <v>187</v>
      </c>
      <c r="G529" s="3" t="s">
        <v>58</v>
      </c>
      <c r="H529" s="3" t="s">
        <v>58</v>
      </c>
      <c r="I529" s="3" t="s">
        <v>286</v>
      </c>
      <c r="O529" s="3" t="s">
        <v>385</v>
      </c>
      <c r="X529" s="3" t="s">
        <v>54</v>
      </c>
    </row>
    <row r="530">
      <c r="A530" s="3">
        <v>529.0</v>
      </c>
      <c r="B530" s="3" t="s">
        <v>40</v>
      </c>
      <c r="C530" s="3" t="s">
        <v>1181</v>
      </c>
      <c r="D530" s="3">
        <v>2008.0</v>
      </c>
      <c r="E530" s="3" t="s">
        <v>1182</v>
      </c>
      <c r="F530" s="3" t="s">
        <v>129</v>
      </c>
      <c r="G530" s="3" t="s">
        <v>82</v>
      </c>
      <c r="H530" s="3" t="s">
        <v>82</v>
      </c>
      <c r="I530" s="3" t="s">
        <v>130</v>
      </c>
      <c r="O530" s="3" t="s">
        <v>244</v>
      </c>
      <c r="X530" s="3" t="s">
        <v>54</v>
      </c>
    </row>
    <row r="531">
      <c r="A531" s="3">
        <v>530.0</v>
      </c>
      <c r="B531" s="3" t="s">
        <v>40</v>
      </c>
      <c r="C531" s="3" t="s">
        <v>1183</v>
      </c>
      <c r="D531" s="3">
        <v>2009.0</v>
      </c>
      <c r="E531" s="3" t="s">
        <v>1184</v>
      </c>
      <c r="F531" s="3" t="s">
        <v>356</v>
      </c>
      <c r="G531" s="3" t="s">
        <v>82</v>
      </c>
      <c r="H531" s="3" t="s">
        <v>82</v>
      </c>
      <c r="I531" s="3" t="s">
        <v>1001</v>
      </c>
      <c r="O531" s="3" t="s">
        <v>50</v>
      </c>
      <c r="P531" s="3" t="s">
        <v>77</v>
      </c>
      <c r="X531" s="3" t="s">
        <v>54</v>
      </c>
    </row>
    <row r="532">
      <c r="A532" s="3">
        <v>531.0</v>
      </c>
      <c r="B532" s="3" t="s">
        <v>40</v>
      </c>
      <c r="C532" s="3" t="s">
        <v>1185</v>
      </c>
      <c r="D532" s="3">
        <v>2009.0</v>
      </c>
      <c r="E532" s="3" t="s">
        <v>1186</v>
      </c>
      <c r="F532" s="3" t="s">
        <v>129</v>
      </c>
      <c r="G532" s="3" t="s">
        <v>82</v>
      </c>
      <c r="H532" s="3" t="s">
        <v>82</v>
      </c>
      <c r="I532" s="3" t="s">
        <v>1001</v>
      </c>
      <c r="O532" s="3" t="s">
        <v>385</v>
      </c>
      <c r="X532" s="3" t="s">
        <v>54</v>
      </c>
    </row>
    <row r="533">
      <c r="A533" s="3">
        <v>532.0</v>
      </c>
      <c r="B533" s="3" t="s">
        <v>40</v>
      </c>
      <c r="C533" s="3" t="s">
        <v>1187</v>
      </c>
      <c r="D533" s="3">
        <v>2009.0</v>
      </c>
      <c r="E533" s="3" t="s">
        <v>1188</v>
      </c>
      <c r="F533" s="3" t="s">
        <v>129</v>
      </c>
      <c r="G533" s="3" t="s">
        <v>82</v>
      </c>
      <c r="H533" s="3" t="s">
        <v>82</v>
      </c>
      <c r="I533" s="3" t="s">
        <v>384</v>
      </c>
      <c r="O533" s="3" t="s">
        <v>385</v>
      </c>
      <c r="X533" s="3" t="s">
        <v>54</v>
      </c>
    </row>
    <row r="534">
      <c r="A534" s="3">
        <v>533.0</v>
      </c>
      <c r="B534" s="3" t="s">
        <v>40</v>
      </c>
      <c r="C534" s="3" t="s">
        <v>1189</v>
      </c>
      <c r="D534" s="3">
        <v>2009.0</v>
      </c>
      <c r="E534" s="3" t="s">
        <v>1190</v>
      </c>
      <c r="F534" s="3" t="s">
        <v>81</v>
      </c>
      <c r="G534" s="3" t="s">
        <v>82</v>
      </c>
      <c r="H534" s="3" t="s">
        <v>82</v>
      </c>
      <c r="I534" s="3" t="s">
        <v>384</v>
      </c>
      <c r="O534" s="3" t="s">
        <v>493</v>
      </c>
      <c r="X534" s="3" t="s">
        <v>54</v>
      </c>
    </row>
    <row r="535">
      <c r="A535" s="3">
        <v>534.0</v>
      </c>
      <c r="B535" s="3" t="s">
        <v>40</v>
      </c>
      <c r="C535" s="3" t="s">
        <v>1191</v>
      </c>
      <c r="D535" s="3">
        <v>2009.0</v>
      </c>
      <c r="E535" s="3" t="s">
        <v>1192</v>
      </c>
      <c r="F535" s="3" t="s">
        <v>113</v>
      </c>
      <c r="G535" s="3" t="s">
        <v>44</v>
      </c>
      <c r="H535" s="3" t="s">
        <v>45</v>
      </c>
      <c r="I535" s="3" t="s">
        <v>138</v>
      </c>
      <c r="O535" s="3" t="s">
        <v>50</v>
      </c>
      <c r="X535" s="3" t="s">
        <v>54</v>
      </c>
    </row>
    <row r="536">
      <c r="A536" s="3">
        <v>535.0</v>
      </c>
      <c r="B536" s="3" t="s">
        <v>40</v>
      </c>
      <c r="C536" s="3" t="s">
        <v>1193</v>
      </c>
      <c r="D536" s="3">
        <v>2009.0</v>
      </c>
      <c r="E536" s="3" t="s">
        <v>1194</v>
      </c>
      <c r="F536" s="3" t="s">
        <v>68</v>
      </c>
      <c r="G536" s="3" t="s">
        <v>58</v>
      </c>
      <c r="H536" s="3" t="s">
        <v>58</v>
      </c>
      <c r="I536" s="3" t="s">
        <v>110</v>
      </c>
      <c r="O536" s="3" t="s">
        <v>50</v>
      </c>
      <c r="X536" s="3" t="s">
        <v>54</v>
      </c>
    </row>
    <row r="537">
      <c r="A537" s="3">
        <v>536.0</v>
      </c>
      <c r="B537" s="3" t="s">
        <v>40</v>
      </c>
      <c r="C537" s="3" t="s">
        <v>1195</v>
      </c>
      <c r="D537" s="3">
        <v>2009.0</v>
      </c>
      <c r="E537" s="3" t="s">
        <v>1196</v>
      </c>
      <c r="F537" s="3" t="s">
        <v>68</v>
      </c>
      <c r="G537" s="3" t="s">
        <v>58</v>
      </c>
      <c r="H537" s="3" t="s">
        <v>58</v>
      </c>
      <c r="I537" s="3" t="s">
        <v>110</v>
      </c>
      <c r="O537" s="3" t="s">
        <v>50</v>
      </c>
      <c r="X537" s="3" t="s">
        <v>54</v>
      </c>
    </row>
    <row r="538">
      <c r="A538" s="3">
        <v>537.0</v>
      </c>
      <c r="B538" s="3" t="s">
        <v>40</v>
      </c>
      <c r="C538" s="3" t="s">
        <v>1197</v>
      </c>
      <c r="D538" s="3">
        <v>2010.0</v>
      </c>
      <c r="E538" s="3" t="s">
        <v>1198</v>
      </c>
      <c r="F538" s="3" t="s">
        <v>158</v>
      </c>
      <c r="G538" s="3" t="s">
        <v>58</v>
      </c>
      <c r="H538" s="3" t="s">
        <v>58</v>
      </c>
      <c r="I538" s="3" t="s">
        <v>285</v>
      </c>
      <c r="O538" s="3" t="s">
        <v>385</v>
      </c>
      <c r="X538" s="3" t="s">
        <v>54</v>
      </c>
    </row>
    <row r="539">
      <c r="A539" s="3">
        <v>538.0</v>
      </c>
      <c r="B539" s="3" t="s">
        <v>40</v>
      </c>
      <c r="C539" s="3" t="s">
        <v>1199</v>
      </c>
      <c r="D539" s="3">
        <v>2010.0</v>
      </c>
      <c r="E539" s="3" t="s">
        <v>1200</v>
      </c>
      <c r="F539" s="3" t="s">
        <v>504</v>
      </c>
      <c r="G539" s="3" t="s">
        <v>58</v>
      </c>
      <c r="H539" s="3" t="s">
        <v>58</v>
      </c>
      <c r="I539" s="3" t="s">
        <v>69</v>
      </c>
      <c r="O539" s="3" t="s">
        <v>385</v>
      </c>
      <c r="X539" s="3" t="s">
        <v>54</v>
      </c>
    </row>
    <row r="540">
      <c r="A540" s="3">
        <v>539.0</v>
      </c>
      <c r="B540" s="3" t="s">
        <v>40</v>
      </c>
      <c r="C540" s="3" t="s">
        <v>1201</v>
      </c>
      <c r="D540" s="3">
        <v>2010.0</v>
      </c>
      <c r="E540" s="3" t="s">
        <v>1202</v>
      </c>
      <c r="F540" s="3" t="s">
        <v>201</v>
      </c>
      <c r="G540" s="3" t="s">
        <v>58</v>
      </c>
      <c r="H540" s="3" t="s">
        <v>58</v>
      </c>
      <c r="I540" s="3" t="s">
        <v>69</v>
      </c>
      <c r="O540" s="3" t="s">
        <v>244</v>
      </c>
      <c r="X540" s="3" t="s">
        <v>54</v>
      </c>
    </row>
    <row r="541">
      <c r="A541" s="3">
        <v>540.0</v>
      </c>
      <c r="B541" s="3" t="s">
        <v>40</v>
      </c>
      <c r="C541" s="3" t="s">
        <v>1203</v>
      </c>
      <c r="D541" s="3">
        <v>2010.0</v>
      </c>
      <c r="E541" s="3" t="s">
        <v>1204</v>
      </c>
      <c r="F541" s="3" t="s">
        <v>187</v>
      </c>
      <c r="G541" s="3" t="s">
        <v>58</v>
      </c>
      <c r="H541" s="3" t="s">
        <v>58</v>
      </c>
      <c r="I541" s="3" t="s">
        <v>286</v>
      </c>
      <c r="O541" s="3" t="s">
        <v>244</v>
      </c>
      <c r="X541" s="3" t="s">
        <v>54</v>
      </c>
    </row>
    <row r="542">
      <c r="A542" s="3">
        <v>541.0</v>
      </c>
      <c r="B542" s="3" t="s">
        <v>40</v>
      </c>
      <c r="C542" s="3" t="s">
        <v>1205</v>
      </c>
      <c r="D542" s="3">
        <v>2010.0</v>
      </c>
      <c r="E542" s="3" t="s">
        <v>1206</v>
      </c>
      <c r="F542" s="3" t="s">
        <v>129</v>
      </c>
      <c r="G542" s="3" t="s">
        <v>82</v>
      </c>
      <c r="H542" s="3" t="s">
        <v>82</v>
      </c>
      <c r="I542" s="3" t="s">
        <v>130</v>
      </c>
      <c r="O542" s="3" t="s">
        <v>244</v>
      </c>
      <c r="X542" s="3" t="s">
        <v>54</v>
      </c>
    </row>
    <row r="543">
      <c r="A543" s="3">
        <v>542.0</v>
      </c>
      <c r="B543" s="3" t="s">
        <v>40</v>
      </c>
      <c r="C543" s="3" t="s">
        <v>1207</v>
      </c>
      <c r="D543" s="3">
        <v>2010.0</v>
      </c>
      <c r="E543" s="3" t="s">
        <v>1208</v>
      </c>
      <c r="F543" s="3" t="s">
        <v>129</v>
      </c>
      <c r="G543" s="3" t="s">
        <v>82</v>
      </c>
      <c r="H543" s="3" t="s">
        <v>82</v>
      </c>
      <c r="I543" s="3" t="s">
        <v>384</v>
      </c>
      <c r="O543" s="3" t="s">
        <v>385</v>
      </c>
      <c r="X543" s="3" t="s">
        <v>54</v>
      </c>
    </row>
    <row r="544">
      <c r="A544" s="3">
        <v>543.0</v>
      </c>
      <c r="B544" s="3" t="s">
        <v>40</v>
      </c>
      <c r="C544" s="3" t="s">
        <v>1209</v>
      </c>
      <c r="D544" s="3">
        <v>2010.0</v>
      </c>
      <c r="E544" s="3" t="s">
        <v>1210</v>
      </c>
      <c r="F544" s="3" t="s">
        <v>129</v>
      </c>
      <c r="G544" s="3" t="s">
        <v>82</v>
      </c>
      <c r="H544" s="3" t="s">
        <v>82</v>
      </c>
      <c r="I544" s="3" t="s">
        <v>384</v>
      </c>
      <c r="O544" s="3" t="s">
        <v>385</v>
      </c>
      <c r="X544" s="3" t="s">
        <v>54</v>
      </c>
    </row>
    <row r="545">
      <c r="A545" s="3">
        <v>544.0</v>
      </c>
      <c r="B545" s="3" t="s">
        <v>40</v>
      </c>
      <c r="C545" s="3" t="s">
        <v>1211</v>
      </c>
      <c r="D545" s="3">
        <v>2010.0</v>
      </c>
      <c r="E545" s="3" t="s">
        <v>1212</v>
      </c>
      <c r="F545" s="3" t="s">
        <v>129</v>
      </c>
      <c r="G545" s="3" t="s">
        <v>82</v>
      </c>
      <c r="H545" s="3" t="s">
        <v>82</v>
      </c>
      <c r="I545" s="3" t="s">
        <v>384</v>
      </c>
      <c r="O545" s="3" t="s">
        <v>385</v>
      </c>
      <c r="X545" s="3" t="s">
        <v>54</v>
      </c>
    </row>
    <row r="546">
      <c r="A546" s="3">
        <v>545.0</v>
      </c>
      <c r="B546" s="3" t="s">
        <v>40</v>
      </c>
      <c r="C546" s="3" t="s">
        <v>1213</v>
      </c>
      <c r="D546" s="3">
        <v>2010.0</v>
      </c>
      <c r="E546" s="3" t="s">
        <v>1214</v>
      </c>
      <c r="F546" s="3" t="s">
        <v>81</v>
      </c>
      <c r="G546" s="3" t="s">
        <v>82</v>
      </c>
      <c r="H546" s="3" t="s">
        <v>82</v>
      </c>
      <c r="I546" s="3" t="s">
        <v>384</v>
      </c>
      <c r="O546" s="3" t="s">
        <v>385</v>
      </c>
      <c r="X546" s="3" t="s">
        <v>54</v>
      </c>
    </row>
    <row r="547">
      <c r="A547" s="3">
        <v>546.0</v>
      </c>
      <c r="B547" s="3" t="s">
        <v>40</v>
      </c>
      <c r="C547" s="3" t="s">
        <v>1215</v>
      </c>
      <c r="D547" s="3">
        <v>2011.0</v>
      </c>
      <c r="E547" s="3" t="s">
        <v>1216</v>
      </c>
      <c r="F547" s="3" t="s">
        <v>129</v>
      </c>
      <c r="G547" s="3" t="s">
        <v>82</v>
      </c>
      <c r="H547" s="3" t="s">
        <v>82</v>
      </c>
      <c r="I547" s="3" t="s">
        <v>314</v>
      </c>
      <c r="O547" s="3" t="s">
        <v>244</v>
      </c>
      <c r="X547" s="3" t="s">
        <v>54</v>
      </c>
    </row>
    <row r="548">
      <c r="A548" s="3">
        <v>547.0</v>
      </c>
      <c r="B548" s="3" t="s">
        <v>40</v>
      </c>
      <c r="C548" s="3" t="s">
        <v>1217</v>
      </c>
      <c r="D548" s="3">
        <v>2011.0</v>
      </c>
      <c r="E548" s="3" t="s">
        <v>1218</v>
      </c>
      <c r="F548" s="3" t="s">
        <v>57</v>
      </c>
      <c r="G548" s="3" t="s">
        <v>58</v>
      </c>
      <c r="H548" s="3" t="s">
        <v>58</v>
      </c>
      <c r="I548" s="3" t="s">
        <v>286</v>
      </c>
      <c r="O548" s="3" t="s">
        <v>77</v>
      </c>
      <c r="X548" s="3" t="s">
        <v>54</v>
      </c>
    </row>
    <row r="549">
      <c r="A549" s="3">
        <v>548.0</v>
      </c>
      <c r="B549" s="3" t="s">
        <v>40</v>
      </c>
      <c r="C549" s="3" t="s">
        <v>1219</v>
      </c>
      <c r="D549" s="3">
        <v>2011.0</v>
      </c>
      <c r="E549" s="3" t="s">
        <v>1220</v>
      </c>
      <c r="F549" s="3" t="s">
        <v>57</v>
      </c>
      <c r="G549" s="3" t="s">
        <v>58</v>
      </c>
      <c r="H549" s="3" t="s">
        <v>58</v>
      </c>
      <c r="I549" s="3" t="s">
        <v>76</v>
      </c>
      <c r="J549" s="3" t="s">
        <v>69</v>
      </c>
      <c r="K549" s="3" t="s">
        <v>96</v>
      </c>
      <c r="O549" s="3" t="s">
        <v>50</v>
      </c>
      <c r="X549" s="3" t="s">
        <v>54</v>
      </c>
    </row>
    <row r="550">
      <c r="A550" s="3">
        <v>549.0</v>
      </c>
      <c r="B550" s="3" t="s">
        <v>40</v>
      </c>
      <c r="C550" s="3" t="s">
        <v>1221</v>
      </c>
      <c r="D550" s="3">
        <v>2011.0</v>
      </c>
      <c r="E550" s="3" t="s">
        <v>1222</v>
      </c>
      <c r="F550" s="3" t="s">
        <v>81</v>
      </c>
      <c r="G550" s="3" t="s">
        <v>82</v>
      </c>
      <c r="H550" s="3" t="s">
        <v>82</v>
      </c>
      <c r="I550" s="3" t="s">
        <v>1001</v>
      </c>
      <c r="O550" s="3" t="s">
        <v>244</v>
      </c>
      <c r="X550" s="3" t="s">
        <v>54</v>
      </c>
    </row>
    <row r="551">
      <c r="A551" s="3">
        <v>550.0</v>
      </c>
      <c r="B551" s="3" t="s">
        <v>40</v>
      </c>
      <c r="C551" s="3" t="s">
        <v>1223</v>
      </c>
      <c r="D551" s="3">
        <v>2011.0</v>
      </c>
      <c r="E551" s="3" t="s">
        <v>1224</v>
      </c>
      <c r="F551" s="3" t="s">
        <v>1225</v>
      </c>
      <c r="G551" s="3" t="s">
        <v>82</v>
      </c>
      <c r="H551" s="3" t="s">
        <v>82</v>
      </c>
      <c r="I551" s="3" t="s">
        <v>384</v>
      </c>
      <c r="O551" s="3" t="s">
        <v>385</v>
      </c>
      <c r="X551" s="3" t="s">
        <v>54</v>
      </c>
    </row>
    <row r="552">
      <c r="A552" s="3">
        <v>551.0</v>
      </c>
      <c r="B552" s="3" t="s">
        <v>40</v>
      </c>
      <c r="C552" s="3" t="s">
        <v>1226</v>
      </c>
      <c r="D552" s="3">
        <v>2011.0</v>
      </c>
      <c r="E552" s="3" t="s">
        <v>1227</v>
      </c>
      <c r="F552" s="3" t="s">
        <v>433</v>
      </c>
      <c r="G552" s="3" t="s">
        <v>44</v>
      </c>
      <c r="H552" s="3" t="s">
        <v>45</v>
      </c>
      <c r="I552" s="3" t="s">
        <v>461</v>
      </c>
      <c r="O552" s="3" t="s">
        <v>50</v>
      </c>
      <c r="X552" s="3" t="s">
        <v>54</v>
      </c>
    </row>
    <row r="553">
      <c r="A553" s="3">
        <v>552.0</v>
      </c>
      <c r="B553" s="3" t="s">
        <v>40</v>
      </c>
      <c r="C553" s="3" t="s">
        <v>1228</v>
      </c>
      <c r="D553" s="3">
        <v>2012.0</v>
      </c>
      <c r="E553" s="3" t="s">
        <v>1229</v>
      </c>
      <c r="F553" s="3" t="s">
        <v>549</v>
      </c>
      <c r="G553" s="3" t="s">
        <v>58</v>
      </c>
      <c r="H553" s="3" t="s">
        <v>58</v>
      </c>
      <c r="I553" s="3" t="s">
        <v>285</v>
      </c>
      <c r="O553" s="3" t="s">
        <v>385</v>
      </c>
      <c r="X553" s="3" t="s">
        <v>54</v>
      </c>
    </row>
    <row r="554">
      <c r="A554" s="3">
        <v>553.0</v>
      </c>
      <c r="B554" s="3" t="s">
        <v>40</v>
      </c>
      <c r="C554" s="3" t="s">
        <v>1230</v>
      </c>
      <c r="D554" s="3">
        <v>2012.0</v>
      </c>
      <c r="E554" s="3" t="s">
        <v>1231</v>
      </c>
      <c r="F554" s="3" t="s">
        <v>129</v>
      </c>
      <c r="G554" s="3" t="s">
        <v>82</v>
      </c>
      <c r="H554" s="3" t="s">
        <v>82</v>
      </c>
      <c r="I554" s="3" t="s">
        <v>130</v>
      </c>
      <c r="O554" s="3" t="s">
        <v>244</v>
      </c>
      <c r="X554" s="3" t="s">
        <v>54</v>
      </c>
    </row>
    <row r="555">
      <c r="A555" s="3">
        <v>554.0</v>
      </c>
      <c r="B555" s="3" t="s">
        <v>40</v>
      </c>
      <c r="C555" s="3" t="s">
        <v>1232</v>
      </c>
      <c r="D555" s="3">
        <v>2012.0</v>
      </c>
      <c r="E555" s="3" t="s">
        <v>1233</v>
      </c>
      <c r="F555" s="3" t="s">
        <v>158</v>
      </c>
      <c r="G555" s="3" t="s">
        <v>58</v>
      </c>
      <c r="H555" s="3" t="s">
        <v>58</v>
      </c>
      <c r="I555" s="3" t="s">
        <v>76</v>
      </c>
      <c r="O555" s="3" t="s">
        <v>50</v>
      </c>
      <c r="X555" s="3" t="s">
        <v>54</v>
      </c>
    </row>
    <row r="556">
      <c r="A556" s="3">
        <v>555.0</v>
      </c>
      <c r="B556" s="3" t="s">
        <v>40</v>
      </c>
      <c r="C556" s="3" t="s">
        <v>1234</v>
      </c>
      <c r="D556" s="3">
        <v>2012.0</v>
      </c>
      <c r="E556" s="3" t="s">
        <v>1235</v>
      </c>
      <c r="F556" s="3" t="s">
        <v>57</v>
      </c>
      <c r="G556" s="3" t="s">
        <v>58</v>
      </c>
      <c r="H556" s="3" t="s">
        <v>58</v>
      </c>
      <c r="I556" s="3" t="s">
        <v>59</v>
      </c>
      <c r="J556" s="3" t="s">
        <v>286</v>
      </c>
      <c r="O556" s="3" t="s">
        <v>244</v>
      </c>
      <c r="X556" s="3" t="s">
        <v>54</v>
      </c>
    </row>
    <row r="557">
      <c r="A557" s="3">
        <v>556.0</v>
      </c>
      <c r="B557" s="3" t="s">
        <v>40</v>
      </c>
      <c r="C557" s="3" t="s">
        <v>1236</v>
      </c>
      <c r="D557" s="3">
        <v>2012.0</v>
      </c>
      <c r="E557" s="3" t="s">
        <v>1237</v>
      </c>
      <c r="F557" s="3" t="s">
        <v>129</v>
      </c>
      <c r="G557" s="3" t="s">
        <v>82</v>
      </c>
      <c r="H557" s="3" t="s">
        <v>82</v>
      </c>
      <c r="I557" s="3" t="s">
        <v>384</v>
      </c>
      <c r="O557" s="3" t="s">
        <v>385</v>
      </c>
      <c r="X557" s="3" t="s">
        <v>54</v>
      </c>
    </row>
    <row r="558">
      <c r="A558" s="3">
        <v>557.0</v>
      </c>
      <c r="B558" s="3" t="s">
        <v>40</v>
      </c>
      <c r="C558" s="3" t="s">
        <v>1238</v>
      </c>
      <c r="D558" s="3">
        <v>2013.0</v>
      </c>
      <c r="E558" s="3" t="s">
        <v>1239</v>
      </c>
      <c r="F558" s="3" t="s">
        <v>158</v>
      </c>
      <c r="G558" s="3" t="s">
        <v>58</v>
      </c>
      <c r="H558" s="3" t="s">
        <v>58</v>
      </c>
      <c r="I558" s="3" t="s">
        <v>286</v>
      </c>
      <c r="O558" s="3" t="s">
        <v>50</v>
      </c>
      <c r="X558" s="3" t="s">
        <v>54</v>
      </c>
    </row>
    <row r="559">
      <c r="A559" s="3">
        <v>558.0</v>
      </c>
      <c r="B559" s="3" t="s">
        <v>40</v>
      </c>
      <c r="C559" s="3" t="s">
        <v>1240</v>
      </c>
      <c r="D559" s="3">
        <v>2013.0</v>
      </c>
      <c r="E559" s="3" t="s">
        <v>1241</v>
      </c>
      <c r="F559" s="3" t="s">
        <v>129</v>
      </c>
      <c r="G559" s="3" t="s">
        <v>82</v>
      </c>
      <c r="H559" s="3" t="s">
        <v>82</v>
      </c>
      <c r="I559" s="3" t="s">
        <v>130</v>
      </c>
      <c r="O559" s="3" t="s">
        <v>244</v>
      </c>
      <c r="X559" s="3" t="s">
        <v>54</v>
      </c>
    </row>
    <row r="560">
      <c r="A560" s="3">
        <v>559.0</v>
      </c>
      <c r="B560" s="3" t="s">
        <v>40</v>
      </c>
      <c r="C560" s="3" t="s">
        <v>1242</v>
      </c>
      <c r="D560" s="3">
        <v>2013.0</v>
      </c>
      <c r="E560" s="3" t="s">
        <v>1243</v>
      </c>
      <c r="F560" s="3" t="s">
        <v>129</v>
      </c>
      <c r="G560" s="3" t="s">
        <v>82</v>
      </c>
      <c r="H560" s="3" t="s">
        <v>82</v>
      </c>
      <c r="I560" s="3" t="s">
        <v>384</v>
      </c>
      <c r="O560" s="3" t="s">
        <v>147</v>
      </c>
      <c r="X560" s="3" t="s">
        <v>64</v>
      </c>
    </row>
    <row r="561">
      <c r="A561" s="3">
        <v>560.0</v>
      </c>
      <c r="B561" s="3" t="s">
        <v>40</v>
      </c>
      <c r="C561" s="3" t="s">
        <v>1244</v>
      </c>
      <c r="D561" s="3">
        <v>2013.0</v>
      </c>
      <c r="E561" s="3" t="s">
        <v>1245</v>
      </c>
      <c r="F561" s="3" t="s">
        <v>43</v>
      </c>
      <c r="G561" s="3" t="s">
        <v>44</v>
      </c>
      <c r="H561" s="3" t="s">
        <v>45</v>
      </c>
      <c r="I561" s="3" t="s">
        <v>275</v>
      </c>
      <c r="O561" s="3" t="s">
        <v>385</v>
      </c>
      <c r="X561" s="3" t="s">
        <v>54</v>
      </c>
    </row>
    <row r="562">
      <c r="A562" s="3">
        <v>561.0</v>
      </c>
      <c r="B562" s="3" t="s">
        <v>40</v>
      </c>
      <c r="C562" s="3" t="s">
        <v>1246</v>
      </c>
      <c r="D562" s="3">
        <v>2013.0</v>
      </c>
      <c r="E562" s="3" t="s">
        <v>1247</v>
      </c>
      <c r="F562" s="3" t="s">
        <v>68</v>
      </c>
      <c r="G562" s="3" t="s">
        <v>58</v>
      </c>
      <c r="H562" s="3" t="s">
        <v>58</v>
      </c>
      <c r="I562" s="3" t="s">
        <v>110</v>
      </c>
      <c r="O562" s="3" t="s">
        <v>385</v>
      </c>
      <c r="X562" s="3" t="s">
        <v>54</v>
      </c>
    </row>
    <row r="563">
      <c r="A563" s="3">
        <v>562.0</v>
      </c>
      <c r="B563" s="3" t="s">
        <v>40</v>
      </c>
      <c r="C563" s="3" t="s">
        <v>1248</v>
      </c>
      <c r="D563" s="3">
        <v>2014.0</v>
      </c>
      <c r="E563" s="3" t="s">
        <v>1249</v>
      </c>
      <c r="F563" s="3" t="s">
        <v>158</v>
      </c>
      <c r="G563" s="3" t="s">
        <v>58</v>
      </c>
      <c r="H563" s="3" t="s">
        <v>58</v>
      </c>
      <c r="I563" s="3" t="s">
        <v>286</v>
      </c>
      <c r="O563" s="3" t="s">
        <v>50</v>
      </c>
      <c r="X563" s="3" t="s">
        <v>54</v>
      </c>
    </row>
    <row r="564">
      <c r="A564" s="3">
        <v>563.0</v>
      </c>
      <c r="B564" s="3" t="s">
        <v>40</v>
      </c>
      <c r="C564" s="3" t="s">
        <v>1250</v>
      </c>
      <c r="D564" s="3">
        <v>2014.0</v>
      </c>
      <c r="E564" s="3" t="s">
        <v>1251</v>
      </c>
      <c r="F564" s="3" t="s">
        <v>129</v>
      </c>
      <c r="G564" s="3" t="s">
        <v>82</v>
      </c>
      <c r="H564" s="3" t="s">
        <v>82</v>
      </c>
      <c r="I564" s="3" t="s">
        <v>384</v>
      </c>
      <c r="O564" s="3" t="s">
        <v>385</v>
      </c>
      <c r="X564" s="3" t="s">
        <v>54</v>
      </c>
    </row>
    <row r="565">
      <c r="A565" s="3">
        <v>564.0</v>
      </c>
      <c r="B565" s="3" t="s">
        <v>40</v>
      </c>
      <c r="C565" s="3" t="s">
        <v>1252</v>
      </c>
      <c r="D565" s="3">
        <v>2014.0</v>
      </c>
      <c r="E565" s="3" t="s">
        <v>1253</v>
      </c>
      <c r="F565" s="3" t="s">
        <v>129</v>
      </c>
      <c r="G565" s="3" t="s">
        <v>82</v>
      </c>
      <c r="H565" s="3" t="s">
        <v>82</v>
      </c>
      <c r="I565" s="3" t="s">
        <v>384</v>
      </c>
      <c r="O565" s="3" t="s">
        <v>385</v>
      </c>
      <c r="X565" s="3" t="s">
        <v>54</v>
      </c>
    </row>
    <row r="566">
      <c r="A566" s="3">
        <v>565.0</v>
      </c>
      <c r="B566" s="3" t="s">
        <v>40</v>
      </c>
      <c r="C566" s="3" t="s">
        <v>1254</v>
      </c>
      <c r="D566" s="3">
        <v>2014.0</v>
      </c>
      <c r="E566" s="3" t="s">
        <v>1255</v>
      </c>
      <c r="F566" s="3" t="s">
        <v>433</v>
      </c>
      <c r="G566" s="3" t="s">
        <v>44</v>
      </c>
      <c r="H566" s="3" t="s">
        <v>45</v>
      </c>
      <c r="I566" s="3" t="s">
        <v>275</v>
      </c>
      <c r="P566" s="3" t="s">
        <v>50</v>
      </c>
      <c r="X566" s="3" t="s">
        <v>54</v>
      </c>
    </row>
    <row r="567">
      <c r="A567" s="3">
        <v>566.0</v>
      </c>
      <c r="B567" s="3" t="s">
        <v>40</v>
      </c>
      <c r="C567" s="3" t="s">
        <v>1256</v>
      </c>
      <c r="D567" s="3">
        <v>2014.0</v>
      </c>
      <c r="E567" s="3" t="s">
        <v>1257</v>
      </c>
      <c r="F567" s="3" t="s">
        <v>129</v>
      </c>
      <c r="G567" s="3" t="s">
        <v>82</v>
      </c>
      <c r="H567" s="3" t="s">
        <v>82</v>
      </c>
      <c r="I567" s="3" t="s">
        <v>453</v>
      </c>
      <c r="O567" s="3" t="s">
        <v>244</v>
      </c>
      <c r="X567" s="3" t="s">
        <v>54</v>
      </c>
    </row>
    <row r="568">
      <c r="A568" s="3">
        <v>567.0</v>
      </c>
      <c r="B568" s="3" t="s">
        <v>40</v>
      </c>
      <c r="C568" s="3" t="s">
        <v>1258</v>
      </c>
      <c r="D568" s="3">
        <v>2014.0</v>
      </c>
      <c r="E568" s="3" t="s">
        <v>1259</v>
      </c>
      <c r="F568" s="3" t="s">
        <v>129</v>
      </c>
      <c r="G568" s="3" t="s">
        <v>82</v>
      </c>
      <c r="H568" s="3" t="s">
        <v>82</v>
      </c>
      <c r="I568" s="3" t="s">
        <v>453</v>
      </c>
      <c r="O568" s="3" t="s">
        <v>385</v>
      </c>
      <c r="X568" s="3" t="s">
        <v>54</v>
      </c>
    </row>
    <row r="569">
      <c r="A569" s="3">
        <v>568.0</v>
      </c>
      <c r="B569" s="3" t="s">
        <v>40</v>
      </c>
      <c r="C569" s="3" t="s">
        <v>1260</v>
      </c>
      <c r="D569" s="3">
        <v>2014.0</v>
      </c>
      <c r="E569" s="3" t="s">
        <v>1261</v>
      </c>
      <c r="F569" s="3" t="s">
        <v>137</v>
      </c>
      <c r="G569" s="3" t="s">
        <v>44</v>
      </c>
      <c r="H569" s="3" t="s">
        <v>45</v>
      </c>
      <c r="I569" s="3" t="s">
        <v>138</v>
      </c>
      <c r="O569" s="3" t="s">
        <v>385</v>
      </c>
      <c r="X569" s="3" t="s">
        <v>54</v>
      </c>
    </row>
    <row r="570">
      <c r="A570" s="3">
        <v>569.0</v>
      </c>
      <c r="B570" s="3" t="s">
        <v>40</v>
      </c>
      <c r="C570" s="3" t="s">
        <v>1262</v>
      </c>
      <c r="D570" s="3">
        <v>2014.0</v>
      </c>
      <c r="E570" s="3" t="s">
        <v>1263</v>
      </c>
      <c r="F570" s="3" t="s">
        <v>201</v>
      </c>
      <c r="G570" s="3" t="s">
        <v>58</v>
      </c>
      <c r="H570" s="3" t="s">
        <v>58</v>
      </c>
      <c r="I570" s="3" t="s">
        <v>110</v>
      </c>
      <c r="O570" s="3" t="s">
        <v>244</v>
      </c>
      <c r="X570" s="3" t="s">
        <v>54</v>
      </c>
    </row>
    <row r="571">
      <c r="A571" s="3">
        <v>570.0</v>
      </c>
      <c r="B571" s="3" t="s">
        <v>40</v>
      </c>
      <c r="C571" s="3" t="s">
        <v>1264</v>
      </c>
      <c r="D571" s="3">
        <v>2015.0</v>
      </c>
      <c r="E571" s="3" t="s">
        <v>1265</v>
      </c>
      <c r="F571" s="3" t="s">
        <v>57</v>
      </c>
      <c r="G571" s="3" t="s">
        <v>58</v>
      </c>
      <c r="H571" s="3" t="s">
        <v>58</v>
      </c>
      <c r="I571" s="3" t="s">
        <v>76</v>
      </c>
      <c r="O571" s="3" t="s">
        <v>50</v>
      </c>
      <c r="X571" s="3" t="s">
        <v>54</v>
      </c>
    </row>
    <row r="572">
      <c r="A572" s="3">
        <v>571.0</v>
      </c>
      <c r="B572" s="3" t="s">
        <v>40</v>
      </c>
      <c r="C572" s="3" t="s">
        <v>1266</v>
      </c>
      <c r="D572" s="3">
        <v>2015.0</v>
      </c>
      <c r="E572" s="3" t="s">
        <v>1267</v>
      </c>
      <c r="F572" s="3" t="s">
        <v>129</v>
      </c>
      <c r="G572" s="3" t="s">
        <v>82</v>
      </c>
      <c r="H572" s="3" t="s">
        <v>82</v>
      </c>
      <c r="I572" s="3" t="s">
        <v>384</v>
      </c>
      <c r="O572" s="3" t="s">
        <v>385</v>
      </c>
      <c r="X572" s="3" t="s">
        <v>54</v>
      </c>
    </row>
    <row r="573">
      <c r="A573" s="3">
        <v>572.0</v>
      </c>
      <c r="B573" s="3" t="s">
        <v>40</v>
      </c>
      <c r="C573" s="3" t="s">
        <v>1268</v>
      </c>
      <c r="D573" s="3">
        <v>2015.0</v>
      </c>
      <c r="E573" s="3" t="s">
        <v>1269</v>
      </c>
      <c r="F573" s="3" t="s">
        <v>356</v>
      </c>
      <c r="G573" s="3" t="s">
        <v>82</v>
      </c>
      <c r="H573" s="3" t="s">
        <v>82</v>
      </c>
      <c r="I573" s="3" t="s">
        <v>254</v>
      </c>
      <c r="O573" s="3" t="s">
        <v>1270</v>
      </c>
      <c r="X573" s="3" t="s">
        <v>54</v>
      </c>
    </row>
    <row r="574">
      <c r="A574" s="3">
        <v>573.0</v>
      </c>
      <c r="B574" s="3" t="s">
        <v>40</v>
      </c>
      <c r="C574" s="3" t="s">
        <v>1271</v>
      </c>
      <c r="D574" s="3">
        <v>2016.0</v>
      </c>
      <c r="E574" s="3" t="s">
        <v>1272</v>
      </c>
      <c r="F574" s="3" t="s">
        <v>158</v>
      </c>
      <c r="G574" s="3" t="s">
        <v>58</v>
      </c>
      <c r="H574" s="3" t="s">
        <v>58</v>
      </c>
      <c r="I574" s="3" t="s">
        <v>286</v>
      </c>
      <c r="O574" s="3" t="s">
        <v>50</v>
      </c>
      <c r="X574" s="3" t="s">
        <v>54</v>
      </c>
    </row>
    <row r="575">
      <c r="A575" s="3">
        <v>574.0</v>
      </c>
      <c r="B575" s="3" t="s">
        <v>40</v>
      </c>
      <c r="C575" s="3" t="s">
        <v>1273</v>
      </c>
      <c r="D575" s="3">
        <v>2016.0</v>
      </c>
      <c r="E575" s="3" t="s">
        <v>1274</v>
      </c>
      <c r="F575" s="3" t="s">
        <v>57</v>
      </c>
      <c r="G575" s="3" t="s">
        <v>58</v>
      </c>
      <c r="H575" s="3" t="s">
        <v>58</v>
      </c>
      <c r="I575" s="3" t="s">
        <v>285</v>
      </c>
      <c r="J575" s="3" t="s">
        <v>69</v>
      </c>
      <c r="O575" s="3" t="s">
        <v>244</v>
      </c>
      <c r="X575" s="3" t="s">
        <v>54</v>
      </c>
    </row>
    <row r="576">
      <c r="A576" s="3">
        <v>575.0</v>
      </c>
      <c r="B576" s="3" t="s">
        <v>40</v>
      </c>
      <c r="C576" s="3" t="s">
        <v>1275</v>
      </c>
      <c r="D576" s="3">
        <v>2016.0</v>
      </c>
      <c r="E576" s="3" t="s">
        <v>1276</v>
      </c>
      <c r="F576" s="3" t="s">
        <v>129</v>
      </c>
      <c r="G576" s="3" t="s">
        <v>82</v>
      </c>
      <c r="H576" s="3" t="s">
        <v>82</v>
      </c>
      <c r="I576" s="3" t="s">
        <v>314</v>
      </c>
      <c r="O576" s="3" t="s">
        <v>385</v>
      </c>
      <c r="X576" s="3" t="s">
        <v>54</v>
      </c>
    </row>
    <row r="577">
      <c r="A577" s="3">
        <v>576.0</v>
      </c>
      <c r="B577" s="3" t="s">
        <v>40</v>
      </c>
      <c r="C577" s="3" t="s">
        <v>1275</v>
      </c>
      <c r="D577" s="3">
        <v>2016.0</v>
      </c>
      <c r="E577" s="3" t="s">
        <v>1277</v>
      </c>
      <c r="F577" s="3" t="s">
        <v>129</v>
      </c>
      <c r="G577" s="3" t="s">
        <v>82</v>
      </c>
      <c r="H577" s="3" t="s">
        <v>82</v>
      </c>
      <c r="I577" s="3" t="s">
        <v>314</v>
      </c>
      <c r="O577" s="3" t="s">
        <v>385</v>
      </c>
      <c r="X577" s="3" t="s">
        <v>54</v>
      </c>
    </row>
    <row r="578">
      <c r="A578" s="3">
        <v>577.0</v>
      </c>
      <c r="B578" s="3" t="s">
        <v>40</v>
      </c>
      <c r="C578" s="3" t="s">
        <v>1278</v>
      </c>
      <c r="D578" s="3">
        <v>2016.0</v>
      </c>
      <c r="E578" s="3" t="s">
        <v>1279</v>
      </c>
      <c r="F578" s="3" t="s">
        <v>57</v>
      </c>
      <c r="G578" s="3" t="s">
        <v>58</v>
      </c>
      <c r="H578" s="3" t="s">
        <v>58</v>
      </c>
      <c r="I578" s="3" t="s">
        <v>286</v>
      </c>
      <c r="O578" s="3" t="s">
        <v>50</v>
      </c>
      <c r="X578" s="3" t="s">
        <v>54</v>
      </c>
    </row>
    <row r="579">
      <c r="A579" s="3">
        <v>578.0</v>
      </c>
      <c r="B579" s="3" t="s">
        <v>40</v>
      </c>
      <c r="C579" s="3" t="s">
        <v>1280</v>
      </c>
      <c r="D579" s="3">
        <v>2016.0</v>
      </c>
      <c r="E579" s="3" t="s">
        <v>1281</v>
      </c>
      <c r="F579" s="3" t="s">
        <v>57</v>
      </c>
      <c r="G579" s="3" t="s">
        <v>58</v>
      </c>
      <c r="H579" s="3" t="s">
        <v>58</v>
      </c>
      <c r="I579" s="3" t="s">
        <v>286</v>
      </c>
      <c r="O579" s="3" t="s">
        <v>50</v>
      </c>
      <c r="X579" s="3" t="s">
        <v>54</v>
      </c>
    </row>
    <row r="580">
      <c r="A580" s="3">
        <v>579.0</v>
      </c>
      <c r="B580" s="3" t="s">
        <v>40</v>
      </c>
      <c r="C580" s="3" t="s">
        <v>1282</v>
      </c>
      <c r="D580" s="3">
        <v>2016.0</v>
      </c>
      <c r="E580" s="3" t="s">
        <v>1283</v>
      </c>
      <c r="F580" s="3" t="s">
        <v>129</v>
      </c>
      <c r="G580" s="3" t="s">
        <v>82</v>
      </c>
      <c r="H580" s="3" t="s">
        <v>82</v>
      </c>
      <c r="I580" s="3" t="s">
        <v>384</v>
      </c>
      <c r="O580" s="3" t="s">
        <v>385</v>
      </c>
      <c r="X580" s="3" t="s">
        <v>54</v>
      </c>
    </row>
    <row r="581">
      <c r="A581" s="3">
        <v>580.0</v>
      </c>
      <c r="B581" s="3" t="s">
        <v>40</v>
      </c>
      <c r="C581" s="3" t="s">
        <v>1284</v>
      </c>
      <c r="D581" s="3">
        <v>2016.0</v>
      </c>
      <c r="E581" s="3" t="s">
        <v>1285</v>
      </c>
      <c r="F581" s="3" t="s">
        <v>57</v>
      </c>
      <c r="G581" s="3" t="s">
        <v>58</v>
      </c>
      <c r="H581" s="3" t="s">
        <v>58</v>
      </c>
      <c r="I581" s="3" t="s">
        <v>110</v>
      </c>
      <c r="O581" s="3" t="s">
        <v>385</v>
      </c>
      <c r="X581" s="3" t="s">
        <v>54</v>
      </c>
    </row>
    <row r="582">
      <c r="A582" s="3">
        <v>581.0</v>
      </c>
      <c r="B582" s="3" t="s">
        <v>40</v>
      </c>
      <c r="C582" s="3" t="s">
        <v>1286</v>
      </c>
      <c r="D582" s="3">
        <v>2017.0</v>
      </c>
      <c r="E582" s="3" t="s">
        <v>1287</v>
      </c>
      <c r="F582" s="3" t="s">
        <v>1288</v>
      </c>
      <c r="G582" s="3" t="s">
        <v>101</v>
      </c>
      <c r="H582" s="3" t="s">
        <v>102</v>
      </c>
      <c r="I582" s="3" t="s">
        <v>155</v>
      </c>
      <c r="O582" s="3" t="s">
        <v>77</v>
      </c>
      <c r="X582" s="3" t="s">
        <v>54</v>
      </c>
    </row>
    <row r="583">
      <c r="A583" s="3">
        <v>582.0</v>
      </c>
      <c r="B583" s="3" t="s">
        <v>40</v>
      </c>
      <c r="C583" s="3" t="s">
        <v>1289</v>
      </c>
      <c r="D583" s="3">
        <v>2017.0</v>
      </c>
      <c r="E583" s="3" t="s">
        <v>1290</v>
      </c>
      <c r="F583" s="3" t="s">
        <v>515</v>
      </c>
      <c r="G583" s="3" t="s">
        <v>58</v>
      </c>
      <c r="H583" s="3" t="s">
        <v>58</v>
      </c>
      <c r="I583" s="3" t="s">
        <v>285</v>
      </c>
      <c r="O583" s="3" t="s">
        <v>244</v>
      </c>
      <c r="X583" s="3" t="s">
        <v>54</v>
      </c>
    </row>
    <row r="584">
      <c r="A584" s="3">
        <v>583.0</v>
      </c>
      <c r="B584" s="3" t="s">
        <v>40</v>
      </c>
      <c r="C584" s="3" t="s">
        <v>1291</v>
      </c>
      <c r="D584" s="3">
        <v>2017.0</v>
      </c>
      <c r="E584" s="3" t="s">
        <v>1292</v>
      </c>
      <c r="F584" s="3" t="s">
        <v>57</v>
      </c>
      <c r="G584" s="3" t="s">
        <v>58</v>
      </c>
      <c r="H584" s="3" t="s">
        <v>58</v>
      </c>
      <c r="I584" s="3" t="s">
        <v>286</v>
      </c>
      <c r="O584" s="3" t="s">
        <v>244</v>
      </c>
      <c r="X584" s="3" t="s">
        <v>54</v>
      </c>
    </row>
    <row r="585">
      <c r="A585" s="3">
        <v>584.0</v>
      </c>
      <c r="B585" s="3" t="s">
        <v>40</v>
      </c>
      <c r="C585" s="3" t="s">
        <v>1293</v>
      </c>
      <c r="D585" s="3">
        <v>2017.0</v>
      </c>
      <c r="E585" s="3" t="s">
        <v>1294</v>
      </c>
      <c r="F585" s="3" t="s">
        <v>129</v>
      </c>
      <c r="G585" s="3" t="s">
        <v>82</v>
      </c>
      <c r="H585" s="3" t="s">
        <v>82</v>
      </c>
      <c r="I585" s="3" t="s">
        <v>130</v>
      </c>
      <c r="O585" s="3" t="s">
        <v>244</v>
      </c>
      <c r="X585" s="3" t="s">
        <v>54</v>
      </c>
    </row>
    <row r="586">
      <c r="A586" s="3">
        <v>585.0</v>
      </c>
      <c r="B586" s="3" t="s">
        <v>40</v>
      </c>
      <c r="C586" s="3" t="s">
        <v>1295</v>
      </c>
      <c r="D586" s="3">
        <v>2017.0</v>
      </c>
      <c r="E586" s="3" t="s">
        <v>1296</v>
      </c>
      <c r="F586" s="3" t="s">
        <v>129</v>
      </c>
      <c r="G586" s="3" t="s">
        <v>82</v>
      </c>
      <c r="H586" s="3" t="s">
        <v>82</v>
      </c>
      <c r="I586" s="3" t="s">
        <v>130</v>
      </c>
      <c r="O586" s="3" t="s">
        <v>244</v>
      </c>
      <c r="X586" s="3" t="s">
        <v>54</v>
      </c>
    </row>
    <row r="587">
      <c r="A587" s="3">
        <v>586.0</v>
      </c>
      <c r="B587" s="3" t="s">
        <v>40</v>
      </c>
      <c r="C587" s="3" t="s">
        <v>1297</v>
      </c>
      <c r="D587" s="3">
        <v>2017.0</v>
      </c>
      <c r="E587" s="3" t="s">
        <v>1298</v>
      </c>
      <c r="F587" s="3" t="s">
        <v>129</v>
      </c>
      <c r="G587" s="3" t="s">
        <v>82</v>
      </c>
      <c r="H587" s="3" t="s">
        <v>82</v>
      </c>
      <c r="I587" s="3" t="s">
        <v>130</v>
      </c>
      <c r="O587" s="3" t="s">
        <v>244</v>
      </c>
      <c r="X587" s="3" t="s">
        <v>54</v>
      </c>
    </row>
    <row r="588">
      <c r="A588" s="3">
        <v>587.0</v>
      </c>
      <c r="B588" s="3" t="s">
        <v>40</v>
      </c>
      <c r="C588" s="3" t="s">
        <v>1299</v>
      </c>
      <c r="D588" s="3">
        <v>2017.0</v>
      </c>
      <c r="E588" s="3" t="s">
        <v>1300</v>
      </c>
      <c r="F588" s="3" t="s">
        <v>113</v>
      </c>
      <c r="G588" s="3" t="s">
        <v>44</v>
      </c>
      <c r="H588" s="3" t="s">
        <v>45</v>
      </c>
      <c r="I588" s="3" t="s">
        <v>1001</v>
      </c>
      <c r="O588" s="3" t="s">
        <v>244</v>
      </c>
      <c r="X588" s="3" t="s">
        <v>54</v>
      </c>
    </row>
    <row r="589">
      <c r="A589" s="3">
        <v>588.0</v>
      </c>
      <c r="B589" s="3" t="s">
        <v>40</v>
      </c>
      <c r="C589" s="3" t="s">
        <v>1301</v>
      </c>
      <c r="D589" s="3">
        <v>2017.0</v>
      </c>
      <c r="E589" s="3" t="s">
        <v>1302</v>
      </c>
      <c r="F589" s="3" t="s">
        <v>356</v>
      </c>
      <c r="G589" s="3" t="s">
        <v>82</v>
      </c>
      <c r="H589" s="3" t="s">
        <v>82</v>
      </c>
      <c r="I589" s="3" t="s">
        <v>1001</v>
      </c>
      <c r="O589" s="3" t="s">
        <v>50</v>
      </c>
      <c r="X589" s="3" t="s">
        <v>54</v>
      </c>
    </row>
    <row r="590">
      <c r="A590" s="3">
        <v>589.0</v>
      </c>
      <c r="B590" s="3" t="s">
        <v>40</v>
      </c>
      <c r="C590" s="3" t="s">
        <v>1303</v>
      </c>
      <c r="D590" s="3">
        <v>2017.0</v>
      </c>
      <c r="E590" s="3" t="s">
        <v>1304</v>
      </c>
      <c r="F590" s="3" t="s">
        <v>43</v>
      </c>
      <c r="G590" s="3" t="s">
        <v>44</v>
      </c>
      <c r="H590" s="3" t="s">
        <v>45</v>
      </c>
      <c r="I590" s="3" t="s">
        <v>46</v>
      </c>
      <c r="J590" s="3" t="s">
        <v>485</v>
      </c>
      <c r="O590" s="3" t="s">
        <v>244</v>
      </c>
      <c r="X590" s="3" t="s">
        <v>54</v>
      </c>
    </row>
    <row r="591">
      <c r="A591" s="3">
        <v>590.0</v>
      </c>
      <c r="B591" s="3" t="s">
        <v>40</v>
      </c>
      <c r="C591" s="3" t="s">
        <v>1305</v>
      </c>
      <c r="D591" s="3">
        <v>2017.0</v>
      </c>
      <c r="E591" s="3" t="s">
        <v>1306</v>
      </c>
      <c r="F591" s="3" t="s">
        <v>356</v>
      </c>
      <c r="G591" s="3" t="s">
        <v>82</v>
      </c>
      <c r="H591" s="3" t="s">
        <v>82</v>
      </c>
      <c r="I591" s="3" t="s">
        <v>83</v>
      </c>
      <c r="O591" s="3" t="s">
        <v>244</v>
      </c>
      <c r="X591" s="3" t="s">
        <v>54</v>
      </c>
    </row>
    <row r="592">
      <c r="A592" s="3">
        <v>591.0</v>
      </c>
      <c r="B592" s="3" t="s">
        <v>40</v>
      </c>
      <c r="C592" s="3" t="s">
        <v>1307</v>
      </c>
      <c r="D592" s="3">
        <v>2017.0</v>
      </c>
      <c r="E592" s="3" t="s">
        <v>1308</v>
      </c>
      <c r="F592" s="3" t="s">
        <v>129</v>
      </c>
      <c r="G592" s="3" t="s">
        <v>82</v>
      </c>
      <c r="H592" s="3" t="s">
        <v>82</v>
      </c>
      <c r="I592" s="3" t="s">
        <v>384</v>
      </c>
      <c r="O592" s="3" t="s">
        <v>385</v>
      </c>
      <c r="X592" s="3" t="s">
        <v>54</v>
      </c>
    </row>
    <row r="593">
      <c r="A593" s="3">
        <v>592.0</v>
      </c>
      <c r="B593" s="3" t="s">
        <v>40</v>
      </c>
      <c r="C593" s="3" t="s">
        <v>1309</v>
      </c>
      <c r="D593" s="3">
        <v>2017.0</v>
      </c>
      <c r="E593" s="3" t="s">
        <v>1310</v>
      </c>
      <c r="F593" s="3" t="s">
        <v>129</v>
      </c>
      <c r="G593" s="3" t="s">
        <v>82</v>
      </c>
      <c r="H593" s="3" t="s">
        <v>82</v>
      </c>
      <c r="I593" s="3" t="s">
        <v>384</v>
      </c>
      <c r="O593" s="3" t="s">
        <v>385</v>
      </c>
      <c r="X593" s="3" t="s">
        <v>54</v>
      </c>
    </row>
    <row r="594">
      <c r="A594" s="3">
        <v>593.0</v>
      </c>
      <c r="B594" s="3" t="s">
        <v>40</v>
      </c>
      <c r="C594" s="3" t="s">
        <v>1311</v>
      </c>
      <c r="D594" s="3">
        <v>2017.0</v>
      </c>
      <c r="E594" s="3" t="s">
        <v>1312</v>
      </c>
      <c r="F594" s="3" t="s">
        <v>129</v>
      </c>
      <c r="G594" s="3" t="s">
        <v>82</v>
      </c>
      <c r="H594" s="3" t="s">
        <v>82</v>
      </c>
      <c r="I594" s="3" t="s">
        <v>384</v>
      </c>
      <c r="O594" s="3" t="s">
        <v>385</v>
      </c>
      <c r="X594" s="3" t="s">
        <v>54</v>
      </c>
    </row>
    <row r="595">
      <c r="A595" s="3">
        <v>594.0</v>
      </c>
      <c r="B595" s="3" t="s">
        <v>40</v>
      </c>
      <c r="C595" s="3" t="s">
        <v>1313</v>
      </c>
      <c r="D595" s="3">
        <v>2018.0</v>
      </c>
      <c r="E595" s="3" t="s">
        <v>1314</v>
      </c>
      <c r="F595" s="3" t="s">
        <v>158</v>
      </c>
      <c r="G595" s="3" t="s">
        <v>58</v>
      </c>
      <c r="H595" s="3" t="s">
        <v>58</v>
      </c>
      <c r="I595" s="3" t="s">
        <v>286</v>
      </c>
      <c r="O595" s="3" t="s">
        <v>50</v>
      </c>
      <c r="X595" s="3" t="s">
        <v>54</v>
      </c>
    </row>
    <row r="596">
      <c r="A596" s="3">
        <v>595.0</v>
      </c>
      <c r="B596" s="3" t="s">
        <v>40</v>
      </c>
      <c r="C596" s="3" t="s">
        <v>1315</v>
      </c>
      <c r="D596" s="3">
        <v>2018.0</v>
      </c>
      <c r="E596" s="3" t="s">
        <v>1316</v>
      </c>
      <c r="F596" s="3" t="s">
        <v>129</v>
      </c>
      <c r="G596" s="3" t="s">
        <v>82</v>
      </c>
      <c r="H596" s="3" t="s">
        <v>82</v>
      </c>
      <c r="I596" s="3" t="s">
        <v>384</v>
      </c>
      <c r="O596" s="3" t="s">
        <v>385</v>
      </c>
      <c r="X596" s="3" t="s">
        <v>54</v>
      </c>
    </row>
    <row r="597">
      <c r="A597" s="3">
        <v>596.0</v>
      </c>
      <c r="B597" s="3" t="s">
        <v>40</v>
      </c>
      <c r="C597" s="3" t="s">
        <v>1317</v>
      </c>
      <c r="D597" s="3">
        <v>2018.0</v>
      </c>
      <c r="E597" s="3" t="s">
        <v>1318</v>
      </c>
      <c r="F597" s="3" t="s">
        <v>43</v>
      </c>
      <c r="G597" s="3" t="s">
        <v>44</v>
      </c>
      <c r="H597" s="3" t="s">
        <v>45</v>
      </c>
      <c r="I597" s="3" t="s">
        <v>485</v>
      </c>
      <c r="O597" s="3" t="s">
        <v>385</v>
      </c>
      <c r="X597" s="3" t="s">
        <v>54</v>
      </c>
    </row>
    <row r="598">
      <c r="A598" s="3">
        <v>597.0</v>
      </c>
      <c r="B598" s="3" t="s">
        <v>40</v>
      </c>
      <c r="C598" s="3" t="s">
        <v>1319</v>
      </c>
      <c r="D598" s="3">
        <v>2018.0</v>
      </c>
      <c r="E598" s="3" t="s">
        <v>1320</v>
      </c>
      <c r="F598" s="3" t="s">
        <v>137</v>
      </c>
      <c r="G598" s="3" t="s">
        <v>44</v>
      </c>
      <c r="H598" s="3" t="s">
        <v>45</v>
      </c>
      <c r="I598" s="3" t="s">
        <v>138</v>
      </c>
      <c r="O598" s="3" t="s">
        <v>385</v>
      </c>
      <c r="X598" s="3" t="s">
        <v>54</v>
      </c>
    </row>
    <row r="599">
      <c r="A599" s="3">
        <v>598.0</v>
      </c>
      <c r="B599" s="3" t="s">
        <v>40</v>
      </c>
      <c r="C599" s="3" t="s">
        <v>1321</v>
      </c>
      <c r="D599" s="3">
        <v>2018.0</v>
      </c>
      <c r="E599" s="3" t="s">
        <v>1322</v>
      </c>
      <c r="F599" s="3" t="s">
        <v>1323</v>
      </c>
      <c r="G599" s="3" t="s">
        <v>58</v>
      </c>
      <c r="H599" s="3" t="s">
        <v>58</v>
      </c>
      <c r="I599" s="3" t="s">
        <v>110</v>
      </c>
      <c r="O599" s="3" t="s">
        <v>244</v>
      </c>
      <c r="X599" s="3" t="s">
        <v>54</v>
      </c>
    </row>
    <row r="600">
      <c r="A600" s="3">
        <v>599.0</v>
      </c>
      <c r="B600" s="3" t="s">
        <v>40</v>
      </c>
      <c r="C600" s="3" t="s">
        <v>1324</v>
      </c>
      <c r="D600" s="3">
        <v>2019.0</v>
      </c>
      <c r="E600" s="3" t="s">
        <v>1325</v>
      </c>
      <c r="F600" s="3" t="s">
        <v>201</v>
      </c>
      <c r="G600" s="3" t="s">
        <v>58</v>
      </c>
      <c r="H600" s="3" t="s">
        <v>58</v>
      </c>
      <c r="I600" s="3" t="s">
        <v>110</v>
      </c>
      <c r="O600" s="3" t="s">
        <v>385</v>
      </c>
      <c r="X600" s="3" t="s">
        <v>54</v>
      </c>
    </row>
    <row r="601">
      <c r="A601" s="3">
        <v>600.0</v>
      </c>
      <c r="B601" s="3" t="s">
        <v>40</v>
      </c>
      <c r="C601" s="3" t="s">
        <v>1326</v>
      </c>
      <c r="D601" s="3">
        <v>2019.0</v>
      </c>
      <c r="E601" s="3" t="s">
        <v>1327</v>
      </c>
      <c r="F601" s="3" t="s">
        <v>81</v>
      </c>
      <c r="G601" s="3" t="s">
        <v>82</v>
      </c>
      <c r="H601" s="3" t="s">
        <v>82</v>
      </c>
      <c r="I601" s="3" t="s">
        <v>866</v>
      </c>
      <c r="O601" s="3" t="s">
        <v>77</v>
      </c>
      <c r="X601" s="3" t="s">
        <v>54</v>
      </c>
    </row>
    <row r="602">
      <c r="A602" s="3">
        <v>601.0</v>
      </c>
      <c r="B602" s="3" t="s">
        <v>40</v>
      </c>
      <c r="C602" s="3" t="s">
        <v>1328</v>
      </c>
      <c r="D602" s="3">
        <v>2019.0</v>
      </c>
      <c r="E602" s="3" t="s">
        <v>1329</v>
      </c>
      <c r="F602" s="3" t="s">
        <v>129</v>
      </c>
      <c r="G602" s="3" t="s">
        <v>82</v>
      </c>
      <c r="H602" s="3" t="s">
        <v>82</v>
      </c>
      <c r="I602" s="3" t="s">
        <v>314</v>
      </c>
      <c r="X602" s="3" t="s">
        <v>54</v>
      </c>
    </row>
    <row r="603">
      <c r="A603" s="3">
        <v>602.0</v>
      </c>
      <c r="B603" s="3" t="s">
        <v>40</v>
      </c>
      <c r="C603" s="3" t="s">
        <v>1330</v>
      </c>
      <c r="D603" s="3">
        <v>2019.0</v>
      </c>
      <c r="E603" s="3" t="s">
        <v>1331</v>
      </c>
      <c r="F603" s="3" t="s">
        <v>1027</v>
      </c>
      <c r="G603" s="3" t="s">
        <v>58</v>
      </c>
      <c r="H603" s="3" t="s">
        <v>58</v>
      </c>
      <c r="I603" s="3" t="s">
        <v>69</v>
      </c>
      <c r="O603" s="3" t="s">
        <v>244</v>
      </c>
      <c r="X603" s="3" t="s">
        <v>54</v>
      </c>
    </row>
    <row r="604">
      <c r="A604" s="3">
        <v>603.0</v>
      </c>
      <c r="B604" s="3" t="s">
        <v>40</v>
      </c>
      <c r="C604" s="3" t="s">
        <v>1332</v>
      </c>
      <c r="D604" s="3">
        <v>2019.0</v>
      </c>
      <c r="E604" s="3" t="s">
        <v>1333</v>
      </c>
      <c r="F604" s="3" t="s">
        <v>129</v>
      </c>
      <c r="G604" s="3" t="s">
        <v>82</v>
      </c>
      <c r="H604" s="3" t="s">
        <v>82</v>
      </c>
      <c r="I604" s="3" t="s">
        <v>384</v>
      </c>
      <c r="O604" s="3" t="s">
        <v>385</v>
      </c>
      <c r="X604" s="3" t="s">
        <v>54</v>
      </c>
    </row>
    <row r="605">
      <c r="A605" s="3">
        <v>604.0</v>
      </c>
      <c r="B605" s="3" t="s">
        <v>40</v>
      </c>
      <c r="C605" s="3" t="s">
        <v>1334</v>
      </c>
      <c r="D605" s="3">
        <v>2019.0</v>
      </c>
      <c r="E605" s="3" t="s">
        <v>1335</v>
      </c>
      <c r="F605" s="3" t="s">
        <v>129</v>
      </c>
      <c r="G605" s="3" t="s">
        <v>82</v>
      </c>
      <c r="H605" s="3" t="s">
        <v>82</v>
      </c>
      <c r="I605" s="3" t="s">
        <v>384</v>
      </c>
      <c r="O605" s="3" t="s">
        <v>385</v>
      </c>
      <c r="X605" s="3" t="s">
        <v>54</v>
      </c>
    </row>
    <row r="606">
      <c r="A606" s="3">
        <v>605.0</v>
      </c>
      <c r="B606" s="3" t="s">
        <v>40</v>
      </c>
      <c r="C606" s="3" t="s">
        <v>1336</v>
      </c>
      <c r="D606" s="3">
        <v>2019.0</v>
      </c>
      <c r="E606" s="3" t="s">
        <v>1337</v>
      </c>
      <c r="F606" s="3" t="s">
        <v>129</v>
      </c>
      <c r="G606" s="3" t="s">
        <v>82</v>
      </c>
      <c r="H606" s="3" t="s">
        <v>82</v>
      </c>
      <c r="I606" s="3" t="s">
        <v>384</v>
      </c>
      <c r="O606" s="3" t="s">
        <v>385</v>
      </c>
      <c r="X606" s="3" t="s">
        <v>54</v>
      </c>
    </row>
    <row r="607">
      <c r="A607" s="3">
        <v>606.0</v>
      </c>
      <c r="B607" s="3" t="s">
        <v>40</v>
      </c>
      <c r="C607" s="3" t="s">
        <v>1338</v>
      </c>
      <c r="D607" s="3">
        <v>2020.0</v>
      </c>
      <c r="E607" s="3" t="s">
        <v>1339</v>
      </c>
      <c r="F607" s="3" t="s">
        <v>129</v>
      </c>
      <c r="G607" s="3" t="s">
        <v>82</v>
      </c>
      <c r="H607" s="3" t="s">
        <v>82</v>
      </c>
      <c r="I607" s="3" t="s">
        <v>384</v>
      </c>
      <c r="P607" s="3" t="s">
        <v>385</v>
      </c>
      <c r="X607" s="3" t="s">
        <v>54</v>
      </c>
    </row>
    <row r="608">
      <c r="A608" s="3">
        <v>607.0</v>
      </c>
      <c r="B608" s="3" t="s">
        <v>40</v>
      </c>
      <c r="C608" s="3" t="s">
        <v>1340</v>
      </c>
      <c r="D608" s="3">
        <v>2020.0</v>
      </c>
      <c r="E608" s="3" t="s">
        <v>1341</v>
      </c>
      <c r="F608" s="3" t="s">
        <v>129</v>
      </c>
      <c r="G608" s="3" t="s">
        <v>82</v>
      </c>
      <c r="H608" s="3" t="s">
        <v>82</v>
      </c>
      <c r="I608" s="3" t="s">
        <v>384</v>
      </c>
      <c r="P608" s="3" t="s">
        <v>385</v>
      </c>
      <c r="X608" s="3" t="s">
        <v>54</v>
      </c>
    </row>
    <row r="609">
      <c r="A609" s="3">
        <v>608.0</v>
      </c>
      <c r="B609" s="3" t="s">
        <v>106</v>
      </c>
      <c r="C609" s="3" t="s">
        <v>1342</v>
      </c>
      <c r="D609" s="3">
        <v>1995.0</v>
      </c>
      <c r="E609" s="3" t="s">
        <v>1343</v>
      </c>
      <c r="F609" s="3" t="s">
        <v>341</v>
      </c>
      <c r="G609" s="3" t="s">
        <v>44</v>
      </c>
      <c r="I609" s="3" t="s">
        <v>46</v>
      </c>
      <c r="O609" s="3" t="s">
        <v>385</v>
      </c>
      <c r="X609" s="3" t="s">
        <v>54</v>
      </c>
    </row>
    <row r="610">
      <c r="A610" s="3">
        <v>609.0</v>
      </c>
      <c r="B610" s="3" t="s">
        <v>55</v>
      </c>
      <c r="D610" s="3">
        <v>1991.0</v>
      </c>
      <c r="E610" s="3" t="s">
        <v>1344</v>
      </c>
      <c r="F610" s="3" t="s">
        <v>391</v>
      </c>
      <c r="G610" s="3" t="s">
        <v>58</v>
      </c>
      <c r="H610" s="3" t="s">
        <v>58</v>
      </c>
      <c r="I610" s="3" t="s">
        <v>286</v>
      </c>
      <c r="O610" s="3" t="s">
        <v>50</v>
      </c>
      <c r="X610" s="3" t="s">
        <v>54</v>
      </c>
    </row>
    <row r="611">
      <c r="A611" s="3">
        <v>610.0</v>
      </c>
      <c r="B611" s="3" t="s">
        <v>55</v>
      </c>
      <c r="D611" s="3">
        <v>1992.0</v>
      </c>
      <c r="E611" s="3" t="s">
        <v>1345</v>
      </c>
      <c r="F611" s="3" t="s">
        <v>129</v>
      </c>
      <c r="G611" s="3" t="s">
        <v>82</v>
      </c>
      <c r="H611" s="3" t="s">
        <v>82</v>
      </c>
      <c r="I611" s="3" t="s">
        <v>130</v>
      </c>
      <c r="O611" s="3" t="s">
        <v>244</v>
      </c>
      <c r="X611" s="3" t="s">
        <v>54</v>
      </c>
    </row>
    <row r="612">
      <c r="A612" s="3">
        <v>611.0</v>
      </c>
      <c r="B612" s="3" t="s">
        <v>55</v>
      </c>
      <c r="D612" s="3">
        <v>1993.0</v>
      </c>
      <c r="E612" s="3" t="s">
        <v>1346</v>
      </c>
      <c r="F612" s="3" t="s">
        <v>391</v>
      </c>
      <c r="G612" s="3" t="s">
        <v>58</v>
      </c>
      <c r="H612" s="3" t="s">
        <v>58</v>
      </c>
      <c r="I612" s="3" t="s">
        <v>286</v>
      </c>
      <c r="O612" s="3" t="s">
        <v>244</v>
      </c>
      <c r="X612" s="3" t="s">
        <v>54</v>
      </c>
    </row>
    <row r="613">
      <c r="A613" s="3">
        <v>612.0</v>
      </c>
      <c r="B613" s="3" t="s">
        <v>55</v>
      </c>
      <c r="D613" s="3">
        <v>1993.0</v>
      </c>
      <c r="E613" s="3" t="s">
        <v>1347</v>
      </c>
      <c r="F613" s="3" t="s">
        <v>57</v>
      </c>
      <c r="G613" s="3" t="s">
        <v>58</v>
      </c>
      <c r="H613" s="3" t="s">
        <v>58</v>
      </c>
      <c r="I613" s="3" t="s">
        <v>286</v>
      </c>
      <c r="O613" s="3" t="s">
        <v>50</v>
      </c>
      <c r="X613" s="3" t="s">
        <v>54</v>
      </c>
    </row>
    <row r="614">
      <c r="A614" s="3">
        <v>613.0</v>
      </c>
      <c r="B614" s="3" t="s">
        <v>55</v>
      </c>
      <c r="D614" s="3">
        <v>1997.0</v>
      </c>
      <c r="E614" s="3" t="s">
        <v>1348</v>
      </c>
      <c r="F614" s="3" t="s">
        <v>458</v>
      </c>
      <c r="G614" s="3" t="s">
        <v>58</v>
      </c>
      <c r="H614" s="3" t="s">
        <v>58</v>
      </c>
      <c r="I614" s="3" t="s">
        <v>69</v>
      </c>
      <c r="O614" s="3" t="s">
        <v>244</v>
      </c>
      <c r="X614" s="3" t="s">
        <v>54</v>
      </c>
    </row>
    <row r="615">
      <c r="A615" s="3">
        <v>614.0</v>
      </c>
      <c r="B615" s="3" t="s">
        <v>55</v>
      </c>
      <c r="D615" s="3">
        <v>1999.0</v>
      </c>
      <c r="E615" s="3" t="s">
        <v>1349</v>
      </c>
      <c r="F615" s="3" t="s">
        <v>1350</v>
      </c>
      <c r="G615" s="3" t="s">
        <v>58</v>
      </c>
      <c r="H615" s="3" t="s">
        <v>58</v>
      </c>
      <c r="I615" s="3" t="s">
        <v>286</v>
      </c>
      <c r="O615" s="3" t="s">
        <v>50</v>
      </c>
      <c r="X615" s="3" t="s">
        <v>54</v>
      </c>
    </row>
    <row r="616">
      <c r="A616" s="3">
        <v>615.0</v>
      </c>
      <c r="B616" s="3" t="s">
        <v>55</v>
      </c>
      <c r="D616" s="3">
        <v>2000.0</v>
      </c>
      <c r="E616" s="3" t="s">
        <v>1351</v>
      </c>
      <c r="F616" s="3" t="s">
        <v>391</v>
      </c>
      <c r="G616" s="3" t="s">
        <v>58</v>
      </c>
      <c r="H616" s="3" t="s">
        <v>58</v>
      </c>
      <c r="I616" s="3" t="s">
        <v>286</v>
      </c>
      <c r="O616" s="3" t="s">
        <v>50</v>
      </c>
      <c r="X616" s="3" t="s">
        <v>54</v>
      </c>
    </row>
    <row r="617">
      <c r="A617" s="3">
        <v>616.0</v>
      </c>
      <c r="B617" s="3" t="s">
        <v>55</v>
      </c>
      <c r="D617" s="3">
        <v>2001.0</v>
      </c>
      <c r="E617" s="3" t="s">
        <v>1352</v>
      </c>
      <c r="F617" s="3" t="s">
        <v>458</v>
      </c>
      <c r="G617" s="3" t="s">
        <v>58</v>
      </c>
      <c r="H617" s="3" t="s">
        <v>58</v>
      </c>
      <c r="I617" s="3" t="s">
        <v>69</v>
      </c>
      <c r="O617" s="3" t="s">
        <v>244</v>
      </c>
      <c r="X617" s="3" t="s">
        <v>54</v>
      </c>
    </row>
    <row r="618">
      <c r="A618" s="3">
        <v>617.0</v>
      </c>
      <c r="B618" s="3" t="s">
        <v>55</v>
      </c>
      <c r="D618" s="3">
        <v>2001.0</v>
      </c>
      <c r="E618" s="3" t="s">
        <v>1353</v>
      </c>
      <c r="F618" s="3" t="s">
        <v>391</v>
      </c>
      <c r="G618" s="3" t="s">
        <v>58</v>
      </c>
      <c r="H618" s="3" t="s">
        <v>58</v>
      </c>
      <c r="I618" s="3" t="s">
        <v>286</v>
      </c>
      <c r="O618" s="3" t="s">
        <v>77</v>
      </c>
      <c r="X618" s="3" t="s">
        <v>54</v>
      </c>
    </row>
    <row r="619">
      <c r="A619" s="3">
        <v>618.0</v>
      </c>
      <c r="B619" s="3" t="s">
        <v>55</v>
      </c>
      <c r="D619" s="3">
        <v>2006.0</v>
      </c>
      <c r="E619" s="3" t="s">
        <v>1354</v>
      </c>
      <c r="F619" s="3" t="s">
        <v>1355</v>
      </c>
      <c r="G619" s="3" t="s">
        <v>58</v>
      </c>
      <c r="H619" s="3" t="s">
        <v>58</v>
      </c>
      <c r="I619" s="3" t="s">
        <v>286</v>
      </c>
      <c r="O619" s="3" t="s">
        <v>244</v>
      </c>
      <c r="X619" s="3" t="s">
        <v>54</v>
      </c>
    </row>
    <row r="620">
      <c r="A620" s="3">
        <v>619.0</v>
      </c>
      <c r="B620" s="3" t="s">
        <v>55</v>
      </c>
      <c r="D620" s="3">
        <v>2009.0</v>
      </c>
      <c r="E620" s="3" t="s">
        <v>1356</v>
      </c>
      <c r="F620" s="3" t="s">
        <v>129</v>
      </c>
      <c r="G620" s="3" t="s">
        <v>82</v>
      </c>
      <c r="H620" s="3" t="s">
        <v>82</v>
      </c>
      <c r="I620" s="3" t="s">
        <v>130</v>
      </c>
      <c r="O620" s="3" t="s">
        <v>244</v>
      </c>
      <c r="X620" s="3" t="s">
        <v>54</v>
      </c>
    </row>
    <row r="621">
      <c r="A621" s="3">
        <v>620.0</v>
      </c>
      <c r="B621" s="3" t="s">
        <v>40</v>
      </c>
      <c r="C621" s="3" t="s">
        <v>1357</v>
      </c>
      <c r="D621" s="3">
        <v>2014.0</v>
      </c>
      <c r="E621" s="3" t="s">
        <v>1358</v>
      </c>
      <c r="F621" s="3" t="s">
        <v>129</v>
      </c>
      <c r="G621" s="3" t="s">
        <v>82</v>
      </c>
      <c r="H621" s="3" t="s">
        <v>82</v>
      </c>
      <c r="I621" s="3" t="s">
        <v>287</v>
      </c>
      <c r="O621" s="3" t="s">
        <v>49</v>
      </c>
      <c r="R621" s="3" t="s">
        <v>47</v>
      </c>
      <c r="T621" s="3" t="s">
        <v>117</v>
      </c>
      <c r="X621" s="3" t="s">
        <v>53</v>
      </c>
      <c r="Y621" s="3" t="s">
        <v>51</v>
      </c>
      <c r="Z621" s="3" t="s">
        <v>118</v>
      </c>
      <c r="AA621" s="3" t="s">
        <v>78</v>
      </c>
    </row>
    <row r="622">
      <c r="A622" s="3">
        <v>621.0</v>
      </c>
      <c r="B622" s="3" t="s">
        <v>72</v>
      </c>
      <c r="C622" s="3" t="s">
        <v>1359</v>
      </c>
      <c r="D622" s="3">
        <v>2014.0</v>
      </c>
      <c r="E622" s="3" t="s">
        <v>1360</v>
      </c>
      <c r="F622" s="3" t="s">
        <v>75</v>
      </c>
      <c r="G622" s="3" t="s">
        <v>58</v>
      </c>
      <c r="H622" s="3" t="s">
        <v>58</v>
      </c>
      <c r="I622" s="3" t="s">
        <v>110</v>
      </c>
      <c r="O622" s="3" t="s">
        <v>49</v>
      </c>
      <c r="P622" s="3" t="s">
        <v>134</v>
      </c>
      <c r="R622" s="3" t="s">
        <v>1361</v>
      </c>
      <c r="T622" s="3" t="s">
        <v>50</v>
      </c>
      <c r="V622" s="3" t="s">
        <v>162</v>
      </c>
      <c r="X622" s="3" t="s">
        <v>53</v>
      </c>
      <c r="Y622" s="3" t="s">
        <v>51</v>
      </c>
      <c r="Z622" s="3" t="s">
        <v>54</v>
      </c>
      <c r="AA622" s="3" t="s">
        <v>121</v>
      </c>
    </row>
    <row r="623">
      <c r="A623" s="3">
        <v>622.0</v>
      </c>
      <c r="B623" s="3" t="s">
        <v>55</v>
      </c>
      <c r="D623" s="3">
        <v>1997.0</v>
      </c>
      <c r="E623" s="3" t="s">
        <v>1362</v>
      </c>
      <c r="F623" s="3" t="s">
        <v>129</v>
      </c>
      <c r="G623" s="3" t="s">
        <v>82</v>
      </c>
      <c r="H623" s="3" t="s">
        <v>82</v>
      </c>
      <c r="I623" s="3" t="s">
        <v>130</v>
      </c>
      <c r="O623" s="3" t="s">
        <v>134</v>
      </c>
      <c r="R623" s="3" t="s">
        <v>60</v>
      </c>
      <c r="S623" s="3" t="s">
        <v>47</v>
      </c>
      <c r="T623" s="3" t="s">
        <v>244</v>
      </c>
      <c r="X623" s="3" t="s">
        <v>53</v>
      </c>
      <c r="Y623" s="3" t="s">
        <v>51</v>
      </c>
      <c r="Z623" s="3" t="s">
        <v>54</v>
      </c>
      <c r="AA623" s="3" t="s">
        <v>78</v>
      </c>
    </row>
    <row r="624">
      <c r="A624" s="3">
        <v>623.0</v>
      </c>
      <c r="B624" s="3" t="s">
        <v>40</v>
      </c>
      <c r="C624" s="3" t="s">
        <v>1363</v>
      </c>
      <c r="D624" s="3">
        <v>2010.0</v>
      </c>
      <c r="E624" s="3" t="s">
        <v>1364</v>
      </c>
      <c r="F624" s="3" t="s">
        <v>141</v>
      </c>
      <c r="G624" s="3" t="s">
        <v>142</v>
      </c>
      <c r="H624" s="3" t="s">
        <v>142</v>
      </c>
      <c r="I624" s="3" t="s">
        <v>110</v>
      </c>
      <c r="J624" s="3" t="s">
        <v>155</v>
      </c>
      <c r="O624" s="3" t="s">
        <v>49</v>
      </c>
      <c r="P624" s="3" t="s">
        <v>134</v>
      </c>
      <c r="R624" s="3" t="s">
        <v>143</v>
      </c>
      <c r="T624" s="3" t="s">
        <v>87</v>
      </c>
      <c r="V624" s="3" t="s">
        <v>61</v>
      </c>
      <c r="X624" s="3" t="s">
        <v>53</v>
      </c>
      <c r="Y624" s="3" t="s">
        <v>51</v>
      </c>
      <c r="Z624" s="3" t="s">
        <v>64</v>
      </c>
      <c r="AA624" s="3" t="s">
        <v>52</v>
      </c>
    </row>
    <row r="625">
      <c r="A625" s="3">
        <v>624.0</v>
      </c>
      <c r="B625" s="3" t="s">
        <v>40</v>
      </c>
      <c r="C625" s="3" t="s">
        <v>1365</v>
      </c>
      <c r="D625" s="3">
        <v>2011.0</v>
      </c>
      <c r="E625" s="3" t="s">
        <v>1366</v>
      </c>
      <c r="F625" s="3" t="s">
        <v>129</v>
      </c>
      <c r="G625" s="3" t="s">
        <v>82</v>
      </c>
      <c r="H625" s="3" t="s">
        <v>82</v>
      </c>
      <c r="I625" s="3" t="s">
        <v>314</v>
      </c>
      <c r="O625" s="3" t="s">
        <v>250</v>
      </c>
      <c r="R625" s="3" t="s">
        <v>61</v>
      </c>
      <c r="S625" s="3" t="s">
        <v>48</v>
      </c>
      <c r="T625" s="3" t="s">
        <v>244</v>
      </c>
      <c r="V625" s="3" t="s">
        <v>63</v>
      </c>
      <c r="X625" s="3" t="s">
        <v>53</v>
      </c>
      <c r="Y625" s="3" t="s">
        <v>52</v>
      </c>
      <c r="Z625" s="3" t="s">
        <v>54</v>
      </c>
      <c r="AA625" s="3" t="s">
        <v>65</v>
      </c>
    </row>
    <row r="626">
      <c r="A626" s="3">
        <v>625.0</v>
      </c>
      <c r="B626" s="3" t="s">
        <v>40</v>
      </c>
      <c r="C626" s="3" t="s">
        <v>1367</v>
      </c>
      <c r="D626" s="3">
        <v>2011.0</v>
      </c>
      <c r="E626" s="3" t="s">
        <v>1368</v>
      </c>
      <c r="F626" s="3" t="s">
        <v>68</v>
      </c>
      <c r="G626" s="3" t="s">
        <v>58</v>
      </c>
      <c r="H626" s="3" t="s">
        <v>58</v>
      </c>
      <c r="I626" s="3" t="s">
        <v>110</v>
      </c>
      <c r="O626" s="3" t="s">
        <v>143</v>
      </c>
      <c r="R626" s="3" t="s">
        <v>61</v>
      </c>
      <c r="T626" s="3" t="s">
        <v>87</v>
      </c>
      <c r="X626" s="3" t="s">
        <v>53</v>
      </c>
      <c r="Y626" s="3" t="s">
        <v>52</v>
      </c>
      <c r="Z626" s="3" t="s">
        <v>64</v>
      </c>
    </row>
    <row r="627">
      <c r="A627" s="3">
        <v>626.0</v>
      </c>
      <c r="B627" s="3" t="s">
        <v>40</v>
      </c>
      <c r="C627" s="3" t="s">
        <v>1369</v>
      </c>
      <c r="D627" s="3">
        <v>2008.0</v>
      </c>
      <c r="E627" s="3" t="s">
        <v>1370</v>
      </c>
      <c r="F627" s="3" t="s">
        <v>137</v>
      </c>
      <c r="G627" s="3" t="s">
        <v>44</v>
      </c>
      <c r="H627" s="3" t="s">
        <v>45</v>
      </c>
      <c r="I627" s="3" t="s">
        <v>138</v>
      </c>
      <c r="O627" s="3" t="s">
        <v>134</v>
      </c>
      <c r="R627" s="3" t="s">
        <v>61</v>
      </c>
      <c r="X627" s="3" t="s">
        <v>53</v>
      </c>
      <c r="Y627" s="3" t="s">
        <v>52</v>
      </c>
    </row>
    <row r="628">
      <c r="A628" s="3">
        <v>627.0</v>
      </c>
      <c r="B628" s="3" t="s">
        <v>40</v>
      </c>
      <c r="C628" s="3" t="s">
        <v>1371</v>
      </c>
      <c r="D628" s="3">
        <v>2011.0</v>
      </c>
      <c r="E628" s="3" t="s">
        <v>1372</v>
      </c>
      <c r="F628" s="3" t="s">
        <v>201</v>
      </c>
      <c r="G628" s="3" t="s">
        <v>58</v>
      </c>
      <c r="H628" s="3" t="s">
        <v>58</v>
      </c>
      <c r="I628" s="3" t="s">
        <v>110</v>
      </c>
      <c r="O628" s="3" t="s">
        <v>143</v>
      </c>
      <c r="R628" s="3" t="s">
        <v>61</v>
      </c>
      <c r="X628" s="3" t="s">
        <v>53</v>
      </c>
      <c r="Y628" s="3" t="s">
        <v>52</v>
      </c>
    </row>
    <row r="629">
      <c r="A629" s="3">
        <v>628.0</v>
      </c>
      <c r="B629" s="3" t="s">
        <v>55</v>
      </c>
      <c r="D629" s="3">
        <v>2013.0</v>
      </c>
      <c r="E629" s="3" t="s">
        <v>1373</v>
      </c>
      <c r="F629" s="3" t="s">
        <v>298</v>
      </c>
      <c r="G629" s="3" t="s">
        <v>101</v>
      </c>
      <c r="H629" s="3" t="s">
        <v>102</v>
      </c>
      <c r="I629" s="3" t="s">
        <v>103</v>
      </c>
      <c r="J629" s="3" t="s">
        <v>205</v>
      </c>
      <c r="K629" s="3" t="s">
        <v>155</v>
      </c>
      <c r="O629" s="3" t="s">
        <v>49</v>
      </c>
      <c r="X629" s="3" t="s">
        <v>53</v>
      </c>
      <c r="Y629" s="3" t="s">
        <v>52</v>
      </c>
    </row>
    <row r="630">
      <c r="A630" s="3">
        <v>629.0</v>
      </c>
      <c r="B630" s="3" t="s">
        <v>40</v>
      </c>
      <c r="C630" s="3" t="s">
        <v>1374</v>
      </c>
      <c r="D630" s="3">
        <v>2018.0</v>
      </c>
      <c r="E630" s="3" t="s">
        <v>1375</v>
      </c>
      <c r="F630" s="3" t="s">
        <v>158</v>
      </c>
      <c r="G630" s="3" t="s">
        <v>58</v>
      </c>
      <c r="H630" s="3" t="s">
        <v>58</v>
      </c>
      <c r="I630" s="3" t="s">
        <v>388</v>
      </c>
      <c r="O630" s="3" t="s">
        <v>134</v>
      </c>
      <c r="R630" s="3" t="s">
        <v>117</v>
      </c>
      <c r="T630" s="3" t="s">
        <v>63</v>
      </c>
      <c r="X630" s="3" t="s">
        <v>53</v>
      </c>
      <c r="Y630" s="3" t="s">
        <v>118</v>
      </c>
      <c r="Z630" s="3" t="s">
        <v>65</v>
      </c>
    </row>
    <row r="631">
      <c r="A631" s="3">
        <v>630.0</v>
      </c>
      <c r="B631" s="3" t="s">
        <v>40</v>
      </c>
      <c r="C631" s="3" t="s">
        <v>1376</v>
      </c>
      <c r="D631" s="3">
        <v>1992.0</v>
      </c>
      <c r="E631" s="3" t="s">
        <v>1377</v>
      </c>
      <c r="F631" s="3" t="s">
        <v>75</v>
      </c>
      <c r="G631" s="3" t="s">
        <v>58</v>
      </c>
      <c r="H631" s="3" t="s">
        <v>58</v>
      </c>
      <c r="I631" s="3" t="s">
        <v>110</v>
      </c>
      <c r="O631" s="3" t="s">
        <v>49</v>
      </c>
      <c r="R631" s="3" t="s">
        <v>162</v>
      </c>
      <c r="X631" s="3" t="s">
        <v>53</v>
      </c>
      <c r="Y631" s="3" t="s">
        <v>121</v>
      </c>
    </row>
    <row r="632">
      <c r="A632" s="3">
        <v>631.0</v>
      </c>
      <c r="B632" s="3" t="s">
        <v>40</v>
      </c>
      <c r="C632" s="3" t="s">
        <v>1378</v>
      </c>
      <c r="D632" s="3">
        <v>2013.0</v>
      </c>
      <c r="E632" s="3" t="s">
        <v>1379</v>
      </c>
      <c r="F632" s="3" t="s">
        <v>57</v>
      </c>
      <c r="G632" s="3" t="s">
        <v>58</v>
      </c>
      <c r="H632" s="3" t="s">
        <v>58</v>
      </c>
      <c r="I632" s="3" t="s">
        <v>110</v>
      </c>
      <c r="O632" s="3" t="s">
        <v>134</v>
      </c>
      <c r="R632" s="3" t="s">
        <v>87</v>
      </c>
      <c r="X632" s="3" t="s">
        <v>53</v>
      </c>
      <c r="Y632" s="3" t="s">
        <v>121</v>
      </c>
    </row>
    <row r="633">
      <c r="A633" s="3">
        <v>632.0</v>
      </c>
      <c r="B633" s="3" t="s">
        <v>40</v>
      </c>
      <c r="C633" s="3" t="s">
        <v>1380</v>
      </c>
      <c r="D633" s="3">
        <v>2011.0</v>
      </c>
      <c r="E633" s="3" t="s">
        <v>1381</v>
      </c>
      <c r="F633" s="3" t="s">
        <v>129</v>
      </c>
      <c r="G633" s="3" t="s">
        <v>82</v>
      </c>
      <c r="H633" s="3" t="s">
        <v>82</v>
      </c>
      <c r="I633" s="3" t="s">
        <v>314</v>
      </c>
      <c r="O633" s="3" t="s">
        <v>250</v>
      </c>
      <c r="R633" s="3" t="s">
        <v>385</v>
      </c>
      <c r="X633" s="3" t="s">
        <v>53</v>
      </c>
      <c r="Y633" s="3" t="s">
        <v>54</v>
      </c>
    </row>
    <row r="634">
      <c r="A634" s="3">
        <v>633.0</v>
      </c>
      <c r="B634" s="3" t="s">
        <v>40</v>
      </c>
      <c r="C634" s="3" t="s">
        <v>1382</v>
      </c>
      <c r="D634" s="3">
        <v>2012.0</v>
      </c>
      <c r="E634" s="3" t="s">
        <v>1383</v>
      </c>
      <c r="F634" s="3" t="s">
        <v>129</v>
      </c>
      <c r="G634" s="3" t="s">
        <v>82</v>
      </c>
      <c r="H634" s="3" t="s">
        <v>82</v>
      </c>
      <c r="I634" s="3" t="s">
        <v>384</v>
      </c>
      <c r="O634" s="3" t="s">
        <v>134</v>
      </c>
      <c r="R634" s="3" t="s">
        <v>385</v>
      </c>
      <c r="X634" s="3" t="s">
        <v>53</v>
      </c>
      <c r="Y634" s="3" t="s">
        <v>54</v>
      </c>
    </row>
    <row r="635">
      <c r="A635" s="3">
        <v>634.0</v>
      </c>
      <c r="B635" s="3" t="s">
        <v>40</v>
      </c>
      <c r="C635" s="3" t="s">
        <v>1384</v>
      </c>
      <c r="D635" s="3">
        <v>2014.0</v>
      </c>
      <c r="E635" s="3" t="s">
        <v>1385</v>
      </c>
      <c r="F635" s="3" t="s">
        <v>129</v>
      </c>
      <c r="G635" s="3" t="s">
        <v>82</v>
      </c>
      <c r="H635" s="3" t="s">
        <v>82</v>
      </c>
      <c r="I635" s="3" t="s">
        <v>1001</v>
      </c>
      <c r="O635" s="3" t="s">
        <v>49</v>
      </c>
      <c r="R635" s="3" t="s">
        <v>50</v>
      </c>
      <c r="X635" s="3" t="s">
        <v>53</v>
      </c>
      <c r="Y635" s="3" t="s">
        <v>54</v>
      </c>
    </row>
    <row r="636">
      <c r="A636" s="3">
        <v>635.0</v>
      </c>
      <c r="B636" s="3" t="s">
        <v>55</v>
      </c>
      <c r="D636" s="3">
        <v>1992.0</v>
      </c>
      <c r="E636" s="3" t="s">
        <v>1386</v>
      </c>
      <c r="F636" s="3" t="s">
        <v>57</v>
      </c>
      <c r="G636" s="3" t="s">
        <v>58</v>
      </c>
      <c r="H636" s="3" t="s">
        <v>58</v>
      </c>
      <c r="I636" s="3" t="s">
        <v>286</v>
      </c>
      <c r="O636" s="3" t="s">
        <v>49</v>
      </c>
      <c r="R636" s="3" t="s">
        <v>50</v>
      </c>
      <c r="X636" s="3" t="s">
        <v>53</v>
      </c>
      <c r="Y636" s="3" t="s">
        <v>54</v>
      </c>
    </row>
    <row r="637">
      <c r="A637" s="3">
        <v>636.0</v>
      </c>
      <c r="B637" s="3" t="s">
        <v>40</v>
      </c>
      <c r="C637" s="3" t="s">
        <v>429</v>
      </c>
      <c r="D637" s="3">
        <v>2002.0</v>
      </c>
      <c r="E637" s="3" t="s">
        <v>1387</v>
      </c>
      <c r="F637" s="3" t="s">
        <v>57</v>
      </c>
      <c r="G637" s="3" t="s">
        <v>58</v>
      </c>
      <c r="H637" s="3" t="s">
        <v>58</v>
      </c>
      <c r="I637" s="3" t="s">
        <v>286</v>
      </c>
      <c r="O637" s="3" t="s">
        <v>49</v>
      </c>
      <c r="R637" s="3" t="s">
        <v>147</v>
      </c>
      <c r="S637" s="3" t="s">
        <v>62</v>
      </c>
      <c r="X637" s="3" t="s">
        <v>53</v>
      </c>
      <c r="Y637" s="3" t="s">
        <v>64</v>
      </c>
    </row>
    <row r="638">
      <c r="A638" s="3">
        <v>637.0</v>
      </c>
      <c r="B638" s="3" t="s">
        <v>72</v>
      </c>
      <c r="C638" s="3" t="s">
        <v>1388</v>
      </c>
      <c r="D638" s="3">
        <v>2014.0</v>
      </c>
      <c r="E638" s="3" t="s">
        <v>1389</v>
      </c>
      <c r="F638" s="3" t="s">
        <v>187</v>
      </c>
      <c r="G638" s="3" t="s">
        <v>58</v>
      </c>
      <c r="H638" s="3" t="s">
        <v>58</v>
      </c>
      <c r="I638" s="3" t="s">
        <v>110</v>
      </c>
      <c r="O638" s="3" t="s">
        <v>143</v>
      </c>
      <c r="R638" s="3" t="s">
        <v>63</v>
      </c>
      <c r="T638" s="3" t="s">
        <v>111</v>
      </c>
      <c r="X638" s="3" t="s">
        <v>53</v>
      </c>
      <c r="Y638" s="3" t="s">
        <v>65</v>
      </c>
      <c r="Z638" s="3" t="s">
        <v>51</v>
      </c>
    </row>
    <row r="639">
      <c r="A639" s="3">
        <v>638.0</v>
      </c>
      <c r="B639" s="3" t="s">
        <v>72</v>
      </c>
      <c r="C639" s="3" t="s">
        <v>1390</v>
      </c>
      <c r="D639" s="3">
        <v>2014.0</v>
      </c>
      <c r="E639" s="3" t="s">
        <v>1391</v>
      </c>
      <c r="F639" s="3" t="s">
        <v>187</v>
      </c>
      <c r="G639" s="3" t="s">
        <v>58</v>
      </c>
      <c r="H639" s="3" t="s">
        <v>58</v>
      </c>
      <c r="I639" s="3" t="s">
        <v>76</v>
      </c>
      <c r="O639" s="3" t="s">
        <v>134</v>
      </c>
      <c r="R639" s="3" t="s">
        <v>63</v>
      </c>
      <c r="T639" s="3" t="s">
        <v>62</v>
      </c>
      <c r="X639" s="3" t="s">
        <v>53</v>
      </c>
      <c r="Y639" s="3" t="s">
        <v>65</v>
      </c>
      <c r="Z639" s="3" t="s">
        <v>64</v>
      </c>
    </row>
    <row r="640">
      <c r="A640" s="3">
        <v>639.0</v>
      </c>
      <c r="B640" s="3" t="s">
        <v>126</v>
      </c>
      <c r="C640" s="3" t="s">
        <v>1392</v>
      </c>
      <c r="D640" s="3">
        <v>2009.0</v>
      </c>
      <c r="E640" s="3" t="s">
        <v>1393</v>
      </c>
      <c r="F640" s="3" t="s">
        <v>444</v>
      </c>
      <c r="G640" s="3" t="s">
        <v>44</v>
      </c>
      <c r="H640" s="3" t="s">
        <v>45</v>
      </c>
      <c r="I640" s="3" t="s">
        <v>485</v>
      </c>
      <c r="O640" s="3" t="s">
        <v>134</v>
      </c>
      <c r="X640" s="3" t="s">
        <v>53</v>
      </c>
    </row>
    <row r="641">
      <c r="A641" s="3">
        <v>640.0</v>
      </c>
      <c r="B641" s="3" t="s">
        <v>40</v>
      </c>
      <c r="C641" s="3" t="s">
        <v>1394</v>
      </c>
      <c r="D641" s="3">
        <v>1998.0</v>
      </c>
      <c r="E641" s="3" t="s">
        <v>1395</v>
      </c>
      <c r="F641" s="3" t="s">
        <v>172</v>
      </c>
      <c r="G641" s="3" t="s">
        <v>91</v>
      </c>
      <c r="H641" s="3" t="s">
        <v>91</v>
      </c>
      <c r="I641" s="3" t="s">
        <v>92</v>
      </c>
      <c r="O641" s="3" t="s">
        <v>134</v>
      </c>
      <c r="X641" s="3" t="s">
        <v>53</v>
      </c>
    </row>
    <row r="642">
      <c r="A642" s="3">
        <v>641.0</v>
      </c>
      <c r="B642" s="3" t="s">
        <v>40</v>
      </c>
      <c r="C642" s="3" t="s">
        <v>1396</v>
      </c>
      <c r="D642" s="3">
        <v>2000.0</v>
      </c>
      <c r="E642" s="3" t="s">
        <v>1397</v>
      </c>
      <c r="F642" s="3" t="s">
        <v>172</v>
      </c>
      <c r="G642" s="3" t="s">
        <v>91</v>
      </c>
      <c r="H642" s="3" t="s">
        <v>91</v>
      </c>
      <c r="I642" s="3" t="s">
        <v>92</v>
      </c>
      <c r="J642" s="3" t="s">
        <v>173</v>
      </c>
      <c r="O642" s="3" t="s">
        <v>134</v>
      </c>
      <c r="X642" s="3" t="s">
        <v>53</v>
      </c>
    </row>
    <row r="643">
      <c r="A643" s="3">
        <v>642.0</v>
      </c>
      <c r="B643" s="3" t="s">
        <v>40</v>
      </c>
      <c r="C643" s="3" t="s">
        <v>1398</v>
      </c>
      <c r="D643" s="3">
        <v>2001.0</v>
      </c>
      <c r="E643" s="3" t="s">
        <v>1399</v>
      </c>
      <c r="F643" s="3" t="s">
        <v>158</v>
      </c>
      <c r="G643" s="3" t="s">
        <v>58</v>
      </c>
      <c r="H643" s="3" t="s">
        <v>58</v>
      </c>
      <c r="I643" s="3" t="s">
        <v>110</v>
      </c>
      <c r="O643" s="3" t="s">
        <v>134</v>
      </c>
      <c r="X643" s="3" t="s">
        <v>53</v>
      </c>
    </row>
    <row r="644">
      <c r="A644" s="3">
        <v>643.0</v>
      </c>
      <c r="B644" s="3" t="s">
        <v>40</v>
      </c>
      <c r="C644" s="3" t="s">
        <v>1400</v>
      </c>
      <c r="D644" s="3">
        <v>2003.0</v>
      </c>
      <c r="E644" s="3" t="s">
        <v>1401</v>
      </c>
      <c r="F644" s="3" t="s">
        <v>137</v>
      </c>
      <c r="G644" s="3" t="s">
        <v>44</v>
      </c>
      <c r="H644" s="3" t="s">
        <v>45</v>
      </c>
      <c r="I644" s="3" t="s">
        <v>138</v>
      </c>
      <c r="O644" s="3" t="s">
        <v>134</v>
      </c>
      <c r="X644" s="3" t="s">
        <v>53</v>
      </c>
    </row>
    <row r="645">
      <c r="A645" s="3">
        <v>644.0</v>
      </c>
      <c r="B645" s="3" t="s">
        <v>40</v>
      </c>
      <c r="C645" s="3" t="s">
        <v>1402</v>
      </c>
      <c r="D645" s="3">
        <v>2007.0</v>
      </c>
      <c r="E645" s="3" t="s">
        <v>1403</v>
      </c>
      <c r="F645" s="3" t="s">
        <v>187</v>
      </c>
      <c r="G645" s="3" t="s">
        <v>58</v>
      </c>
      <c r="H645" s="3" t="s">
        <v>58</v>
      </c>
      <c r="I645" s="3" t="s">
        <v>286</v>
      </c>
      <c r="J645" s="3" t="s">
        <v>76</v>
      </c>
      <c r="O645" s="3" t="s">
        <v>49</v>
      </c>
      <c r="X645" s="3" t="s">
        <v>53</v>
      </c>
    </row>
    <row r="646">
      <c r="A646" s="3">
        <v>645.0</v>
      </c>
      <c r="B646" s="3" t="s">
        <v>40</v>
      </c>
      <c r="C646" s="3" t="s">
        <v>1359</v>
      </c>
      <c r="D646" s="3">
        <v>2007.0</v>
      </c>
      <c r="E646" s="3" t="s">
        <v>1404</v>
      </c>
      <c r="F646" s="3" t="s">
        <v>75</v>
      </c>
      <c r="G646" s="3" t="s">
        <v>58</v>
      </c>
      <c r="H646" s="3" t="s">
        <v>58</v>
      </c>
      <c r="I646" s="3" t="s">
        <v>110</v>
      </c>
      <c r="O646" s="3" t="s">
        <v>49</v>
      </c>
      <c r="X646" s="3" t="s">
        <v>53</v>
      </c>
    </row>
    <row r="647">
      <c r="A647" s="3">
        <v>646.0</v>
      </c>
      <c r="B647" s="3" t="s">
        <v>40</v>
      </c>
      <c r="C647" s="3" t="s">
        <v>1405</v>
      </c>
      <c r="D647" s="3">
        <v>2008.0</v>
      </c>
      <c r="E647" s="3" t="s">
        <v>1406</v>
      </c>
      <c r="F647" s="3" t="s">
        <v>75</v>
      </c>
      <c r="G647" s="3" t="s">
        <v>58</v>
      </c>
      <c r="H647" s="3" t="s">
        <v>58</v>
      </c>
      <c r="I647" s="3" t="s">
        <v>110</v>
      </c>
      <c r="J647" s="3" t="s">
        <v>76</v>
      </c>
      <c r="O647" s="3" t="s">
        <v>49</v>
      </c>
      <c r="X647" s="3" t="s">
        <v>53</v>
      </c>
    </row>
    <row r="648">
      <c r="A648" s="3">
        <v>647.0</v>
      </c>
      <c r="B648" s="3" t="s">
        <v>40</v>
      </c>
      <c r="C648" s="3" t="s">
        <v>1407</v>
      </c>
      <c r="D648" s="3">
        <v>2010.0</v>
      </c>
      <c r="E648" s="3" t="s">
        <v>1408</v>
      </c>
      <c r="F648" s="3" t="s">
        <v>113</v>
      </c>
      <c r="G648" s="3" t="s">
        <v>44</v>
      </c>
      <c r="H648" s="3" t="s">
        <v>45</v>
      </c>
      <c r="I648" s="3" t="s">
        <v>138</v>
      </c>
      <c r="O648" s="3" t="s">
        <v>143</v>
      </c>
      <c r="X648" s="3" t="s">
        <v>53</v>
      </c>
    </row>
    <row r="649">
      <c r="A649" s="3">
        <v>648.0</v>
      </c>
      <c r="B649" s="3" t="s">
        <v>40</v>
      </c>
      <c r="C649" s="3" t="s">
        <v>1409</v>
      </c>
      <c r="D649" s="3">
        <v>2011.0</v>
      </c>
      <c r="E649" s="3" t="s">
        <v>1410</v>
      </c>
      <c r="F649" s="3" t="s">
        <v>129</v>
      </c>
      <c r="G649" s="3" t="s">
        <v>82</v>
      </c>
      <c r="H649" s="3" t="s">
        <v>82</v>
      </c>
      <c r="I649" s="3" t="s">
        <v>314</v>
      </c>
      <c r="O649" s="3" t="s">
        <v>250</v>
      </c>
      <c r="X649" s="3" t="s">
        <v>53</v>
      </c>
    </row>
    <row r="650">
      <c r="A650" s="3">
        <v>649.0</v>
      </c>
      <c r="B650" s="3" t="s">
        <v>40</v>
      </c>
      <c r="C650" s="3" t="s">
        <v>1411</v>
      </c>
      <c r="D650" s="3">
        <v>2011.0</v>
      </c>
      <c r="E650" s="3" t="s">
        <v>1412</v>
      </c>
      <c r="F650" s="3" t="s">
        <v>158</v>
      </c>
      <c r="G650" s="3" t="s">
        <v>58</v>
      </c>
      <c r="H650" s="3" t="s">
        <v>58</v>
      </c>
      <c r="I650" s="3" t="s">
        <v>69</v>
      </c>
      <c r="O650" s="3" t="s">
        <v>134</v>
      </c>
      <c r="X650" s="3" t="s">
        <v>53</v>
      </c>
    </row>
    <row r="651">
      <c r="A651" s="3">
        <v>650.0</v>
      </c>
      <c r="B651" s="3" t="s">
        <v>40</v>
      </c>
      <c r="C651" s="3" t="s">
        <v>1413</v>
      </c>
      <c r="D651" s="3">
        <v>2013.0</v>
      </c>
      <c r="E651" s="3" t="s">
        <v>1414</v>
      </c>
      <c r="F651" s="3" t="s">
        <v>158</v>
      </c>
      <c r="G651" s="3" t="s">
        <v>58</v>
      </c>
      <c r="H651" s="3" t="s">
        <v>58</v>
      </c>
      <c r="I651" s="3" t="s">
        <v>286</v>
      </c>
      <c r="O651" s="3" t="s">
        <v>49</v>
      </c>
      <c r="X651" s="3" t="s">
        <v>53</v>
      </c>
    </row>
    <row r="652">
      <c r="A652" s="3">
        <v>651.0</v>
      </c>
      <c r="B652" s="3" t="s">
        <v>40</v>
      </c>
      <c r="C652" s="3" t="s">
        <v>1415</v>
      </c>
      <c r="D652" s="3">
        <v>2014.0</v>
      </c>
      <c r="E652" s="3" t="s">
        <v>1416</v>
      </c>
      <c r="F652" s="3" t="s">
        <v>43</v>
      </c>
      <c r="G652" s="3" t="s">
        <v>44</v>
      </c>
      <c r="H652" s="3" t="s">
        <v>45</v>
      </c>
      <c r="I652" s="3" t="s">
        <v>46</v>
      </c>
      <c r="O652" s="3" t="s">
        <v>49</v>
      </c>
      <c r="X652" s="3" t="s">
        <v>53</v>
      </c>
    </row>
    <row r="653">
      <c r="A653" s="3">
        <v>652.0</v>
      </c>
      <c r="B653" s="3" t="s">
        <v>40</v>
      </c>
      <c r="C653" s="3" t="s">
        <v>1417</v>
      </c>
      <c r="D653" s="3">
        <v>2014.0</v>
      </c>
      <c r="E653" s="3" t="s">
        <v>1418</v>
      </c>
      <c r="F653" s="3" t="s">
        <v>75</v>
      </c>
      <c r="G653" s="3" t="s">
        <v>58</v>
      </c>
      <c r="H653" s="3" t="s">
        <v>58</v>
      </c>
      <c r="I653" s="3" t="s">
        <v>110</v>
      </c>
      <c r="O653" s="3" t="s">
        <v>49</v>
      </c>
      <c r="X653" s="3" t="s">
        <v>53</v>
      </c>
    </row>
    <row r="654">
      <c r="A654" s="3">
        <v>653.0</v>
      </c>
      <c r="B654" s="3" t="s">
        <v>40</v>
      </c>
      <c r="C654" s="3" t="s">
        <v>1419</v>
      </c>
      <c r="D654" s="3">
        <v>2015.0</v>
      </c>
      <c r="E654" s="3" t="s">
        <v>1420</v>
      </c>
      <c r="F654" s="3" t="s">
        <v>129</v>
      </c>
      <c r="G654" s="3" t="s">
        <v>82</v>
      </c>
      <c r="H654" s="3" t="s">
        <v>82</v>
      </c>
      <c r="I654" s="3" t="s">
        <v>453</v>
      </c>
      <c r="O654" s="3" t="s">
        <v>134</v>
      </c>
      <c r="X654" s="3" t="s">
        <v>53</v>
      </c>
    </row>
    <row r="655">
      <c r="A655" s="3">
        <v>654.0</v>
      </c>
      <c r="B655" s="3" t="s">
        <v>40</v>
      </c>
      <c r="C655" s="3" t="s">
        <v>1421</v>
      </c>
      <c r="D655" s="3">
        <v>2016.0</v>
      </c>
      <c r="E655" s="3" t="s">
        <v>1422</v>
      </c>
      <c r="F655" s="3" t="s">
        <v>129</v>
      </c>
      <c r="G655" s="3" t="s">
        <v>82</v>
      </c>
      <c r="H655" s="3" t="s">
        <v>82</v>
      </c>
      <c r="I655" s="3" t="s">
        <v>314</v>
      </c>
      <c r="O655" s="3" t="s">
        <v>250</v>
      </c>
      <c r="X655" s="3" t="s">
        <v>53</v>
      </c>
    </row>
    <row r="656">
      <c r="A656" s="3">
        <v>655.0</v>
      </c>
      <c r="B656" s="3" t="s">
        <v>40</v>
      </c>
      <c r="C656" s="3" t="s">
        <v>1423</v>
      </c>
      <c r="D656" s="3">
        <v>2017.0</v>
      </c>
      <c r="E656" s="3" t="s">
        <v>1424</v>
      </c>
      <c r="F656" s="3" t="s">
        <v>892</v>
      </c>
      <c r="G656" s="3" t="s">
        <v>44</v>
      </c>
      <c r="H656" s="3" t="s">
        <v>45</v>
      </c>
      <c r="I656" s="3" t="s">
        <v>485</v>
      </c>
      <c r="O656" s="3" t="s">
        <v>49</v>
      </c>
      <c r="X656" s="3" t="s">
        <v>53</v>
      </c>
    </row>
    <row r="657">
      <c r="A657" s="3">
        <v>656.0</v>
      </c>
      <c r="B657" s="3" t="s">
        <v>40</v>
      </c>
      <c r="C657" s="3" t="s">
        <v>1425</v>
      </c>
      <c r="D657" s="3">
        <v>2019.0</v>
      </c>
      <c r="E657" s="3" t="s">
        <v>1426</v>
      </c>
      <c r="F657" s="3" t="s">
        <v>113</v>
      </c>
      <c r="G657" s="3" t="s">
        <v>44</v>
      </c>
      <c r="H657" s="3" t="s">
        <v>45</v>
      </c>
      <c r="I657" s="3" t="s">
        <v>485</v>
      </c>
      <c r="O657" s="3" t="s">
        <v>134</v>
      </c>
      <c r="X657" s="3" t="s">
        <v>53</v>
      </c>
    </row>
    <row r="658">
      <c r="A658" s="3">
        <v>657.0</v>
      </c>
      <c r="B658" s="3" t="s">
        <v>106</v>
      </c>
      <c r="C658" s="3" t="s">
        <v>1427</v>
      </c>
      <c r="D658" s="3">
        <v>1993.0</v>
      </c>
      <c r="E658" s="3" t="s">
        <v>1428</v>
      </c>
      <c r="F658" s="3" t="s">
        <v>158</v>
      </c>
      <c r="G658" s="3" t="s">
        <v>58</v>
      </c>
      <c r="I658" s="3" t="s">
        <v>110</v>
      </c>
      <c r="O658" s="3" t="s">
        <v>49</v>
      </c>
      <c r="X658" s="3" t="s">
        <v>53</v>
      </c>
    </row>
    <row r="659">
      <c r="A659" s="3">
        <v>658.0</v>
      </c>
      <c r="B659" s="3" t="s">
        <v>106</v>
      </c>
      <c r="C659" s="3" t="s">
        <v>1429</v>
      </c>
      <c r="D659" s="3">
        <v>1998.0</v>
      </c>
      <c r="E659" s="3" t="s">
        <v>1430</v>
      </c>
      <c r="F659" s="3" t="s">
        <v>1431</v>
      </c>
      <c r="G659" s="3" t="s">
        <v>142</v>
      </c>
      <c r="I659" s="3" t="s">
        <v>110</v>
      </c>
      <c r="O659" s="3" t="s">
        <v>49</v>
      </c>
      <c r="X659" s="3" t="s">
        <v>53</v>
      </c>
    </row>
    <row r="660">
      <c r="A660" s="3">
        <v>659.0</v>
      </c>
      <c r="B660" s="3" t="s">
        <v>106</v>
      </c>
      <c r="D660" s="3">
        <v>2015.0</v>
      </c>
      <c r="E660" s="3" t="s">
        <v>1432</v>
      </c>
      <c r="F660" s="3" t="s">
        <v>43</v>
      </c>
      <c r="G660" s="3" t="s">
        <v>44</v>
      </c>
      <c r="H660" s="3" t="s">
        <v>45</v>
      </c>
      <c r="I660" s="3" t="s">
        <v>46</v>
      </c>
      <c r="O660" s="3" t="s">
        <v>49</v>
      </c>
      <c r="X660" s="3" t="s">
        <v>53</v>
      </c>
    </row>
    <row r="661">
      <c r="A661" s="3">
        <v>660.0</v>
      </c>
      <c r="B661" s="3" t="s">
        <v>106</v>
      </c>
      <c r="D661" s="3">
        <v>2017.0</v>
      </c>
      <c r="E661" s="3" t="s">
        <v>1433</v>
      </c>
      <c r="F661" s="3" t="s">
        <v>43</v>
      </c>
      <c r="G661" s="3" t="s">
        <v>44</v>
      </c>
      <c r="I661" s="3" t="s">
        <v>46</v>
      </c>
      <c r="O661" s="3" t="s">
        <v>49</v>
      </c>
      <c r="X661" s="3" t="s">
        <v>53</v>
      </c>
    </row>
    <row r="662">
      <c r="A662" s="3">
        <v>661.0</v>
      </c>
      <c r="B662" s="3" t="s">
        <v>40</v>
      </c>
      <c r="C662" s="3" t="s">
        <v>1434</v>
      </c>
      <c r="D662" s="3">
        <v>2000.0</v>
      </c>
      <c r="E662" s="3" t="s">
        <v>1435</v>
      </c>
      <c r="F662" s="3" t="s">
        <v>129</v>
      </c>
      <c r="G662" s="3" t="s">
        <v>82</v>
      </c>
      <c r="H662" s="3" t="s">
        <v>82</v>
      </c>
      <c r="I662" s="3" t="s">
        <v>130</v>
      </c>
      <c r="X662" s="3" t="s">
        <v>78</v>
      </c>
      <c r="Y662" s="3" t="s">
        <v>51</v>
      </c>
    </row>
    <row r="663">
      <c r="A663" s="3">
        <v>662.0</v>
      </c>
      <c r="B663" s="3" t="s">
        <v>40</v>
      </c>
      <c r="C663" s="3" t="s">
        <v>1436</v>
      </c>
      <c r="D663" s="3">
        <v>2011.0</v>
      </c>
      <c r="E663" s="3" t="s">
        <v>1437</v>
      </c>
      <c r="F663" s="3" t="s">
        <v>129</v>
      </c>
      <c r="G663" s="3" t="s">
        <v>82</v>
      </c>
      <c r="H663" s="3" t="s">
        <v>82</v>
      </c>
      <c r="I663" s="3" t="s">
        <v>130</v>
      </c>
      <c r="X663" s="3" t="s">
        <v>78</v>
      </c>
      <c r="Y663" s="3" t="s">
        <v>51</v>
      </c>
    </row>
    <row r="664">
      <c r="A664" s="3">
        <v>663.0</v>
      </c>
      <c r="B664" s="3" t="s">
        <v>40</v>
      </c>
      <c r="C664" s="3" t="s">
        <v>1438</v>
      </c>
      <c r="D664" s="3">
        <v>2000.0</v>
      </c>
      <c r="E664" s="3" t="s">
        <v>1439</v>
      </c>
      <c r="F664" s="3" t="s">
        <v>129</v>
      </c>
      <c r="G664" s="3" t="s">
        <v>82</v>
      </c>
      <c r="H664" s="3" t="s">
        <v>82</v>
      </c>
      <c r="I664" s="3" t="s">
        <v>130</v>
      </c>
      <c r="X664" s="3" t="s">
        <v>78</v>
      </c>
      <c r="Y664" s="3" t="s">
        <v>54</v>
      </c>
      <c r="Z664" s="3" t="s">
        <v>51</v>
      </c>
    </row>
    <row r="665">
      <c r="A665" s="3">
        <v>664.0</v>
      </c>
      <c r="B665" s="3" t="s">
        <v>40</v>
      </c>
      <c r="C665" s="3" t="s">
        <v>1440</v>
      </c>
      <c r="D665" s="3">
        <v>2002.0</v>
      </c>
      <c r="E665" s="3" t="s">
        <v>1441</v>
      </c>
      <c r="F665" s="3" t="s">
        <v>129</v>
      </c>
      <c r="G665" s="3" t="s">
        <v>82</v>
      </c>
      <c r="H665" s="3" t="s">
        <v>82</v>
      </c>
      <c r="I665" s="3" t="s">
        <v>130</v>
      </c>
      <c r="X665" s="3" t="s">
        <v>78</v>
      </c>
      <c r="Y665" s="3" t="s">
        <v>54</v>
      </c>
      <c r="Z665" s="3" t="s">
        <v>51</v>
      </c>
    </row>
    <row r="666">
      <c r="A666" s="3">
        <v>665.0</v>
      </c>
      <c r="B666" s="3" t="s">
        <v>40</v>
      </c>
      <c r="C666" s="3" t="s">
        <v>1442</v>
      </c>
      <c r="D666" s="3">
        <v>2018.0</v>
      </c>
      <c r="E666" s="3" t="s">
        <v>1443</v>
      </c>
      <c r="F666" s="3" t="s">
        <v>129</v>
      </c>
      <c r="G666" s="3" t="s">
        <v>82</v>
      </c>
      <c r="H666" s="3" t="s">
        <v>82</v>
      </c>
      <c r="I666" s="3" t="s">
        <v>384</v>
      </c>
      <c r="R666" s="3" t="s">
        <v>244</v>
      </c>
      <c r="T666" s="3" t="s">
        <v>87</v>
      </c>
      <c r="X666" s="3" t="s">
        <v>78</v>
      </c>
      <c r="Y666" s="3" t="s">
        <v>54</v>
      </c>
      <c r="Z666" s="3" t="s">
        <v>121</v>
      </c>
    </row>
    <row r="667">
      <c r="A667" s="3">
        <v>666.0</v>
      </c>
      <c r="B667" s="3" t="s">
        <v>40</v>
      </c>
      <c r="C667" s="3" t="s">
        <v>1444</v>
      </c>
      <c r="D667" s="3">
        <v>2011.0</v>
      </c>
      <c r="E667" s="3" t="s">
        <v>1445</v>
      </c>
      <c r="F667" s="3" t="s">
        <v>129</v>
      </c>
      <c r="G667" s="3" t="s">
        <v>82</v>
      </c>
      <c r="H667" s="3" t="s">
        <v>82</v>
      </c>
      <c r="I667" s="3" t="s">
        <v>130</v>
      </c>
      <c r="X667" s="3" t="s">
        <v>78</v>
      </c>
      <c r="Y667" s="3" t="s">
        <v>54</v>
      </c>
    </row>
    <row r="668">
      <c r="A668" s="3">
        <v>667.0</v>
      </c>
      <c r="B668" s="3" t="s">
        <v>40</v>
      </c>
      <c r="C668" s="3" t="s">
        <v>1446</v>
      </c>
      <c r="D668" s="3">
        <v>2000.0</v>
      </c>
      <c r="E668" s="3" t="s">
        <v>1447</v>
      </c>
      <c r="F668" s="3" t="s">
        <v>129</v>
      </c>
      <c r="G668" s="3" t="s">
        <v>82</v>
      </c>
      <c r="H668" s="3" t="s">
        <v>82</v>
      </c>
      <c r="I668" s="3" t="s">
        <v>384</v>
      </c>
      <c r="X668" s="3" t="s">
        <v>78</v>
      </c>
      <c r="Y668" s="3" t="s">
        <v>78</v>
      </c>
    </row>
    <row r="669">
      <c r="A669" s="3">
        <v>668.0</v>
      </c>
      <c r="B669" s="3" t="s">
        <v>40</v>
      </c>
      <c r="C669" s="3" t="s">
        <v>1448</v>
      </c>
      <c r="D669" s="3">
        <v>1996.0</v>
      </c>
      <c r="E669" s="3" t="s">
        <v>1449</v>
      </c>
      <c r="F669" s="3" t="s">
        <v>129</v>
      </c>
      <c r="G669" s="3" t="s">
        <v>82</v>
      </c>
      <c r="H669" s="3" t="s">
        <v>82</v>
      </c>
      <c r="I669" s="3" t="s">
        <v>317</v>
      </c>
      <c r="X669" s="3" t="s">
        <v>78</v>
      </c>
    </row>
    <row r="670">
      <c r="A670" s="3">
        <v>669.0</v>
      </c>
      <c r="B670" s="3" t="s">
        <v>40</v>
      </c>
      <c r="C670" s="3" t="s">
        <v>1450</v>
      </c>
      <c r="D670" s="3">
        <v>2000.0</v>
      </c>
      <c r="E670" s="3" t="s">
        <v>1451</v>
      </c>
      <c r="F670" s="3" t="s">
        <v>129</v>
      </c>
      <c r="G670" s="3" t="s">
        <v>82</v>
      </c>
      <c r="H670" s="3" t="s">
        <v>82</v>
      </c>
      <c r="I670" s="3" t="s">
        <v>130</v>
      </c>
      <c r="X670" s="3" t="s">
        <v>78</v>
      </c>
    </row>
    <row r="671">
      <c r="A671" s="3">
        <v>670.0</v>
      </c>
      <c r="B671" s="3" t="s">
        <v>40</v>
      </c>
      <c r="C671" s="3" t="s">
        <v>1452</v>
      </c>
      <c r="D671" s="3">
        <v>2000.0</v>
      </c>
      <c r="E671" s="3" t="s">
        <v>1453</v>
      </c>
      <c r="F671" s="3" t="s">
        <v>129</v>
      </c>
      <c r="G671" s="3" t="s">
        <v>82</v>
      </c>
      <c r="H671" s="3" t="s">
        <v>82</v>
      </c>
      <c r="I671" s="3" t="s">
        <v>384</v>
      </c>
      <c r="X671" s="3" t="s">
        <v>78</v>
      </c>
    </row>
    <row r="672">
      <c r="A672" s="3">
        <v>671.0</v>
      </c>
      <c r="B672" s="3" t="s">
        <v>40</v>
      </c>
      <c r="C672" s="3" t="s">
        <v>1454</v>
      </c>
      <c r="D672" s="3">
        <v>2000.0</v>
      </c>
      <c r="E672" s="3" t="s">
        <v>1455</v>
      </c>
      <c r="F672" s="3" t="s">
        <v>68</v>
      </c>
      <c r="G672" s="3" t="s">
        <v>58</v>
      </c>
      <c r="H672" s="3" t="s">
        <v>58</v>
      </c>
      <c r="I672" s="3" t="s">
        <v>110</v>
      </c>
      <c r="X672" s="3" t="s">
        <v>78</v>
      </c>
    </row>
    <row r="673">
      <c r="A673" s="3">
        <v>672.0</v>
      </c>
      <c r="B673" s="3" t="s">
        <v>40</v>
      </c>
      <c r="C673" s="3" t="s">
        <v>1456</v>
      </c>
      <c r="D673" s="3">
        <v>2001.0</v>
      </c>
      <c r="E673" s="3" t="s">
        <v>1457</v>
      </c>
      <c r="F673" s="3" t="s">
        <v>129</v>
      </c>
      <c r="G673" s="3" t="s">
        <v>82</v>
      </c>
      <c r="H673" s="3" t="s">
        <v>82</v>
      </c>
      <c r="I673" s="3" t="s">
        <v>384</v>
      </c>
      <c r="X673" s="3" t="s">
        <v>78</v>
      </c>
    </row>
    <row r="674">
      <c r="A674" s="3">
        <v>673.0</v>
      </c>
      <c r="B674" s="3" t="s">
        <v>40</v>
      </c>
      <c r="C674" s="3" t="s">
        <v>1458</v>
      </c>
      <c r="D674" s="3">
        <v>2001.0</v>
      </c>
      <c r="E674" s="3" t="s">
        <v>1459</v>
      </c>
      <c r="F674" s="3" t="s">
        <v>158</v>
      </c>
      <c r="G674" s="3" t="s">
        <v>58</v>
      </c>
      <c r="H674" s="3" t="s">
        <v>58</v>
      </c>
      <c r="I674" s="3" t="s">
        <v>110</v>
      </c>
      <c r="X674" s="3" t="s">
        <v>78</v>
      </c>
    </row>
    <row r="675">
      <c r="A675" s="3">
        <v>674.0</v>
      </c>
      <c r="B675" s="3" t="s">
        <v>40</v>
      </c>
      <c r="C675" s="3" t="s">
        <v>1460</v>
      </c>
      <c r="D675" s="3">
        <v>2002.0</v>
      </c>
      <c r="E675" s="3" t="s">
        <v>1461</v>
      </c>
      <c r="F675" s="3" t="s">
        <v>129</v>
      </c>
      <c r="G675" s="3" t="s">
        <v>82</v>
      </c>
      <c r="H675" s="3" t="s">
        <v>82</v>
      </c>
      <c r="I675" s="3" t="s">
        <v>384</v>
      </c>
      <c r="X675" s="3" t="s">
        <v>78</v>
      </c>
    </row>
    <row r="676">
      <c r="A676" s="3">
        <v>675.0</v>
      </c>
      <c r="B676" s="3" t="s">
        <v>40</v>
      </c>
      <c r="C676" s="3" t="s">
        <v>1462</v>
      </c>
      <c r="D676" s="3">
        <v>2003.0</v>
      </c>
      <c r="E676" s="3" t="s">
        <v>1463</v>
      </c>
      <c r="F676" s="3" t="s">
        <v>81</v>
      </c>
      <c r="G676" s="3" t="s">
        <v>82</v>
      </c>
      <c r="H676" s="3" t="s">
        <v>82</v>
      </c>
      <c r="I676" s="3" t="s">
        <v>314</v>
      </c>
      <c r="X676" s="3" t="s">
        <v>78</v>
      </c>
    </row>
    <row r="677">
      <c r="A677" s="3">
        <v>676.0</v>
      </c>
      <c r="B677" s="3" t="s">
        <v>40</v>
      </c>
      <c r="C677" s="3" t="s">
        <v>1464</v>
      </c>
      <c r="D677" s="3">
        <v>2003.0</v>
      </c>
      <c r="E677" s="3" t="s">
        <v>1465</v>
      </c>
      <c r="F677" s="3" t="s">
        <v>57</v>
      </c>
      <c r="G677" s="3" t="s">
        <v>58</v>
      </c>
      <c r="H677" s="3" t="s">
        <v>58</v>
      </c>
      <c r="I677" s="3" t="s">
        <v>286</v>
      </c>
      <c r="X677" s="3" t="s">
        <v>78</v>
      </c>
    </row>
    <row r="678">
      <c r="A678" s="3">
        <v>677.0</v>
      </c>
      <c r="B678" s="3" t="s">
        <v>40</v>
      </c>
      <c r="C678" s="3" t="s">
        <v>1466</v>
      </c>
      <c r="D678" s="3">
        <v>2003.0</v>
      </c>
      <c r="E678" s="3" t="s">
        <v>1467</v>
      </c>
      <c r="F678" s="3" t="s">
        <v>129</v>
      </c>
      <c r="G678" s="3" t="s">
        <v>82</v>
      </c>
      <c r="H678" s="3" t="s">
        <v>82</v>
      </c>
      <c r="I678" s="3" t="s">
        <v>384</v>
      </c>
      <c r="X678" s="3" t="s">
        <v>78</v>
      </c>
    </row>
    <row r="679">
      <c r="A679" s="3">
        <v>678.0</v>
      </c>
      <c r="B679" s="3" t="s">
        <v>40</v>
      </c>
      <c r="C679" s="3" t="s">
        <v>1468</v>
      </c>
      <c r="D679" s="3">
        <v>2004.0</v>
      </c>
      <c r="E679" s="3" t="s">
        <v>1469</v>
      </c>
      <c r="F679" s="3" t="s">
        <v>129</v>
      </c>
      <c r="G679" s="3" t="s">
        <v>82</v>
      </c>
      <c r="H679" s="3" t="s">
        <v>82</v>
      </c>
      <c r="I679" s="3" t="s">
        <v>314</v>
      </c>
      <c r="X679" s="3" t="s">
        <v>78</v>
      </c>
    </row>
    <row r="680">
      <c r="A680" s="3">
        <v>679.0</v>
      </c>
      <c r="B680" s="3" t="s">
        <v>40</v>
      </c>
      <c r="C680" s="3" t="s">
        <v>1470</v>
      </c>
      <c r="D680" s="3">
        <v>2004.0</v>
      </c>
      <c r="E680" s="3" t="s">
        <v>1471</v>
      </c>
      <c r="F680" s="3" t="s">
        <v>57</v>
      </c>
      <c r="G680" s="3" t="s">
        <v>58</v>
      </c>
      <c r="H680" s="3" t="s">
        <v>58</v>
      </c>
      <c r="I680" s="3" t="s">
        <v>286</v>
      </c>
      <c r="X680" s="3" t="s">
        <v>78</v>
      </c>
    </row>
    <row r="681">
      <c r="A681" s="3">
        <v>680.0</v>
      </c>
      <c r="B681" s="3" t="s">
        <v>40</v>
      </c>
      <c r="C681" s="3" t="s">
        <v>1472</v>
      </c>
      <c r="D681" s="3">
        <v>2004.0</v>
      </c>
      <c r="E681" s="3" t="s">
        <v>1473</v>
      </c>
      <c r="F681" s="3" t="s">
        <v>311</v>
      </c>
      <c r="G681" s="3" t="s">
        <v>58</v>
      </c>
      <c r="H681" s="3" t="s">
        <v>58</v>
      </c>
      <c r="I681" s="3" t="s">
        <v>254</v>
      </c>
      <c r="X681" s="3" t="s">
        <v>78</v>
      </c>
    </row>
    <row r="682">
      <c r="A682" s="3">
        <v>681.0</v>
      </c>
      <c r="B682" s="3" t="s">
        <v>40</v>
      </c>
      <c r="C682" s="3" t="s">
        <v>1474</v>
      </c>
      <c r="D682" s="3">
        <v>2005.0</v>
      </c>
      <c r="E682" s="3" t="s">
        <v>1475</v>
      </c>
      <c r="F682" s="3" t="s">
        <v>57</v>
      </c>
      <c r="G682" s="3" t="s">
        <v>58</v>
      </c>
      <c r="H682" s="3" t="s">
        <v>58</v>
      </c>
      <c r="I682" s="3" t="s">
        <v>286</v>
      </c>
      <c r="X682" s="3" t="s">
        <v>78</v>
      </c>
    </row>
    <row r="683">
      <c r="A683" s="3">
        <v>682.0</v>
      </c>
      <c r="B683" s="3" t="s">
        <v>40</v>
      </c>
      <c r="C683" s="3" t="s">
        <v>1476</v>
      </c>
      <c r="D683" s="3">
        <v>2005.0</v>
      </c>
      <c r="E683" s="3" t="s">
        <v>1477</v>
      </c>
      <c r="F683" s="3" t="s">
        <v>57</v>
      </c>
      <c r="G683" s="3" t="s">
        <v>58</v>
      </c>
      <c r="H683" s="3" t="s">
        <v>58</v>
      </c>
      <c r="I683" s="3" t="s">
        <v>286</v>
      </c>
      <c r="X683" s="3" t="s">
        <v>78</v>
      </c>
    </row>
    <row r="684">
      <c r="A684" s="3">
        <v>683.0</v>
      </c>
      <c r="B684" s="3" t="s">
        <v>40</v>
      </c>
      <c r="C684" s="3" t="s">
        <v>1478</v>
      </c>
      <c r="D684" s="3">
        <v>2005.0</v>
      </c>
      <c r="E684" s="3" t="s">
        <v>1479</v>
      </c>
      <c r="F684" s="3" t="s">
        <v>1480</v>
      </c>
      <c r="G684" s="3" t="s">
        <v>58</v>
      </c>
      <c r="H684" s="3" t="s">
        <v>58</v>
      </c>
      <c r="I684" s="3" t="s">
        <v>76</v>
      </c>
      <c r="X684" s="3" t="s">
        <v>78</v>
      </c>
    </row>
    <row r="685">
      <c r="A685" s="3">
        <v>684.0</v>
      </c>
      <c r="B685" s="3" t="s">
        <v>40</v>
      </c>
      <c r="C685" s="3" t="s">
        <v>1481</v>
      </c>
      <c r="D685" s="3">
        <v>2005.0</v>
      </c>
      <c r="E685" s="3" t="s">
        <v>1482</v>
      </c>
      <c r="F685" s="3" t="s">
        <v>129</v>
      </c>
      <c r="G685" s="3" t="s">
        <v>82</v>
      </c>
      <c r="H685" s="3" t="s">
        <v>82</v>
      </c>
      <c r="I685" s="3" t="s">
        <v>384</v>
      </c>
      <c r="X685" s="3" t="s">
        <v>78</v>
      </c>
    </row>
    <row r="686">
      <c r="A686" s="3">
        <v>685.0</v>
      </c>
      <c r="B686" s="3" t="s">
        <v>40</v>
      </c>
      <c r="C686" s="3" t="s">
        <v>1483</v>
      </c>
      <c r="D686" s="3">
        <v>2006.0</v>
      </c>
      <c r="E686" s="3" t="s">
        <v>1484</v>
      </c>
      <c r="F686" s="3" t="s">
        <v>129</v>
      </c>
      <c r="G686" s="3" t="s">
        <v>82</v>
      </c>
      <c r="H686" s="3" t="s">
        <v>82</v>
      </c>
      <c r="I686" s="3" t="s">
        <v>317</v>
      </c>
      <c r="X686" s="3" t="s">
        <v>78</v>
      </c>
    </row>
    <row r="687">
      <c r="A687" s="3">
        <v>686.0</v>
      </c>
      <c r="B687" s="3" t="s">
        <v>40</v>
      </c>
      <c r="C687" s="3" t="s">
        <v>429</v>
      </c>
      <c r="D687" s="3">
        <v>2006.0</v>
      </c>
      <c r="E687" s="3" t="s">
        <v>1485</v>
      </c>
      <c r="F687" s="3" t="s">
        <v>187</v>
      </c>
      <c r="G687" s="3" t="s">
        <v>58</v>
      </c>
      <c r="H687" s="3" t="s">
        <v>58</v>
      </c>
      <c r="I687" s="3" t="s">
        <v>76</v>
      </c>
      <c r="X687" s="3" t="s">
        <v>78</v>
      </c>
    </row>
    <row r="688">
      <c r="A688" s="3">
        <v>687.0</v>
      </c>
      <c r="B688" s="3" t="s">
        <v>40</v>
      </c>
      <c r="C688" s="3" t="s">
        <v>1486</v>
      </c>
      <c r="D688" s="3">
        <v>2006.0</v>
      </c>
      <c r="E688" s="3" t="s">
        <v>1487</v>
      </c>
      <c r="F688" s="3" t="s">
        <v>129</v>
      </c>
      <c r="G688" s="3" t="s">
        <v>82</v>
      </c>
      <c r="H688" s="3" t="s">
        <v>82</v>
      </c>
      <c r="I688" s="3" t="s">
        <v>384</v>
      </c>
      <c r="X688" s="3" t="s">
        <v>78</v>
      </c>
    </row>
    <row r="689">
      <c r="A689" s="3">
        <v>688.0</v>
      </c>
      <c r="B689" s="3" t="s">
        <v>40</v>
      </c>
      <c r="C689" s="3" t="s">
        <v>1488</v>
      </c>
      <c r="D689" s="3">
        <v>2006.0</v>
      </c>
      <c r="E689" s="3" t="s">
        <v>1489</v>
      </c>
      <c r="F689" s="3" t="s">
        <v>129</v>
      </c>
      <c r="G689" s="3" t="s">
        <v>82</v>
      </c>
      <c r="H689" s="3" t="s">
        <v>82</v>
      </c>
      <c r="I689" s="3" t="s">
        <v>384</v>
      </c>
      <c r="X689" s="3" t="s">
        <v>78</v>
      </c>
    </row>
    <row r="690">
      <c r="A690" s="3">
        <v>689.0</v>
      </c>
      <c r="B690" s="3" t="s">
        <v>40</v>
      </c>
      <c r="C690" s="3" t="s">
        <v>1490</v>
      </c>
      <c r="D690" s="3">
        <v>2006.0</v>
      </c>
      <c r="E690" s="3" t="s">
        <v>1491</v>
      </c>
      <c r="F690" s="3" t="s">
        <v>81</v>
      </c>
      <c r="G690" s="3" t="s">
        <v>82</v>
      </c>
      <c r="H690" s="3" t="s">
        <v>82</v>
      </c>
      <c r="I690" s="3" t="s">
        <v>254</v>
      </c>
      <c r="X690" s="3" t="s">
        <v>78</v>
      </c>
    </row>
    <row r="691">
      <c r="A691" s="3">
        <v>690.0</v>
      </c>
      <c r="B691" s="3" t="s">
        <v>40</v>
      </c>
      <c r="C691" s="3" t="s">
        <v>1492</v>
      </c>
      <c r="D691" s="3">
        <v>2007.0</v>
      </c>
      <c r="E691" s="3" t="s">
        <v>1493</v>
      </c>
      <c r="F691" s="3" t="s">
        <v>129</v>
      </c>
      <c r="G691" s="3" t="s">
        <v>82</v>
      </c>
      <c r="H691" s="3" t="s">
        <v>82</v>
      </c>
      <c r="I691" s="3" t="s">
        <v>384</v>
      </c>
      <c r="X691" s="3" t="s">
        <v>78</v>
      </c>
    </row>
    <row r="692">
      <c r="A692" s="3">
        <v>691.0</v>
      </c>
      <c r="B692" s="3" t="s">
        <v>40</v>
      </c>
      <c r="C692" s="3" t="s">
        <v>1494</v>
      </c>
      <c r="D692" s="3">
        <v>2007.0</v>
      </c>
      <c r="E692" s="3" t="s">
        <v>1495</v>
      </c>
      <c r="F692" s="3" t="s">
        <v>253</v>
      </c>
      <c r="G692" s="3" t="s">
        <v>58</v>
      </c>
      <c r="H692" s="3" t="s">
        <v>58</v>
      </c>
      <c r="I692" s="3" t="s">
        <v>254</v>
      </c>
      <c r="X692" s="3" t="s">
        <v>78</v>
      </c>
    </row>
    <row r="693">
      <c r="A693" s="3">
        <v>692.0</v>
      </c>
      <c r="B693" s="3" t="s">
        <v>40</v>
      </c>
      <c r="C693" s="3" t="s">
        <v>1496</v>
      </c>
      <c r="D693" s="3">
        <v>2007.0</v>
      </c>
      <c r="E693" s="3" t="s">
        <v>1497</v>
      </c>
      <c r="F693" s="3" t="s">
        <v>559</v>
      </c>
      <c r="G693" s="3" t="s">
        <v>58</v>
      </c>
      <c r="H693" s="3" t="s">
        <v>58</v>
      </c>
      <c r="I693" s="3" t="s">
        <v>110</v>
      </c>
      <c r="X693" s="3" t="s">
        <v>78</v>
      </c>
    </row>
    <row r="694">
      <c r="A694" s="3">
        <v>693.0</v>
      </c>
      <c r="B694" s="3" t="s">
        <v>40</v>
      </c>
      <c r="C694" s="3" t="s">
        <v>1498</v>
      </c>
      <c r="D694" s="3">
        <v>2008.0</v>
      </c>
      <c r="E694" s="3" t="s">
        <v>1499</v>
      </c>
      <c r="F694" s="3" t="s">
        <v>129</v>
      </c>
      <c r="G694" s="3" t="s">
        <v>82</v>
      </c>
      <c r="H694" s="3" t="s">
        <v>82</v>
      </c>
      <c r="I694" s="3" t="s">
        <v>130</v>
      </c>
      <c r="X694" s="3" t="s">
        <v>78</v>
      </c>
    </row>
    <row r="695">
      <c r="A695" s="3">
        <v>694.0</v>
      </c>
      <c r="B695" s="3" t="s">
        <v>40</v>
      </c>
      <c r="C695" s="3" t="s">
        <v>1500</v>
      </c>
      <c r="D695" s="3">
        <v>2008.0</v>
      </c>
      <c r="E695" s="3" t="s">
        <v>1501</v>
      </c>
      <c r="F695" s="3" t="s">
        <v>436</v>
      </c>
      <c r="G695" s="3" t="s">
        <v>58</v>
      </c>
      <c r="H695" s="3" t="s">
        <v>58</v>
      </c>
      <c r="I695" s="3" t="s">
        <v>384</v>
      </c>
      <c r="X695" s="3" t="s">
        <v>78</v>
      </c>
    </row>
    <row r="696">
      <c r="A696" s="3">
        <v>695.0</v>
      </c>
      <c r="B696" s="3" t="s">
        <v>40</v>
      </c>
      <c r="C696" s="3" t="s">
        <v>1502</v>
      </c>
      <c r="D696" s="3">
        <v>2008.0</v>
      </c>
      <c r="E696" s="3" t="s">
        <v>1503</v>
      </c>
      <c r="F696" s="3" t="s">
        <v>113</v>
      </c>
      <c r="G696" s="3" t="s">
        <v>44</v>
      </c>
      <c r="H696" s="3" t="s">
        <v>45</v>
      </c>
      <c r="I696" s="3" t="s">
        <v>138</v>
      </c>
      <c r="X696" s="3" t="s">
        <v>78</v>
      </c>
    </row>
    <row r="697">
      <c r="A697" s="3">
        <v>696.0</v>
      </c>
      <c r="B697" s="3" t="s">
        <v>40</v>
      </c>
      <c r="C697" s="3" t="s">
        <v>1504</v>
      </c>
      <c r="D697" s="3">
        <v>2009.0</v>
      </c>
      <c r="E697" s="3" t="s">
        <v>1505</v>
      </c>
      <c r="F697" s="3" t="s">
        <v>75</v>
      </c>
      <c r="G697" s="3" t="s">
        <v>58</v>
      </c>
      <c r="H697" s="3" t="s">
        <v>58</v>
      </c>
      <c r="I697" s="3" t="s">
        <v>76</v>
      </c>
      <c r="X697" s="3" t="s">
        <v>78</v>
      </c>
    </row>
    <row r="698">
      <c r="A698" s="3">
        <v>697.0</v>
      </c>
      <c r="B698" s="3" t="s">
        <v>40</v>
      </c>
      <c r="C698" s="3" t="s">
        <v>1506</v>
      </c>
      <c r="D698" s="3">
        <v>2011.0</v>
      </c>
      <c r="E698" s="3" t="s">
        <v>1507</v>
      </c>
      <c r="F698" s="3" t="s">
        <v>129</v>
      </c>
      <c r="G698" s="3" t="s">
        <v>82</v>
      </c>
      <c r="H698" s="3" t="s">
        <v>82</v>
      </c>
      <c r="I698" s="3" t="s">
        <v>130</v>
      </c>
      <c r="X698" s="3" t="s">
        <v>78</v>
      </c>
    </row>
    <row r="699">
      <c r="A699" s="3">
        <v>698.0</v>
      </c>
      <c r="B699" s="3" t="s">
        <v>40</v>
      </c>
      <c r="C699" s="3" t="s">
        <v>1508</v>
      </c>
      <c r="D699" s="3">
        <v>2012.0</v>
      </c>
      <c r="E699" s="3" t="s">
        <v>1509</v>
      </c>
      <c r="F699" s="3" t="s">
        <v>356</v>
      </c>
      <c r="G699" s="3" t="s">
        <v>82</v>
      </c>
      <c r="H699" s="3" t="s">
        <v>82</v>
      </c>
      <c r="I699" s="3" t="s">
        <v>83</v>
      </c>
      <c r="X699" s="3" t="s">
        <v>78</v>
      </c>
    </row>
    <row r="700">
      <c r="A700" s="3">
        <v>699.0</v>
      </c>
      <c r="B700" s="3" t="s">
        <v>40</v>
      </c>
      <c r="C700" s="3" t="s">
        <v>1510</v>
      </c>
      <c r="D700" s="3">
        <v>2013.0</v>
      </c>
      <c r="E700" s="3" t="s">
        <v>1511</v>
      </c>
      <c r="F700" s="3" t="s">
        <v>68</v>
      </c>
      <c r="G700" s="3" t="s">
        <v>58</v>
      </c>
      <c r="H700" s="3" t="s">
        <v>58</v>
      </c>
      <c r="I700" s="3" t="s">
        <v>76</v>
      </c>
      <c r="X700" s="3" t="s">
        <v>78</v>
      </c>
    </row>
    <row r="701">
      <c r="A701" s="3">
        <v>700.0</v>
      </c>
      <c r="B701" s="3" t="s">
        <v>40</v>
      </c>
      <c r="C701" s="3" t="s">
        <v>1512</v>
      </c>
      <c r="D701" s="3">
        <v>2014.0</v>
      </c>
      <c r="E701" s="3" t="s">
        <v>1513</v>
      </c>
      <c r="F701" s="3" t="s">
        <v>129</v>
      </c>
      <c r="G701" s="3" t="s">
        <v>82</v>
      </c>
      <c r="H701" s="3" t="s">
        <v>82</v>
      </c>
      <c r="I701" s="3" t="s">
        <v>314</v>
      </c>
      <c r="X701" s="3" t="s">
        <v>78</v>
      </c>
    </row>
    <row r="702">
      <c r="A702" s="3">
        <v>701.0</v>
      </c>
      <c r="B702" s="3" t="s">
        <v>40</v>
      </c>
      <c r="C702" s="3" t="s">
        <v>1514</v>
      </c>
      <c r="D702" s="3">
        <v>2014.0</v>
      </c>
      <c r="E702" s="3" t="s">
        <v>1515</v>
      </c>
      <c r="F702" s="3" t="s">
        <v>57</v>
      </c>
      <c r="G702" s="3" t="s">
        <v>58</v>
      </c>
      <c r="H702" s="3" t="s">
        <v>58</v>
      </c>
      <c r="I702" s="3" t="s">
        <v>286</v>
      </c>
      <c r="X702" s="3" t="s">
        <v>78</v>
      </c>
    </row>
    <row r="703">
      <c r="A703" s="3">
        <v>702.0</v>
      </c>
      <c r="B703" s="3" t="s">
        <v>40</v>
      </c>
      <c r="C703" s="3" t="s">
        <v>1516</v>
      </c>
      <c r="D703" s="3">
        <v>2014.0</v>
      </c>
      <c r="E703" s="3" t="s">
        <v>1517</v>
      </c>
      <c r="F703" s="3" t="s">
        <v>129</v>
      </c>
      <c r="G703" s="3" t="s">
        <v>82</v>
      </c>
      <c r="H703" s="3" t="s">
        <v>82</v>
      </c>
      <c r="I703" s="3" t="s">
        <v>314</v>
      </c>
      <c r="X703" s="3" t="s">
        <v>78</v>
      </c>
    </row>
    <row r="704">
      <c r="A704" s="3">
        <v>703.0</v>
      </c>
      <c r="B704" s="3" t="s">
        <v>40</v>
      </c>
      <c r="C704" s="3" t="s">
        <v>1518</v>
      </c>
      <c r="D704" s="3">
        <v>2015.0</v>
      </c>
      <c r="E704" s="3" t="s">
        <v>1519</v>
      </c>
      <c r="F704" s="3" t="s">
        <v>57</v>
      </c>
      <c r="G704" s="3" t="s">
        <v>58</v>
      </c>
      <c r="H704" s="3" t="s">
        <v>58</v>
      </c>
      <c r="I704" s="3" t="s">
        <v>286</v>
      </c>
      <c r="X704" s="3" t="s">
        <v>78</v>
      </c>
    </row>
    <row r="705">
      <c r="A705" s="3">
        <v>704.0</v>
      </c>
      <c r="B705" s="3" t="s">
        <v>40</v>
      </c>
      <c r="C705" s="3" t="s">
        <v>1520</v>
      </c>
      <c r="D705" s="3">
        <v>2015.0</v>
      </c>
      <c r="E705" s="3" t="s">
        <v>1521</v>
      </c>
      <c r="F705" s="3" t="s">
        <v>129</v>
      </c>
      <c r="G705" s="3" t="s">
        <v>82</v>
      </c>
      <c r="H705" s="3" t="s">
        <v>82</v>
      </c>
      <c r="I705" s="3" t="s">
        <v>130</v>
      </c>
      <c r="X705" s="3" t="s">
        <v>78</v>
      </c>
    </row>
    <row r="706">
      <c r="A706" s="3">
        <v>705.0</v>
      </c>
      <c r="B706" s="3" t="s">
        <v>40</v>
      </c>
      <c r="C706" s="3" t="s">
        <v>1522</v>
      </c>
      <c r="D706" s="3">
        <v>2015.0</v>
      </c>
      <c r="E706" s="3" t="s">
        <v>1523</v>
      </c>
      <c r="F706" s="3" t="s">
        <v>129</v>
      </c>
      <c r="G706" s="3" t="s">
        <v>82</v>
      </c>
      <c r="H706" s="3" t="s">
        <v>82</v>
      </c>
      <c r="I706" s="3" t="s">
        <v>384</v>
      </c>
      <c r="X706" s="3" t="s">
        <v>78</v>
      </c>
    </row>
    <row r="707">
      <c r="A707" s="3">
        <v>706.0</v>
      </c>
      <c r="B707" s="3" t="s">
        <v>40</v>
      </c>
      <c r="C707" s="3" t="s">
        <v>1524</v>
      </c>
      <c r="D707" s="3">
        <v>2016.0</v>
      </c>
      <c r="E707" s="3" t="s">
        <v>1525</v>
      </c>
      <c r="F707" s="3" t="s">
        <v>129</v>
      </c>
      <c r="G707" s="3" t="s">
        <v>82</v>
      </c>
      <c r="H707" s="3" t="s">
        <v>82</v>
      </c>
      <c r="I707" s="3" t="s">
        <v>384</v>
      </c>
      <c r="X707" s="3" t="s">
        <v>78</v>
      </c>
    </row>
    <row r="708">
      <c r="A708" s="3">
        <v>707.0</v>
      </c>
      <c r="B708" s="3" t="s">
        <v>40</v>
      </c>
      <c r="C708" s="3" t="s">
        <v>1526</v>
      </c>
      <c r="D708" s="3">
        <v>2016.0</v>
      </c>
      <c r="E708" s="3" t="s">
        <v>1527</v>
      </c>
      <c r="F708" s="3" t="s">
        <v>129</v>
      </c>
      <c r="G708" s="3" t="s">
        <v>82</v>
      </c>
      <c r="H708" s="3" t="s">
        <v>82</v>
      </c>
      <c r="I708" s="3" t="s">
        <v>384</v>
      </c>
      <c r="X708" s="3" t="s">
        <v>78</v>
      </c>
    </row>
    <row r="709">
      <c r="A709" s="3">
        <v>708.0</v>
      </c>
      <c r="B709" s="3" t="s">
        <v>40</v>
      </c>
      <c r="C709" s="3" t="s">
        <v>1528</v>
      </c>
      <c r="D709" s="3">
        <v>2017.0</v>
      </c>
      <c r="E709" s="3" t="s">
        <v>1529</v>
      </c>
      <c r="F709" s="3" t="s">
        <v>129</v>
      </c>
      <c r="G709" s="3" t="s">
        <v>82</v>
      </c>
      <c r="H709" s="3" t="s">
        <v>82</v>
      </c>
      <c r="I709" s="3" t="s">
        <v>317</v>
      </c>
      <c r="X709" s="3" t="s">
        <v>78</v>
      </c>
    </row>
    <row r="710">
      <c r="A710" s="3">
        <v>709.0</v>
      </c>
      <c r="B710" s="3" t="s">
        <v>40</v>
      </c>
      <c r="C710" s="3" t="s">
        <v>1530</v>
      </c>
      <c r="D710" s="3">
        <v>2018.0</v>
      </c>
      <c r="E710" s="3" t="s">
        <v>1531</v>
      </c>
      <c r="F710" s="3" t="s">
        <v>57</v>
      </c>
      <c r="G710" s="3" t="s">
        <v>58</v>
      </c>
      <c r="H710" s="3" t="s">
        <v>58</v>
      </c>
      <c r="I710" s="3" t="s">
        <v>286</v>
      </c>
      <c r="X710" s="3" t="s">
        <v>78</v>
      </c>
    </row>
    <row r="711">
      <c r="A711" s="3">
        <v>710.0</v>
      </c>
      <c r="B711" s="3" t="s">
        <v>40</v>
      </c>
      <c r="C711" s="3" t="s">
        <v>1532</v>
      </c>
      <c r="D711" s="3">
        <v>2018.0</v>
      </c>
      <c r="E711" s="3" t="s">
        <v>1533</v>
      </c>
      <c r="F711" s="3" t="s">
        <v>253</v>
      </c>
      <c r="G711" s="3" t="s">
        <v>58</v>
      </c>
      <c r="H711" s="3" t="s">
        <v>58</v>
      </c>
      <c r="I711" s="3" t="s">
        <v>254</v>
      </c>
      <c r="X711" s="3" t="s">
        <v>78</v>
      </c>
    </row>
    <row r="712">
      <c r="A712" s="3">
        <v>711.0</v>
      </c>
      <c r="B712" s="3" t="s">
        <v>40</v>
      </c>
      <c r="C712" s="3" t="s">
        <v>1534</v>
      </c>
      <c r="D712" s="3">
        <v>2019.0</v>
      </c>
      <c r="E712" s="3" t="s">
        <v>1535</v>
      </c>
      <c r="F712" s="3" t="s">
        <v>129</v>
      </c>
      <c r="G712" s="3" t="s">
        <v>82</v>
      </c>
      <c r="H712" s="3" t="s">
        <v>82</v>
      </c>
      <c r="I712" s="3" t="s">
        <v>130</v>
      </c>
      <c r="X712" s="3" t="s">
        <v>78</v>
      </c>
    </row>
    <row r="713">
      <c r="A713" s="3">
        <v>712.0</v>
      </c>
      <c r="B713" s="3" t="s">
        <v>40</v>
      </c>
      <c r="C713" s="3" t="s">
        <v>1536</v>
      </c>
      <c r="D713" s="3">
        <v>2019.0</v>
      </c>
      <c r="E713" s="3" t="s">
        <v>1537</v>
      </c>
      <c r="F713" s="3" t="s">
        <v>552</v>
      </c>
      <c r="G713" s="3" t="s">
        <v>58</v>
      </c>
      <c r="H713" s="3" t="s">
        <v>58</v>
      </c>
      <c r="I713" s="3" t="s">
        <v>59</v>
      </c>
      <c r="X713" s="3" t="s">
        <v>78</v>
      </c>
    </row>
    <row r="714">
      <c r="A714" s="3">
        <v>713.0</v>
      </c>
      <c r="B714" s="3" t="s">
        <v>40</v>
      </c>
      <c r="C714" s="3" t="s">
        <v>1538</v>
      </c>
      <c r="D714" s="3">
        <v>2020.0</v>
      </c>
      <c r="E714" s="3" t="s">
        <v>1539</v>
      </c>
      <c r="F714" s="3" t="s">
        <v>129</v>
      </c>
      <c r="G714" s="3" t="s">
        <v>82</v>
      </c>
      <c r="H714" s="3" t="s">
        <v>82</v>
      </c>
      <c r="I714" s="3" t="s">
        <v>384</v>
      </c>
      <c r="X714" s="3" t="s">
        <v>78</v>
      </c>
    </row>
    <row r="715">
      <c r="A715" s="3">
        <v>714.0</v>
      </c>
      <c r="B715" s="3" t="s">
        <v>55</v>
      </c>
      <c r="D715" s="3">
        <v>1991.0</v>
      </c>
      <c r="E715" s="3" t="s">
        <v>1540</v>
      </c>
      <c r="F715" s="3" t="s">
        <v>57</v>
      </c>
      <c r="G715" s="3" t="s">
        <v>58</v>
      </c>
      <c r="H715" s="3" t="s">
        <v>58</v>
      </c>
      <c r="I715" s="3" t="s">
        <v>285</v>
      </c>
      <c r="X715" s="3" t="s">
        <v>78</v>
      </c>
    </row>
    <row r="716">
      <c r="A716" s="3">
        <v>715.0</v>
      </c>
      <c r="B716" s="3" t="s">
        <v>40</v>
      </c>
      <c r="C716" s="3" t="s">
        <v>1541</v>
      </c>
      <c r="D716" s="3">
        <v>2015.0</v>
      </c>
      <c r="E716" s="3" t="s">
        <v>1542</v>
      </c>
      <c r="F716" s="3" t="s">
        <v>253</v>
      </c>
      <c r="G716" s="3" t="s">
        <v>58</v>
      </c>
      <c r="H716" s="3" t="s">
        <v>58</v>
      </c>
      <c r="I716" s="3" t="s">
        <v>110</v>
      </c>
      <c r="O716" s="3" t="s">
        <v>87</v>
      </c>
      <c r="R716" s="3" t="s">
        <v>111</v>
      </c>
      <c r="T716" s="3" t="s">
        <v>61</v>
      </c>
      <c r="V716" s="3" t="s">
        <v>143</v>
      </c>
      <c r="X716" s="3" t="s">
        <v>64</v>
      </c>
      <c r="Y716" s="3" t="s">
        <v>51</v>
      </c>
      <c r="Z716" s="3" t="s">
        <v>52</v>
      </c>
      <c r="AA716" s="3" t="s">
        <v>53</v>
      </c>
    </row>
    <row r="717">
      <c r="A717" s="3">
        <v>716.0</v>
      </c>
      <c r="B717" s="3" t="s">
        <v>106</v>
      </c>
      <c r="C717" s="3" t="s">
        <v>1543</v>
      </c>
      <c r="D717" s="3">
        <v>1994.0</v>
      </c>
      <c r="E717" s="3" t="s">
        <v>1544</v>
      </c>
      <c r="F717" s="3" t="s">
        <v>204</v>
      </c>
      <c r="G717" s="3" t="s">
        <v>101</v>
      </c>
      <c r="I717" s="3" t="s">
        <v>205</v>
      </c>
      <c r="J717" s="3" t="s">
        <v>155</v>
      </c>
      <c r="O717" s="3" t="s">
        <v>62</v>
      </c>
      <c r="R717" s="3" t="s">
        <v>60</v>
      </c>
      <c r="S717" s="3" t="s">
        <v>111</v>
      </c>
      <c r="T717" s="3" t="s">
        <v>61</v>
      </c>
      <c r="X717" s="3" t="s">
        <v>64</v>
      </c>
      <c r="Y717" s="3" t="s">
        <v>51</v>
      </c>
      <c r="Z717" s="3" t="s">
        <v>52</v>
      </c>
    </row>
    <row r="718">
      <c r="A718" s="3">
        <v>717.0</v>
      </c>
      <c r="B718" s="3" t="s">
        <v>40</v>
      </c>
      <c r="C718" s="3" t="s">
        <v>1545</v>
      </c>
      <c r="D718" s="3">
        <v>1983.0</v>
      </c>
      <c r="E718" s="3" t="s">
        <v>1546</v>
      </c>
      <c r="F718" s="3" t="s">
        <v>201</v>
      </c>
      <c r="G718" s="3" t="s">
        <v>58</v>
      </c>
      <c r="H718" s="3" t="s">
        <v>58</v>
      </c>
      <c r="I718" s="3" t="s">
        <v>110</v>
      </c>
      <c r="O718" s="3" t="s">
        <v>62</v>
      </c>
      <c r="P718" s="3" t="s">
        <v>147</v>
      </c>
      <c r="R718" s="3" t="s">
        <v>111</v>
      </c>
      <c r="T718" s="3" t="s">
        <v>1547</v>
      </c>
      <c r="V718" s="3" t="s">
        <v>134</v>
      </c>
      <c r="X718" s="3" t="s">
        <v>64</v>
      </c>
      <c r="Y718" s="3" t="s">
        <v>51</v>
      </c>
      <c r="Z718" s="3" t="s">
        <v>121</v>
      </c>
      <c r="AA718" s="3" t="s">
        <v>53</v>
      </c>
    </row>
    <row r="719">
      <c r="A719" s="3">
        <v>718.0</v>
      </c>
      <c r="B719" s="3" t="s">
        <v>40</v>
      </c>
      <c r="C719" s="3" t="s">
        <v>1548</v>
      </c>
      <c r="D719" s="3">
        <v>1986.0</v>
      </c>
      <c r="E719" s="3" t="s">
        <v>1549</v>
      </c>
      <c r="F719" s="3" t="s">
        <v>146</v>
      </c>
      <c r="G719" s="3" t="s">
        <v>58</v>
      </c>
      <c r="H719" s="3" t="s">
        <v>58</v>
      </c>
      <c r="I719" s="3" t="s">
        <v>110</v>
      </c>
      <c r="O719" s="3" t="s">
        <v>87</v>
      </c>
      <c r="R719" s="3" t="s">
        <v>87</v>
      </c>
      <c r="T719" s="3" t="s">
        <v>1550</v>
      </c>
      <c r="X719" s="3" t="s">
        <v>64</v>
      </c>
      <c r="Y719" s="3" t="s">
        <v>51</v>
      </c>
      <c r="Z719" s="3" t="s">
        <v>71</v>
      </c>
    </row>
    <row r="720">
      <c r="A720" s="3">
        <v>719.0</v>
      </c>
      <c r="B720" s="3" t="s">
        <v>40</v>
      </c>
      <c r="C720" s="3" t="s">
        <v>1551</v>
      </c>
      <c r="D720" s="3">
        <v>2013.0</v>
      </c>
      <c r="E720" s="3" t="s">
        <v>1552</v>
      </c>
      <c r="F720" s="3" t="s">
        <v>172</v>
      </c>
      <c r="G720" s="3" t="s">
        <v>91</v>
      </c>
      <c r="H720" s="3" t="s">
        <v>91</v>
      </c>
      <c r="I720" s="3" t="s">
        <v>92</v>
      </c>
      <c r="J720" s="3" t="s">
        <v>173</v>
      </c>
      <c r="O720" s="3" t="s">
        <v>62</v>
      </c>
      <c r="R720" s="3" t="s">
        <v>87</v>
      </c>
      <c r="T720" s="3" t="s">
        <v>87</v>
      </c>
      <c r="X720" s="3" t="s">
        <v>64</v>
      </c>
      <c r="Y720" s="3" t="s">
        <v>51</v>
      </c>
      <c r="Z720" s="3" t="s">
        <v>71</v>
      </c>
    </row>
    <row r="721">
      <c r="A721" s="3">
        <v>720.0</v>
      </c>
      <c r="B721" s="3" t="s">
        <v>40</v>
      </c>
      <c r="C721" s="3" t="s">
        <v>1553</v>
      </c>
      <c r="D721" s="3">
        <v>1996.0</v>
      </c>
      <c r="E721" s="3" t="s">
        <v>1554</v>
      </c>
      <c r="F721" s="3" t="s">
        <v>158</v>
      </c>
      <c r="G721" s="3" t="s">
        <v>58</v>
      </c>
      <c r="H721" s="3" t="s">
        <v>58</v>
      </c>
      <c r="I721" s="3" t="s">
        <v>110</v>
      </c>
      <c r="O721" s="3" t="s">
        <v>87</v>
      </c>
      <c r="R721" s="3" t="s">
        <v>87</v>
      </c>
      <c r="X721" s="3" t="s">
        <v>64</v>
      </c>
      <c r="Y721" s="3" t="s">
        <v>51</v>
      </c>
    </row>
    <row r="722">
      <c r="A722" s="3">
        <v>721.0</v>
      </c>
      <c r="B722" s="3" t="s">
        <v>106</v>
      </c>
      <c r="C722" s="3" t="s">
        <v>1555</v>
      </c>
      <c r="D722" s="3">
        <v>1995.0</v>
      </c>
      <c r="E722" s="3" t="s">
        <v>1556</v>
      </c>
      <c r="F722" s="3" t="s">
        <v>123</v>
      </c>
      <c r="G722" s="3" t="s">
        <v>124</v>
      </c>
      <c r="I722" s="3" t="s">
        <v>110</v>
      </c>
      <c r="O722" s="3" t="s">
        <v>87</v>
      </c>
      <c r="R722" s="3" t="s">
        <v>87</v>
      </c>
      <c r="X722" s="3" t="s">
        <v>64</v>
      </c>
      <c r="Y722" s="3" t="s">
        <v>51</v>
      </c>
    </row>
    <row r="723">
      <c r="A723" s="3">
        <v>722.0</v>
      </c>
      <c r="B723" s="3" t="s">
        <v>40</v>
      </c>
      <c r="C723" s="3" t="s">
        <v>1557</v>
      </c>
      <c r="D723" s="3">
        <v>2018.0</v>
      </c>
      <c r="E723" s="3" t="s">
        <v>1558</v>
      </c>
      <c r="F723" s="3" t="s">
        <v>57</v>
      </c>
      <c r="G723" s="3" t="s">
        <v>58</v>
      </c>
      <c r="H723" s="3" t="s">
        <v>58</v>
      </c>
      <c r="I723" s="3" t="s">
        <v>110</v>
      </c>
      <c r="O723" s="3" t="s">
        <v>147</v>
      </c>
      <c r="P723" s="3" t="s">
        <v>62</v>
      </c>
      <c r="R723" s="3" t="s">
        <v>61</v>
      </c>
      <c r="T723" s="3" t="s">
        <v>111</v>
      </c>
      <c r="V723" s="3" t="s">
        <v>63</v>
      </c>
      <c r="X723" s="3" t="s">
        <v>64</v>
      </c>
      <c r="Y723" s="3" t="s">
        <v>52</v>
      </c>
      <c r="Z723" s="3" t="s">
        <v>51</v>
      </c>
      <c r="AA723" s="3" t="s">
        <v>65</v>
      </c>
    </row>
    <row r="724">
      <c r="A724" s="3">
        <v>723.0</v>
      </c>
      <c r="B724" s="3" t="s">
        <v>40</v>
      </c>
      <c r="C724" s="3" t="s">
        <v>1559</v>
      </c>
      <c r="D724" s="3">
        <v>1998.0</v>
      </c>
      <c r="E724" s="3" t="s">
        <v>1560</v>
      </c>
      <c r="F724" s="3" t="s">
        <v>158</v>
      </c>
      <c r="G724" s="3" t="s">
        <v>58</v>
      </c>
      <c r="H724" s="3" t="s">
        <v>58</v>
      </c>
      <c r="I724" s="3" t="s">
        <v>110</v>
      </c>
      <c r="O724" s="3" t="s">
        <v>87</v>
      </c>
      <c r="R724" s="3" t="s">
        <v>61</v>
      </c>
      <c r="T724" s="3" t="s">
        <v>87</v>
      </c>
      <c r="V724" s="3" t="s">
        <v>143</v>
      </c>
      <c r="X724" s="3" t="s">
        <v>64</v>
      </c>
      <c r="Y724" s="3" t="s">
        <v>52</v>
      </c>
      <c r="Z724" s="3" t="s">
        <v>121</v>
      </c>
      <c r="AA724" s="3" t="s">
        <v>53</v>
      </c>
    </row>
    <row r="725">
      <c r="A725" s="3">
        <v>724.0</v>
      </c>
      <c r="B725" s="3" t="s">
        <v>106</v>
      </c>
      <c r="C725" s="3" t="s">
        <v>1561</v>
      </c>
      <c r="D725" s="3">
        <v>1993.0</v>
      </c>
      <c r="E725" s="3" t="s">
        <v>1562</v>
      </c>
      <c r="F725" s="3" t="s">
        <v>150</v>
      </c>
      <c r="G725" s="3" t="s">
        <v>58</v>
      </c>
      <c r="I725" s="3" t="s">
        <v>110</v>
      </c>
      <c r="O725" s="3" t="s">
        <v>62</v>
      </c>
      <c r="P725" s="3" t="s">
        <v>1563</v>
      </c>
      <c r="R725" s="3" t="s">
        <v>61</v>
      </c>
      <c r="T725" s="3" t="s">
        <v>87</v>
      </c>
      <c r="X725" s="3" t="s">
        <v>64</v>
      </c>
      <c r="Y725" s="3" t="s">
        <v>52</v>
      </c>
      <c r="Z725" s="3" t="s">
        <v>121</v>
      </c>
    </row>
    <row r="726">
      <c r="A726" s="3">
        <v>725.0</v>
      </c>
      <c r="B726" s="3" t="s">
        <v>106</v>
      </c>
      <c r="C726" s="3" t="s">
        <v>1564</v>
      </c>
      <c r="D726" s="3">
        <v>1994.0</v>
      </c>
      <c r="E726" s="3" t="s">
        <v>1565</v>
      </c>
      <c r="F726" s="3" t="s">
        <v>341</v>
      </c>
      <c r="G726" s="3" t="s">
        <v>44</v>
      </c>
      <c r="I726" s="3" t="s">
        <v>46</v>
      </c>
      <c r="O726" s="3" t="s">
        <v>147</v>
      </c>
      <c r="R726" s="3" t="s">
        <v>247</v>
      </c>
      <c r="S726" s="3" t="s">
        <v>61</v>
      </c>
      <c r="T726" s="3" t="s">
        <v>385</v>
      </c>
      <c r="V726" s="3" t="s">
        <v>162</v>
      </c>
      <c r="X726" s="3" t="s">
        <v>64</v>
      </c>
      <c r="Y726" s="3" t="s">
        <v>52</v>
      </c>
      <c r="Z726" s="3" t="s">
        <v>54</v>
      </c>
      <c r="AA726" s="3" t="s">
        <v>121</v>
      </c>
      <c r="AB726" s="3" t="s">
        <v>143</v>
      </c>
    </row>
    <row r="727">
      <c r="A727" s="3">
        <v>726.0</v>
      </c>
      <c r="B727" s="3" t="s">
        <v>40</v>
      </c>
      <c r="C727" s="3" t="s">
        <v>1566</v>
      </c>
      <c r="D727" s="3">
        <v>2018.0</v>
      </c>
      <c r="E727" s="3" t="s">
        <v>1567</v>
      </c>
      <c r="F727" s="3" t="s">
        <v>57</v>
      </c>
      <c r="G727" s="3" t="s">
        <v>58</v>
      </c>
      <c r="H727" s="3" t="s">
        <v>58</v>
      </c>
      <c r="I727" s="3" t="s">
        <v>76</v>
      </c>
      <c r="O727" s="3" t="s">
        <v>62</v>
      </c>
      <c r="R727" s="3" t="s">
        <v>61</v>
      </c>
      <c r="T727" s="3" t="s">
        <v>49</v>
      </c>
      <c r="V727" s="3" t="s">
        <v>50</v>
      </c>
      <c r="X727" s="3" t="s">
        <v>64</v>
      </c>
      <c r="Y727" s="3" t="s">
        <v>52</v>
      </c>
      <c r="Z727" s="3" t="s">
        <v>53</v>
      </c>
      <c r="AA727" s="3" t="s">
        <v>54</v>
      </c>
      <c r="AB727" s="3" t="s">
        <v>78</v>
      </c>
    </row>
    <row r="728">
      <c r="A728" s="3">
        <v>727.0</v>
      </c>
      <c r="B728" s="3" t="s">
        <v>40</v>
      </c>
      <c r="C728" s="3" t="s">
        <v>1568</v>
      </c>
      <c r="D728" s="3">
        <v>1997.0</v>
      </c>
      <c r="E728" s="3" t="s">
        <v>1569</v>
      </c>
      <c r="F728" s="3" t="s">
        <v>68</v>
      </c>
      <c r="G728" s="3" t="s">
        <v>58</v>
      </c>
      <c r="H728" s="3" t="s">
        <v>58</v>
      </c>
      <c r="I728" s="3" t="s">
        <v>110</v>
      </c>
      <c r="O728" s="3" t="s">
        <v>87</v>
      </c>
      <c r="R728" s="3" t="s">
        <v>61</v>
      </c>
      <c r="T728" s="3" t="s">
        <v>1570</v>
      </c>
      <c r="X728" s="3" t="s">
        <v>64</v>
      </c>
      <c r="Y728" s="3" t="s">
        <v>52</v>
      </c>
      <c r="Z728" s="3" t="s">
        <v>53</v>
      </c>
    </row>
    <row r="729">
      <c r="A729" s="3">
        <v>728.0</v>
      </c>
      <c r="B729" s="3" t="s">
        <v>40</v>
      </c>
      <c r="C729" s="3" t="s">
        <v>1571</v>
      </c>
      <c r="D729" s="3">
        <v>2008.0</v>
      </c>
      <c r="E729" s="3" t="s">
        <v>1572</v>
      </c>
      <c r="F729" s="3" t="s">
        <v>158</v>
      </c>
      <c r="G729" s="3" t="s">
        <v>58</v>
      </c>
      <c r="H729" s="3" t="s">
        <v>58</v>
      </c>
      <c r="I729" s="3" t="s">
        <v>110</v>
      </c>
      <c r="O729" s="3" t="s">
        <v>87</v>
      </c>
      <c r="R729" s="3" t="s">
        <v>61</v>
      </c>
      <c r="T729" s="3" t="s">
        <v>1573</v>
      </c>
      <c r="X729" s="3" t="s">
        <v>64</v>
      </c>
      <c r="Y729" s="3" t="s">
        <v>52</v>
      </c>
      <c r="Z729" s="3" t="s">
        <v>53</v>
      </c>
    </row>
    <row r="730">
      <c r="A730" s="3">
        <v>729.0</v>
      </c>
      <c r="B730" s="3" t="s">
        <v>40</v>
      </c>
      <c r="C730" s="3" t="s">
        <v>1574</v>
      </c>
      <c r="D730" s="3">
        <v>2010.0</v>
      </c>
      <c r="E730" s="3" t="s">
        <v>1575</v>
      </c>
      <c r="F730" s="3" t="s">
        <v>201</v>
      </c>
      <c r="G730" s="3" t="s">
        <v>58</v>
      </c>
      <c r="H730" s="3" t="s">
        <v>58</v>
      </c>
      <c r="I730" s="3" t="s">
        <v>110</v>
      </c>
      <c r="O730" s="3" t="s">
        <v>87</v>
      </c>
      <c r="R730" s="3" t="s">
        <v>61</v>
      </c>
      <c r="T730" s="3" t="s">
        <v>143</v>
      </c>
      <c r="X730" s="3" t="s">
        <v>64</v>
      </c>
      <c r="Y730" s="3" t="s">
        <v>52</v>
      </c>
      <c r="Z730" s="3" t="s">
        <v>53</v>
      </c>
    </row>
    <row r="731">
      <c r="A731" s="3">
        <v>730.0</v>
      </c>
      <c r="B731" s="3" t="s">
        <v>40</v>
      </c>
      <c r="C731" s="3" t="s">
        <v>1576</v>
      </c>
      <c r="D731" s="3">
        <v>2010.0</v>
      </c>
      <c r="E731" s="3" t="s">
        <v>1577</v>
      </c>
      <c r="F731" s="3" t="s">
        <v>158</v>
      </c>
      <c r="G731" s="3" t="s">
        <v>58</v>
      </c>
      <c r="H731" s="3" t="s">
        <v>58</v>
      </c>
      <c r="I731" s="3" t="s">
        <v>110</v>
      </c>
      <c r="O731" s="3" t="s">
        <v>147</v>
      </c>
      <c r="P731" s="3" t="s">
        <v>62</v>
      </c>
      <c r="R731" s="3" t="s">
        <v>61</v>
      </c>
      <c r="T731" s="3" t="s">
        <v>143</v>
      </c>
      <c r="X731" s="3" t="s">
        <v>64</v>
      </c>
      <c r="Y731" s="3" t="s">
        <v>52</v>
      </c>
      <c r="Z731" s="3" t="s">
        <v>53</v>
      </c>
    </row>
    <row r="732">
      <c r="A732" s="3">
        <v>731.0</v>
      </c>
      <c r="B732" s="3" t="s">
        <v>40</v>
      </c>
      <c r="C732" s="3" t="s">
        <v>1578</v>
      </c>
      <c r="D732" s="3">
        <v>2016.0</v>
      </c>
      <c r="E732" s="3" t="s">
        <v>1579</v>
      </c>
      <c r="F732" s="3" t="s">
        <v>57</v>
      </c>
      <c r="G732" s="3" t="s">
        <v>58</v>
      </c>
      <c r="H732" s="3" t="s">
        <v>58</v>
      </c>
      <c r="I732" s="3" t="s">
        <v>110</v>
      </c>
      <c r="O732" s="3" t="s">
        <v>147</v>
      </c>
      <c r="R732" s="3" t="s">
        <v>61</v>
      </c>
      <c r="T732" s="3" t="s">
        <v>49</v>
      </c>
      <c r="X732" s="3" t="s">
        <v>64</v>
      </c>
      <c r="Y732" s="3" t="s">
        <v>52</v>
      </c>
      <c r="Z732" s="3" t="s">
        <v>53</v>
      </c>
    </row>
    <row r="733">
      <c r="A733" s="3">
        <v>732.0</v>
      </c>
      <c r="B733" s="3" t="s">
        <v>106</v>
      </c>
      <c r="C733" s="3" t="s">
        <v>221</v>
      </c>
      <c r="D733" s="3">
        <v>1991.0</v>
      </c>
      <c r="E733" s="3" t="s">
        <v>1580</v>
      </c>
      <c r="F733" s="3" t="s">
        <v>1581</v>
      </c>
      <c r="G733" s="3" t="s">
        <v>124</v>
      </c>
      <c r="I733" s="3" t="s">
        <v>110</v>
      </c>
      <c r="O733" s="3" t="s">
        <v>62</v>
      </c>
      <c r="R733" s="3" t="s">
        <v>61</v>
      </c>
      <c r="T733" s="3" t="s">
        <v>49</v>
      </c>
      <c r="X733" s="3" t="s">
        <v>64</v>
      </c>
      <c r="Y733" s="3" t="s">
        <v>52</v>
      </c>
      <c r="Z733" s="3" t="s">
        <v>53</v>
      </c>
    </row>
    <row r="734">
      <c r="A734" s="3">
        <v>733.0</v>
      </c>
      <c r="B734" s="3" t="s">
        <v>40</v>
      </c>
      <c r="C734" s="3" t="s">
        <v>1582</v>
      </c>
      <c r="D734" s="3">
        <v>2017.0</v>
      </c>
      <c r="E734" s="3" t="s">
        <v>1583</v>
      </c>
      <c r="F734" s="3" t="s">
        <v>433</v>
      </c>
      <c r="G734" s="3" t="s">
        <v>44</v>
      </c>
      <c r="H734" s="3" t="s">
        <v>45</v>
      </c>
      <c r="I734" s="3" t="s">
        <v>485</v>
      </c>
      <c r="O734" s="3" t="s">
        <v>147</v>
      </c>
      <c r="R734" s="3" t="s">
        <v>61</v>
      </c>
      <c r="S734" s="3" t="s">
        <v>247</v>
      </c>
      <c r="V734" s="3" t="s">
        <v>238</v>
      </c>
      <c r="W734" s="3" t="s">
        <v>54</v>
      </c>
      <c r="X734" s="3" t="s">
        <v>64</v>
      </c>
      <c r="Y734" s="3" t="s">
        <v>52</v>
      </c>
      <c r="Z734" s="3" t="s">
        <v>65</v>
      </c>
      <c r="AA734" s="3" t="s">
        <v>235</v>
      </c>
      <c r="AB734" s="3" t="s">
        <v>64</v>
      </c>
    </row>
    <row r="735">
      <c r="A735" s="3">
        <v>734.0</v>
      </c>
      <c r="B735" s="3" t="s">
        <v>40</v>
      </c>
      <c r="C735" s="3" t="s">
        <v>1584</v>
      </c>
      <c r="D735" s="3">
        <v>2004.0</v>
      </c>
      <c r="E735" s="3" t="s">
        <v>1585</v>
      </c>
      <c r="F735" s="3" t="s">
        <v>68</v>
      </c>
      <c r="G735" s="3" t="s">
        <v>58</v>
      </c>
      <c r="H735" s="3" t="s">
        <v>58</v>
      </c>
      <c r="I735" s="3" t="s">
        <v>110</v>
      </c>
      <c r="O735" s="3" t="s">
        <v>87</v>
      </c>
      <c r="R735" s="3" t="s">
        <v>61</v>
      </c>
      <c r="S735" s="3" t="s">
        <v>247</v>
      </c>
      <c r="T735" s="3" t="s">
        <v>63</v>
      </c>
      <c r="V735" s="3" t="s">
        <v>143</v>
      </c>
      <c r="X735" s="3" t="s">
        <v>64</v>
      </c>
      <c r="Y735" s="3" t="s">
        <v>52</v>
      </c>
      <c r="Z735" s="3" t="s">
        <v>65</v>
      </c>
      <c r="AA735" s="3" t="s">
        <v>53</v>
      </c>
    </row>
    <row r="736">
      <c r="A736" s="3">
        <v>735.0</v>
      </c>
      <c r="B736" s="3" t="s">
        <v>40</v>
      </c>
      <c r="C736" s="3" t="s">
        <v>1586</v>
      </c>
      <c r="D736" s="3">
        <v>2007.0</v>
      </c>
      <c r="E736" s="3" t="s">
        <v>1587</v>
      </c>
      <c r="F736" s="3" t="s">
        <v>201</v>
      </c>
      <c r="G736" s="3" t="s">
        <v>58</v>
      </c>
      <c r="H736" s="3" t="s">
        <v>58</v>
      </c>
      <c r="I736" s="3" t="s">
        <v>110</v>
      </c>
      <c r="O736" s="3" t="s">
        <v>87</v>
      </c>
      <c r="R736" s="3" t="s">
        <v>61</v>
      </c>
      <c r="T736" s="3" t="s">
        <v>63</v>
      </c>
      <c r="V736" s="3" t="s">
        <v>143</v>
      </c>
      <c r="X736" s="3" t="s">
        <v>64</v>
      </c>
      <c r="Y736" s="3" t="s">
        <v>52</v>
      </c>
      <c r="Z736" s="3" t="s">
        <v>65</v>
      </c>
      <c r="AA736" s="3" t="s">
        <v>53</v>
      </c>
    </row>
    <row r="737">
      <c r="A737" s="3">
        <v>736.0</v>
      </c>
      <c r="B737" s="3" t="s">
        <v>40</v>
      </c>
      <c r="C737" s="3" t="s">
        <v>1588</v>
      </c>
      <c r="D737" s="3">
        <v>2008.0</v>
      </c>
      <c r="E737" s="3" t="s">
        <v>1589</v>
      </c>
      <c r="F737" s="3" t="s">
        <v>201</v>
      </c>
      <c r="G737" s="3" t="s">
        <v>58</v>
      </c>
      <c r="H737" s="3" t="s">
        <v>58</v>
      </c>
      <c r="I737" s="3" t="s">
        <v>110</v>
      </c>
      <c r="O737" s="3" t="s">
        <v>62</v>
      </c>
      <c r="R737" s="3" t="s">
        <v>61</v>
      </c>
      <c r="T737" s="3" t="s">
        <v>63</v>
      </c>
      <c r="V737" s="3" t="s">
        <v>143</v>
      </c>
      <c r="X737" s="3" t="s">
        <v>64</v>
      </c>
      <c r="Y737" s="3" t="s">
        <v>52</v>
      </c>
      <c r="Z737" s="3" t="s">
        <v>65</v>
      </c>
      <c r="AA737" s="3" t="s">
        <v>53</v>
      </c>
    </row>
    <row r="738">
      <c r="A738" s="3">
        <v>737.0</v>
      </c>
      <c r="B738" s="3" t="s">
        <v>40</v>
      </c>
      <c r="C738" s="3" t="s">
        <v>1590</v>
      </c>
      <c r="D738" s="3">
        <v>2009.0</v>
      </c>
      <c r="E738" s="3" t="s">
        <v>1591</v>
      </c>
      <c r="F738" s="3" t="s">
        <v>201</v>
      </c>
      <c r="G738" s="3" t="s">
        <v>58</v>
      </c>
      <c r="H738" s="3" t="s">
        <v>58</v>
      </c>
      <c r="I738" s="3" t="s">
        <v>110</v>
      </c>
      <c r="O738" s="3" t="s">
        <v>87</v>
      </c>
      <c r="R738" s="3" t="s">
        <v>61</v>
      </c>
      <c r="T738" s="3" t="s">
        <v>63</v>
      </c>
      <c r="V738" s="3" t="s">
        <v>134</v>
      </c>
      <c r="X738" s="3" t="s">
        <v>64</v>
      </c>
      <c r="Y738" s="3" t="s">
        <v>52</v>
      </c>
      <c r="Z738" s="3" t="s">
        <v>65</v>
      </c>
      <c r="AA738" s="3" t="s">
        <v>53</v>
      </c>
    </row>
    <row r="739">
      <c r="A739" s="3">
        <v>738.0</v>
      </c>
      <c r="B739" s="3" t="s">
        <v>40</v>
      </c>
      <c r="C739" s="3" t="s">
        <v>1592</v>
      </c>
      <c r="D739" s="3">
        <v>2013.0</v>
      </c>
      <c r="E739" s="3" t="s">
        <v>1593</v>
      </c>
      <c r="F739" s="3" t="s">
        <v>295</v>
      </c>
      <c r="G739" s="3" t="s">
        <v>58</v>
      </c>
      <c r="H739" s="3" t="s">
        <v>58</v>
      </c>
      <c r="I739" s="3" t="s">
        <v>110</v>
      </c>
      <c r="O739" s="3" t="s">
        <v>147</v>
      </c>
      <c r="R739" s="3" t="s">
        <v>61</v>
      </c>
      <c r="S739" s="3" t="s">
        <v>247</v>
      </c>
      <c r="T739" s="3" t="s">
        <v>63</v>
      </c>
      <c r="V739" s="3" t="s">
        <v>143</v>
      </c>
      <c r="X739" s="3" t="s">
        <v>64</v>
      </c>
      <c r="Y739" s="3" t="s">
        <v>52</v>
      </c>
      <c r="Z739" s="3" t="s">
        <v>65</v>
      </c>
      <c r="AA739" s="3" t="s">
        <v>53</v>
      </c>
    </row>
    <row r="740">
      <c r="A740" s="3">
        <v>739.0</v>
      </c>
      <c r="B740" s="3" t="s">
        <v>40</v>
      </c>
      <c r="C740" s="3" t="s">
        <v>1594</v>
      </c>
      <c r="D740" s="3">
        <v>2012.0</v>
      </c>
      <c r="E740" s="3" t="s">
        <v>1595</v>
      </c>
      <c r="F740" s="3" t="s">
        <v>129</v>
      </c>
      <c r="G740" s="3" t="s">
        <v>82</v>
      </c>
      <c r="H740" s="3" t="s">
        <v>82</v>
      </c>
      <c r="I740" s="3" t="s">
        <v>384</v>
      </c>
      <c r="O740" s="3" t="s">
        <v>147</v>
      </c>
      <c r="R740" s="3" t="s">
        <v>61</v>
      </c>
      <c r="X740" s="3" t="s">
        <v>64</v>
      </c>
      <c r="Y740" s="3" t="s">
        <v>52</v>
      </c>
    </row>
    <row r="741">
      <c r="A741" s="3">
        <v>740.0</v>
      </c>
      <c r="B741" s="3" t="s">
        <v>40</v>
      </c>
      <c r="C741" s="3" t="s">
        <v>1596</v>
      </c>
      <c r="D741" s="3">
        <v>2012.0</v>
      </c>
      <c r="E741" s="3" t="s">
        <v>1597</v>
      </c>
      <c r="F741" s="3" t="s">
        <v>129</v>
      </c>
      <c r="G741" s="3" t="s">
        <v>82</v>
      </c>
      <c r="H741" s="3" t="s">
        <v>82</v>
      </c>
      <c r="I741" s="3" t="s">
        <v>384</v>
      </c>
      <c r="O741" s="3" t="s">
        <v>147</v>
      </c>
      <c r="R741" s="3" t="s">
        <v>61</v>
      </c>
      <c r="X741" s="3" t="s">
        <v>64</v>
      </c>
      <c r="Y741" s="3" t="s">
        <v>52</v>
      </c>
    </row>
    <row r="742">
      <c r="A742" s="3">
        <v>741.0</v>
      </c>
      <c r="B742" s="3" t="s">
        <v>40</v>
      </c>
      <c r="C742" s="3" t="s">
        <v>1598</v>
      </c>
      <c r="D742" s="3">
        <v>2013.0</v>
      </c>
      <c r="E742" s="3" t="s">
        <v>1599</v>
      </c>
      <c r="F742" s="3" t="s">
        <v>158</v>
      </c>
      <c r="G742" s="3" t="s">
        <v>58</v>
      </c>
      <c r="H742" s="3" t="s">
        <v>58</v>
      </c>
      <c r="I742" s="3" t="s">
        <v>69</v>
      </c>
      <c r="O742" s="3" t="s">
        <v>147</v>
      </c>
      <c r="R742" s="3" t="s">
        <v>61</v>
      </c>
      <c r="X742" s="3" t="s">
        <v>64</v>
      </c>
      <c r="Y742" s="3" t="s">
        <v>52</v>
      </c>
    </row>
    <row r="743">
      <c r="A743" s="3">
        <v>742.0</v>
      </c>
      <c r="B743" s="3" t="s">
        <v>40</v>
      </c>
      <c r="C743" s="3" t="s">
        <v>1600</v>
      </c>
      <c r="D743" s="3">
        <v>2015.0</v>
      </c>
      <c r="E743" s="3" t="s">
        <v>1601</v>
      </c>
      <c r="F743" s="3" t="s">
        <v>129</v>
      </c>
      <c r="G743" s="3" t="s">
        <v>82</v>
      </c>
      <c r="H743" s="3" t="s">
        <v>82</v>
      </c>
      <c r="I743" s="3" t="s">
        <v>384</v>
      </c>
      <c r="O743" s="3" t="s">
        <v>147</v>
      </c>
      <c r="R743" s="3" t="s">
        <v>247</v>
      </c>
      <c r="X743" s="3" t="s">
        <v>64</v>
      </c>
      <c r="Y743" s="3" t="s">
        <v>52</v>
      </c>
    </row>
    <row r="744">
      <c r="A744" s="3">
        <v>743.0</v>
      </c>
      <c r="B744" s="3" t="s">
        <v>40</v>
      </c>
      <c r="C744" s="3" t="s">
        <v>1602</v>
      </c>
      <c r="D744" s="3">
        <v>2017.0</v>
      </c>
      <c r="E744" s="3" t="s">
        <v>1603</v>
      </c>
      <c r="F744" s="3" t="s">
        <v>549</v>
      </c>
      <c r="G744" s="3" t="s">
        <v>58</v>
      </c>
      <c r="H744" s="3" t="s">
        <v>58</v>
      </c>
      <c r="I744" s="3" t="s">
        <v>110</v>
      </c>
      <c r="O744" s="3" t="s">
        <v>87</v>
      </c>
      <c r="R744" s="3" t="s">
        <v>61</v>
      </c>
      <c r="X744" s="3" t="s">
        <v>64</v>
      </c>
      <c r="Y744" s="3" t="s">
        <v>52</v>
      </c>
    </row>
    <row r="745">
      <c r="A745" s="3">
        <v>744.0</v>
      </c>
      <c r="B745" s="3" t="s">
        <v>40</v>
      </c>
      <c r="C745" s="3" t="s">
        <v>1604</v>
      </c>
      <c r="D745" s="3">
        <v>2017.0</v>
      </c>
      <c r="E745" s="3" t="s">
        <v>1605</v>
      </c>
      <c r="F745" s="3" t="s">
        <v>372</v>
      </c>
      <c r="G745" s="3" t="s">
        <v>101</v>
      </c>
      <c r="H745" s="3" t="s">
        <v>102</v>
      </c>
      <c r="I745" s="3" t="s">
        <v>110</v>
      </c>
      <c r="O745" s="3" t="s">
        <v>147</v>
      </c>
      <c r="P745" s="3" t="s">
        <v>62</v>
      </c>
      <c r="R745" s="3" t="s">
        <v>61</v>
      </c>
      <c r="X745" s="3" t="s">
        <v>64</v>
      </c>
      <c r="Y745" s="3" t="s">
        <v>52</v>
      </c>
    </row>
    <row r="746">
      <c r="A746" s="3">
        <v>745.0</v>
      </c>
      <c r="B746" s="3" t="s">
        <v>55</v>
      </c>
      <c r="D746" s="3">
        <v>2010.0</v>
      </c>
      <c r="E746" s="3" t="s">
        <v>1606</v>
      </c>
      <c r="F746" s="3" t="s">
        <v>298</v>
      </c>
      <c r="G746" s="3" t="s">
        <v>101</v>
      </c>
      <c r="H746" s="3" t="s">
        <v>102</v>
      </c>
      <c r="I746" s="3" t="s">
        <v>173</v>
      </c>
      <c r="J746" s="3" t="s">
        <v>92</v>
      </c>
      <c r="O746" s="3" t="s">
        <v>87</v>
      </c>
      <c r="R746" s="3" t="s">
        <v>61</v>
      </c>
      <c r="S746" s="3" t="s">
        <v>48</v>
      </c>
      <c r="X746" s="3" t="s">
        <v>64</v>
      </c>
      <c r="Y746" s="3" t="s">
        <v>52</v>
      </c>
    </row>
    <row r="747">
      <c r="A747" s="3">
        <v>746.0</v>
      </c>
      <c r="B747" s="3" t="s">
        <v>106</v>
      </c>
      <c r="C747" s="3" t="s">
        <v>1607</v>
      </c>
      <c r="D747" s="3">
        <v>1990.0</v>
      </c>
      <c r="E747" s="3" t="s">
        <v>1608</v>
      </c>
      <c r="F747" s="3" t="s">
        <v>213</v>
      </c>
      <c r="G747" s="3" t="s">
        <v>58</v>
      </c>
      <c r="I747" s="3" t="s">
        <v>110</v>
      </c>
      <c r="O747" s="3" t="s">
        <v>62</v>
      </c>
      <c r="R747" s="3" t="s">
        <v>162</v>
      </c>
      <c r="T747" s="3" t="s">
        <v>111</v>
      </c>
      <c r="V747" s="3" t="s">
        <v>63</v>
      </c>
      <c r="W747" s="3" t="s">
        <v>87</v>
      </c>
      <c r="X747" s="3" t="s">
        <v>64</v>
      </c>
      <c r="Y747" s="3" t="s">
        <v>121</v>
      </c>
      <c r="Z747" s="3" t="s">
        <v>51</v>
      </c>
      <c r="AA747" s="3" t="s">
        <v>65</v>
      </c>
      <c r="AB747" s="3" t="s">
        <v>71</v>
      </c>
    </row>
    <row r="748">
      <c r="A748" s="3">
        <v>747.0</v>
      </c>
      <c r="B748" s="3" t="s">
        <v>40</v>
      </c>
      <c r="C748" s="3" t="s">
        <v>1609</v>
      </c>
      <c r="D748" s="3">
        <v>2019.0</v>
      </c>
      <c r="E748" s="3" t="s">
        <v>1610</v>
      </c>
      <c r="F748" s="3" t="s">
        <v>1611</v>
      </c>
      <c r="G748" s="3" t="s">
        <v>58</v>
      </c>
      <c r="H748" s="3" t="s">
        <v>58</v>
      </c>
      <c r="I748" s="3" t="s">
        <v>110</v>
      </c>
      <c r="O748" s="3" t="s">
        <v>147</v>
      </c>
      <c r="R748" s="3" t="s">
        <v>260</v>
      </c>
      <c r="T748" s="3" t="s">
        <v>61</v>
      </c>
      <c r="V748" s="3" t="s">
        <v>49</v>
      </c>
      <c r="X748" s="3" t="s">
        <v>64</v>
      </c>
      <c r="Y748" s="3" t="s">
        <v>121</v>
      </c>
      <c r="Z748" s="3" t="s">
        <v>52</v>
      </c>
      <c r="AA748" s="3" t="s">
        <v>53</v>
      </c>
    </row>
    <row r="749">
      <c r="A749" s="3">
        <v>748.0</v>
      </c>
      <c r="B749" s="3" t="s">
        <v>40</v>
      </c>
      <c r="C749" s="3" t="s">
        <v>1612</v>
      </c>
      <c r="D749" s="3">
        <v>2019.0</v>
      </c>
      <c r="E749" s="3" t="s">
        <v>1613</v>
      </c>
      <c r="F749" s="3" t="s">
        <v>526</v>
      </c>
      <c r="G749" s="3" t="s">
        <v>58</v>
      </c>
      <c r="H749" s="3" t="s">
        <v>58</v>
      </c>
      <c r="I749" s="3" t="s">
        <v>110</v>
      </c>
      <c r="O749" s="3" t="s">
        <v>87</v>
      </c>
      <c r="R749" s="3" t="s">
        <v>87</v>
      </c>
      <c r="T749" s="3" t="s">
        <v>61</v>
      </c>
      <c r="V749" s="3" t="s">
        <v>49</v>
      </c>
      <c r="X749" s="3" t="s">
        <v>64</v>
      </c>
      <c r="Y749" s="3" t="s">
        <v>121</v>
      </c>
      <c r="Z749" s="3" t="s">
        <v>52</v>
      </c>
      <c r="AA749" s="3" t="s">
        <v>53</v>
      </c>
    </row>
    <row r="750">
      <c r="A750" s="3">
        <v>749.0</v>
      </c>
      <c r="B750" s="3" t="s">
        <v>40</v>
      </c>
      <c r="C750" s="3" t="s">
        <v>1614</v>
      </c>
      <c r="D750" s="3">
        <v>2019.0</v>
      </c>
      <c r="E750" s="3" t="s">
        <v>1615</v>
      </c>
      <c r="F750" s="3" t="s">
        <v>129</v>
      </c>
      <c r="G750" s="3" t="s">
        <v>82</v>
      </c>
      <c r="H750" s="3" t="s">
        <v>82</v>
      </c>
      <c r="I750" s="3" t="s">
        <v>384</v>
      </c>
      <c r="O750" s="3" t="s">
        <v>147</v>
      </c>
      <c r="R750" s="3" t="s">
        <v>162</v>
      </c>
      <c r="T750" s="3" t="s">
        <v>238</v>
      </c>
      <c r="V750" s="3" t="s">
        <v>50</v>
      </c>
      <c r="X750" s="3" t="s">
        <v>64</v>
      </c>
      <c r="Y750" s="3" t="s">
        <v>121</v>
      </c>
      <c r="Z750" s="3" t="s">
        <v>235</v>
      </c>
      <c r="AA750" s="3" t="s">
        <v>54</v>
      </c>
    </row>
    <row r="751">
      <c r="A751" s="3">
        <v>750.0</v>
      </c>
      <c r="B751" s="3" t="s">
        <v>40</v>
      </c>
      <c r="C751" s="3" t="s">
        <v>396</v>
      </c>
      <c r="D751" s="3">
        <v>1996.0</v>
      </c>
      <c r="E751" s="3" t="s">
        <v>1616</v>
      </c>
      <c r="F751" s="3" t="s">
        <v>95</v>
      </c>
      <c r="G751" s="3" t="s">
        <v>58</v>
      </c>
      <c r="H751" s="3" t="s">
        <v>58</v>
      </c>
      <c r="I751" s="3" t="s">
        <v>110</v>
      </c>
      <c r="J751" s="3" t="s">
        <v>1001</v>
      </c>
      <c r="O751" s="3" t="s">
        <v>62</v>
      </c>
      <c r="P751" s="3" t="s">
        <v>147</v>
      </c>
      <c r="R751" s="3" t="s">
        <v>87</v>
      </c>
      <c r="X751" s="3" t="s">
        <v>64</v>
      </c>
      <c r="Y751" s="3" t="s">
        <v>121</v>
      </c>
    </row>
    <row r="752">
      <c r="A752" s="3">
        <v>751.0</v>
      </c>
      <c r="B752" s="3" t="s">
        <v>106</v>
      </c>
      <c r="D752" s="3">
        <v>1988.0</v>
      </c>
      <c r="E752" s="3" t="s">
        <v>1617</v>
      </c>
      <c r="F752" s="3" t="s">
        <v>526</v>
      </c>
      <c r="G752" s="3" t="s">
        <v>58</v>
      </c>
      <c r="I752" s="3" t="s">
        <v>110</v>
      </c>
      <c r="O752" s="3" t="s">
        <v>62</v>
      </c>
      <c r="R752" s="3" t="s">
        <v>125</v>
      </c>
      <c r="X752" s="3" t="s">
        <v>64</v>
      </c>
      <c r="Y752" s="3" t="s">
        <v>121</v>
      </c>
    </row>
    <row r="753">
      <c r="A753" s="3">
        <v>752.0</v>
      </c>
      <c r="B753" s="3" t="s">
        <v>40</v>
      </c>
      <c r="C753" s="3" t="s">
        <v>1618</v>
      </c>
      <c r="D753" s="3">
        <v>2000.0</v>
      </c>
      <c r="E753" s="3" t="s">
        <v>1619</v>
      </c>
      <c r="F753" s="3" t="s">
        <v>129</v>
      </c>
      <c r="G753" s="3" t="s">
        <v>82</v>
      </c>
      <c r="H753" s="3" t="s">
        <v>82</v>
      </c>
      <c r="I753" s="3" t="s">
        <v>384</v>
      </c>
      <c r="O753" s="3" t="s">
        <v>147</v>
      </c>
      <c r="R753" s="3" t="s">
        <v>244</v>
      </c>
      <c r="X753" s="3" t="s">
        <v>64</v>
      </c>
      <c r="Y753" s="3" t="s">
        <v>54</v>
      </c>
    </row>
    <row r="754">
      <c r="A754" s="3">
        <v>753.0</v>
      </c>
      <c r="B754" s="3" t="s">
        <v>40</v>
      </c>
      <c r="C754" s="3" t="s">
        <v>1620</v>
      </c>
      <c r="D754" s="3">
        <v>2003.0</v>
      </c>
      <c r="E754" s="3" t="s">
        <v>1621</v>
      </c>
      <c r="F754" s="3" t="s">
        <v>129</v>
      </c>
      <c r="G754" s="3" t="s">
        <v>82</v>
      </c>
      <c r="H754" s="3" t="s">
        <v>82</v>
      </c>
      <c r="I754" s="3" t="s">
        <v>384</v>
      </c>
      <c r="O754" s="3" t="s">
        <v>147</v>
      </c>
      <c r="R754" s="3" t="s">
        <v>385</v>
      </c>
      <c r="X754" s="3" t="s">
        <v>64</v>
      </c>
      <c r="Y754" s="3" t="s">
        <v>54</v>
      </c>
    </row>
    <row r="755">
      <c r="A755" s="3">
        <v>754.0</v>
      </c>
      <c r="B755" s="3" t="s">
        <v>40</v>
      </c>
      <c r="C755" s="3" t="s">
        <v>1622</v>
      </c>
      <c r="D755" s="3">
        <v>2007.0</v>
      </c>
      <c r="E755" s="3" t="s">
        <v>1623</v>
      </c>
      <c r="F755" s="3" t="s">
        <v>129</v>
      </c>
      <c r="G755" s="3" t="s">
        <v>82</v>
      </c>
      <c r="H755" s="3" t="s">
        <v>82</v>
      </c>
      <c r="I755" s="3" t="s">
        <v>384</v>
      </c>
      <c r="O755" s="3" t="s">
        <v>147</v>
      </c>
      <c r="R755" s="3" t="s">
        <v>385</v>
      </c>
      <c r="X755" s="3" t="s">
        <v>64</v>
      </c>
      <c r="Y755" s="3" t="s">
        <v>54</v>
      </c>
    </row>
    <row r="756">
      <c r="A756" s="3">
        <v>755.0</v>
      </c>
      <c r="B756" s="3" t="s">
        <v>40</v>
      </c>
      <c r="C756" s="3" t="s">
        <v>1624</v>
      </c>
      <c r="D756" s="3">
        <v>2008.0</v>
      </c>
      <c r="E756" s="3" t="s">
        <v>1625</v>
      </c>
      <c r="F756" s="3" t="s">
        <v>1225</v>
      </c>
      <c r="G756" s="3" t="s">
        <v>82</v>
      </c>
      <c r="H756" s="3" t="s">
        <v>82</v>
      </c>
      <c r="I756" s="3" t="s">
        <v>384</v>
      </c>
      <c r="R756" s="3" t="s">
        <v>392</v>
      </c>
      <c r="X756" s="3" t="s">
        <v>64</v>
      </c>
      <c r="Y756" s="3" t="s">
        <v>54</v>
      </c>
    </row>
    <row r="757">
      <c r="A757" s="3">
        <v>756.0</v>
      </c>
      <c r="B757" s="3" t="s">
        <v>40</v>
      </c>
      <c r="C757" s="3" t="s">
        <v>1626</v>
      </c>
      <c r="D757" s="3">
        <v>2010.0</v>
      </c>
      <c r="E757" s="3" t="s">
        <v>1627</v>
      </c>
      <c r="F757" s="3" t="s">
        <v>129</v>
      </c>
      <c r="G757" s="3" t="s">
        <v>82</v>
      </c>
      <c r="H757" s="3" t="s">
        <v>82</v>
      </c>
      <c r="I757" s="3" t="s">
        <v>384</v>
      </c>
      <c r="O757" s="3" t="s">
        <v>1361</v>
      </c>
      <c r="R757" s="3" t="s">
        <v>385</v>
      </c>
      <c r="X757" s="3" t="s">
        <v>64</v>
      </c>
      <c r="Y757" s="3" t="s">
        <v>54</v>
      </c>
    </row>
    <row r="758">
      <c r="A758" s="3">
        <v>757.0</v>
      </c>
      <c r="B758" s="3" t="s">
        <v>40</v>
      </c>
      <c r="C758" s="3" t="s">
        <v>1628</v>
      </c>
      <c r="D758" s="3">
        <v>2012.0</v>
      </c>
      <c r="E758" s="3" t="s">
        <v>1629</v>
      </c>
      <c r="F758" s="3" t="s">
        <v>328</v>
      </c>
      <c r="G758" s="3" t="s">
        <v>124</v>
      </c>
      <c r="H758" s="3" t="s">
        <v>124</v>
      </c>
      <c r="I758" s="3" t="s">
        <v>110</v>
      </c>
      <c r="O758" s="3" t="s">
        <v>87</v>
      </c>
      <c r="R758" s="3" t="s">
        <v>143</v>
      </c>
      <c r="T758" s="3" t="s">
        <v>61</v>
      </c>
      <c r="X758" s="3" t="s">
        <v>64</v>
      </c>
      <c r="Y758" s="3" t="s">
        <v>53</v>
      </c>
      <c r="Z758" s="3" t="s">
        <v>52</v>
      </c>
    </row>
    <row r="759">
      <c r="A759" s="3">
        <v>758.0</v>
      </c>
      <c r="B759" s="3" t="s">
        <v>72</v>
      </c>
      <c r="C759" s="3" t="s">
        <v>1630</v>
      </c>
      <c r="D759" s="3">
        <v>2014.0</v>
      </c>
      <c r="E759" s="3" t="s">
        <v>1631</v>
      </c>
      <c r="F759" s="3" t="s">
        <v>158</v>
      </c>
      <c r="G759" s="3" t="s">
        <v>58</v>
      </c>
      <c r="H759" s="3" t="s">
        <v>58</v>
      </c>
      <c r="I759" s="3" t="s">
        <v>286</v>
      </c>
      <c r="O759" s="3" t="s">
        <v>147</v>
      </c>
      <c r="R759" s="3" t="s">
        <v>49</v>
      </c>
      <c r="T759" s="3" t="s">
        <v>50</v>
      </c>
      <c r="V759" s="3" t="s">
        <v>63</v>
      </c>
      <c r="X759" s="3" t="s">
        <v>64</v>
      </c>
      <c r="Y759" s="3" t="s">
        <v>53</v>
      </c>
      <c r="Z759" s="3" t="s">
        <v>54</v>
      </c>
      <c r="AA759" s="3" t="s">
        <v>65</v>
      </c>
    </row>
    <row r="760">
      <c r="A760" s="3">
        <v>759.0</v>
      </c>
      <c r="B760" s="3" t="s">
        <v>40</v>
      </c>
      <c r="C760" s="3" t="s">
        <v>1632</v>
      </c>
      <c r="D760" s="3">
        <v>2001.0</v>
      </c>
      <c r="E760" s="3" t="s">
        <v>1633</v>
      </c>
      <c r="F760" s="3" t="s">
        <v>57</v>
      </c>
      <c r="G760" s="3" t="s">
        <v>58</v>
      </c>
      <c r="H760" s="3" t="s">
        <v>58</v>
      </c>
      <c r="I760" s="3" t="s">
        <v>76</v>
      </c>
      <c r="O760" s="3" t="s">
        <v>147</v>
      </c>
      <c r="R760" s="3" t="s">
        <v>49</v>
      </c>
      <c r="T760" s="3" t="s">
        <v>63</v>
      </c>
      <c r="X760" s="3" t="s">
        <v>64</v>
      </c>
      <c r="Y760" s="3" t="s">
        <v>53</v>
      </c>
      <c r="Z760" s="3" t="s">
        <v>65</v>
      </c>
    </row>
    <row r="761">
      <c r="A761" s="3">
        <v>760.0</v>
      </c>
      <c r="B761" s="3" t="s">
        <v>40</v>
      </c>
      <c r="C761" s="3" t="s">
        <v>1634</v>
      </c>
      <c r="D761" s="3">
        <v>1996.0</v>
      </c>
      <c r="E761" s="3" t="s">
        <v>1635</v>
      </c>
      <c r="F761" s="3" t="s">
        <v>187</v>
      </c>
      <c r="G761" s="3" t="s">
        <v>58</v>
      </c>
      <c r="H761" s="3" t="s">
        <v>58</v>
      </c>
      <c r="I761" s="3" t="s">
        <v>110</v>
      </c>
      <c r="O761" s="3" t="s">
        <v>62</v>
      </c>
      <c r="P761" s="3" t="s">
        <v>147</v>
      </c>
      <c r="R761" s="3" t="s">
        <v>134</v>
      </c>
      <c r="X761" s="3" t="s">
        <v>64</v>
      </c>
      <c r="Y761" s="3" t="s">
        <v>53</v>
      </c>
    </row>
    <row r="762">
      <c r="A762" s="3">
        <v>761.0</v>
      </c>
      <c r="B762" s="3" t="s">
        <v>40</v>
      </c>
      <c r="C762" s="3" t="s">
        <v>1636</v>
      </c>
      <c r="D762" s="3">
        <v>2002.0</v>
      </c>
      <c r="E762" s="3" t="s">
        <v>1637</v>
      </c>
      <c r="F762" s="3" t="s">
        <v>129</v>
      </c>
      <c r="G762" s="3" t="s">
        <v>82</v>
      </c>
      <c r="H762" s="3" t="s">
        <v>82</v>
      </c>
      <c r="I762" s="3" t="s">
        <v>384</v>
      </c>
      <c r="O762" s="3" t="s">
        <v>147</v>
      </c>
      <c r="X762" s="3" t="s">
        <v>64</v>
      </c>
      <c r="Y762" s="3" t="s">
        <v>53</v>
      </c>
    </row>
    <row r="763">
      <c r="A763" s="3">
        <v>762.0</v>
      </c>
      <c r="B763" s="3" t="s">
        <v>40</v>
      </c>
      <c r="C763" s="3" t="s">
        <v>1638</v>
      </c>
      <c r="D763" s="3">
        <v>2006.0</v>
      </c>
      <c r="E763" s="3" t="s">
        <v>1639</v>
      </c>
      <c r="F763" s="3" t="s">
        <v>57</v>
      </c>
      <c r="G763" s="3" t="s">
        <v>58</v>
      </c>
      <c r="H763" s="3" t="s">
        <v>58</v>
      </c>
      <c r="I763" s="3" t="s">
        <v>286</v>
      </c>
      <c r="O763" s="3" t="s">
        <v>147</v>
      </c>
      <c r="R763" s="3" t="s">
        <v>49</v>
      </c>
      <c r="X763" s="3" t="s">
        <v>64</v>
      </c>
      <c r="Y763" s="3" t="s">
        <v>53</v>
      </c>
    </row>
    <row r="764">
      <c r="A764" s="3">
        <v>763.0</v>
      </c>
      <c r="B764" s="3" t="s">
        <v>40</v>
      </c>
      <c r="C764" s="3" t="s">
        <v>1640</v>
      </c>
      <c r="D764" s="3">
        <v>2013.0</v>
      </c>
      <c r="E764" s="3" t="s">
        <v>1641</v>
      </c>
      <c r="F764" s="3" t="s">
        <v>458</v>
      </c>
      <c r="G764" s="3" t="s">
        <v>58</v>
      </c>
      <c r="H764" s="3" t="s">
        <v>58</v>
      </c>
      <c r="I764" s="3" t="s">
        <v>110</v>
      </c>
      <c r="O764" s="3" t="s">
        <v>147</v>
      </c>
      <c r="R764" s="3" t="s">
        <v>134</v>
      </c>
      <c r="X764" s="3" t="s">
        <v>64</v>
      </c>
      <c r="Y764" s="3" t="s">
        <v>53</v>
      </c>
    </row>
    <row r="765">
      <c r="A765" s="3">
        <v>764.0</v>
      </c>
      <c r="B765" s="3" t="s">
        <v>40</v>
      </c>
      <c r="C765" s="3" t="s">
        <v>1642</v>
      </c>
      <c r="D765" s="3">
        <v>2013.0</v>
      </c>
      <c r="E765" s="3" t="s">
        <v>1643</v>
      </c>
      <c r="F765" s="3" t="s">
        <v>129</v>
      </c>
      <c r="G765" s="3" t="s">
        <v>82</v>
      </c>
      <c r="H765" s="3" t="s">
        <v>82</v>
      </c>
      <c r="I765" s="3" t="s">
        <v>384</v>
      </c>
      <c r="O765" s="3" t="s">
        <v>147</v>
      </c>
      <c r="T765" s="3" t="s">
        <v>87</v>
      </c>
      <c r="V765" s="3" t="s">
        <v>134</v>
      </c>
      <c r="X765" s="3" t="s">
        <v>64</v>
      </c>
      <c r="Y765" s="3" t="s">
        <v>78</v>
      </c>
      <c r="Z765" s="3" t="s">
        <v>121</v>
      </c>
      <c r="AA765" s="3" t="s">
        <v>53</v>
      </c>
    </row>
    <row r="766">
      <c r="A766" s="3">
        <v>765.0</v>
      </c>
      <c r="B766" s="3" t="s">
        <v>40</v>
      </c>
      <c r="C766" s="3" t="s">
        <v>1642</v>
      </c>
      <c r="D766" s="3">
        <v>2001.0</v>
      </c>
      <c r="E766" s="3" t="s">
        <v>1644</v>
      </c>
      <c r="F766" s="3" t="s">
        <v>129</v>
      </c>
      <c r="G766" s="3" t="s">
        <v>82</v>
      </c>
      <c r="H766" s="3" t="s">
        <v>82</v>
      </c>
      <c r="I766" s="3" t="s">
        <v>384</v>
      </c>
      <c r="O766" s="3" t="s">
        <v>147</v>
      </c>
      <c r="X766" s="3" t="s">
        <v>64</v>
      </c>
      <c r="Y766" s="3" t="s">
        <v>78</v>
      </c>
    </row>
    <row r="767">
      <c r="A767" s="3">
        <v>766.0</v>
      </c>
      <c r="B767" s="3" t="s">
        <v>40</v>
      </c>
      <c r="C767" s="3" t="s">
        <v>1645</v>
      </c>
      <c r="D767" s="3">
        <v>2018.0</v>
      </c>
      <c r="E767" s="3" t="s">
        <v>1646</v>
      </c>
      <c r="F767" s="3" t="s">
        <v>129</v>
      </c>
      <c r="G767" s="3" t="s">
        <v>82</v>
      </c>
      <c r="H767" s="3" t="s">
        <v>82</v>
      </c>
      <c r="I767" s="3" t="s">
        <v>384</v>
      </c>
      <c r="O767" s="3" t="s">
        <v>147</v>
      </c>
      <c r="X767" s="3" t="s">
        <v>64</v>
      </c>
      <c r="Y767" s="3" t="s">
        <v>78</v>
      </c>
    </row>
    <row r="768">
      <c r="A768" s="3">
        <v>767.0</v>
      </c>
      <c r="B768" s="3" t="s">
        <v>40</v>
      </c>
      <c r="C768" s="3" t="s">
        <v>1647</v>
      </c>
      <c r="D768" s="3">
        <v>2020.0</v>
      </c>
      <c r="E768" s="3" t="s">
        <v>1648</v>
      </c>
      <c r="F768" s="3" t="s">
        <v>68</v>
      </c>
      <c r="G768" s="3" t="s">
        <v>58</v>
      </c>
      <c r="H768" s="3" t="s">
        <v>58</v>
      </c>
      <c r="I768" s="3" t="s">
        <v>76</v>
      </c>
      <c r="O768" s="3" t="s">
        <v>62</v>
      </c>
      <c r="X768" s="3" t="s">
        <v>64</v>
      </c>
      <c r="Y768" s="3" t="s">
        <v>78</v>
      </c>
    </row>
    <row r="769">
      <c r="A769" s="3">
        <v>768.0</v>
      </c>
      <c r="B769" s="3" t="s">
        <v>40</v>
      </c>
      <c r="C769" s="3" t="s">
        <v>1649</v>
      </c>
      <c r="D769" s="3">
        <v>2012.0</v>
      </c>
      <c r="E769" s="3" t="s">
        <v>1650</v>
      </c>
      <c r="F769" s="3" t="s">
        <v>372</v>
      </c>
      <c r="G769" s="3" t="s">
        <v>101</v>
      </c>
      <c r="H769" s="3" t="s">
        <v>102</v>
      </c>
      <c r="I769" s="3" t="s">
        <v>110</v>
      </c>
      <c r="O769" s="3" t="s">
        <v>147</v>
      </c>
      <c r="P769" s="3" t="s">
        <v>62</v>
      </c>
      <c r="R769" s="3" t="s">
        <v>70</v>
      </c>
      <c r="T769" s="3" t="s">
        <v>1651</v>
      </c>
      <c r="X769" s="3" t="s">
        <v>64</v>
      </c>
      <c r="Y769" s="3" t="s">
        <v>71</v>
      </c>
      <c r="Z769" s="3" t="s">
        <v>65</v>
      </c>
    </row>
    <row r="770">
      <c r="A770" s="3">
        <v>769.0</v>
      </c>
      <c r="B770" s="3" t="s">
        <v>40</v>
      </c>
      <c r="C770" s="3" t="s">
        <v>1652</v>
      </c>
      <c r="D770" s="3">
        <v>2002.0</v>
      </c>
      <c r="E770" s="3" t="s">
        <v>1653</v>
      </c>
      <c r="F770" s="3" t="s">
        <v>129</v>
      </c>
      <c r="G770" s="3" t="s">
        <v>82</v>
      </c>
      <c r="H770" s="3" t="s">
        <v>82</v>
      </c>
      <c r="I770" s="3" t="s">
        <v>453</v>
      </c>
      <c r="O770" s="3" t="s">
        <v>87</v>
      </c>
      <c r="R770" s="3" t="s">
        <v>87</v>
      </c>
      <c r="X770" s="3" t="s">
        <v>64</v>
      </c>
      <c r="Y770" s="3" t="s">
        <v>71</v>
      </c>
    </row>
    <row r="771">
      <c r="A771" s="3">
        <v>770.0</v>
      </c>
      <c r="B771" s="3" t="s">
        <v>40</v>
      </c>
      <c r="C771" s="3" t="s">
        <v>1654</v>
      </c>
      <c r="D771" s="3">
        <v>2011.0</v>
      </c>
      <c r="E771" s="3" t="s">
        <v>1655</v>
      </c>
      <c r="F771" s="3" t="s">
        <v>515</v>
      </c>
      <c r="G771" s="3" t="s">
        <v>58</v>
      </c>
      <c r="H771" s="3" t="s">
        <v>58</v>
      </c>
      <c r="I771" s="3" t="s">
        <v>110</v>
      </c>
      <c r="O771" s="3" t="s">
        <v>87</v>
      </c>
      <c r="R771" s="3" t="s">
        <v>63</v>
      </c>
      <c r="T771" s="3" t="s">
        <v>111</v>
      </c>
      <c r="V771" s="3" t="s">
        <v>61</v>
      </c>
      <c r="X771" s="3" t="s">
        <v>64</v>
      </c>
      <c r="Y771" s="3" t="s">
        <v>65</v>
      </c>
      <c r="Z771" s="3" t="s">
        <v>51</v>
      </c>
      <c r="AA771" s="3" t="s">
        <v>52</v>
      </c>
    </row>
    <row r="772">
      <c r="A772" s="3">
        <v>771.0</v>
      </c>
      <c r="B772" s="3" t="s">
        <v>40</v>
      </c>
      <c r="C772" s="3" t="s">
        <v>1656</v>
      </c>
      <c r="D772" s="3">
        <v>2010.0</v>
      </c>
      <c r="E772" s="3" t="s">
        <v>1657</v>
      </c>
      <c r="F772" s="3" t="s">
        <v>213</v>
      </c>
      <c r="G772" s="3" t="s">
        <v>58</v>
      </c>
      <c r="H772" s="3" t="s">
        <v>58</v>
      </c>
      <c r="I772" s="3" t="s">
        <v>110</v>
      </c>
      <c r="O772" s="3" t="s">
        <v>87</v>
      </c>
      <c r="R772" s="3" t="s">
        <v>63</v>
      </c>
      <c r="T772" s="3" t="s">
        <v>111</v>
      </c>
      <c r="X772" s="3" t="s">
        <v>64</v>
      </c>
      <c r="Y772" s="3" t="s">
        <v>65</v>
      </c>
      <c r="Z772" s="3" t="s">
        <v>51</v>
      </c>
    </row>
    <row r="773">
      <c r="A773" s="3">
        <v>772.0</v>
      </c>
      <c r="B773" s="3" t="s">
        <v>40</v>
      </c>
      <c r="C773" s="3" t="s">
        <v>1658</v>
      </c>
      <c r="D773" s="3">
        <v>2016.0</v>
      </c>
      <c r="E773" s="3" t="s">
        <v>1659</v>
      </c>
      <c r="F773" s="3" t="s">
        <v>187</v>
      </c>
      <c r="G773" s="3" t="s">
        <v>58</v>
      </c>
      <c r="H773" s="3" t="s">
        <v>58</v>
      </c>
      <c r="I773" s="3" t="s">
        <v>110</v>
      </c>
      <c r="O773" s="3" t="s">
        <v>87</v>
      </c>
      <c r="R773" s="3" t="s">
        <v>63</v>
      </c>
      <c r="T773" s="3" t="s">
        <v>143</v>
      </c>
      <c r="V773" s="3" t="s">
        <v>61</v>
      </c>
      <c r="X773" s="3" t="s">
        <v>64</v>
      </c>
      <c r="Y773" s="3" t="s">
        <v>65</v>
      </c>
      <c r="Z773" s="3" t="s">
        <v>53</v>
      </c>
      <c r="AA773" s="3" t="s">
        <v>52</v>
      </c>
    </row>
    <row r="774">
      <c r="A774" s="3">
        <v>773.0</v>
      </c>
      <c r="B774" s="3" t="s">
        <v>40</v>
      </c>
      <c r="C774" s="3" t="s">
        <v>1660</v>
      </c>
      <c r="D774" s="3">
        <v>2008.0</v>
      </c>
      <c r="E774" s="3" t="s">
        <v>1661</v>
      </c>
      <c r="F774" s="3" t="s">
        <v>1480</v>
      </c>
      <c r="G774" s="3" t="s">
        <v>58</v>
      </c>
      <c r="H774" s="3" t="s">
        <v>58</v>
      </c>
      <c r="I774" s="3" t="s">
        <v>110</v>
      </c>
      <c r="O774" s="3" t="s">
        <v>87</v>
      </c>
      <c r="R774" s="3" t="s">
        <v>63</v>
      </c>
      <c r="X774" s="3" t="s">
        <v>64</v>
      </c>
      <c r="Y774" s="3" t="s">
        <v>65</v>
      </c>
      <c r="Z774" s="3" t="s">
        <v>78</v>
      </c>
    </row>
    <row r="775">
      <c r="A775" s="3">
        <v>774.0</v>
      </c>
      <c r="B775" s="3" t="s">
        <v>40</v>
      </c>
      <c r="C775" s="3" t="s">
        <v>1662</v>
      </c>
      <c r="D775" s="3">
        <v>2017.0</v>
      </c>
      <c r="E775" s="3" t="s">
        <v>1663</v>
      </c>
      <c r="F775" s="3" t="s">
        <v>372</v>
      </c>
      <c r="G775" s="3" t="s">
        <v>101</v>
      </c>
      <c r="H775" s="3" t="s">
        <v>102</v>
      </c>
      <c r="I775" s="3" t="s">
        <v>110</v>
      </c>
      <c r="O775" s="3" t="s">
        <v>147</v>
      </c>
      <c r="P775" s="3" t="s">
        <v>62</v>
      </c>
      <c r="R775" s="3" t="s">
        <v>63</v>
      </c>
      <c r="T775" s="3" t="s">
        <v>70</v>
      </c>
      <c r="X775" s="3" t="s">
        <v>64</v>
      </c>
      <c r="Y775" s="3" t="s">
        <v>65</v>
      </c>
      <c r="Z775" s="3" t="s">
        <v>71</v>
      </c>
    </row>
    <row r="776">
      <c r="A776" s="3">
        <v>775.0</v>
      </c>
      <c r="B776" s="3" t="s">
        <v>106</v>
      </c>
      <c r="C776" s="3" t="s">
        <v>1664</v>
      </c>
      <c r="D776" s="3">
        <v>1998.0</v>
      </c>
      <c r="E776" s="3" t="s">
        <v>1665</v>
      </c>
      <c r="F776" s="3" t="s">
        <v>123</v>
      </c>
      <c r="G776" s="3" t="s">
        <v>124</v>
      </c>
      <c r="I776" s="3" t="s">
        <v>155</v>
      </c>
      <c r="O776" s="3" t="s">
        <v>87</v>
      </c>
      <c r="Q776" s="3" t="s">
        <v>121</v>
      </c>
      <c r="X776" s="3" t="s">
        <v>64</v>
      </c>
      <c r="Y776" s="3" t="s">
        <v>87</v>
      </c>
    </row>
    <row r="777">
      <c r="A777" s="3">
        <v>776.0</v>
      </c>
      <c r="B777" s="3" t="s">
        <v>40</v>
      </c>
      <c r="C777" s="3" t="s">
        <v>1666</v>
      </c>
      <c r="D777" s="3">
        <v>1983.0</v>
      </c>
      <c r="E777" s="3" t="s">
        <v>1667</v>
      </c>
      <c r="F777" s="3" t="s">
        <v>68</v>
      </c>
      <c r="G777" s="3" t="s">
        <v>58</v>
      </c>
      <c r="H777" s="3" t="s">
        <v>58</v>
      </c>
      <c r="I777" s="3" t="s">
        <v>110</v>
      </c>
      <c r="O777" s="3" t="s">
        <v>62</v>
      </c>
      <c r="X777" s="3" t="s">
        <v>64</v>
      </c>
      <c r="Y777" s="3" t="s">
        <v>143</v>
      </c>
    </row>
    <row r="778">
      <c r="A778" s="3">
        <v>777.0</v>
      </c>
      <c r="B778" s="3" t="s">
        <v>106</v>
      </c>
      <c r="C778" s="3" t="s">
        <v>1668</v>
      </c>
      <c r="D778" s="3">
        <v>2010.0</v>
      </c>
      <c r="E778" s="3" t="s">
        <v>1669</v>
      </c>
      <c r="F778" s="3" t="s">
        <v>204</v>
      </c>
      <c r="G778" s="3" t="s">
        <v>101</v>
      </c>
      <c r="I778" s="3" t="s">
        <v>205</v>
      </c>
      <c r="J778" s="3" t="s">
        <v>110</v>
      </c>
      <c r="K778" s="3" t="s">
        <v>309</v>
      </c>
      <c r="L778" s="3" t="s">
        <v>155</v>
      </c>
      <c r="O778" s="3" t="s">
        <v>1670</v>
      </c>
      <c r="P778" s="3" t="s">
        <v>259</v>
      </c>
      <c r="Q778" s="3" t="s">
        <v>147</v>
      </c>
      <c r="X778" s="3" t="s">
        <v>64</v>
      </c>
      <c r="Y778" s="3" t="s">
        <v>143</v>
      </c>
    </row>
    <row r="779">
      <c r="A779" s="3">
        <v>778.0</v>
      </c>
      <c r="B779" s="3" t="s">
        <v>126</v>
      </c>
      <c r="C779" s="3" t="s">
        <v>1671</v>
      </c>
      <c r="D779" s="3">
        <v>1999.0</v>
      </c>
      <c r="E779" s="3" t="s">
        <v>1672</v>
      </c>
      <c r="F779" s="3" t="s">
        <v>129</v>
      </c>
      <c r="G779" s="3" t="s">
        <v>82</v>
      </c>
      <c r="H779" s="3" t="s">
        <v>82</v>
      </c>
      <c r="I779" s="3" t="s">
        <v>384</v>
      </c>
      <c r="O779" s="3" t="s">
        <v>147</v>
      </c>
      <c r="X779" s="3" t="s">
        <v>64</v>
      </c>
    </row>
    <row r="780">
      <c r="A780" s="3">
        <v>779.0</v>
      </c>
      <c r="B780" s="3" t="s">
        <v>126</v>
      </c>
      <c r="C780" s="3" t="s">
        <v>1673</v>
      </c>
      <c r="D780" s="3">
        <v>2000.0</v>
      </c>
      <c r="E780" s="3" t="s">
        <v>1674</v>
      </c>
      <c r="F780" s="3" t="s">
        <v>68</v>
      </c>
      <c r="G780" s="3" t="s">
        <v>58</v>
      </c>
      <c r="H780" s="3" t="s">
        <v>58</v>
      </c>
      <c r="I780" s="3" t="s">
        <v>110</v>
      </c>
      <c r="O780" s="3" t="s">
        <v>62</v>
      </c>
      <c r="X780" s="3" t="s">
        <v>64</v>
      </c>
    </row>
    <row r="781">
      <c r="A781" s="3">
        <v>780.0</v>
      </c>
      <c r="B781" s="3" t="s">
        <v>126</v>
      </c>
      <c r="C781" s="3" t="s">
        <v>1675</v>
      </c>
      <c r="D781" s="3">
        <v>2009.0</v>
      </c>
      <c r="E781" s="3" t="s">
        <v>1676</v>
      </c>
      <c r="F781" s="3" t="s">
        <v>75</v>
      </c>
      <c r="G781" s="3" t="s">
        <v>58</v>
      </c>
      <c r="H781" s="3" t="s">
        <v>58</v>
      </c>
      <c r="I781" s="3" t="s">
        <v>110</v>
      </c>
      <c r="O781" s="3" t="s">
        <v>493</v>
      </c>
      <c r="X781" s="3" t="s">
        <v>64</v>
      </c>
    </row>
    <row r="782">
      <c r="A782" s="3">
        <v>781.0</v>
      </c>
      <c r="B782" s="3" t="s">
        <v>72</v>
      </c>
      <c r="C782" s="3" t="s">
        <v>1677</v>
      </c>
      <c r="D782" s="3">
        <v>2004.0</v>
      </c>
      <c r="E782" s="3" t="s">
        <v>1678</v>
      </c>
      <c r="F782" s="3" t="s">
        <v>129</v>
      </c>
      <c r="G782" s="3" t="s">
        <v>82</v>
      </c>
      <c r="H782" s="3" t="s">
        <v>82</v>
      </c>
      <c r="I782" s="3" t="s">
        <v>83</v>
      </c>
      <c r="O782" s="3" t="s">
        <v>147</v>
      </c>
      <c r="X782" s="3" t="s">
        <v>64</v>
      </c>
    </row>
    <row r="783">
      <c r="A783" s="3">
        <v>782.0</v>
      </c>
      <c r="B783" s="3" t="s">
        <v>72</v>
      </c>
      <c r="C783" s="3" t="s">
        <v>1679</v>
      </c>
      <c r="D783" s="3">
        <v>2009.0</v>
      </c>
      <c r="E783" s="3" t="s">
        <v>1680</v>
      </c>
      <c r="F783" s="3" t="s">
        <v>541</v>
      </c>
      <c r="G783" s="3" t="s">
        <v>541</v>
      </c>
      <c r="H783" s="3" t="s">
        <v>541</v>
      </c>
      <c r="I783" s="3" t="s">
        <v>384</v>
      </c>
      <c r="J783" s="3" t="s">
        <v>110</v>
      </c>
      <c r="K783" s="3" t="s">
        <v>453</v>
      </c>
      <c r="L783" s="3" t="s">
        <v>1001</v>
      </c>
      <c r="O783" s="3" t="s">
        <v>147</v>
      </c>
      <c r="P783" s="3" t="s">
        <v>62</v>
      </c>
      <c r="X783" s="3" t="s">
        <v>64</v>
      </c>
    </row>
    <row r="784">
      <c r="A784" s="3">
        <v>783.0</v>
      </c>
      <c r="B784" s="3" t="s">
        <v>40</v>
      </c>
      <c r="C784" s="3" t="s">
        <v>1681</v>
      </c>
      <c r="D784" s="3">
        <v>1978.0</v>
      </c>
      <c r="E784" s="3" t="s">
        <v>1682</v>
      </c>
      <c r="F784" s="3" t="s">
        <v>68</v>
      </c>
      <c r="G784" s="3" t="s">
        <v>58</v>
      </c>
      <c r="H784" s="3" t="s">
        <v>58</v>
      </c>
      <c r="I784" s="3" t="s">
        <v>110</v>
      </c>
      <c r="O784" s="3" t="s">
        <v>147</v>
      </c>
      <c r="P784" s="3" t="s">
        <v>62</v>
      </c>
      <c r="X784" s="3" t="s">
        <v>64</v>
      </c>
    </row>
    <row r="785">
      <c r="A785" s="3">
        <v>784.0</v>
      </c>
      <c r="B785" s="3" t="s">
        <v>40</v>
      </c>
      <c r="C785" s="3" t="s">
        <v>1683</v>
      </c>
      <c r="D785" s="3">
        <v>1981.0</v>
      </c>
      <c r="E785" s="3" t="s">
        <v>1684</v>
      </c>
      <c r="F785" s="3" t="s">
        <v>68</v>
      </c>
      <c r="G785" s="3" t="s">
        <v>58</v>
      </c>
      <c r="H785" s="3" t="s">
        <v>58</v>
      </c>
      <c r="I785" s="3" t="s">
        <v>110</v>
      </c>
      <c r="O785" s="3" t="s">
        <v>147</v>
      </c>
      <c r="X785" s="3" t="s">
        <v>64</v>
      </c>
    </row>
    <row r="786">
      <c r="A786" s="3">
        <v>785.0</v>
      </c>
      <c r="B786" s="3" t="s">
        <v>40</v>
      </c>
      <c r="C786" s="3" t="s">
        <v>1685</v>
      </c>
      <c r="D786" s="3">
        <v>1982.0</v>
      </c>
      <c r="E786" s="3" t="s">
        <v>1686</v>
      </c>
      <c r="F786" s="3" t="s">
        <v>129</v>
      </c>
      <c r="G786" s="3" t="s">
        <v>82</v>
      </c>
      <c r="H786" s="3" t="s">
        <v>82</v>
      </c>
      <c r="I786" s="3" t="s">
        <v>384</v>
      </c>
      <c r="O786" s="3" t="s">
        <v>147</v>
      </c>
      <c r="X786" s="3" t="s">
        <v>64</v>
      </c>
    </row>
    <row r="787">
      <c r="A787" s="3">
        <v>786.0</v>
      </c>
      <c r="B787" s="3" t="s">
        <v>40</v>
      </c>
      <c r="C787" s="3" t="s">
        <v>1687</v>
      </c>
      <c r="D787" s="3">
        <v>1991.0</v>
      </c>
      <c r="E787" s="3" t="s">
        <v>1688</v>
      </c>
      <c r="F787" s="3" t="s">
        <v>129</v>
      </c>
      <c r="G787" s="3" t="s">
        <v>82</v>
      </c>
      <c r="H787" s="3" t="s">
        <v>82</v>
      </c>
      <c r="I787" s="3" t="s">
        <v>1001</v>
      </c>
      <c r="J787" s="3" t="s">
        <v>453</v>
      </c>
      <c r="O787" s="3" t="s">
        <v>147</v>
      </c>
      <c r="X787" s="3" t="s">
        <v>64</v>
      </c>
    </row>
    <row r="788">
      <c r="A788" s="3">
        <v>787.0</v>
      </c>
      <c r="B788" s="3" t="s">
        <v>40</v>
      </c>
      <c r="C788" s="3" t="s">
        <v>1689</v>
      </c>
      <c r="D788" s="3">
        <v>1992.0</v>
      </c>
      <c r="E788" s="3" t="s">
        <v>1690</v>
      </c>
      <c r="F788" s="3" t="s">
        <v>172</v>
      </c>
      <c r="G788" s="3" t="s">
        <v>91</v>
      </c>
      <c r="H788" s="3" t="s">
        <v>91</v>
      </c>
      <c r="I788" s="3" t="s">
        <v>92</v>
      </c>
      <c r="J788" s="3" t="s">
        <v>173</v>
      </c>
      <c r="O788" s="3" t="s">
        <v>62</v>
      </c>
      <c r="P788" s="3" t="s">
        <v>147</v>
      </c>
      <c r="X788" s="3" t="s">
        <v>64</v>
      </c>
    </row>
    <row r="789">
      <c r="A789" s="3">
        <v>788.0</v>
      </c>
      <c r="B789" s="3" t="s">
        <v>40</v>
      </c>
      <c r="C789" s="3" t="s">
        <v>1691</v>
      </c>
      <c r="D789" s="3">
        <v>1992.0</v>
      </c>
      <c r="E789" s="3" t="s">
        <v>1692</v>
      </c>
      <c r="F789" s="3" t="s">
        <v>184</v>
      </c>
      <c r="G789" s="3" t="s">
        <v>58</v>
      </c>
      <c r="H789" s="3" t="s">
        <v>58</v>
      </c>
      <c r="I789" s="3" t="s">
        <v>110</v>
      </c>
      <c r="O789" s="3" t="s">
        <v>147</v>
      </c>
      <c r="X789" s="3" t="s">
        <v>64</v>
      </c>
    </row>
    <row r="790">
      <c r="A790" s="3">
        <v>789.0</v>
      </c>
      <c r="B790" s="3" t="s">
        <v>40</v>
      </c>
      <c r="C790" s="3" t="s">
        <v>1693</v>
      </c>
      <c r="D790" s="3">
        <v>1992.0</v>
      </c>
      <c r="E790" s="3" t="s">
        <v>1694</v>
      </c>
      <c r="F790" s="3" t="s">
        <v>68</v>
      </c>
      <c r="G790" s="3" t="s">
        <v>58</v>
      </c>
      <c r="H790" s="3" t="s">
        <v>58</v>
      </c>
      <c r="I790" s="3" t="s">
        <v>110</v>
      </c>
      <c r="O790" s="3" t="s">
        <v>62</v>
      </c>
      <c r="P790" s="3" t="s">
        <v>147</v>
      </c>
      <c r="X790" s="3" t="s">
        <v>64</v>
      </c>
    </row>
    <row r="791">
      <c r="A791" s="3">
        <v>790.0</v>
      </c>
      <c r="B791" s="3" t="s">
        <v>40</v>
      </c>
      <c r="C791" s="3" t="s">
        <v>1695</v>
      </c>
      <c r="D791" s="3">
        <v>1993.0</v>
      </c>
      <c r="E791" s="3" t="s">
        <v>1696</v>
      </c>
      <c r="F791" s="3" t="s">
        <v>129</v>
      </c>
      <c r="G791" s="3" t="s">
        <v>82</v>
      </c>
      <c r="H791" s="3" t="s">
        <v>82</v>
      </c>
      <c r="I791" s="3" t="s">
        <v>384</v>
      </c>
      <c r="O791" s="3" t="s">
        <v>147</v>
      </c>
      <c r="X791" s="3" t="s">
        <v>64</v>
      </c>
    </row>
    <row r="792">
      <c r="A792" s="3">
        <v>791.0</v>
      </c>
      <c r="B792" s="3" t="s">
        <v>40</v>
      </c>
      <c r="C792" s="3" t="s">
        <v>1691</v>
      </c>
      <c r="D792" s="3">
        <v>1993.0</v>
      </c>
      <c r="E792" s="3" t="s">
        <v>1697</v>
      </c>
      <c r="F792" s="3" t="s">
        <v>184</v>
      </c>
      <c r="G792" s="3" t="s">
        <v>58</v>
      </c>
      <c r="H792" s="3" t="s">
        <v>58</v>
      </c>
      <c r="I792" s="3" t="s">
        <v>110</v>
      </c>
      <c r="O792" s="3" t="s">
        <v>62</v>
      </c>
      <c r="P792" s="3" t="s">
        <v>147</v>
      </c>
      <c r="X792" s="3" t="s">
        <v>64</v>
      </c>
    </row>
    <row r="793">
      <c r="A793" s="3">
        <v>792.0</v>
      </c>
      <c r="B793" s="3" t="s">
        <v>40</v>
      </c>
      <c r="C793" s="3" t="s">
        <v>1584</v>
      </c>
      <c r="D793" s="3">
        <v>1993.0</v>
      </c>
      <c r="E793" s="3" t="s">
        <v>1698</v>
      </c>
      <c r="F793" s="3" t="s">
        <v>68</v>
      </c>
      <c r="G793" s="3" t="s">
        <v>58</v>
      </c>
      <c r="H793" s="3" t="s">
        <v>58</v>
      </c>
      <c r="I793" s="3" t="s">
        <v>110</v>
      </c>
      <c r="O793" s="3" t="s">
        <v>147</v>
      </c>
      <c r="X793" s="3" t="s">
        <v>64</v>
      </c>
    </row>
    <row r="794">
      <c r="A794" s="3">
        <v>793.0</v>
      </c>
      <c r="B794" s="3" t="s">
        <v>40</v>
      </c>
      <c r="C794" s="3" t="s">
        <v>1699</v>
      </c>
      <c r="D794" s="3">
        <v>1994.0</v>
      </c>
      <c r="E794" s="3" t="s">
        <v>1700</v>
      </c>
      <c r="F794" s="3" t="s">
        <v>158</v>
      </c>
      <c r="G794" s="3" t="s">
        <v>58</v>
      </c>
      <c r="H794" s="3" t="s">
        <v>58</v>
      </c>
      <c r="I794" s="3" t="s">
        <v>286</v>
      </c>
      <c r="O794" s="3" t="s">
        <v>147</v>
      </c>
      <c r="X794" s="3" t="s">
        <v>64</v>
      </c>
    </row>
    <row r="795">
      <c r="A795" s="3">
        <v>794.0</v>
      </c>
      <c r="B795" s="3" t="s">
        <v>40</v>
      </c>
      <c r="C795" s="3" t="s">
        <v>1701</v>
      </c>
      <c r="D795" s="3">
        <v>1994.0</v>
      </c>
      <c r="E795" s="3" t="s">
        <v>1702</v>
      </c>
      <c r="F795" s="3" t="s">
        <v>129</v>
      </c>
      <c r="G795" s="3" t="s">
        <v>82</v>
      </c>
      <c r="H795" s="3" t="s">
        <v>82</v>
      </c>
      <c r="I795" s="3" t="s">
        <v>1001</v>
      </c>
      <c r="O795" s="3" t="s">
        <v>147</v>
      </c>
      <c r="X795" s="3" t="s">
        <v>64</v>
      </c>
    </row>
    <row r="796">
      <c r="A796" s="3">
        <v>795.0</v>
      </c>
      <c r="B796" s="3" t="s">
        <v>40</v>
      </c>
      <c r="C796" s="3" t="s">
        <v>1703</v>
      </c>
      <c r="D796" s="3">
        <v>1994.0</v>
      </c>
      <c r="E796" s="3" t="s">
        <v>1704</v>
      </c>
      <c r="F796" s="3" t="s">
        <v>129</v>
      </c>
      <c r="G796" s="3" t="s">
        <v>82</v>
      </c>
      <c r="H796" s="3" t="s">
        <v>82</v>
      </c>
      <c r="I796" s="3" t="s">
        <v>453</v>
      </c>
      <c r="O796" s="3" t="s">
        <v>147</v>
      </c>
      <c r="X796" s="3" t="s">
        <v>64</v>
      </c>
    </row>
    <row r="797">
      <c r="A797" s="3">
        <v>796.0</v>
      </c>
      <c r="B797" s="3" t="s">
        <v>40</v>
      </c>
      <c r="C797" s="3" t="s">
        <v>1705</v>
      </c>
      <c r="D797" s="3">
        <v>1994.0</v>
      </c>
      <c r="E797" s="3" t="s">
        <v>1706</v>
      </c>
      <c r="F797" s="3" t="s">
        <v>129</v>
      </c>
      <c r="G797" s="3" t="s">
        <v>82</v>
      </c>
      <c r="H797" s="3" t="s">
        <v>82</v>
      </c>
      <c r="I797" s="3" t="s">
        <v>453</v>
      </c>
      <c r="O797" s="3" t="s">
        <v>147</v>
      </c>
      <c r="X797" s="3" t="s">
        <v>64</v>
      </c>
    </row>
    <row r="798">
      <c r="A798" s="3">
        <v>797.0</v>
      </c>
      <c r="B798" s="3" t="s">
        <v>40</v>
      </c>
      <c r="C798" s="3" t="s">
        <v>1707</v>
      </c>
      <c r="D798" s="3">
        <v>1994.0</v>
      </c>
      <c r="E798" s="3" t="s">
        <v>1708</v>
      </c>
      <c r="F798" s="3" t="s">
        <v>129</v>
      </c>
      <c r="G798" s="3" t="s">
        <v>82</v>
      </c>
      <c r="H798" s="3" t="s">
        <v>82</v>
      </c>
      <c r="I798" s="3" t="s">
        <v>453</v>
      </c>
      <c r="O798" s="3" t="s">
        <v>147</v>
      </c>
      <c r="X798" s="3" t="s">
        <v>64</v>
      </c>
    </row>
    <row r="799">
      <c r="A799" s="3">
        <v>798.0</v>
      </c>
      <c r="B799" s="3" t="s">
        <v>40</v>
      </c>
      <c r="C799" s="3" t="s">
        <v>1709</v>
      </c>
      <c r="D799" s="3">
        <v>1995.0</v>
      </c>
      <c r="E799" s="3" t="s">
        <v>1710</v>
      </c>
      <c r="F799" s="3" t="s">
        <v>129</v>
      </c>
      <c r="G799" s="3" t="s">
        <v>82</v>
      </c>
      <c r="H799" s="3" t="s">
        <v>82</v>
      </c>
      <c r="I799" s="3" t="s">
        <v>1001</v>
      </c>
      <c r="O799" s="3" t="s">
        <v>147</v>
      </c>
      <c r="X799" s="3" t="s">
        <v>64</v>
      </c>
    </row>
    <row r="800">
      <c r="A800" s="3">
        <v>799.0</v>
      </c>
      <c r="B800" s="3" t="s">
        <v>40</v>
      </c>
      <c r="C800" s="3" t="s">
        <v>1711</v>
      </c>
      <c r="D800" s="3">
        <v>1996.0</v>
      </c>
      <c r="E800" s="3" t="s">
        <v>1712</v>
      </c>
      <c r="F800" s="3" t="s">
        <v>129</v>
      </c>
      <c r="G800" s="3" t="s">
        <v>82</v>
      </c>
      <c r="H800" s="3" t="s">
        <v>82</v>
      </c>
      <c r="I800" s="3" t="s">
        <v>384</v>
      </c>
      <c r="O800" s="3" t="s">
        <v>147</v>
      </c>
      <c r="X800" s="3" t="s">
        <v>64</v>
      </c>
    </row>
    <row r="801">
      <c r="A801" s="3">
        <v>800.0</v>
      </c>
      <c r="B801" s="3" t="s">
        <v>40</v>
      </c>
      <c r="C801" s="3" t="s">
        <v>1713</v>
      </c>
      <c r="D801" s="3">
        <v>1996.0</v>
      </c>
      <c r="E801" s="3" t="s">
        <v>1714</v>
      </c>
      <c r="F801" s="3" t="s">
        <v>129</v>
      </c>
      <c r="G801" s="3" t="s">
        <v>82</v>
      </c>
      <c r="H801" s="3" t="s">
        <v>82</v>
      </c>
      <c r="I801" s="3" t="s">
        <v>453</v>
      </c>
      <c r="J801" s="3" t="s">
        <v>1001</v>
      </c>
      <c r="O801" s="3" t="s">
        <v>147</v>
      </c>
      <c r="P801" s="3" t="s">
        <v>62</v>
      </c>
      <c r="X801" s="3" t="s">
        <v>64</v>
      </c>
    </row>
    <row r="802">
      <c r="A802" s="3">
        <v>801.0</v>
      </c>
      <c r="B802" s="3" t="s">
        <v>40</v>
      </c>
      <c r="C802" s="3" t="s">
        <v>1715</v>
      </c>
      <c r="D802" s="3">
        <v>1997.0</v>
      </c>
      <c r="E802" s="3" t="s">
        <v>1716</v>
      </c>
      <c r="F802" s="3" t="s">
        <v>356</v>
      </c>
      <c r="G802" s="3" t="s">
        <v>82</v>
      </c>
      <c r="H802" s="3" t="s">
        <v>82</v>
      </c>
      <c r="I802" s="3" t="s">
        <v>1001</v>
      </c>
      <c r="O802" s="3" t="s">
        <v>147</v>
      </c>
      <c r="X802" s="3" t="s">
        <v>64</v>
      </c>
    </row>
    <row r="803">
      <c r="A803" s="3">
        <v>802.0</v>
      </c>
      <c r="B803" s="3" t="s">
        <v>40</v>
      </c>
      <c r="C803" s="3" t="s">
        <v>1717</v>
      </c>
      <c r="D803" s="3">
        <v>1997.0</v>
      </c>
      <c r="E803" s="3" t="s">
        <v>1718</v>
      </c>
      <c r="F803" s="3" t="s">
        <v>129</v>
      </c>
      <c r="G803" s="3" t="s">
        <v>82</v>
      </c>
      <c r="H803" s="3" t="s">
        <v>82</v>
      </c>
      <c r="I803" s="3" t="s">
        <v>384</v>
      </c>
      <c r="O803" s="3" t="s">
        <v>147</v>
      </c>
      <c r="X803" s="3" t="s">
        <v>64</v>
      </c>
    </row>
    <row r="804">
      <c r="A804" s="3">
        <v>803.0</v>
      </c>
      <c r="B804" s="3" t="s">
        <v>40</v>
      </c>
      <c r="C804" s="3" t="s">
        <v>1719</v>
      </c>
      <c r="D804" s="3">
        <v>1997.0</v>
      </c>
      <c r="E804" s="3" t="s">
        <v>1720</v>
      </c>
      <c r="F804" s="3" t="s">
        <v>1721</v>
      </c>
      <c r="G804" s="3" t="s">
        <v>58</v>
      </c>
      <c r="H804" s="3" t="s">
        <v>58</v>
      </c>
      <c r="I804" s="3" t="s">
        <v>110</v>
      </c>
      <c r="O804" s="3" t="s">
        <v>147</v>
      </c>
      <c r="X804" s="3" t="s">
        <v>64</v>
      </c>
    </row>
    <row r="805">
      <c r="A805" s="3">
        <v>804.0</v>
      </c>
      <c r="B805" s="3" t="s">
        <v>40</v>
      </c>
      <c r="C805" s="3" t="s">
        <v>1722</v>
      </c>
      <c r="D805" s="3">
        <v>1997.0</v>
      </c>
      <c r="E805" s="3" t="s">
        <v>1723</v>
      </c>
      <c r="F805" s="3" t="s">
        <v>213</v>
      </c>
      <c r="G805" s="3" t="s">
        <v>58</v>
      </c>
      <c r="H805" s="3" t="s">
        <v>58</v>
      </c>
      <c r="I805" s="3" t="s">
        <v>110</v>
      </c>
      <c r="O805" s="3" t="s">
        <v>147</v>
      </c>
      <c r="X805" s="3" t="s">
        <v>64</v>
      </c>
    </row>
    <row r="806">
      <c r="A806" s="3">
        <v>805.0</v>
      </c>
      <c r="B806" s="3" t="s">
        <v>40</v>
      </c>
      <c r="C806" s="3" t="s">
        <v>1724</v>
      </c>
      <c r="D806" s="3">
        <v>1998.0</v>
      </c>
      <c r="E806" s="3" t="s">
        <v>1725</v>
      </c>
      <c r="F806" s="3" t="s">
        <v>68</v>
      </c>
      <c r="G806" s="3" t="s">
        <v>58</v>
      </c>
      <c r="H806" s="3" t="s">
        <v>58</v>
      </c>
      <c r="I806" s="3" t="s">
        <v>287</v>
      </c>
      <c r="J806" s="3" t="s">
        <v>388</v>
      </c>
      <c r="O806" s="3" t="s">
        <v>62</v>
      </c>
      <c r="X806" s="3" t="s">
        <v>64</v>
      </c>
    </row>
    <row r="807">
      <c r="A807" s="3">
        <v>806.0</v>
      </c>
      <c r="B807" s="3" t="s">
        <v>40</v>
      </c>
      <c r="C807" s="3" t="s">
        <v>1726</v>
      </c>
      <c r="D807" s="3">
        <v>1998.0</v>
      </c>
      <c r="E807" s="3" t="s">
        <v>1727</v>
      </c>
      <c r="F807" s="3" t="s">
        <v>213</v>
      </c>
      <c r="G807" s="3" t="s">
        <v>58</v>
      </c>
      <c r="H807" s="3" t="s">
        <v>58</v>
      </c>
      <c r="I807" s="3" t="s">
        <v>388</v>
      </c>
      <c r="J807" s="3" t="s">
        <v>287</v>
      </c>
      <c r="K807" s="3" t="s">
        <v>76</v>
      </c>
      <c r="L807" s="3" t="s">
        <v>110</v>
      </c>
      <c r="O807" s="3" t="s">
        <v>147</v>
      </c>
      <c r="X807" s="3" t="s">
        <v>64</v>
      </c>
    </row>
    <row r="808">
      <c r="A808" s="3">
        <v>807.0</v>
      </c>
      <c r="B808" s="3" t="s">
        <v>40</v>
      </c>
      <c r="C808" s="3" t="s">
        <v>1728</v>
      </c>
      <c r="D808" s="3">
        <v>1998.0</v>
      </c>
      <c r="E808" s="3" t="s">
        <v>1729</v>
      </c>
      <c r="F808" s="3" t="s">
        <v>68</v>
      </c>
      <c r="G808" s="3" t="s">
        <v>58</v>
      </c>
      <c r="H808" s="3" t="s">
        <v>58</v>
      </c>
      <c r="I808" s="3" t="s">
        <v>76</v>
      </c>
      <c r="O808" s="3" t="s">
        <v>62</v>
      </c>
      <c r="X808" s="3" t="s">
        <v>64</v>
      </c>
    </row>
    <row r="809">
      <c r="A809" s="3">
        <v>808.0</v>
      </c>
      <c r="B809" s="3" t="s">
        <v>40</v>
      </c>
      <c r="C809" s="3" t="s">
        <v>1730</v>
      </c>
      <c r="D809" s="3">
        <v>1998.0</v>
      </c>
      <c r="E809" s="3" t="s">
        <v>1731</v>
      </c>
      <c r="F809" s="3" t="s">
        <v>184</v>
      </c>
      <c r="G809" s="3" t="s">
        <v>58</v>
      </c>
      <c r="H809" s="3" t="s">
        <v>58</v>
      </c>
      <c r="I809" s="3" t="s">
        <v>110</v>
      </c>
      <c r="O809" s="3" t="s">
        <v>147</v>
      </c>
      <c r="X809" s="3" t="s">
        <v>64</v>
      </c>
    </row>
    <row r="810">
      <c r="A810" s="3">
        <v>809.0</v>
      </c>
      <c r="B810" s="3" t="s">
        <v>40</v>
      </c>
      <c r="C810" s="3" t="s">
        <v>1732</v>
      </c>
      <c r="D810" s="3">
        <v>1998.0</v>
      </c>
      <c r="E810" s="3" t="s">
        <v>1733</v>
      </c>
      <c r="F810" s="3" t="s">
        <v>57</v>
      </c>
      <c r="G810" s="3" t="s">
        <v>58</v>
      </c>
      <c r="H810" s="3" t="s">
        <v>58</v>
      </c>
      <c r="I810" s="3" t="s">
        <v>110</v>
      </c>
      <c r="O810" s="3" t="s">
        <v>147</v>
      </c>
      <c r="X810" s="3" t="s">
        <v>64</v>
      </c>
    </row>
    <row r="811">
      <c r="A811" s="3">
        <v>810.0</v>
      </c>
      <c r="B811" s="3" t="s">
        <v>40</v>
      </c>
      <c r="C811" s="3" t="s">
        <v>1734</v>
      </c>
      <c r="D811" s="3">
        <v>1998.0</v>
      </c>
      <c r="E811" s="3" t="s">
        <v>1735</v>
      </c>
      <c r="F811" s="3" t="s">
        <v>68</v>
      </c>
      <c r="G811" s="3" t="s">
        <v>58</v>
      </c>
      <c r="H811" s="3" t="s">
        <v>58</v>
      </c>
      <c r="I811" s="3" t="s">
        <v>110</v>
      </c>
      <c r="O811" s="3" t="s">
        <v>147</v>
      </c>
      <c r="X811" s="3" t="s">
        <v>64</v>
      </c>
    </row>
    <row r="812">
      <c r="A812" s="3">
        <v>811.0</v>
      </c>
      <c r="B812" s="3" t="s">
        <v>40</v>
      </c>
      <c r="C812" s="3" t="s">
        <v>1736</v>
      </c>
      <c r="D812" s="3">
        <v>1999.0</v>
      </c>
      <c r="E812" s="3" t="s">
        <v>1737</v>
      </c>
      <c r="F812" s="3" t="s">
        <v>68</v>
      </c>
      <c r="G812" s="3" t="s">
        <v>58</v>
      </c>
      <c r="H812" s="3" t="s">
        <v>58</v>
      </c>
      <c r="I812" s="3" t="s">
        <v>110</v>
      </c>
      <c r="O812" s="3" t="s">
        <v>62</v>
      </c>
      <c r="X812" s="3" t="s">
        <v>64</v>
      </c>
    </row>
    <row r="813">
      <c r="A813" s="3">
        <v>812.0</v>
      </c>
      <c r="B813" s="3" t="s">
        <v>40</v>
      </c>
      <c r="C813" s="3" t="s">
        <v>1738</v>
      </c>
      <c r="D813" s="3">
        <v>2000.0</v>
      </c>
      <c r="E813" s="3" t="s">
        <v>1739</v>
      </c>
      <c r="F813" s="3" t="s">
        <v>129</v>
      </c>
      <c r="G813" s="3" t="s">
        <v>82</v>
      </c>
      <c r="H813" s="3" t="s">
        <v>82</v>
      </c>
      <c r="I813" s="3" t="s">
        <v>384</v>
      </c>
      <c r="O813" s="3" t="s">
        <v>147</v>
      </c>
      <c r="X813" s="3" t="s">
        <v>64</v>
      </c>
    </row>
    <row r="814">
      <c r="A814" s="3">
        <v>813.0</v>
      </c>
      <c r="B814" s="3" t="s">
        <v>40</v>
      </c>
      <c r="C814" s="3" t="s">
        <v>1740</v>
      </c>
      <c r="D814" s="3">
        <v>2000.0</v>
      </c>
      <c r="E814" s="3" t="s">
        <v>1741</v>
      </c>
      <c r="F814" s="3" t="s">
        <v>356</v>
      </c>
      <c r="G814" s="3" t="s">
        <v>82</v>
      </c>
      <c r="H814" s="3" t="s">
        <v>82</v>
      </c>
      <c r="I814" s="3" t="s">
        <v>453</v>
      </c>
      <c r="O814" s="3" t="s">
        <v>147</v>
      </c>
      <c r="X814" s="3" t="s">
        <v>64</v>
      </c>
    </row>
    <row r="815">
      <c r="A815" s="3">
        <v>814.0</v>
      </c>
      <c r="B815" s="3" t="s">
        <v>40</v>
      </c>
      <c r="C815" s="3" t="s">
        <v>1742</v>
      </c>
      <c r="D815" s="3">
        <v>2000.0</v>
      </c>
      <c r="E815" s="3" t="s">
        <v>1743</v>
      </c>
      <c r="F815" s="3" t="s">
        <v>57</v>
      </c>
      <c r="G815" s="3" t="s">
        <v>58</v>
      </c>
      <c r="H815" s="3" t="s">
        <v>58</v>
      </c>
      <c r="I815" s="3" t="s">
        <v>110</v>
      </c>
      <c r="J815" s="3" t="s">
        <v>1001</v>
      </c>
      <c r="K815" s="3" t="s">
        <v>453</v>
      </c>
      <c r="O815" s="3" t="s">
        <v>147</v>
      </c>
      <c r="X815" s="3" t="s">
        <v>64</v>
      </c>
    </row>
    <row r="816">
      <c r="A816" s="3">
        <v>815.0</v>
      </c>
      <c r="B816" s="3" t="s">
        <v>40</v>
      </c>
      <c r="C816" s="3" t="s">
        <v>1744</v>
      </c>
      <c r="D816" s="3">
        <v>2001.0</v>
      </c>
      <c r="E816" s="3" t="s">
        <v>1745</v>
      </c>
      <c r="F816" s="3" t="s">
        <v>43</v>
      </c>
      <c r="G816" s="3" t="s">
        <v>44</v>
      </c>
      <c r="H816" s="3" t="s">
        <v>45</v>
      </c>
      <c r="I816" s="3" t="s">
        <v>266</v>
      </c>
      <c r="O816" s="3" t="s">
        <v>147</v>
      </c>
      <c r="X816" s="3" t="s">
        <v>64</v>
      </c>
    </row>
    <row r="817">
      <c r="A817" s="3">
        <v>816.0</v>
      </c>
      <c r="B817" s="3" t="s">
        <v>40</v>
      </c>
      <c r="C817" s="3" t="s">
        <v>1746</v>
      </c>
      <c r="D817" s="3">
        <v>2001.0</v>
      </c>
      <c r="E817" s="3" t="s">
        <v>1747</v>
      </c>
      <c r="F817" s="3" t="s">
        <v>129</v>
      </c>
      <c r="G817" s="3" t="s">
        <v>82</v>
      </c>
      <c r="H817" s="3" t="s">
        <v>82</v>
      </c>
      <c r="I817" s="3" t="s">
        <v>453</v>
      </c>
      <c r="O817" s="3" t="s">
        <v>147</v>
      </c>
      <c r="X817" s="3" t="s">
        <v>64</v>
      </c>
    </row>
    <row r="818">
      <c r="A818" s="3">
        <v>817.0</v>
      </c>
      <c r="B818" s="3" t="s">
        <v>40</v>
      </c>
      <c r="C818" s="3" t="s">
        <v>1748</v>
      </c>
      <c r="D818" s="3">
        <v>2001.0</v>
      </c>
      <c r="E818" s="3" t="s">
        <v>1749</v>
      </c>
      <c r="F818" s="3" t="s">
        <v>213</v>
      </c>
      <c r="G818" s="3" t="s">
        <v>58</v>
      </c>
      <c r="H818" s="3" t="s">
        <v>58</v>
      </c>
      <c r="I818" s="3" t="s">
        <v>110</v>
      </c>
      <c r="O818" s="3" t="s">
        <v>147</v>
      </c>
      <c r="X818" s="3" t="s">
        <v>64</v>
      </c>
    </row>
    <row r="819">
      <c r="A819" s="3">
        <v>818.0</v>
      </c>
      <c r="B819" s="3" t="s">
        <v>40</v>
      </c>
      <c r="C819" s="3" t="s">
        <v>1750</v>
      </c>
      <c r="D819" s="3">
        <v>2001.0</v>
      </c>
      <c r="E819" s="3" t="s">
        <v>1751</v>
      </c>
      <c r="F819" s="3" t="s">
        <v>492</v>
      </c>
      <c r="G819" s="3" t="s">
        <v>58</v>
      </c>
      <c r="H819" s="3" t="s">
        <v>58</v>
      </c>
      <c r="I819" s="3" t="s">
        <v>110</v>
      </c>
      <c r="O819" s="3" t="s">
        <v>147</v>
      </c>
      <c r="X819" s="3" t="s">
        <v>64</v>
      </c>
    </row>
    <row r="820">
      <c r="A820" s="3">
        <v>819.0</v>
      </c>
      <c r="B820" s="3" t="s">
        <v>40</v>
      </c>
      <c r="C820" s="3" t="s">
        <v>1752</v>
      </c>
      <c r="D820" s="3">
        <v>2002.0</v>
      </c>
      <c r="E820" s="3" t="s">
        <v>1753</v>
      </c>
      <c r="F820" s="3" t="s">
        <v>68</v>
      </c>
      <c r="G820" s="3" t="s">
        <v>58</v>
      </c>
      <c r="H820" s="3" t="s">
        <v>58</v>
      </c>
      <c r="I820" s="3" t="s">
        <v>388</v>
      </c>
      <c r="J820" s="3" t="s">
        <v>287</v>
      </c>
      <c r="O820" s="3" t="s">
        <v>62</v>
      </c>
      <c r="X820" s="3" t="s">
        <v>64</v>
      </c>
    </row>
    <row r="821">
      <c r="A821" s="3">
        <v>820.0</v>
      </c>
      <c r="B821" s="3" t="s">
        <v>40</v>
      </c>
      <c r="C821" s="3" t="s">
        <v>1754</v>
      </c>
      <c r="D821" s="3">
        <v>2002.0</v>
      </c>
      <c r="E821" s="3" t="s">
        <v>1755</v>
      </c>
      <c r="F821" s="3" t="s">
        <v>129</v>
      </c>
      <c r="G821" s="3" t="s">
        <v>82</v>
      </c>
      <c r="H821" s="3" t="s">
        <v>82</v>
      </c>
      <c r="I821" s="3" t="s">
        <v>384</v>
      </c>
      <c r="O821" s="3" t="s">
        <v>147</v>
      </c>
      <c r="X821" s="3" t="s">
        <v>64</v>
      </c>
    </row>
    <row r="822">
      <c r="A822" s="3">
        <v>821.0</v>
      </c>
      <c r="B822" s="3" t="s">
        <v>40</v>
      </c>
      <c r="C822" s="3" t="s">
        <v>1756</v>
      </c>
      <c r="D822" s="3">
        <v>2002.0</v>
      </c>
      <c r="E822" s="3" t="s">
        <v>1757</v>
      </c>
      <c r="F822" s="3" t="s">
        <v>129</v>
      </c>
      <c r="G822" s="3" t="s">
        <v>82</v>
      </c>
      <c r="H822" s="3" t="s">
        <v>82</v>
      </c>
      <c r="I822" s="3" t="s">
        <v>384</v>
      </c>
      <c r="O822" s="3" t="s">
        <v>147</v>
      </c>
      <c r="X822" s="3" t="s">
        <v>64</v>
      </c>
    </row>
    <row r="823">
      <c r="A823" s="3">
        <v>822.0</v>
      </c>
      <c r="B823" s="3" t="s">
        <v>40</v>
      </c>
      <c r="C823" s="3" t="s">
        <v>1758</v>
      </c>
      <c r="D823" s="3">
        <v>2002.0</v>
      </c>
      <c r="E823" s="3" t="s">
        <v>1759</v>
      </c>
      <c r="F823" s="3" t="s">
        <v>129</v>
      </c>
      <c r="G823" s="3" t="s">
        <v>82</v>
      </c>
      <c r="H823" s="3" t="s">
        <v>82</v>
      </c>
      <c r="I823" s="3" t="s">
        <v>453</v>
      </c>
      <c r="O823" s="3" t="s">
        <v>147</v>
      </c>
      <c r="X823" s="3" t="s">
        <v>64</v>
      </c>
    </row>
    <row r="824">
      <c r="A824" s="3">
        <v>823.0</v>
      </c>
      <c r="B824" s="3" t="s">
        <v>40</v>
      </c>
      <c r="C824" s="3" t="s">
        <v>1760</v>
      </c>
      <c r="D824" s="3">
        <v>2003.0</v>
      </c>
      <c r="E824" s="3" t="s">
        <v>1761</v>
      </c>
      <c r="F824" s="3" t="s">
        <v>129</v>
      </c>
      <c r="G824" s="3" t="s">
        <v>82</v>
      </c>
      <c r="H824" s="3" t="s">
        <v>82</v>
      </c>
      <c r="I824" s="3" t="s">
        <v>453</v>
      </c>
      <c r="O824" s="3" t="s">
        <v>147</v>
      </c>
      <c r="X824" s="3" t="s">
        <v>64</v>
      </c>
    </row>
    <row r="825">
      <c r="A825" s="3">
        <v>824.0</v>
      </c>
      <c r="B825" s="3" t="s">
        <v>40</v>
      </c>
      <c r="C825" s="3" t="s">
        <v>1762</v>
      </c>
      <c r="D825" s="3">
        <v>2003.0</v>
      </c>
      <c r="E825" s="3" t="s">
        <v>1763</v>
      </c>
      <c r="F825" s="3" t="s">
        <v>129</v>
      </c>
      <c r="G825" s="3" t="s">
        <v>82</v>
      </c>
      <c r="H825" s="3" t="s">
        <v>82</v>
      </c>
      <c r="I825" s="3" t="s">
        <v>384</v>
      </c>
      <c r="O825" s="3" t="s">
        <v>147</v>
      </c>
      <c r="X825" s="3" t="s">
        <v>64</v>
      </c>
    </row>
    <row r="826">
      <c r="A826" s="3">
        <v>825.0</v>
      </c>
      <c r="B826" s="3" t="s">
        <v>40</v>
      </c>
      <c r="C826" s="3" t="s">
        <v>1764</v>
      </c>
      <c r="D826" s="3">
        <v>2003.0</v>
      </c>
      <c r="E826" s="3" t="s">
        <v>1765</v>
      </c>
      <c r="F826" s="3" t="s">
        <v>158</v>
      </c>
      <c r="G826" s="3" t="s">
        <v>58</v>
      </c>
      <c r="H826" s="3" t="s">
        <v>58</v>
      </c>
      <c r="I826" s="3" t="s">
        <v>110</v>
      </c>
      <c r="O826" s="3" t="s">
        <v>87</v>
      </c>
      <c r="X826" s="3" t="s">
        <v>64</v>
      </c>
    </row>
    <row r="827">
      <c r="A827" s="3">
        <v>826.0</v>
      </c>
      <c r="B827" s="3" t="s">
        <v>40</v>
      </c>
      <c r="C827" s="3" t="s">
        <v>1766</v>
      </c>
      <c r="D827" s="3">
        <v>2004.0</v>
      </c>
      <c r="E827" s="3" t="s">
        <v>1767</v>
      </c>
      <c r="F827" s="3" t="s">
        <v>187</v>
      </c>
      <c r="G827" s="3" t="s">
        <v>58</v>
      </c>
      <c r="H827" s="3" t="s">
        <v>58</v>
      </c>
      <c r="I827" s="3" t="s">
        <v>286</v>
      </c>
      <c r="O827" s="3" t="s">
        <v>62</v>
      </c>
      <c r="X827" s="3" t="s">
        <v>64</v>
      </c>
    </row>
    <row r="828">
      <c r="A828" s="3">
        <v>827.0</v>
      </c>
      <c r="B828" s="3" t="s">
        <v>40</v>
      </c>
      <c r="C828" s="3" t="s">
        <v>1768</v>
      </c>
      <c r="D828" s="3">
        <v>2004.0</v>
      </c>
      <c r="E828" s="3" t="s">
        <v>1769</v>
      </c>
      <c r="F828" s="3" t="s">
        <v>129</v>
      </c>
      <c r="G828" s="3" t="s">
        <v>82</v>
      </c>
      <c r="H828" s="3" t="s">
        <v>82</v>
      </c>
      <c r="I828" s="3" t="s">
        <v>384</v>
      </c>
      <c r="X828" s="3" t="s">
        <v>64</v>
      </c>
    </row>
    <row r="829">
      <c r="A829" s="3">
        <v>828.0</v>
      </c>
      <c r="B829" s="3" t="s">
        <v>40</v>
      </c>
      <c r="C829" s="3" t="s">
        <v>1770</v>
      </c>
      <c r="D829" s="3">
        <v>2006.0</v>
      </c>
      <c r="E829" s="3" t="s">
        <v>1771</v>
      </c>
      <c r="F829" s="3" t="s">
        <v>201</v>
      </c>
      <c r="G829" s="3" t="s">
        <v>58</v>
      </c>
      <c r="H829" s="3" t="s">
        <v>58</v>
      </c>
      <c r="I829" s="3" t="s">
        <v>285</v>
      </c>
      <c r="O829" s="3" t="s">
        <v>147</v>
      </c>
      <c r="X829" s="3" t="s">
        <v>64</v>
      </c>
    </row>
    <row r="830">
      <c r="A830" s="3">
        <v>829.0</v>
      </c>
      <c r="B830" s="3" t="s">
        <v>40</v>
      </c>
      <c r="C830" s="3" t="s">
        <v>1772</v>
      </c>
      <c r="D830" s="3">
        <v>2006.0</v>
      </c>
      <c r="E830" s="3" t="s">
        <v>1773</v>
      </c>
      <c r="F830" s="3" t="s">
        <v>356</v>
      </c>
      <c r="G830" s="3" t="s">
        <v>82</v>
      </c>
      <c r="H830" s="3" t="s">
        <v>82</v>
      </c>
      <c r="I830" s="3" t="s">
        <v>1001</v>
      </c>
      <c r="O830" s="3" t="s">
        <v>147</v>
      </c>
      <c r="X830" s="3" t="s">
        <v>64</v>
      </c>
    </row>
    <row r="831">
      <c r="A831" s="3">
        <v>830.0</v>
      </c>
      <c r="B831" s="3" t="s">
        <v>40</v>
      </c>
      <c r="C831" s="3" t="s">
        <v>1774</v>
      </c>
      <c r="D831" s="3">
        <v>2006.0</v>
      </c>
      <c r="E831" s="3" t="s">
        <v>1775</v>
      </c>
      <c r="F831" s="3" t="s">
        <v>129</v>
      </c>
      <c r="G831" s="3" t="s">
        <v>82</v>
      </c>
      <c r="H831" s="3" t="s">
        <v>82</v>
      </c>
      <c r="I831" s="3" t="s">
        <v>83</v>
      </c>
      <c r="O831" s="3" t="s">
        <v>147</v>
      </c>
      <c r="X831" s="3" t="s">
        <v>64</v>
      </c>
    </row>
    <row r="832">
      <c r="A832" s="3">
        <v>831.0</v>
      </c>
      <c r="B832" s="3" t="s">
        <v>40</v>
      </c>
      <c r="C832" s="3" t="s">
        <v>1776</v>
      </c>
      <c r="D832" s="3">
        <v>2007.0</v>
      </c>
      <c r="E832" s="3" t="s">
        <v>1777</v>
      </c>
      <c r="F832" s="3" t="s">
        <v>129</v>
      </c>
      <c r="G832" s="3" t="s">
        <v>82</v>
      </c>
      <c r="H832" s="3" t="s">
        <v>82</v>
      </c>
      <c r="I832" s="3" t="s">
        <v>384</v>
      </c>
      <c r="O832" s="3" t="s">
        <v>147</v>
      </c>
      <c r="X832" s="3" t="s">
        <v>64</v>
      </c>
    </row>
    <row r="833">
      <c r="A833" s="3">
        <v>832.0</v>
      </c>
      <c r="B833" s="3" t="s">
        <v>40</v>
      </c>
      <c r="C833" s="3" t="s">
        <v>1778</v>
      </c>
      <c r="D833" s="3">
        <v>2007.0</v>
      </c>
      <c r="E833" s="3" t="s">
        <v>1779</v>
      </c>
      <c r="F833" s="3" t="s">
        <v>129</v>
      </c>
      <c r="G833" s="3" t="s">
        <v>82</v>
      </c>
      <c r="H833" s="3" t="s">
        <v>82</v>
      </c>
      <c r="I833" s="3" t="s">
        <v>384</v>
      </c>
      <c r="O833" s="3" t="s">
        <v>147</v>
      </c>
      <c r="X833" s="3" t="s">
        <v>64</v>
      </c>
    </row>
    <row r="834">
      <c r="A834" s="3">
        <v>833.0</v>
      </c>
      <c r="B834" s="3" t="s">
        <v>40</v>
      </c>
      <c r="C834" s="3" t="s">
        <v>1780</v>
      </c>
      <c r="D834" s="3">
        <v>2007.0</v>
      </c>
      <c r="E834" s="3" t="s">
        <v>1781</v>
      </c>
      <c r="F834" s="3" t="s">
        <v>81</v>
      </c>
      <c r="G834" s="3" t="s">
        <v>82</v>
      </c>
      <c r="H834" s="3" t="s">
        <v>82</v>
      </c>
      <c r="I834" s="3" t="s">
        <v>453</v>
      </c>
      <c r="O834" s="3" t="s">
        <v>147</v>
      </c>
      <c r="X834" s="3" t="s">
        <v>64</v>
      </c>
    </row>
    <row r="835">
      <c r="A835" s="3">
        <v>834.0</v>
      </c>
      <c r="B835" s="3" t="s">
        <v>40</v>
      </c>
      <c r="C835" s="3" t="s">
        <v>1782</v>
      </c>
      <c r="D835" s="3">
        <v>2007.0</v>
      </c>
      <c r="E835" s="3" t="s">
        <v>1783</v>
      </c>
      <c r="F835" s="3" t="s">
        <v>187</v>
      </c>
      <c r="G835" s="3" t="s">
        <v>58</v>
      </c>
      <c r="H835" s="3" t="s">
        <v>58</v>
      </c>
      <c r="I835" s="3" t="s">
        <v>110</v>
      </c>
      <c r="O835" s="3" t="s">
        <v>62</v>
      </c>
      <c r="P835" s="3" t="s">
        <v>147</v>
      </c>
      <c r="X835" s="3" t="s">
        <v>64</v>
      </c>
    </row>
    <row r="836">
      <c r="A836" s="3">
        <v>835.0</v>
      </c>
      <c r="B836" s="3" t="s">
        <v>40</v>
      </c>
      <c r="C836" s="3" t="s">
        <v>1784</v>
      </c>
      <c r="D836" s="3">
        <v>2008.0</v>
      </c>
      <c r="E836" s="3" t="s">
        <v>1785</v>
      </c>
      <c r="F836" s="3" t="s">
        <v>158</v>
      </c>
      <c r="G836" s="3" t="s">
        <v>58</v>
      </c>
      <c r="H836" s="3" t="s">
        <v>58</v>
      </c>
      <c r="I836" s="3" t="s">
        <v>69</v>
      </c>
      <c r="O836" s="3" t="s">
        <v>147</v>
      </c>
      <c r="X836" s="3" t="s">
        <v>64</v>
      </c>
    </row>
    <row r="837">
      <c r="A837" s="3">
        <v>836.0</v>
      </c>
      <c r="B837" s="3" t="s">
        <v>40</v>
      </c>
      <c r="C837" s="3" t="s">
        <v>1786</v>
      </c>
      <c r="D837" s="3">
        <v>2008.0</v>
      </c>
      <c r="E837" s="3" t="s">
        <v>1787</v>
      </c>
      <c r="F837" s="3" t="s">
        <v>129</v>
      </c>
      <c r="G837" s="3" t="s">
        <v>82</v>
      </c>
      <c r="H837" s="3" t="s">
        <v>82</v>
      </c>
      <c r="I837" s="3" t="s">
        <v>384</v>
      </c>
      <c r="J837" s="3" t="s">
        <v>1001</v>
      </c>
      <c r="O837" s="3" t="s">
        <v>147</v>
      </c>
      <c r="X837" s="3" t="s">
        <v>64</v>
      </c>
    </row>
    <row r="838">
      <c r="A838" s="3">
        <v>837.0</v>
      </c>
      <c r="B838" s="3" t="s">
        <v>40</v>
      </c>
      <c r="C838" s="3" t="s">
        <v>1788</v>
      </c>
      <c r="D838" s="3">
        <v>2008.0</v>
      </c>
      <c r="E838" s="3" t="s">
        <v>1789</v>
      </c>
      <c r="F838" s="3" t="s">
        <v>129</v>
      </c>
      <c r="G838" s="3" t="s">
        <v>82</v>
      </c>
      <c r="H838" s="3" t="s">
        <v>82</v>
      </c>
      <c r="I838" s="3" t="s">
        <v>384</v>
      </c>
      <c r="O838" s="3" t="s">
        <v>147</v>
      </c>
      <c r="X838" s="3" t="s">
        <v>64</v>
      </c>
    </row>
    <row r="839">
      <c r="A839" s="3">
        <v>838.0</v>
      </c>
      <c r="B839" s="3" t="s">
        <v>40</v>
      </c>
      <c r="C839" s="3" t="s">
        <v>1790</v>
      </c>
      <c r="D839" s="3">
        <v>2008.0</v>
      </c>
      <c r="E839" s="3" t="s">
        <v>1791</v>
      </c>
      <c r="F839" s="3" t="s">
        <v>356</v>
      </c>
      <c r="G839" s="3" t="s">
        <v>82</v>
      </c>
      <c r="H839" s="3" t="s">
        <v>82</v>
      </c>
      <c r="I839" s="3" t="s">
        <v>453</v>
      </c>
      <c r="O839" s="3" t="s">
        <v>147</v>
      </c>
      <c r="P839" s="3" t="s">
        <v>62</v>
      </c>
      <c r="X839" s="3" t="s">
        <v>64</v>
      </c>
    </row>
    <row r="840">
      <c r="A840" s="3">
        <v>839.0</v>
      </c>
      <c r="B840" s="3" t="s">
        <v>40</v>
      </c>
      <c r="C840" s="3" t="s">
        <v>1792</v>
      </c>
      <c r="D840" s="3">
        <v>2009.0</v>
      </c>
      <c r="E840" s="3" t="s">
        <v>1793</v>
      </c>
      <c r="F840" s="3" t="s">
        <v>504</v>
      </c>
      <c r="G840" s="3" t="s">
        <v>58</v>
      </c>
      <c r="H840" s="3" t="s">
        <v>58</v>
      </c>
      <c r="I840" s="3" t="s">
        <v>110</v>
      </c>
      <c r="O840" s="3" t="s">
        <v>147</v>
      </c>
      <c r="X840" s="3" t="s">
        <v>64</v>
      </c>
    </row>
    <row r="841">
      <c r="A841" s="3">
        <v>840.0</v>
      </c>
      <c r="B841" s="3" t="s">
        <v>40</v>
      </c>
      <c r="C841" s="3" t="s">
        <v>1794</v>
      </c>
      <c r="D841" s="3">
        <v>2009.0</v>
      </c>
      <c r="E841" s="3" t="s">
        <v>1795</v>
      </c>
      <c r="F841" s="3" t="s">
        <v>158</v>
      </c>
      <c r="G841" s="3" t="s">
        <v>58</v>
      </c>
      <c r="H841" s="3" t="s">
        <v>58</v>
      </c>
      <c r="I841" s="3" t="s">
        <v>110</v>
      </c>
      <c r="O841" s="3" t="s">
        <v>147</v>
      </c>
      <c r="X841" s="3" t="s">
        <v>64</v>
      </c>
    </row>
    <row r="842">
      <c r="A842" s="3">
        <v>841.0</v>
      </c>
      <c r="B842" s="3" t="s">
        <v>40</v>
      </c>
      <c r="C842" s="3" t="s">
        <v>1796</v>
      </c>
      <c r="D842" s="3">
        <v>2010.0</v>
      </c>
      <c r="E842" s="3" t="s">
        <v>1797</v>
      </c>
      <c r="F842" s="3" t="s">
        <v>129</v>
      </c>
      <c r="G842" s="3" t="s">
        <v>82</v>
      </c>
      <c r="H842" s="3" t="s">
        <v>82</v>
      </c>
      <c r="I842" s="3" t="s">
        <v>384</v>
      </c>
      <c r="O842" s="3" t="s">
        <v>147</v>
      </c>
      <c r="X842" s="3" t="s">
        <v>64</v>
      </c>
    </row>
    <row r="843">
      <c r="A843" s="3">
        <v>842.0</v>
      </c>
      <c r="B843" s="3" t="s">
        <v>40</v>
      </c>
      <c r="C843" s="3" t="s">
        <v>1798</v>
      </c>
      <c r="D843" s="3">
        <v>2010.0</v>
      </c>
      <c r="E843" s="3" t="s">
        <v>1799</v>
      </c>
      <c r="F843" s="3" t="s">
        <v>356</v>
      </c>
      <c r="G843" s="3" t="s">
        <v>82</v>
      </c>
      <c r="H843" s="3" t="s">
        <v>82</v>
      </c>
      <c r="I843" s="3" t="s">
        <v>453</v>
      </c>
      <c r="O843" s="3" t="s">
        <v>147</v>
      </c>
      <c r="P843" s="3" t="s">
        <v>62</v>
      </c>
      <c r="X843" s="3" t="s">
        <v>64</v>
      </c>
    </row>
    <row r="844">
      <c r="A844" s="3">
        <v>843.0</v>
      </c>
      <c r="B844" s="3" t="s">
        <v>40</v>
      </c>
      <c r="C844" s="3" t="s">
        <v>1800</v>
      </c>
      <c r="D844" s="3">
        <v>2010.0</v>
      </c>
      <c r="E844" s="3" t="s">
        <v>1801</v>
      </c>
      <c r="F844" s="3" t="s">
        <v>356</v>
      </c>
      <c r="G844" s="3" t="s">
        <v>82</v>
      </c>
      <c r="H844" s="3" t="s">
        <v>82</v>
      </c>
      <c r="I844" s="3" t="s">
        <v>453</v>
      </c>
      <c r="O844" s="3" t="s">
        <v>147</v>
      </c>
      <c r="P844" s="3" t="s">
        <v>62</v>
      </c>
      <c r="X844" s="3" t="s">
        <v>64</v>
      </c>
    </row>
    <row r="845">
      <c r="A845" s="3">
        <v>844.0</v>
      </c>
      <c r="B845" s="3" t="s">
        <v>40</v>
      </c>
      <c r="C845" s="3" t="s">
        <v>1802</v>
      </c>
      <c r="D845" s="3">
        <v>2010.0</v>
      </c>
      <c r="E845" s="3" t="s">
        <v>1803</v>
      </c>
      <c r="F845" s="3" t="s">
        <v>187</v>
      </c>
      <c r="G845" s="3" t="s">
        <v>58</v>
      </c>
      <c r="H845" s="3" t="s">
        <v>58</v>
      </c>
      <c r="I845" s="3" t="s">
        <v>110</v>
      </c>
      <c r="O845" s="3" t="s">
        <v>147</v>
      </c>
      <c r="P845" s="3" t="s">
        <v>62</v>
      </c>
      <c r="X845" s="3" t="s">
        <v>64</v>
      </c>
    </row>
    <row r="846">
      <c r="A846" s="3">
        <v>845.0</v>
      </c>
      <c r="B846" s="3" t="s">
        <v>40</v>
      </c>
      <c r="C846" s="3" t="s">
        <v>1804</v>
      </c>
      <c r="D846" s="3">
        <v>2010.0</v>
      </c>
      <c r="E846" s="3" t="s">
        <v>1805</v>
      </c>
      <c r="F846" s="3" t="s">
        <v>311</v>
      </c>
      <c r="G846" s="3" t="s">
        <v>58</v>
      </c>
      <c r="H846" s="3" t="s">
        <v>58</v>
      </c>
      <c r="I846" s="3" t="s">
        <v>110</v>
      </c>
      <c r="O846" s="3" t="s">
        <v>147</v>
      </c>
      <c r="X846" s="3" t="s">
        <v>64</v>
      </c>
    </row>
    <row r="847">
      <c r="A847" s="3">
        <v>846.0</v>
      </c>
      <c r="B847" s="3" t="s">
        <v>40</v>
      </c>
      <c r="C847" s="3" t="s">
        <v>1806</v>
      </c>
      <c r="D847" s="3">
        <v>2011.0</v>
      </c>
      <c r="E847" s="3" t="s">
        <v>1807</v>
      </c>
      <c r="F847" s="3" t="s">
        <v>356</v>
      </c>
      <c r="G847" s="3" t="s">
        <v>82</v>
      </c>
      <c r="H847" s="3" t="s">
        <v>82</v>
      </c>
      <c r="I847" s="3" t="s">
        <v>384</v>
      </c>
      <c r="O847" s="3" t="s">
        <v>147</v>
      </c>
      <c r="X847" s="3" t="s">
        <v>64</v>
      </c>
    </row>
    <row r="848">
      <c r="A848" s="3">
        <v>847.0</v>
      </c>
      <c r="B848" s="3" t="s">
        <v>40</v>
      </c>
      <c r="C848" s="3" t="s">
        <v>1808</v>
      </c>
      <c r="D848" s="3">
        <v>2011.0</v>
      </c>
      <c r="E848" s="3" t="s">
        <v>1809</v>
      </c>
      <c r="F848" s="3" t="s">
        <v>129</v>
      </c>
      <c r="G848" s="3" t="s">
        <v>82</v>
      </c>
      <c r="H848" s="3" t="s">
        <v>82</v>
      </c>
      <c r="I848" s="3" t="s">
        <v>384</v>
      </c>
      <c r="O848" s="3" t="s">
        <v>147</v>
      </c>
      <c r="X848" s="3" t="s">
        <v>64</v>
      </c>
    </row>
    <row r="849">
      <c r="A849" s="3">
        <v>848.0</v>
      </c>
      <c r="B849" s="3" t="s">
        <v>40</v>
      </c>
      <c r="C849" s="3" t="s">
        <v>1810</v>
      </c>
      <c r="D849" s="3">
        <v>2011.0</v>
      </c>
      <c r="E849" s="3" t="s">
        <v>1811</v>
      </c>
      <c r="F849" s="3" t="s">
        <v>129</v>
      </c>
      <c r="G849" s="3" t="s">
        <v>82</v>
      </c>
      <c r="H849" s="3" t="s">
        <v>82</v>
      </c>
      <c r="I849" s="3" t="s">
        <v>384</v>
      </c>
      <c r="O849" s="3" t="s">
        <v>147</v>
      </c>
      <c r="X849" s="3" t="s">
        <v>64</v>
      </c>
    </row>
    <row r="850">
      <c r="A850" s="3">
        <v>849.0</v>
      </c>
      <c r="B850" s="3" t="s">
        <v>40</v>
      </c>
      <c r="C850" s="3" t="s">
        <v>1812</v>
      </c>
      <c r="D850" s="3">
        <v>2011.0</v>
      </c>
      <c r="E850" s="3" t="s">
        <v>1813</v>
      </c>
      <c r="F850" s="3" t="s">
        <v>356</v>
      </c>
      <c r="G850" s="3" t="s">
        <v>82</v>
      </c>
      <c r="H850" s="3" t="s">
        <v>82</v>
      </c>
      <c r="I850" s="3" t="s">
        <v>453</v>
      </c>
      <c r="O850" s="3" t="s">
        <v>147</v>
      </c>
      <c r="X850" s="3" t="s">
        <v>64</v>
      </c>
    </row>
    <row r="851">
      <c r="A851" s="3">
        <v>850.0</v>
      </c>
      <c r="B851" s="3" t="s">
        <v>40</v>
      </c>
      <c r="C851" s="3" t="s">
        <v>1814</v>
      </c>
      <c r="D851" s="3">
        <v>2011.0</v>
      </c>
      <c r="E851" s="3" t="s">
        <v>1815</v>
      </c>
      <c r="F851" s="3" t="s">
        <v>68</v>
      </c>
      <c r="G851" s="3" t="s">
        <v>58</v>
      </c>
      <c r="H851" s="3" t="s">
        <v>58</v>
      </c>
      <c r="I851" s="3" t="s">
        <v>110</v>
      </c>
      <c r="O851" s="3" t="s">
        <v>147</v>
      </c>
      <c r="X851" s="3" t="s">
        <v>64</v>
      </c>
    </row>
    <row r="852">
      <c r="A852" s="3">
        <v>851.0</v>
      </c>
      <c r="B852" s="3" t="s">
        <v>40</v>
      </c>
      <c r="C852" s="3" t="s">
        <v>1816</v>
      </c>
      <c r="D852" s="3">
        <v>2012.0</v>
      </c>
      <c r="E852" s="3" t="s">
        <v>1817</v>
      </c>
      <c r="F852" s="3" t="s">
        <v>129</v>
      </c>
      <c r="G852" s="3" t="s">
        <v>82</v>
      </c>
      <c r="H852" s="3" t="s">
        <v>82</v>
      </c>
      <c r="I852" s="3" t="s">
        <v>314</v>
      </c>
      <c r="O852" s="3" t="s">
        <v>62</v>
      </c>
      <c r="X852" s="3" t="s">
        <v>64</v>
      </c>
    </row>
    <row r="853">
      <c r="A853" s="3">
        <v>852.0</v>
      </c>
      <c r="B853" s="3" t="s">
        <v>40</v>
      </c>
      <c r="C853" s="3" t="s">
        <v>1818</v>
      </c>
      <c r="D853" s="3">
        <v>2012.0</v>
      </c>
      <c r="E853" s="3" t="s">
        <v>1819</v>
      </c>
      <c r="F853" s="3" t="s">
        <v>129</v>
      </c>
      <c r="G853" s="3" t="s">
        <v>82</v>
      </c>
      <c r="H853" s="3" t="s">
        <v>82</v>
      </c>
      <c r="I853" s="3" t="s">
        <v>384</v>
      </c>
      <c r="O853" s="3" t="s">
        <v>147</v>
      </c>
      <c r="X853" s="3" t="s">
        <v>64</v>
      </c>
    </row>
    <row r="854">
      <c r="A854" s="3">
        <v>853.0</v>
      </c>
      <c r="B854" s="3" t="s">
        <v>40</v>
      </c>
      <c r="C854" s="3" t="s">
        <v>1820</v>
      </c>
      <c r="D854" s="3">
        <v>2012.0</v>
      </c>
      <c r="E854" s="3" t="s">
        <v>1821</v>
      </c>
      <c r="F854" s="3" t="s">
        <v>427</v>
      </c>
      <c r="G854" s="3" t="s">
        <v>142</v>
      </c>
      <c r="H854" s="3" t="s">
        <v>142</v>
      </c>
      <c r="I854" s="3" t="s">
        <v>110</v>
      </c>
      <c r="O854" s="3" t="s">
        <v>147</v>
      </c>
      <c r="X854" s="3" t="s">
        <v>64</v>
      </c>
    </row>
    <row r="855">
      <c r="A855" s="3">
        <v>854.0</v>
      </c>
      <c r="B855" s="3" t="s">
        <v>40</v>
      </c>
      <c r="C855" s="3" t="s">
        <v>1822</v>
      </c>
      <c r="D855" s="3">
        <v>2012.0</v>
      </c>
      <c r="E855" s="3" t="s">
        <v>1823</v>
      </c>
      <c r="F855" s="3" t="s">
        <v>158</v>
      </c>
      <c r="G855" s="3" t="s">
        <v>58</v>
      </c>
      <c r="H855" s="3" t="s">
        <v>58</v>
      </c>
      <c r="I855" s="3" t="s">
        <v>110</v>
      </c>
      <c r="O855" s="3" t="s">
        <v>147</v>
      </c>
      <c r="X855" s="3" t="s">
        <v>64</v>
      </c>
    </row>
    <row r="856">
      <c r="A856" s="3">
        <v>855.0</v>
      </c>
      <c r="B856" s="3" t="s">
        <v>40</v>
      </c>
      <c r="C856" s="3" t="s">
        <v>1824</v>
      </c>
      <c r="D856" s="3">
        <v>2012.0</v>
      </c>
      <c r="E856" s="3" t="s">
        <v>1825</v>
      </c>
      <c r="F856" s="3" t="s">
        <v>158</v>
      </c>
      <c r="G856" s="3" t="s">
        <v>58</v>
      </c>
      <c r="H856" s="3" t="s">
        <v>58</v>
      </c>
      <c r="I856" s="3" t="s">
        <v>110</v>
      </c>
      <c r="O856" s="3" t="s">
        <v>147</v>
      </c>
      <c r="X856" s="3" t="s">
        <v>64</v>
      </c>
    </row>
    <row r="857">
      <c r="A857" s="3">
        <v>856.0</v>
      </c>
      <c r="B857" s="3" t="s">
        <v>40</v>
      </c>
      <c r="C857" s="3" t="s">
        <v>1826</v>
      </c>
      <c r="D857" s="3">
        <v>2012.0</v>
      </c>
      <c r="E857" s="3" t="s">
        <v>1827</v>
      </c>
      <c r="F857" s="3" t="s">
        <v>492</v>
      </c>
      <c r="G857" s="3" t="s">
        <v>58</v>
      </c>
      <c r="H857" s="3" t="s">
        <v>58</v>
      </c>
      <c r="I857" s="3" t="s">
        <v>110</v>
      </c>
      <c r="O857" s="3" t="s">
        <v>147</v>
      </c>
      <c r="X857" s="3" t="s">
        <v>64</v>
      </c>
    </row>
    <row r="858">
      <c r="A858" s="3">
        <v>857.0</v>
      </c>
      <c r="B858" s="3" t="s">
        <v>40</v>
      </c>
      <c r="C858" s="3" t="s">
        <v>1828</v>
      </c>
      <c r="D858" s="3">
        <v>2013.0</v>
      </c>
      <c r="E858" s="3" t="s">
        <v>1829</v>
      </c>
      <c r="F858" s="3" t="s">
        <v>129</v>
      </c>
      <c r="G858" s="3" t="s">
        <v>82</v>
      </c>
      <c r="H858" s="3" t="s">
        <v>82</v>
      </c>
      <c r="I858" s="3" t="s">
        <v>384</v>
      </c>
      <c r="O858" s="3" t="s">
        <v>147</v>
      </c>
      <c r="X858" s="3" t="s">
        <v>64</v>
      </c>
    </row>
    <row r="859">
      <c r="A859" s="3">
        <v>858.0</v>
      </c>
      <c r="B859" s="3" t="s">
        <v>40</v>
      </c>
      <c r="C859" s="3" t="s">
        <v>1830</v>
      </c>
      <c r="D859" s="3">
        <v>2013.0</v>
      </c>
      <c r="E859" s="3" t="s">
        <v>1831</v>
      </c>
      <c r="F859" s="3" t="s">
        <v>129</v>
      </c>
      <c r="G859" s="3" t="s">
        <v>82</v>
      </c>
      <c r="H859" s="3" t="s">
        <v>82</v>
      </c>
      <c r="I859" s="3" t="s">
        <v>384</v>
      </c>
      <c r="O859" s="3" t="s">
        <v>147</v>
      </c>
      <c r="X859" s="3" t="s">
        <v>64</v>
      </c>
    </row>
    <row r="860">
      <c r="A860" s="3">
        <v>859.0</v>
      </c>
      <c r="B860" s="3" t="s">
        <v>40</v>
      </c>
      <c r="C860" s="3" t="s">
        <v>1832</v>
      </c>
      <c r="D860" s="3">
        <v>2013.0</v>
      </c>
      <c r="E860" s="3" t="s">
        <v>1833</v>
      </c>
      <c r="F860" s="3" t="s">
        <v>444</v>
      </c>
      <c r="G860" s="3" t="s">
        <v>44</v>
      </c>
      <c r="H860" s="3" t="s">
        <v>45</v>
      </c>
      <c r="I860" s="3" t="s">
        <v>485</v>
      </c>
      <c r="O860" s="3" t="s">
        <v>147</v>
      </c>
      <c r="X860" s="3" t="s">
        <v>64</v>
      </c>
    </row>
    <row r="861">
      <c r="A861" s="3">
        <v>860.0</v>
      </c>
      <c r="B861" s="3" t="s">
        <v>40</v>
      </c>
      <c r="C861" s="3" t="s">
        <v>1834</v>
      </c>
      <c r="D861" s="3">
        <v>2013.0</v>
      </c>
      <c r="E861" s="3" t="s">
        <v>1835</v>
      </c>
      <c r="F861" s="3" t="s">
        <v>253</v>
      </c>
      <c r="G861" s="3" t="s">
        <v>58</v>
      </c>
      <c r="H861" s="3" t="s">
        <v>58</v>
      </c>
      <c r="I861" s="3" t="s">
        <v>110</v>
      </c>
      <c r="O861" s="3" t="s">
        <v>147</v>
      </c>
      <c r="X861" s="3" t="s">
        <v>64</v>
      </c>
    </row>
    <row r="862">
      <c r="A862" s="3">
        <v>861.0</v>
      </c>
      <c r="B862" s="3" t="s">
        <v>40</v>
      </c>
      <c r="C862" s="3" t="s">
        <v>1836</v>
      </c>
      <c r="D862" s="3">
        <v>2014.0</v>
      </c>
      <c r="E862" s="3" t="s">
        <v>1837</v>
      </c>
      <c r="F862" s="3" t="s">
        <v>129</v>
      </c>
      <c r="G862" s="3" t="s">
        <v>82</v>
      </c>
      <c r="H862" s="3" t="s">
        <v>82</v>
      </c>
      <c r="I862" s="3" t="s">
        <v>314</v>
      </c>
      <c r="O862" s="3" t="s">
        <v>62</v>
      </c>
      <c r="X862" s="3" t="s">
        <v>64</v>
      </c>
    </row>
    <row r="863">
      <c r="A863" s="3">
        <v>862.0</v>
      </c>
      <c r="B863" s="3" t="s">
        <v>40</v>
      </c>
      <c r="C863" s="3" t="s">
        <v>1838</v>
      </c>
      <c r="D863" s="3">
        <v>2014.0</v>
      </c>
      <c r="E863" s="3" t="s">
        <v>1839</v>
      </c>
      <c r="F863" s="3" t="s">
        <v>129</v>
      </c>
      <c r="G863" s="3" t="s">
        <v>82</v>
      </c>
      <c r="H863" s="3" t="s">
        <v>82</v>
      </c>
      <c r="I863" s="3" t="s">
        <v>130</v>
      </c>
      <c r="O863" s="3" t="s">
        <v>62</v>
      </c>
      <c r="X863" s="3" t="s">
        <v>64</v>
      </c>
    </row>
    <row r="864">
      <c r="A864" s="3">
        <v>863.0</v>
      </c>
      <c r="B864" s="3" t="s">
        <v>40</v>
      </c>
      <c r="C864" s="3" t="s">
        <v>1840</v>
      </c>
      <c r="D864" s="3">
        <v>2014.0</v>
      </c>
      <c r="E864" s="3" t="s">
        <v>1841</v>
      </c>
      <c r="F864" s="3" t="s">
        <v>57</v>
      </c>
      <c r="G864" s="3" t="s">
        <v>58</v>
      </c>
      <c r="H864" s="3" t="s">
        <v>58</v>
      </c>
      <c r="I864" s="3" t="s">
        <v>388</v>
      </c>
      <c r="J864" s="3" t="s">
        <v>287</v>
      </c>
      <c r="K864" s="3" t="s">
        <v>76</v>
      </c>
      <c r="O864" s="3" t="s">
        <v>62</v>
      </c>
      <c r="X864" s="3" t="s">
        <v>64</v>
      </c>
    </row>
    <row r="865">
      <c r="A865" s="3">
        <v>864.0</v>
      </c>
      <c r="B865" s="3" t="s">
        <v>40</v>
      </c>
      <c r="C865" s="3" t="s">
        <v>1830</v>
      </c>
      <c r="D865" s="3">
        <v>2014.0</v>
      </c>
      <c r="E865" s="3" t="s">
        <v>1842</v>
      </c>
      <c r="F865" s="3" t="s">
        <v>129</v>
      </c>
      <c r="G865" s="3" t="s">
        <v>82</v>
      </c>
      <c r="H865" s="3" t="s">
        <v>82</v>
      </c>
      <c r="I865" s="3" t="s">
        <v>384</v>
      </c>
      <c r="O865" s="3" t="s">
        <v>147</v>
      </c>
      <c r="X865" s="3" t="s">
        <v>64</v>
      </c>
    </row>
    <row r="866">
      <c r="A866" s="3">
        <v>865.0</v>
      </c>
      <c r="B866" s="3" t="s">
        <v>40</v>
      </c>
      <c r="C866" s="3" t="s">
        <v>1843</v>
      </c>
      <c r="D866" s="3">
        <v>2015.0</v>
      </c>
      <c r="E866" s="3" t="s">
        <v>1844</v>
      </c>
      <c r="F866" s="3" t="s">
        <v>68</v>
      </c>
      <c r="G866" s="3" t="s">
        <v>58</v>
      </c>
      <c r="H866" s="3" t="s">
        <v>58</v>
      </c>
      <c r="I866" s="3" t="s">
        <v>110</v>
      </c>
      <c r="O866" s="3" t="s">
        <v>147</v>
      </c>
      <c r="X866" s="3" t="s">
        <v>64</v>
      </c>
    </row>
    <row r="867">
      <c r="A867" s="3">
        <v>866.0</v>
      </c>
      <c r="B867" s="3" t="s">
        <v>40</v>
      </c>
      <c r="C867" s="3" t="s">
        <v>1845</v>
      </c>
      <c r="D867" s="3">
        <v>2015.0</v>
      </c>
      <c r="E867" s="3" t="s">
        <v>1846</v>
      </c>
      <c r="F867" s="3" t="s">
        <v>372</v>
      </c>
      <c r="G867" s="3" t="s">
        <v>101</v>
      </c>
      <c r="H867" s="3" t="s">
        <v>102</v>
      </c>
      <c r="I867" s="3" t="s">
        <v>110</v>
      </c>
      <c r="O867" s="3" t="s">
        <v>147</v>
      </c>
      <c r="X867" s="3" t="s">
        <v>64</v>
      </c>
    </row>
    <row r="868">
      <c r="A868" s="3">
        <v>867.0</v>
      </c>
      <c r="B868" s="3" t="s">
        <v>40</v>
      </c>
      <c r="C868" s="3" t="s">
        <v>1847</v>
      </c>
      <c r="D868" s="3">
        <v>2016.0</v>
      </c>
      <c r="E868" s="3" t="s">
        <v>1848</v>
      </c>
      <c r="F868" s="3" t="s">
        <v>129</v>
      </c>
      <c r="G868" s="3" t="s">
        <v>82</v>
      </c>
      <c r="H868" s="3" t="s">
        <v>82</v>
      </c>
      <c r="I868" s="3" t="s">
        <v>130</v>
      </c>
      <c r="O868" s="3" t="s">
        <v>62</v>
      </c>
      <c r="X868" s="3" t="s">
        <v>64</v>
      </c>
    </row>
    <row r="869">
      <c r="A869" s="3">
        <v>868.0</v>
      </c>
      <c r="B869" s="3" t="s">
        <v>40</v>
      </c>
      <c r="C869" s="3" t="s">
        <v>1849</v>
      </c>
      <c r="D869" s="3">
        <v>2016.0</v>
      </c>
      <c r="E869" s="3" t="s">
        <v>1850</v>
      </c>
      <c r="F869" s="3" t="s">
        <v>129</v>
      </c>
      <c r="G869" s="3" t="s">
        <v>82</v>
      </c>
      <c r="H869" s="3" t="s">
        <v>82</v>
      </c>
      <c r="I869" s="3" t="s">
        <v>384</v>
      </c>
      <c r="O869" s="3" t="s">
        <v>147</v>
      </c>
      <c r="X869" s="3" t="s">
        <v>64</v>
      </c>
    </row>
    <row r="870">
      <c r="A870" s="3">
        <v>869.0</v>
      </c>
      <c r="B870" s="3" t="s">
        <v>40</v>
      </c>
      <c r="C870" s="3" t="s">
        <v>1851</v>
      </c>
      <c r="D870" s="3">
        <v>2016.0</v>
      </c>
      <c r="E870" s="3" t="s">
        <v>1852</v>
      </c>
      <c r="F870" s="3" t="s">
        <v>541</v>
      </c>
      <c r="G870" s="3" t="s">
        <v>541</v>
      </c>
      <c r="H870" s="3" t="s">
        <v>541</v>
      </c>
      <c r="I870" s="3" t="s">
        <v>110</v>
      </c>
      <c r="J870" s="3" t="s">
        <v>453</v>
      </c>
      <c r="O870" s="3" t="s">
        <v>147</v>
      </c>
      <c r="P870" s="3" t="s">
        <v>62</v>
      </c>
      <c r="X870" s="3" t="s">
        <v>64</v>
      </c>
    </row>
    <row r="871">
      <c r="A871" s="3">
        <v>870.0</v>
      </c>
      <c r="B871" s="3" t="s">
        <v>40</v>
      </c>
      <c r="C871" s="3" t="s">
        <v>1853</v>
      </c>
      <c r="D871" s="3">
        <v>2016.0</v>
      </c>
      <c r="E871" s="3" t="s">
        <v>1854</v>
      </c>
      <c r="F871" s="3" t="s">
        <v>1855</v>
      </c>
      <c r="G871" s="3" t="s">
        <v>58</v>
      </c>
      <c r="H871" s="3" t="s">
        <v>58</v>
      </c>
      <c r="I871" s="3" t="s">
        <v>110</v>
      </c>
      <c r="O871" s="3" t="s">
        <v>147</v>
      </c>
      <c r="X871" s="3" t="s">
        <v>64</v>
      </c>
    </row>
    <row r="872">
      <c r="A872" s="3">
        <v>871.0</v>
      </c>
      <c r="B872" s="3" t="s">
        <v>40</v>
      </c>
      <c r="C872" s="3" t="s">
        <v>1856</v>
      </c>
      <c r="D872" s="3">
        <v>2017.0</v>
      </c>
      <c r="E872" s="3" t="s">
        <v>1857</v>
      </c>
      <c r="F872" s="3" t="s">
        <v>356</v>
      </c>
      <c r="G872" s="3" t="s">
        <v>82</v>
      </c>
      <c r="H872" s="3" t="s">
        <v>82</v>
      </c>
      <c r="I872" s="3" t="s">
        <v>314</v>
      </c>
      <c r="J872" s="3" t="s">
        <v>317</v>
      </c>
      <c r="O872" s="3" t="s">
        <v>62</v>
      </c>
      <c r="X872" s="3" t="s">
        <v>64</v>
      </c>
    </row>
    <row r="873">
      <c r="A873" s="3">
        <v>872.0</v>
      </c>
      <c r="B873" s="3" t="s">
        <v>40</v>
      </c>
      <c r="C873" s="3" t="s">
        <v>1858</v>
      </c>
      <c r="D873" s="3">
        <v>2018.0</v>
      </c>
      <c r="E873" s="3" t="s">
        <v>1859</v>
      </c>
      <c r="F873" s="3" t="s">
        <v>184</v>
      </c>
      <c r="G873" s="3" t="s">
        <v>58</v>
      </c>
      <c r="H873" s="3" t="s">
        <v>58</v>
      </c>
      <c r="I873" s="3" t="s">
        <v>285</v>
      </c>
      <c r="J873" s="3" t="s">
        <v>76</v>
      </c>
      <c r="O873" s="3" t="s">
        <v>62</v>
      </c>
      <c r="X873" s="3" t="s">
        <v>64</v>
      </c>
    </row>
    <row r="874">
      <c r="A874" s="3">
        <v>873.0</v>
      </c>
      <c r="B874" s="3" t="s">
        <v>40</v>
      </c>
      <c r="C874" s="3" t="s">
        <v>1860</v>
      </c>
      <c r="D874" s="3">
        <v>2018.0</v>
      </c>
      <c r="E874" s="3" t="s">
        <v>1861</v>
      </c>
      <c r="F874" s="3" t="s">
        <v>68</v>
      </c>
      <c r="G874" s="3" t="s">
        <v>58</v>
      </c>
      <c r="H874" s="3" t="s">
        <v>58</v>
      </c>
      <c r="I874" s="3" t="s">
        <v>76</v>
      </c>
      <c r="O874" s="3" t="s">
        <v>62</v>
      </c>
      <c r="X874" s="3" t="s">
        <v>64</v>
      </c>
    </row>
    <row r="875">
      <c r="A875" s="3">
        <v>874.0</v>
      </c>
      <c r="B875" s="3" t="s">
        <v>40</v>
      </c>
      <c r="C875" s="3" t="s">
        <v>1862</v>
      </c>
      <c r="D875" s="3">
        <v>2018.0</v>
      </c>
      <c r="E875" s="3" t="s">
        <v>1863</v>
      </c>
      <c r="F875" s="3" t="s">
        <v>129</v>
      </c>
      <c r="G875" s="3" t="s">
        <v>82</v>
      </c>
      <c r="H875" s="3" t="s">
        <v>82</v>
      </c>
      <c r="I875" s="3" t="s">
        <v>1001</v>
      </c>
      <c r="O875" s="3" t="s">
        <v>147</v>
      </c>
      <c r="X875" s="3" t="s">
        <v>64</v>
      </c>
    </row>
    <row r="876">
      <c r="A876" s="3">
        <v>875.0</v>
      </c>
      <c r="B876" s="3" t="s">
        <v>40</v>
      </c>
      <c r="C876" s="3" t="s">
        <v>1864</v>
      </c>
      <c r="D876" s="3">
        <v>2018.0</v>
      </c>
      <c r="E876" s="3" t="s">
        <v>1865</v>
      </c>
      <c r="F876" s="3" t="s">
        <v>129</v>
      </c>
      <c r="G876" s="3" t="s">
        <v>82</v>
      </c>
      <c r="H876" s="3" t="s">
        <v>82</v>
      </c>
      <c r="I876" s="3" t="s">
        <v>384</v>
      </c>
      <c r="J876" s="3" t="s">
        <v>453</v>
      </c>
      <c r="O876" s="3" t="s">
        <v>147</v>
      </c>
      <c r="X876" s="3" t="s">
        <v>64</v>
      </c>
    </row>
    <row r="877">
      <c r="A877" s="3">
        <v>876.0</v>
      </c>
      <c r="B877" s="3" t="s">
        <v>40</v>
      </c>
      <c r="C877" s="3" t="s">
        <v>1866</v>
      </c>
      <c r="D877" s="3">
        <v>2018.0</v>
      </c>
      <c r="E877" s="3" t="s">
        <v>1867</v>
      </c>
      <c r="F877" s="3" t="s">
        <v>356</v>
      </c>
      <c r="G877" s="3" t="s">
        <v>82</v>
      </c>
      <c r="H877" s="3" t="s">
        <v>82</v>
      </c>
      <c r="I877" s="3" t="s">
        <v>453</v>
      </c>
      <c r="O877" s="3" t="s">
        <v>147</v>
      </c>
      <c r="X877" s="3" t="s">
        <v>64</v>
      </c>
    </row>
    <row r="878">
      <c r="A878" s="3">
        <v>877.0</v>
      </c>
      <c r="B878" s="3" t="s">
        <v>40</v>
      </c>
      <c r="C878" s="3" t="s">
        <v>1868</v>
      </c>
      <c r="D878" s="3">
        <v>2018.0</v>
      </c>
      <c r="E878" s="3" t="s">
        <v>1869</v>
      </c>
      <c r="F878" s="3" t="s">
        <v>356</v>
      </c>
      <c r="G878" s="3" t="s">
        <v>82</v>
      </c>
      <c r="H878" s="3" t="s">
        <v>82</v>
      </c>
      <c r="I878" s="3" t="s">
        <v>453</v>
      </c>
      <c r="O878" s="3" t="s">
        <v>147</v>
      </c>
      <c r="P878" s="3" t="s">
        <v>62</v>
      </c>
      <c r="X878" s="3" t="s">
        <v>64</v>
      </c>
    </row>
    <row r="879">
      <c r="A879" s="3">
        <v>878.0</v>
      </c>
      <c r="B879" s="3" t="s">
        <v>40</v>
      </c>
      <c r="C879" s="3" t="s">
        <v>1870</v>
      </c>
      <c r="D879" s="3">
        <v>2018.0</v>
      </c>
      <c r="E879" s="3" t="s">
        <v>1871</v>
      </c>
      <c r="F879" s="3" t="s">
        <v>433</v>
      </c>
      <c r="G879" s="3" t="s">
        <v>44</v>
      </c>
      <c r="H879" s="3" t="s">
        <v>45</v>
      </c>
      <c r="I879" s="3" t="s">
        <v>461</v>
      </c>
      <c r="O879" s="3" t="s">
        <v>1563</v>
      </c>
      <c r="X879" s="3" t="s">
        <v>64</v>
      </c>
    </row>
    <row r="880">
      <c r="A880" s="3">
        <v>879.0</v>
      </c>
      <c r="B880" s="3" t="s">
        <v>40</v>
      </c>
      <c r="C880" s="3" t="s">
        <v>599</v>
      </c>
      <c r="D880" s="3">
        <v>2018.0</v>
      </c>
      <c r="E880" s="3" t="s">
        <v>1872</v>
      </c>
      <c r="F880" s="3" t="s">
        <v>43</v>
      </c>
      <c r="G880" s="3" t="s">
        <v>44</v>
      </c>
      <c r="H880" s="3" t="s">
        <v>45</v>
      </c>
      <c r="I880" s="3" t="s">
        <v>485</v>
      </c>
      <c r="O880" s="3" t="s">
        <v>1873</v>
      </c>
      <c r="X880" s="3" t="s">
        <v>64</v>
      </c>
    </row>
    <row r="881">
      <c r="A881" s="3">
        <v>880.0</v>
      </c>
      <c r="B881" s="3" t="s">
        <v>40</v>
      </c>
      <c r="C881" s="3" t="s">
        <v>1874</v>
      </c>
      <c r="D881" s="3">
        <v>2019.0</v>
      </c>
      <c r="E881" s="3" t="s">
        <v>1875</v>
      </c>
      <c r="F881" s="3" t="s">
        <v>172</v>
      </c>
      <c r="G881" s="3" t="s">
        <v>91</v>
      </c>
      <c r="H881" s="3" t="s">
        <v>91</v>
      </c>
      <c r="I881" s="3" t="s">
        <v>92</v>
      </c>
      <c r="J881" s="3" t="s">
        <v>225</v>
      </c>
      <c r="O881" s="3" t="s">
        <v>62</v>
      </c>
      <c r="X881" s="3" t="s">
        <v>64</v>
      </c>
    </row>
    <row r="882">
      <c r="A882" s="3">
        <v>881.0</v>
      </c>
      <c r="B882" s="3" t="s">
        <v>40</v>
      </c>
      <c r="C882" s="3" t="s">
        <v>1876</v>
      </c>
      <c r="D882" s="3">
        <v>2019.0</v>
      </c>
      <c r="E882" s="3" t="s">
        <v>1877</v>
      </c>
      <c r="F882" s="3" t="s">
        <v>129</v>
      </c>
      <c r="G882" s="3" t="s">
        <v>82</v>
      </c>
      <c r="H882" s="3" t="s">
        <v>82</v>
      </c>
      <c r="I882" s="3" t="s">
        <v>384</v>
      </c>
      <c r="O882" s="3" t="s">
        <v>147</v>
      </c>
      <c r="X882" s="3" t="s">
        <v>64</v>
      </c>
    </row>
    <row r="883">
      <c r="A883" s="3">
        <v>882.0</v>
      </c>
      <c r="B883" s="3" t="s">
        <v>40</v>
      </c>
      <c r="C883" s="3" t="s">
        <v>1878</v>
      </c>
      <c r="D883" s="3">
        <v>2020.0</v>
      </c>
      <c r="E883" s="3" t="s">
        <v>1879</v>
      </c>
      <c r="F883" s="3" t="s">
        <v>129</v>
      </c>
      <c r="G883" s="3" t="s">
        <v>82</v>
      </c>
      <c r="H883" s="3" t="s">
        <v>82</v>
      </c>
      <c r="I883" s="3" t="s">
        <v>317</v>
      </c>
      <c r="O883" s="3" t="s">
        <v>147</v>
      </c>
      <c r="X883" s="3" t="s">
        <v>64</v>
      </c>
    </row>
    <row r="884">
      <c r="A884" s="3">
        <v>883.0</v>
      </c>
      <c r="B884" s="3" t="s">
        <v>40</v>
      </c>
      <c r="C884" s="3" t="s">
        <v>1880</v>
      </c>
      <c r="D884" s="3">
        <v>2020.0</v>
      </c>
      <c r="E884" s="3" t="s">
        <v>1881</v>
      </c>
      <c r="F884" s="3" t="s">
        <v>1882</v>
      </c>
      <c r="G884" s="3" t="s">
        <v>101</v>
      </c>
      <c r="H884" s="3" t="s">
        <v>102</v>
      </c>
      <c r="I884" s="3" t="s">
        <v>1883</v>
      </c>
      <c r="O884" s="3" t="s">
        <v>147</v>
      </c>
      <c r="X884" s="3" t="s">
        <v>64</v>
      </c>
    </row>
    <row r="885">
      <c r="A885" s="3">
        <v>884.0</v>
      </c>
      <c r="B885" s="3" t="s">
        <v>40</v>
      </c>
      <c r="C885" s="3" t="s">
        <v>1884</v>
      </c>
      <c r="D885" s="3">
        <v>2020.0</v>
      </c>
      <c r="E885" s="3" t="s">
        <v>1885</v>
      </c>
      <c r="F885" s="3" t="s">
        <v>187</v>
      </c>
      <c r="G885" s="3" t="s">
        <v>58</v>
      </c>
      <c r="H885" s="3" t="s">
        <v>58</v>
      </c>
      <c r="I885" s="3" t="s">
        <v>388</v>
      </c>
      <c r="J885" s="3" t="s">
        <v>287</v>
      </c>
      <c r="O885" s="3" t="s">
        <v>62</v>
      </c>
      <c r="X885" s="3" t="s">
        <v>64</v>
      </c>
    </row>
    <row r="886">
      <c r="A886" s="3">
        <v>885.0</v>
      </c>
      <c r="B886" s="3" t="s">
        <v>40</v>
      </c>
      <c r="C886" s="3" t="s">
        <v>1886</v>
      </c>
      <c r="D886" s="3">
        <v>2020.0</v>
      </c>
      <c r="E886" s="3" t="s">
        <v>1887</v>
      </c>
      <c r="F886" s="3" t="s">
        <v>129</v>
      </c>
      <c r="G886" s="3" t="s">
        <v>82</v>
      </c>
      <c r="H886" s="3" t="s">
        <v>82</v>
      </c>
      <c r="I886" s="3" t="s">
        <v>453</v>
      </c>
      <c r="O886" s="3" t="s">
        <v>147</v>
      </c>
      <c r="X886" s="3" t="s">
        <v>64</v>
      </c>
    </row>
    <row r="887">
      <c r="A887" s="3">
        <v>886.0</v>
      </c>
      <c r="B887" s="3" t="s">
        <v>106</v>
      </c>
      <c r="D887" s="3">
        <v>1987.0</v>
      </c>
      <c r="E887" s="3" t="s">
        <v>1888</v>
      </c>
      <c r="F887" s="3" t="s">
        <v>356</v>
      </c>
      <c r="G887" s="3" t="s">
        <v>82</v>
      </c>
      <c r="I887" s="3" t="s">
        <v>453</v>
      </c>
      <c r="O887" s="3" t="s">
        <v>125</v>
      </c>
      <c r="X887" s="3" t="s">
        <v>64</v>
      </c>
    </row>
    <row r="888">
      <c r="A888" s="3">
        <v>887.0</v>
      </c>
      <c r="B888" s="3" t="s">
        <v>106</v>
      </c>
      <c r="D888" s="3">
        <v>1987.0</v>
      </c>
      <c r="E888" s="3" t="s">
        <v>1889</v>
      </c>
      <c r="F888" s="3" t="s">
        <v>129</v>
      </c>
      <c r="G888" s="3" t="s">
        <v>82</v>
      </c>
      <c r="I888" s="3" t="s">
        <v>384</v>
      </c>
      <c r="O888" s="3" t="s">
        <v>147</v>
      </c>
      <c r="X888" s="3" t="s">
        <v>64</v>
      </c>
    </row>
    <row r="889">
      <c r="A889" s="3">
        <v>888.0</v>
      </c>
      <c r="B889" s="3" t="s">
        <v>106</v>
      </c>
      <c r="D889" s="3">
        <v>1987.0</v>
      </c>
      <c r="E889" s="3" t="s">
        <v>1890</v>
      </c>
      <c r="F889" s="3" t="s">
        <v>213</v>
      </c>
      <c r="G889" s="3" t="s">
        <v>58</v>
      </c>
      <c r="I889" s="3" t="s">
        <v>110</v>
      </c>
      <c r="O889" s="3" t="s">
        <v>147</v>
      </c>
      <c r="P889" s="3" t="s">
        <v>62</v>
      </c>
      <c r="X889" s="3" t="s">
        <v>64</v>
      </c>
    </row>
    <row r="890">
      <c r="A890" s="3">
        <v>889.0</v>
      </c>
      <c r="B890" s="3" t="s">
        <v>106</v>
      </c>
      <c r="D890" s="3">
        <v>1987.0</v>
      </c>
      <c r="E890" s="3" t="s">
        <v>1891</v>
      </c>
      <c r="F890" s="3" t="s">
        <v>504</v>
      </c>
      <c r="G890" s="3" t="s">
        <v>58</v>
      </c>
      <c r="I890" s="3" t="s">
        <v>110</v>
      </c>
      <c r="O890" s="3" t="s">
        <v>125</v>
      </c>
      <c r="X890" s="3" t="s">
        <v>64</v>
      </c>
    </row>
    <row r="891">
      <c r="A891" s="3">
        <v>890.0</v>
      </c>
      <c r="B891" s="3" t="s">
        <v>106</v>
      </c>
      <c r="D891" s="3">
        <v>1988.0</v>
      </c>
      <c r="E891" s="3" t="s">
        <v>1892</v>
      </c>
      <c r="F891" s="3" t="s">
        <v>95</v>
      </c>
      <c r="G891" s="3" t="s">
        <v>58</v>
      </c>
      <c r="I891" s="3" t="s">
        <v>110</v>
      </c>
      <c r="O891" s="3" t="s">
        <v>125</v>
      </c>
      <c r="X891" s="3" t="s">
        <v>64</v>
      </c>
    </row>
    <row r="892">
      <c r="A892" s="3">
        <v>891.0</v>
      </c>
      <c r="B892" s="3" t="s">
        <v>106</v>
      </c>
      <c r="D892" s="3">
        <v>1989.0</v>
      </c>
      <c r="E892" s="3" t="s">
        <v>1893</v>
      </c>
      <c r="F892" s="3" t="s">
        <v>515</v>
      </c>
      <c r="G892" s="3" t="s">
        <v>58</v>
      </c>
      <c r="I892" s="3" t="s">
        <v>110</v>
      </c>
      <c r="O892" s="3" t="s">
        <v>125</v>
      </c>
      <c r="X892" s="3" t="s">
        <v>64</v>
      </c>
    </row>
    <row r="893">
      <c r="A893" s="3">
        <v>892.0</v>
      </c>
      <c r="B893" s="3" t="s">
        <v>106</v>
      </c>
      <c r="D893" s="3">
        <v>1989.0</v>
      </c>
      <c r="E893" s="3" t="s">
        <v>1894</v>
      </c>
      <c r="F893" s="3" t="s">
        <v>515</v>
      </c>
      <c r="G893" s="3" t="s">
        <v>58</v>
      </c>
      <c r="I893" s="3" t="s">
        <v>110</v>
      </c>
      <c r="O893" s="3" t="s">
        <v>125</v>
      </c>
      <c r="X893" s="3" t="s">
        <v>64</v>
      </c>
    </row>
    <row r="894">
      <c r="A894" s="3">
        <v>893.0</v>
      </c>
      <c r="B894" s="3" t="s">
        <v>106</v>
      </c>
      <c r="C894" s="3" t="s">
        <v>1895</v>
      </c>
      <c r="D894" s="3">
        <v>1990.0</v>
      </c>
      <c r="E894" s="3" t="s">
        <v>1896</v>
      </c>
      <c r="F894" s="3" t="s">
        <v>129</v>
      </c>
      <c r="G894" s="3" t="s">
        <v>82</v>
      </c>
      <c r="I894" s="3" t="s">
        <v>384</v>
      </c>
      <c r="O894" s="3" t="s">
        <v>147</v>
      </c>
      <c r="X894" s="3" t="s">
        <v>64</v>
      </c>
    </row>
    <row r="895">
      <c r="A895" s="3">
        <v>894.0</v>
      </c>
      <c r="B895" s="3" t="s">
        <v>106</v>
      </c>
      <c r="C895" s="3" t="s">
        <v>1897</v>
      </c>
      <c r="D895" s="3">
        <v>1990.0</v>
      </c>
      <c r="E895" s="3" t="s">
        <v>1898</v>
      </c>
      <c r="F895" s="3" t="s">
        <v>510</v>
      </c>
      <c r="G895" s="3" t="s">
        <v>58</v>
      </c>
      <c r="I895" s="3" t="s">
        <v>110</v>
      </c>
      <c r="O895" s="3" t="s">
        <v>62</v>
      </c>
      <c r="X895" s="3" t="s">
        <v>64</v>
      </c>
    </row>
    <row r="896">
      <c r="A896" s="3">
        <v>895.0</v>
      </c>
      <c r="B896" s="3" t="s">
        <v>106</v>
      </c>
      <c r="C896" s="3" t="s">
        <v>1899</v>
      </c>
      <c r="D896" s="3">
        <v>1990.0</v>
      </c>
      <c r="E896" s="3" t="s">
        <v>1900</v>
      </c>
      <c r="F896" s="3" t="s">
        <v>187</v>
      </c>
      <c r="G896" s="3" t="s">
        <v>58</v>
      </c>
      <c r="I896" s="3" t="s">
        <v>110</v>
      </c>
      <c r="O896" s="3" t="s">
        <v>62</v>
      </c>
      <c r="P896" s="3" t="s">
        <v>147</v>
      </c>
      <c r="X896" s="3" t="s">
        <v>64</v>
      </c>
    </row>
    <row r="897">
      <c r="A897" s="3">
        <v>896.0</v>
      </c>
      <c r="B897" s="3" t="s">
        <v>106</v>
      </c>
      <c r="C897" s="3" t="s">
        <v>1901</v>
      </c>
      <c r="D897" s="3">
        <v>1991.0</v>
      </c>
      <c r="E897" s="3" t="s">
        <v>1902</v>
      </c>
      <c r="F897" s="3" t="s">
        <v>129</v>
      </c>
      <c r="G897" s="3" t="s">
        <v>82</v>
      </c>
      <c r="I897" s="3" t="s">
        <v>384</v>
      </c>
      <c r="O897" s="3" t="s">
        <v>147</v>
      </c>
      <c r="X897" s="3" t="s">
        <v>64</v>
      </c>
    </row>
    <row r="898">
      <c r="A898" s="3">
        <v>897.0</v>
      </c>
      <c r="B898" s="3" t="s">
        <v>106</v>
      </c>
      <c r="C898" s="3" t="s">
        <v>1903</v>
      </c>
      <c r="D898" s="3">
        <v>1991.0</v>
      </c>
      <c r="E898" s="3" t="s">
        <v>1904</v>
      </c>
      <c r="F898" s="3" t="s">
        <v>504</v>
      </c>
      <c r="G898" s="3" t="s">
        <v>58</v>
      </c>
      <c r="I898" s="3" t="s">
        <v>110</v>
      </c>
      <c r="O898" s="3" t="s">
        <v>147</v>
      </c>
      <c r="X898" s="3" t="s">
        <v>64</v>
      </c>
    </row>
    <row r="899">
      <c r="A899" s="3">
        <v>898.0</v>
      </c>
      <c r="B899" s="3" t="s">
        <v>106</v>
      </c>
      <c r="C899" s="3" t="s">
        <v>1905</v>
      </c>
      <c r="D899" s="3">
        <v>1992.0</v>
      </c>
      <c r="E899" s="3" t="s">
        <v>1906</v>
      </c>
      <c r="F899" s="3" t="s">
        <v>109</v>
      </c>
      <c r="G899" s="3" t="s">
        <v>58</v>
      </c>
      <c r="I899" s="3" t="s">
        <v>110</v>
      </c>
      <c r="O899" s="3" t="s">
        <v>147</v>
      </c>
      <c r="X899" s="3" t="s">
        <v>64</v>
      </c>
    </row>
    <row r="900">
      <c r="A900" s="3">
        <v>899.0</v>
      </c>
      <c r="B900" s="3" t="s">
        <v>106</v>
      </c>
      <c r="C900" s="3" t="s">
        <v>1907</v>
      </c>
      <c r="D900" s="3">
        <v>1992.0</v>
      </c>
      <c r="E900" s="3" t="s">
        <v>1908</v>
      </c>
      <c r="F900" s="3" t="s">
        <v>129</v>
      </c>
      <c r="G900" s="3" t="s">
        <v>82</v>
      </c>
      <c r="I900" s="3" t="s">
        <v>384</v>
      </c>
      <c r="O900" s="3" t="s">
        <v>147</v>
      </c>
      <c r="X900" s="3" t="s">
        <v>64</v>
      </c>
    </row>
    <row r="901">
      <c r="A901" s="3">
        <v>900.0</v>
      </c>
      <c r="B901" s="3" t="s">
        <v>106</v>
      </c>
      <c r="C901" s="3" t="s">
        <v>1909</v>
      </c>
      <c r="D901" s="3">
        <v>1993.0</v>
      </c>
      <c r="E901" s="3" t="s">
        <v>1910</v>
      </c>
      <c r="F901" s="3" t="s">
        <v>341</v>
      </c>
      <c r="G901" s="3" t="s">
        <v>44</v>
      </c>
      <c r="I901" s="3" t="s">
        <v>46</v>
      </c>
      <c r="O901" s="3" t="s">
        <v>147</v>
      </c>
      <c r="X901" s="3" t="s">
        <v>64</v>
      </c>
    </row>
    <row r="902">
      <c r="A902" s="3">
        <v>901.0</v>
      </c>
      <c r="B902" s="3" t="s">
        <v>106</v>
      </c>
      <c r="C902" s="3" t="s">
        <v>1911</v>
      </c>
      <c r="D902" s="3">
        <v>1993.0</v>
      </c>
      <c r="E902" s="3" t="s">
        <v>1912</v>
      </c>
      <c r="F902" s="3" t="s">
        <v>1024</v>
      </c>
      <c r="G902" s="3" t="s">
        <v>58</v>
      </c>
      <c r="I902" s="3" t="s">
        <v>110</v>
      </c>
      <c r="O902" s="3" t="s">
        <v>62</v>
      </c>
      <c r="X902" s="3" t="s">
        <v>64</v>
      </c>
    </row>
    <row r="903">
      <c r="A903" s="3">
        <v>902.0</v>
      </c>
      <c r="B903" s="3" t="s">
        <v>106</v>
      </c>
      <c r="C903" s="3" t="s">
        <v>1913</v>
      </c>
      <c r="D903" s="3">
        <v>1993.0</v>
      </c>
      <c r="E903" s="3" t="s">
        <v>1914</v>
      </c>
      <c r="F903" s="3" t="s">
        <v>458</v>
      </c>
      <c r="G903" s="3" t="s">
        <v>58</v>
      </c>
      <c r="I903" s="3" t="s">
        <v>110</v>
      </c>
      <c r="O903" s="3" t="s">
        <v>62</v>
      </c>
      <c r="X903" s="3" t="s">
        <v>64</v>
      </c>
    </row>
    <row r="904">
      <c r="A904" s="3">
        <v>903.0</v>
      </c>
      <c r="B904" s="3" t="s">
        <v>106</v>
      </c>
      <c r="C904" s="3" t="s">
        <v>1915</v>
      </c>
      <c r="D904" s="3">
        <v>1993.0</v>
      </c>
      <c r="E904" s="3" t="s">
        <v>1916</v>
      </c>
      <c r="F904" s="3" t="s">
        <v>515</v>
      </c>
      <c r="G904" s="3" t="s">
        <v>58</v>
      </c>
      <c r="I904" s="3" t="s">
        <v>110</v>
      </c>
      <c r="O904" s="3" t="s">
        <v>62</v>
      </c>
      <c r="X904" s="3" t="s">
        <v>64</v>
      </c>
    </row>
    <row r="905">
      <c r="A905" s="3">
        <v>904.0</v>
      </c>
      <c r="B905" s="3" t="s">
        <v>106</v>
      </c>
      <c r="C905" s="3" t="s">
        <v>900</v>
      </c>
      <c r="D905" s="3">
        <v>1993.0</v>
      </c>
      <c r="E905" s="3" t="s">
        <v>1917</v>
      </c>
      <c r="F905" s="3" t="s">
        <v>150</v>
      </c>
      <c r="G905" s="3" t="s">
        <v>58</v>
      </c>
      <c r="I905" s="3" t="s">
        <v>110</v>
      </c>
      <c r="O905" s="3" t="s">
        <v>62</v>
      </c>
      <c r="X905" s="3" t="s">
        <v>64</v>
      </c>
    </row>
    <row r="906">
      <c r="A906" s="3">
        <v>905.0</v>
      </c>
      <c r="B906" s="3" t="s">
        <v>106</v>
      </c>
      <c r="C906" s="3" t="s">
        <v>1918</v>
      </c>
      <c r="D906" s="3">
        <v>1994.0</v>
      </c>
      <c r="E906" s="3" t="s">
        <v>1919</v>
      </c>
      <c r="F906" s="3" t="s">
        <v>1024</v>
      </c>
      <c r="G906" s="3" t="s">
        <v>58</v>
      </c>
      <c r="I906" s="3" t="s">
        <v>110</v>
      </c>
      <c r="O906" s="3" t="s">
        <v>62</v>
      </c>
      <c r="X906" s="3" t="s">
        <v>64</v>
      </c>
    </row>
    <row r="907">
      <c r="A907" s="3">
        <v>906.0</v>
      </c>
      <c r="B907" s="3" t="s">
        <v>106</v>
      </c>
      <c r="C907" s="3" t="s">
        <v>1911</v>
      </c>
      <c r="D907" s="3">
        <v>1997.0</v>
      </c>
      <c r="E907" s="3" t="s">
        <v>1920</v>
      </c>
      <c r="F907" s="3" t="s">
        <v>57</v>
      </c>
      <c r="G907" s="3" t="s">
        <v>58</v>
      </c>
      <c r="I907" s="3" t="s">
        <v>110</v>
      </c>
      <c r="O907" s="3" t="s">
        <v>62</v>
      </c>
      <c r="X907" s="3" t="s">
        <v>64</v>
      </c>
    </row>
    <row r="908">
      <c r="A908" s="3">
        <v>907.0</v>
      </c>
      <c r="B908" s="3" t="s">
        <v>106</v>
      </c>
      <c r="C908" s="3" t="s">
        <v>1921</v>
      </c>
      <c r="D908" s="3">
        <v>1999.0</v>
      </c>
      <c r="E908" s="3" t="s">
        <v>1922</v>
      </c>
      <c r="F908" s="3" t="s">
        <v>356</v>
      </c>
      <c r="G908" s="3" t="s">
        <v>82</v>
      </c>
      <c r="I908" s="3" t="s">
        <v>453</v>
      </c>
      <c r="O908" s="3" t="s">
        <v>62</v>
      </c>
      <c r="X908" s="3" t="s">
        <v>64</v>
      </c>
    </row>
    <row r="909">
      <c r="A909" s="3">
        <v>908.0</v>
      </c>
      <c r="B909" s="3" t="s">
        <v>106</v>
      </c>
      <c r="D909" s="3">
        <v>2001.0</v>
      </c>
      <c r="E909" s="3" t="s">
        <v>1923</v>
      </c>
      <c r="F909" s="3" t="s">
        <v>129</v>
      </c>
      <c r="G909" s="3" t="s">
        <v>82</v>
      </c>
      <c r="I909" s="3" t="s">
        <v>453</v>
      </c>
      <c r="O909" s="3" t="s">
        <v>125</v>
      </c>
      <c r="X909" s="3" t="s">
        <v>64</v>
      </c>
    </row>
    <row r="910">
      <c r="A910" s="3">
        <v>909.0</v>
      </c>
      <c r="B910" s="3" t="s">
        <v>106</v>
      </c>
      <c r="C910" s="3" t="s">
        <v>1924</v>
      </c>
      <c r="D910" s="3">
        <v>2010.0</v>
      </c>
      <c r="E910" s="3" t="s">
        <v>1925</v>
      </c>
      <c r="F910" s="3" t="s">
        <v>150</v>
      </c>
      <c r="G910" s="3" t="s">
        <v>58</v>
      </c>
      <c r="I910" s="3" t="s">
        <v>110</v>
      </c>
      <c r="O910" s="3" t="s">
        <v>1670</v>
      </c>
      <c r="X910" s="3" t="s">
        <v>64</v>
      </c>
    </row>
    <row r="911">
      <c r="A911" s="3">
        <v>910.0</v>
      </c>
      <c r="B911" s="3" t="s">
        <v>106</v>
      </c>
      <c r="C911" s="3" t="s">
        <v>1926</v>
      </c>
      <c r="D911" s="3">
        <v>2011.0</v>
      </c>
      <c r="E911" s="3" t="s">
        <v>1927</v>
      </c>
      <c r="F911" s="3" t="s">
        <v>187</v>
      </c>
      <c r="G911" s="3" t="s">
        <v>58</v>
      </c>
      <c r="I911" s="3" t="s">
        <v>110</v>
      </c>
      <c r="O911" s="3" t="s">
        <v>62</v>
      </c>
      <c r="P911" s="3" t="s">
        <v>147</v>
      </c>
      <c r="X911" s="3" t="s">
        <v>64</v>
      </c>
    </row>
    <row r="912">
      <c r="A912" s="3">
        <v>911.0</v>
      </c>
      <c r="B912" s="3" t="s">
        <v>106</v>
      </c>
      <c r="C912" s="3" t="s">
        <v>1928</v>
      </c>
      <c r="D912" s="3">
        <v>2012.0</v>
      </c>
      <c r="E912" s="3" t="s">
        <v>1929</v>
      </c>
      <c r="F912" s="3" t="s">
        <v>444</v>
      </c>
      <c r="G912" s="3" t="s">
        <v>44</v>
      </c>
      <c r="I912" s="3" t="s">
        <v>485</v>
      </c>
      <c r="O912" s="3" t="s">
        <v>147</v>
      </c>
      <c r="P912" s="3" t="s">
        <v>62</v>
      </c>
      <c r="X912" s="3" t="s">
        <v>64</v>
      </c>
    </row>
    <row r="913">
      <c r="A913" s="3">
        <v>912.0</v>
      </c>
      <c r="B913" s="3" t="s">
        <v>55</v>
      </c>
      <c r="D913" s="3">
        <v>1990.0</v>
      </c>
      <c r="E913" s="3" t="s">
        <v>1930</v>
      </c>
      <c r="F913" s="3" t="s">
        <v>638</v>
      </c>
      <c r="G913" s="3" t="s">
        <v>44</v>
      </c>
      <c r="H913" s="3" t="s">
        <v>45</v>
      </c>
      <c r="I913" s="3" t="s">
        <v>270</v>
      </c>
      <c r="O913" s="3" t="s">
        <v>147</v>
      </c>
      <c r="X913" s="3" t="s">
        <v>64</v>
      </c>
    </row>
    <row r="914">
      <c r="A914" s="3">
        <v>913.0</v>
      </c>
      <c r="B914" s="3" t="s">
        <v>55</v>
      </c>
      <c r="D914" s="3">
        <v>1991.0</v>
      </c>
      <c r="E914" s="3" t="s">
        <v>1931</v>
      </c>
      <c r="F914" s="3" t="s">
        <v>57</v>
      </c>
      <c r="G914" s="3" t="s">
        <v>58</v>
      </c>
      <c r="H914" s="3" t="s">
        <v>58</v>
      </c>
      <c r="I914" s="3" t="s">
        <v>110</v>
      </c>
      <c r="J914" s="3" t="s">
        <v>69</v>
      </c>
      <c r="O914" s="3" t="s">
        <v>62</v>
      </c>
      <c r="P914" s="3" t="s">
        <v>147</v>
      </c>
      <c r="X914" s="3" t="s">
        <v>64</v>
      </c>
    </row>
    <row r="915">
      <c r="A915" s="3">
        <v>914.0</v>
      </c>
      <c r="B915" s="3" t="s">
        <v>55</v>
      </c>
      <c r="D915" s="3">
        <v>2003.0</v>
      </c>
      <c r="E915" s="3" t="s">
        <v>1932</v>
      </c>
      <c r="F915" s="3" t="s">
        <v>68</v>
      </c>
      <c r="G915" s="3" t="s">
        <v>58</v>
      </c>
      <c r="H915" s="3" t="s">
        <v>58</v>
      </c>
      <c r="I915" s="3" t="s">
        <v>388</v>
      </c>
      <c r="J915" s="3" t="s">
        <v>287</v>
      </c>
      <c r="O915" s="3" t="s">
        <v>62</v>
      </c>
      <c r="X915" s="3" t="s">
        <v>64</v>
      </c>
    </row>
    <row r="916">
      <c r="A916" s="3">
        <v>915.0</v>
      </c>
      <c r="B916" s="3" t="s">
        <v>106</v>
      </c>
      <c r="D916" s="3">
        <v>2018.0</v>
      </c>
      <c r="E916" s="3" t="s">
        <v>1933</v>
      </c>
      <c r="F916" s="3" t="s">
        <v>1934</v>
      </c>
      <c r="G916" s="3" t="s">
        <v>124</v>
      </c>
      <c r="I916" s="3" t="s">
        <v>205</v>
      </c>
      <c r="O916" s="3" t="s">
        <v>125</v>
      </c>
      <c r="X916" s="3" t="s">
        <v>64</v>
      </c>
    </row>
    <row r="917">
      <c r="A917" s="3">
        <v>916.0</v>
      </c>
      <c r="B917" s="3" t="s">
        <v>40</v>
      </c>
      <c r="C917" s="3" t="s">
        <v>276</v>
      </c>
      <c r="D917" s="3">
        <v>1991.0</v>
      </c>
      <c r="E917" s="3" t="s">
        <v>1935</v>
      </c>
      <c r="F917" s="3" t="s">
        <v>68</v>
      </c>
      <c r="G917" s="3" t="s">
        <v>58</v>
      </c>
      <c r="H917" s="3" t="s">
        <v>58</v>
      </c>
      <c r="I917" s="3" t="s">
        <v>69</v>
      </c>
      <c r="O917" s="3" t="s">
        <v>70</v>
      </c>
      <c r="R917" s="3" t="s">
        <v>60</v>
      </c>
      <c r="T917" s="3" t="s">
        <v>63</v>
      </c>
      <c r="X917" s="3" t="s">
        <v>71</v>
      </c>
      <c r="Y917" s="3" t="s">
        <v>51</v>
      </c>
      <c r="Z917" s="3" t="s">
        <v>65</v>
      </c>
    </row>
    <row r="918">
      <c r="A918" s="3">
        <v>917.0</v>
      </c>
      <c r="B918" s="3" t="s">
        <v>40</v>
      </c>
      <c r="C918" s="3" t="s">
        <v>1936</v>
      </c>
      <c r="D918" s="3">
        <v>2019.0</v>
      </c>
      <c r="E918" s="3" t="s">
        <v>1937</v>
      </c>
      <c r="F918" s="3" t="s">
        <v>129</v>
      </c>
      <c r="G918" s="3" t="s">
        <v>82</v>
      </c>
      <c r="H918" s="3" t="s">
        <v>82</v>
      </c>
      <c r="I918" s="3" t="s">
        <v>83</v>
      </c>
      <c r="O918" s="3" t="s">
        <v>70</v>
      </c>
      <c r="R918" s="3" t="s">
        <v>60</v>
      </c>
      <c r="T918" s="3" t="s">
        <v>63</v>
      </c>
      <c r="X918" s="3" t="s">
        <v>71</v>
      </c>
      <c r="Y918" s="3" t="s">
        <v>51</v>
      </c>
      <c r="Z918" s="3" t="s">
        <v>65</v>
      </c>
    </row>
    <row r="919">
      <c r="A919" s="3">
        <v>918.0</v>
      </c>
      <c r="B919" s="3" t="s">
        <v>106</v>
      </c>
      <c r="C919" s="3" t="s">
        <v>1938</v>
      </c>
      <c r="D919" s="3">
        <v>1993.0</v>
      </c>
      <c r="E919" s="3" t="s">
        <v>1939</v>
      </c>
      <c r="F919" s="3" t="s">
        <v>526</v>
      </c>
      <c r="G919" s="3" t="s">
        <v>58</v>
      </c>
      <c r="I919" s="3" t="s">
        <v>110</v>
      </c>
      <c r="O919" s="3" t="s">
        <v>567</v>
      </c>
      <c r="R919" s="3" t="s">
        <v>61</v>
      </c>
      <c r="T919" s="3" t="s">
        <v>111</v>
      </c>
      <c r="X919" s="3" t="s">
        <v>71</v>
      </c>
      <c r="Y919" s="3" t="s">
        <v>52</v>
      </c>
      <c r="Z919" s="3" t="s">
        <v>51</v>
      </c>
    </row>
    <row r="920">
      <c r="A920" s="3">
        <v>919.0</v>
      </c>
      <c r="B920" s="3" t="s">
        <v>40</v>
      </c>
      <c r="C920" s="3" t="s">
        <v>1940</v>
      </c>
      <c r="D920" s="3">
        <v>2020.0</v>
      </c>
      <c r="E920" s="6" t="s">
        <v>1941</v>
      </c>
      <c r="F920" s="3" t="s">
        <v>356</v>
      </c>
      <c r="G920" s="3" t="s">
        <v>82</v>
      </c>
      <c r="H920" s="3" t="s">
        <v>82</v>
      </c>
      <c r="I920" s="3" t="s">
        <v>254</v>
      </c>
      <c r="O920" s="3" t="s">
        <v>1942</v>
      </c>
      <c r="R920" s="3" t="s">
        <v>61</v>
      </c>
      <c r="T920" s="3" t="s">
        <v>162</v>
      </c>
      <c r="V920" s="3" t="s">
        <v>250</v>
      </c>
      <c r="X920" s="3" t="s">
        <v>71</v>
      </c>
      <c r="Y920" s="3" t="s">
        <v>52</v>
      </c>
      <c r="Z920" s="3" t="s">
        <v>121</v>
      </c>
      <c r="AA920" s="3" t="s">
        <v>53</v>
      </c>
    </row>
    <row r="921">
      <c r="A921" s="3">
        <v>920.0</v>
      </c>
      <c r="B921" s="3" t="s">
        <v>55</v>
      </c>
      <c r="D921" s="3">
        <v>1992.0</v>
      </c>
      <c r="E921" s="3" t="s">
        <v>1943</v>
      </c>
      <c r="F921" s="3" t="s">
        <v>447</v>
      </c>
      <c r="G921" s="3" t="s">
        <v>58</v>
      </c>
      <c r="H921" s="3" t="s">
        <v>58</v>
      </c>
      <c r="I921" s="3" t="s">
        <v>69</v>
      </c>
      <c r="O921" s="3" t="s">
        <v>70</v>
      </c>
      <c r="R921" s="3" t="s">
        <v>61</v>
      </c>
      <c r="T921" s="3" t="s">
        <v>162</v>
      </c>
      <c r="X921" s="3" t="s">
        <v>71</v>
      </c>
      <c r="Y921" s="3" t="s">
        <v>52</v>
      </c>
      <c r="Z921" s="3" t="s">
        <v>121</v>
      </c>
    </row>
    <row r="922">
      <c r="A922" s="3">
        <v>921.0</v>
      </c>
      <c r="B922" s="3" t="s">
        <v>40</v>
      </c>
      <c r="C922" s="3" t="s">
        <v>1944</v>
      </c>
      <c r="D922" s="3">
        <v>2016.0</v>
      </c>
      <c r="E922" s="3" t="s">
        <v>1945</v>
      </c>
      <c r="F922" s="3" t="s">
        <v>187</v>
      </c>
      <c r="G922" s="3" t="s">
        <v>58</v>
      </c>
      <c r="H922" s="3" t="s">
        <v>58</v>
      </c>
      <c r="I922" s="3" t="s">
        <v>285</v>
      </c>
      <c r="O922" s="3" t="s">
        <v>70</v>
      </c>
      <c r="R922" s="3" t="s">
        <v>61</v>
      </c>
      <c r="S922" s="3" t="s">
        <v>48</v>
      </c>
      <c r="T922" s="3" t="s">
        <v>63</v>
      </c>
      <c r="X922" s="3" t="s">
        <v>71</v>
      </c>
      <c r="Y922" s="3" t="s">
        <v>52</v>
      </c>
      <c r="Z922" s="3" t="s">
        <v>65</v>
      </c>
    </row>
    <row r="923">
      <c r="A923" s="3">
        <v>922.0</v>
      </c>
      <c r="B923" s="3" t="s">
        <v>106</v>
      </c>
      <c r="C923" s="3" t="s">
        <v>1946</v>
      </c>
      <c r="D923" s="3">
        <v>1992.0</v>
      </c>
      <c r="E923" s="3" t="s">
        <v>1947</v>
      </c>
      <c r="F923" s="3" t="s">
        <v>341</v>
      </c>
      <c r="G923" s="3" t="s">
        <v>44</v>
      </c>
      <c r="I923" s="3" t="s">
        <v>46</v>
      </c>
      <c r="O923" s="3" t="s">
        <v>1948</v>
      </c>
      <c r="R923" s="3" t="s">
        <v>61</v>
      </c>
      <c r="X923" s="3" t="s">
        <v>71</v>
      </c>
      <c r="Y923" s="3" t="s">
        <v>52</v>
      </c>
    </row>
    <row r="924">
      <c r="A924" s="3">
        <v>923.0</v>
      </c>
      <c r="B924" s="3" t="s">
        <v>40</v>
      </c>
      <c r="C924" s="3" t="s">
        <v>1949</v>
      </c>
      <c r="D924" s="3">
        <v>2018.0</v>
      </c>
      <c r="E924" s="3" t="s">
        <v>1950</v>
      </c>
      <c r="F924" s="3" t="s">
        <v>356</v>
      </c>
      <c r="G924" s="3" t="s">
        <v>82</v>
      </c>
      <c r="H924" s="3" t="s">
        <v>82</v>
      </c>
      <c r="I924" s="3" t="s">
        <v>254</v>
      </c>
      <c r="O924" s="3" t="s">
        <v>87</v>
      </c>
      <c r="R924" s="3" t="s">
        <v>117</v>
      </c>
      <c r="X924" s="3" t="s">
        <v>71</v>
      </c>
      <c r="Y924" s="3" t="s">
        <v>1015</v>
      </c>
    </row>
    <row r="925">
      <c r="A925" s="3">
        <v>924.0</v>
      </c>
      <c r="B925" s="3" t="s">
        <v>40</v>
      </c>
      <c r="C925" s="3" t="s">
        <v>1951</v>
      </c>
      <c r="D925" s="3">
        <v>2013.0</v>
      </c>
      <c r="E925" s="3" t="s">
        <v>1952</v>
      </c>
      <c r="F925" s="3" t="s">
        <v>356</v>
      </c>
      <c r="G925" s="3" t="s">
        <v>82</v>
      </c>
      <c r="H925" s="3" t="s">
        <v>82</v>
      </c>
      <c r="I925" s="3" t="s">
        <v>254</v>
      </c>
      <c r="O925" s="3" t="s">
        <v>87</v>
      </c>
      <c r="R925" s="3" t="s">
        <v>352</v>
      </c>
      <c r="T925" s="3" t="s">
        <v>48</v>
      </c>
      <c r="X925" s="3" t="s">
        <v>71</v>
      </c>
      <c r="Y925" s="3" t="s">
        <v>235</v>
      </c>
      <c r="Z925" s="3" t="s">
        <v>52</v>
      </c>
    </row>
    <row r="926">
      <c r="A926" s="3">
        <v>925.0</v>
      </c>
      <c r="B926" s="3" t="s">
        <v>40</v>
      </c>
      <c r="C926" s="3" t="s">
        <v>1953</v>
      </c>
      <c r="D926" s="3">
        <v>2005.0</v>
      </c>
      <c r="E926" s="3" t="s">
        <v>1954</v>
      </c>
      <c r="F926" s="3" t="s">
        <v>356</v>
      </c>
      <c r="G926" s="3" t="s">
        <v>82</v>
      </c>
      <c r="H926" s="3" t="s">
        <v>82</v>
      </c>
      <c r="I926" s="3" t="s">
        <v>254</v>
      </c>
      <c r="O926" s="3" t="s">
        <v>87</v>
      </c>
      <c r="R926" s="3" t="s">
        <v>352</v>
      </c>
      <c r="T926" s="3" t="s">
        <v>162</v>
      </c>
      <c r="X926" s="3" t="s">
        <v>71</v>
      </c>
      <c r="Y926" s="3" t="s">
        <v>235</v>
      </c>
      <c r="Z926" s="3" t="s">
        <v>121</v>
      </c>
    </row>
    <row r="927">
      <c r="A927" s="3">
        <v>926.0</v>
      </c>
      <c r="B927" s="3" t="s">
        <v>40</v>
      </c>
      <c r="C927" s="3" t="s">
        <v>1955</v>
      </c>
      <c r="D927" s="3">
        <v>2016.0</v>
      </c>
      <c r="E927" s="3" t="s">
        <v>1956</v>
      </c>
      <c r="F927" s="3" t="s">
        <v>356</v>
      </c>
      <c r="G927" s="3" t="s">
        <v>82</v>
      </c>
      <c r="H927" s="3" t="s">
        <v>82</v>
      </c>
      <c r="I927" s="3" t="s">
        <v>254</v>
      </c>
      <c r="O927" s="3" t="s">
        <v>1942</v>
      </c>
      <c r="R927" s="3" t="s">
        <v>352</v>
      </c>
      <c r="T927" s="3" t="s">
        <v>63</v>
      </c>
      <c r="V927" s="3" t="s">
        <v>48</v>
      </c>
      <c r="X927" s="3" t="s">
        <v>71</v>
      </c>
      <c r="Y927" s="3" t="s">
        <v>235</v>
      </c>
      <c r="Z927" s="3" t="s">
        <v>65</v>
      </c>
      <c r="AA927" s="3" t="s">
        <v>52</v>
      </c>
    </row>
    <row r="928">
      <c r="A928" s="3">
        <v>927.0</v>
      </c>
      <c r="B928" s="3" t="s">
        <v>40</v>
      </c>
      <c r="C928" s="3" t="s">
        <v>1957</v>
      </c>
      <c r="D928" s="3">
        <v>2006.0</v>
      </c>
      <c r="E928" s="3" t="s">
        <v>1958</v>
      </c>
      <c r="F928" s="3" t="s">
        <v>253</v>
      </c>
      <c r="G928" s="3" t="s">
        <v>58</v>
      </c>
      <c r="H928" s="3" t="s">
        <v>58</v>
      </c>
      <c r="I928" s="3" t="s">
        <v>254</v>
      </c>
      <c r="O928" s="3" t="s">
        <v>87</v>
      </c>
      <c r="R928" s="3" t="s">
        <v>87</v>
      </c>
      <c r="T928" s="3" t="s">
        <v>63</v>
      </c>
      <c r="X928" s="3" t="s">
        <v>71</v>
      </c>
      <c r="Y928" s="3" t="s">
        <v>121</v>
      </c>
      <c r="Z928" s="3" t="s">
        <v>65</v>
      </c>
    </row>
    <row r="929">
      <c r="A929" s="3">
        <v>928.0</v>
      </c>
      <c r="B929" s="3" t="s">
        <v>40</v>
      </c>
      <c r="C929" s="3" t="s">
        <v>1959</v>
      </c>
      <c r="D929" s="3">
        <v>2019.0</v>
      </c>
      <c r="E929" s="3" t="s">
        <v>1960</v>
      </c>
      <c r="F929" s="3" t="s">
        <v>356</v>
      </c>
      <c r="G929" s="3" t="s">
        <v>82</v>
      </c>
      <c r="H929" s="3" t="s">
        <v>82</v>
      </c>
      <c r="I929" s="3" t="s">
        <v>254</v>
      </c>
      <c r="J929" s="3" t="s">
        <v>317</v>
      </c>
      <c r="O929" s="3" t="s">
        <v>147</v>
      </c>
      <c r="R929" s="3" t="s">
        <v>87</v>
      </c>
      <c r="T929" s="3" t="s">
        <v>63</v>
      </c>
      <c r="X929" s="3" t="s">
        <v>71</v>
      </c>
      <c r="Y929" s="3" t="s">
        <v>121</v>
      </c>
      <c r="Z929" s="3" t="s">
        <v>65</v>
      </c>
    </row>
    <row r="930">
      <c r="A930" s="3">
        <v>929.0</v>
      </c>
      <c r="B930" s="3" t="s">
        <v>40</v>
      </c>
      <c r="C930" s="3" t="s">
        <v>1961</v>
      </c>
      <c r="D930" s="3">
        <v>2014.0</v>
      </c>
      <c r="E930" s="3" t="s">
        <v>1962</v>
      </c>
      <c r="F930" s="3" t="s">
        <v>433</v>
      </c>
      <c r="G930" s="3" t="s">
        <v>44</v>
      </c>
      <c r="H930" s="3" t="s">
        <v>45</v>
      </c>
      <c r="I930" s="3" t="s">
        <v>485</v>
      </c>
      <c r="O930" s="3" t="s">
        <v>70</v>
      </c>
      <c r="R930" s="3" t="s">
        <v>1270</v>
      </c>
      <c r="X930" s="3" t="s">
        <v>71</v>
      </c>
      <c r="Y930" s="3" t="s">
        <v>121</v>
      </c>
    </row>
    <row r="931">
      <c r="A931" s="3">
        <v>930.0</v>
      </c>
      <c r="B931" s="3" t="s">
        <v>40</v>
      </c>
      <c r="C931" s="3" t="s">
        <v>1963</v>
      </c>
      <c r="D931" s="3">
        <v>2003.0</v>
      </c>
      <c r="E931" s="3" t="s">
        <v>1964</v>
      </c>
      <c r="F931" s="3" t="s">
        <v>113</v>
      </c>
      <c r="G931" s="3" t="s">
        <v>44</v>
      </c>
      <c r="H931" s="3" t="s">
        <v>45</v>
      </c>
      <c r="I931" s="3" t="s">
        <v>138</v>
      </c>
      <c r="O931" s="3" t="s">
        <v>87</v>
      </c>
      <c r="R931" s="3" t="s">
        <v>50</v>
      </c>
      <c r="X931" s="3" t="s">
        <v>71</v>
      </c>
      <c r="Y931" s="3" t="s">
        <v>54</v>
      </c>
    </row>
    <row r="932">
      <c r="A932" s="3">
        <v>931.0</v>
      </c>
      <c r="B932" s="3" t="s">
        <v>40</v>
      </c>
      <c r="C932" s="3" t="s">
        <v>1965</v>
      </c>
      <c r="D932" s="3">
        <v>1994.0</v>
      </c>
      <c r="E932" s="3" t="s">
        <v>1966</v>
      </c>
      <c r="F932" s="3" t="s">
        <v>1967</v>
      </c>
      <c r="G932" s="3" t="s">
        <v>101</v>
      </c>
      <c r="H932" s="3" t="s">
        <v>102</v>
      </c>
      <c r="I932" s="3" t="s">
        <v>110</v>
      </c>
      <c r="J932" s="3" t="s">
        <v>309</v>
      </c>
      <c r="K932" s="3" t="s">
        <v>155</v>
      </c>
      <c r="M932" s="3" t="s">
        <v>205</v>
      </c>
      <c r="O932" s="3" t="s">
        <v>1942</v>
      </c>
      <c r="R932" s="3" t="s">
        <v>143</v>
      </c>
      <c r="T932" s="3" t="s">
        <v>87</v>
      </c>
      <c r="X932" s="3" t="s">
        <v>71</v>
      </c>
      <c r="Y932" s="3" t="s">
        <v>53</v>
      </c>
      <c r="Z932" s="3" t="s">
        <v>64</v>
      </c>
    </row>
    <row r="933">
      <c r="A933" s="3">
        <v>932.0</v>
      </c>
      <c r="B933" s="3" t="s">
        <v>40</v>
      </c>
      <c r="C933" s="3" t="s">
        <v>1968</v>
      </c>
      <c r="D933" s="3">
        <v>2013.0</v>
      </c>
      <c r="E933" s="3" t="s">
        <v>1969</v>
      </c>
      <c r="F933" s="3" t="s">
        <v>187</v>
      </c>
      <c r="G933" s="3" t="s">
        <v>58</v>
      </c>
      <c r="H933" s="3" t="s">
        <v>58</v>
      </c>
      <c r="I933" s="3" t="s">
        <v>110</v>
      </c>
      <c r="O933" s="3" t="s">
        <v>87</v>
      </c>
      <c r="R933" s="3" t="s">
        <v>134</v>
      </c>
      <c r="X933" s="3" t="s">
        <v>71</v>
      </c>
      <c r="Y933" s="3" t="s">
        <v>53</v>
      </c>
    </row>
    <row r="934">
      <c r="A934" s="3">
        <v>933.0</v>
      </c>
      <c r="B934" s="3" t="s">
        <v>106</v>
      </c>
      <c r="C934" s="3" t="s">
        <v>1970</v>
      </c>
      <c r="D934" s="3">
        <v>1990.0</v>
      </c>
      <c r="E934" s="3" t="s">
        <v>1971</v>
      </c>
      <c r="F934" s="3" t="s">
        <v>172</v>
      </c>
      <c r="G934" s="3" t="s">
        <v>91</v>
      </c>
      <c r="I934" s="3" t="s">
        <v>173</v>
      </c>
      <c r="J934" s="3" t="s">
        <v>92</v>
      </c>
      <c r="O934" s="3" t="s">
        <v>87</v>
      </c>
      <c r="R934" s="3" t="s">
        <v>147</v>
      </c>
      <c r="T934" s="3" t="s">
        <v>47</v>
      </c>
      <c r="X934" s="3" t="s">
        <v>71</v>
      </c>
      <c r="Y934" s="3" t="s">
        <v>64</v>
      </c>
      <c r="Z934" s="3" t="s">
        <v>51</v>
      </c>
    </row>
    <row r="935">
      <c r="A935" s="3">
        <v>934.0</v>
      </c>
      <c r="B935" s="3" t="s">
        <v>40</v>
      </c>
      <c r="C935" s="3" t="s">
        <v>1972</v>
      </c>
      <c r="D935" s="3">
        <v>2007.0</v>
      </c>
      <c r="E935" s="3" t="s">
        <v>1973</v>
      </c>
      <c r="F935" s="3" t="s">
        <v>81</v>
      </c>
      <c r="G935" s="3" t="s">
        <v>82</v>
      </c>
      <c r="H935" s="3" t="s">
        <v>82</v>
      </c>
      <c r="I935" s="3" t="s">
        <v>254</v>
      </c>
      <c r="O935" s="3" t="s">
        <v>87</v>
      </c>
      <c r="R935" s="3" t="s">
        <v>63</v>
      </c>
      <c r="T935" s="3" t="s">
        <v>48</v>
      </c>
      <c r="V935" s="3" t="s">
        <v>162</v>
      </c>
      <c r="W935" s="3" t="s">
        <v>117</v>
      </c>
      <c r="X935" s="3" t="s">
        <v>71</v>
      </c>
      <c r="Y935" s="3" t="s">
        <v>65</v>
      </c>
      <c r="Z935" s="3" t="s">
        <v>52</v>
      </c>
      <c r="AA935" s="3" t="s">
        <v>121</v>
      </c>
      <c r="AB935" s="3" t="s">
        <v>118</v>
      </c>
    </row>
    <row r="936">
      <c r="A936" s="3">
        <v>935.0</v>
      </c>
      <c r="B936" s="3" t="s">
        <v>40</v>
      </c>
      <c r="C936" s="3" t="s">
        <v>1974</v>
      </c>
      <c r="D936" s="3">
        <v>2017.0</v>
      </c>
      <c r="E936" s="3" t="s">
        <v>1975</v>
      </c>
      <c r="F936" s="3" t="s">
        <v>356</v>
      </c>
      <c r="G936" s="3" t="s">
        <v>82</v>
      </c>
      <c r="H936" s="3" t="s">
        <v>82</v>
      </c>
      <c r="I936" s="3" t="s">
        <v>254</v>
      </c>
      <c r="O936" s="3" t="s">
        <v>1942</v>
      </c>
      <c r="R936" s="3" t="s">
        <v>63</v>
      </c>
      <c r="T936" s="3" t="s">
        <v>48</v>
      </c>
      <c r="X936" s="3" t="s">
        <v>71</v>
      </c>
      <c r="Y936" s="3" t="s">
        <v>65</v>
      </c>
      <c r="Z936" s="3" t="s">
        <v>52</v>
      </c>
    </row>
    <row r="937">
      <c r="A937" s="3">
        <v>936.0</v>
      </c>
      <c r="B937" s="3" t="s">
        <v>40</v>
      </c>
      <c r="C937" s="3" t="s">
        <v>1976</v>
      </c>
      <c r="D937" s="3">
        <v>2002.0</v>
      </c>
      <c r="E937" s="3" t="s">
        <v>1977</v>
      </c>
      <c r="F937" s="3" t="s">
        <v>57</v>
      </c>
      <c r="G937" s="3" t="s">
        <v>58</v>
      </c>
      <c r="H937" s="3" t="s">
        <v>58</v>
      </c>
      <c r="I937" s="3" t="s">
        <v>110</v>
      </c>
      <c r="O937" s="3" t="s">
        <v>87</v>
      </c>
      <c r="R937" s="3" t="s">
        <v>63</v>
      </c>
      <c r="X937" s="3" t="s">
        <v>71</v>
      </c>
      <c r="Y937" s="3" t="s">
        <v>65</v>
      </c>
    </row>
    <row r="938">
      <c r="A938" s="3">
        <v>937.0</v>
      </c>
      <c r="B938" s="3" t="s">
        <v>40</v>
      </c>
      <c r="C938" s="3" t="s">
        <v>1978</v>
      </c>
      <c r="D938" s="3">
        <v>2014.0</v>
      </c>
      <c r="E938" s="3" t="s">
        <v>1979</v>
      </c>
      <c r="F938" s="3" t="s">
        <v>158</v>
      </c>
      <c r="G938" s="3" t="s">
        <v>58</v>
      </c>
      <c r="H938" s="3" t="s">
        <v>58</v>
      </c>
      <c r="I938" s="3" t="s">
        <v>96</v>
      </c>
      <c r="O938" s="3" t="s">
        <v>70</v>
      </c>
      <c r="R938" s="3" t="s">
        <v>63</v>
      </c>
      <c r="X938" s="3" t="s">
        <v>71</v>
      </c>
      <c r="Y938" s="3" t="s">
        <v>65</v>
      </c>
    </row>
    <row r="939">
      <c r="A939" s="3">
        <v>938.0</v>
      </c>
      <c r="B939" s="3" t="s">
        <v>40</v>
      </c>
      <c r="C939" s="3" t="s">
        <v>1980</v>
      </c>
      <c r="D939" s="3">
        <v>1984.0</v>
      </c>
      <c r="E939" s="3" t="s">
        <v>1981</v>
      </c>
      <c r="F939" s="3" t="s">
        <v>68</v>
      </c>
      <c r="G939" s="3" t="s">
        <v>58</v>
      </c>
      <c r="H939" s="3" t="s">
        <v>58</v>
      </c>
      <c r="I939" s="3" t="s">
        <v>69</v>
      </c>
      <c r="O939" s="3" t="s">
        <v>70</v>
      </c>
      <c r="X939" s="3" t="s">
        <v>71</v>
      </c>
    </row>
    <row r="940">
      <c r="A940" s="3">
        <v>939.0</v>
      </c>
      <c r="B940" s="3" t="s">
        <v>40</v>
      </c>
      <c r="C940" s="3" t="s">
        <v>1982</v>
      </c>
      <c r="D940" s="3">
        <v>2013.0</v>
      </c>
      <c r="E940" s="3" t="s">
        <v>1983</v>
      </c>
      <c r="F940" s="3" t="s">
        <v>928</v>
      </c>
      <c r="G940" s="3" t="s">
        <v>101</v>
      </c>
      <c r="H940" s="3" t="s">
        <v>102</v>
      </c>
      <c r="I940" s="3" t="s">
        <v>1984</v>
      </c>
      <c r="J940" s="3" t="s">
        <v>1985</v>
      </c>
      <c r="O940" s="3" t="s">
        <v>70</v>
      </c>
      <c r="X940" s="3" t="s">
        <v>71</v>
      </c>
    </row>
    <row r="941">
      <c r="A941" s="3">
        <v>940.0</v>
      </c>
      <c r="B941" s="3" t="s">
        <v>40</v>
      </c>
      <c r="C941" s="3" t="s">
        <v>1986</v>
      </c>
      <c r="D941" s="3">
        <v>2013.0</v>
      </c>
      <c r="E941" s="3" t="s">
        <v>1987</v>
      </c>
      <c r="F941" s="3" t="s">
        <v>129</v>
      </c>
      <c r="G941" s="3" t="s">
        <v>82</v>
      </c>
      <c r="H941" s="3" t="s">
        <v>82</v>
      </c>
      <c r="I941" s="3" t="s">
        <v>314</v>
      </c>
      <c r="J941" s="3" t="s">
        <v>453</v>
      </c>
      <c r="O941" s="3" t="s">
        <v>70</v>
      </c>
      <c r="X941" s="3" t="s">
        <v>71</v>
      </c>
    </row>
    <row r="942">
      <c r="A942" s="3">
        <v>941.0</v>
      </c>
      <c r="B942" s="3" t="s">
        <v>40</v>
      </c>
      <c r="C942" s="3" t="s">
        <v>1988</v>
      </c>
      <c r="D942" s="3">
        <v>2014.0</v>
      </c>
      <c r="E942" s="3" t="s">
        <v>1989</v>
      </c>
      <c r="F942" s="3" t="s">
        <v>433</v>
      </c>
      <c r="G942" s="3" t="s">
        <v>44</v>
      </c>
      <c r="H942" s="3" t="s">
        <v>45</v>
      </c>
      <c r="I942" s="3" t="s">
        <v>485</v>
      </c>
      <c r="O942" s="3" t="s">
        <v>493</v>
      </c>
      <c r="X942" s="3" t="s">
        <v>71</v>
      </c>
    </row>
    <row r="943">
      <c r="A943" s="3">
        <v>942.0</v>
      </c>
      <c r="B943" s="3" t="s">
        <v>40</v>
      </c>
      <c r="C943" s="3" t="s">
        <v>1990</v>
      </c>
      <c r="D943" s="3">
        <v>2016.0</v>
      </c>
      <c r="E943" s="3" t="s">
        <v>1991</v>
      </c>
      <c r="F943" s="3" t="s">
        <v>129</v>
      </c>
      <c r="G943" s="3" t="s">
        <v>82</v>
      </c>
      <c r="H943" s="3" t="s">
        <v>82</v>
      </c>
      <c r="I943" s="3" t="s">
        <v>1001</v>
      </c>
      <c r="O943" s="3" t="s">
        <v>70</v>
      </c>
      <c r="X943" s="3" t="s">
        <v>71</v>
      </c>
    </row>
    <row r="944">
      <c r="A944" s="3">
        <v>943.0</v>
      </c>
      <c r="B944" s="3" t="s">
        <v>40</v>
      </c>
      <c r="C944" s="3" t="s">
        <v>1992</v>
      </c>
      <c r="D944" s="3">
        <v>2017.0</v>
      </c>
      <c r="E944" s="3" t="s">
        <v>1993</v>
      </c>
      <c r="F944" s="3" t="s">
        <v>458</v>
      </c>
      <c r="G944" s="3" t="s">
        <v>58</v>
      </c>
      <c r="H944" s="3" t="s">
        <v>58</v>
      </c>
      <c r="I944" s="3" t="s">
        <v>96</v>
      </c>
      <c r="O944" s="3" t="s">
        <v>70</v>
      </c>
      <c r="X944" s="3" t="s">
        <v>71</v>
      </c>
    </row>
    <row r="945">
      <c r="A945" s="3">
        <v>944.0</v>
      </c>
      <c r="B945" s="3" t="s">
        <v>40</v>
      </c>
      <c r="C945" s="3" t="s">
        <v>1994</v>
      </c>
      <c r="D945" s="3">
        <v>2017.0</v>
      </c>
      <c r="E945" s="3" t="s">
        <v>1995</v>
      </c>
      <c r="F945" s="3" t="s">
        <v>68</v>
      </c>
      <c r="G945" s="3" t="s">
        <v>58</v>
      </c>
      <c r="H945" s="3" t="s">
        <v>58</v>
      </c>
      <c r="I945" s="3" t="s">
        <v>69</v>
      </c>
      <c r="O945" s="3" t="s">
        <v>70</v>
      </c>
      <c r="X945" s="3" t="s">
        <v>71</v>
      </c>
    </row>
    <row r="946">
      <c r="A946" s="3">
        <v>945.0</v>
      </c>
      <c r="B946" s="3" t="s">
        <v>40</v>
      </c>
      <c r="C946" s="3" t="s">
        <v>1996</v>
      </c>
      <c r="D946" s="3">
        <v>2017.0</v>
      </c>
      <c r="E946" s="3" t="s">
        <v>1997</v>
      </c>
      <c r="F946" s="3" t="s">
        <v>172</v>
      </c>
      <c r="G946" s="3" t="s">
        <v>91</v>
      </c>
      <c r="H946" s="3" t="s">
        <v>91</v>
      </c>
      <c r="I946" s="3" t="s">
        <v>92</v>
      </c>
      <c r="O946" s="3" t="s">
        <v>1998</v>
      </c>
      <c r="X946" s="3" t="s">
        <v>71</v>
      </c>
    </row>
    <row r="947">
      <c r="A947" s="3">
        <v>946.0</v>
      </c>
      <c r="B947" s="3" t="s">
        <v>40</v>
      </c>
      <c r="C947" s="3" t="s">
        <v>1999</v>
      </c>
      <c r="D947" s="3">
        <v>2018.0</v>
      </c>
      <c r="E947" s="3" t="s">
        <v>2000</v>
      </c>
      <c r="F947" s="3" t="s">
        <v>444</v>
      </c>
      <c r="G947" s="3" t="s">
        <v>44</v>
      </c>
      <c r="H947" s="3" t="s">
        <v>45</v>
      </c>
      <c r="I947" s="3" t="s">
        <v>445</v>
      </c>
      <c r="P947" s="3" t="s">
        <v>87</v>
      </c>
      <c r="X947" s="3" t="s">
        <v>71</v>
      </c>
    </row>
    <row r="948">
      <c r="A948" s="3">
        <v>947.0</v>
      </c>
      <c r="B948" s="3" t="s">
        <v>40</v>
      </c>
      <c r="C948" s="3" t="s">
        <v>2001</v>
      </c>
      <c r="D948" s="3">
        <v>2019.0</v>
      </c>
      <c r="E948" s="3" t="s">
        <v>2002</v>
      </c>
      <c r="F948" s="3" t="s">
        <v>201</v>
      </c>
      <c r="G948" s="3" t="s">
        <v>58</v>
      </c>
      <c r="H948" s="3" t="s">
        <v>58</v>
      </c>
      <c r="I948" s="3" t="s">
        <v>285</v>
      </c>
      <c r="J948" s="3" t="s">
        <v>96</v>
      </c>
      <c r="O948" s="3" t="s">
        <v>70</v>
      </c>
      <c r="X948" s="3" t="s">
        <v>71</v>
      </c>
    </row>
    <row r="949">
      <c r="A949" s="3">
        <v>948.0</v>
      </c>
      <c r="B949" s="3" t="s">
        <v>40</v>
      </c>
      <c r="C949" s="3" t="s">
        <v>2003</v>
      </c>
      <c r="D949" s="3">
        <v>2019.0</v>
      </c>
      <c r="E949" s="3" t="s">
        <v>2004</v>
      </c>
      <c r="F949" s="3" t="s">
        <v>444</v>
      </c>
      <c r="G949" s="3" t="s">
        <v>44</v>
      </c>
      <c r="H949" s="3" t="s">
        <v>45</v>
      </c>
      <c r="I949" s="3" t="s">
        <v>485</v>
      </c>
      <c r="O949" s="3" t="s">
        <v>70</v>
      </c>
      <c r="X949" s="3" t="s">
        <v>71</v>
      </c>
    </row>
    <row r="950">
      <c r="A950" s="3">
        <v>949.0</v>
      </c>
      <c r="B950" s="3" t="s">
        <v>40</v>
      </c>
      <c r="C950" s="3" t="s">
        <v>2005</v>
      </c>
      <c r="D950" s="3">
        <v>2020.0</v>
      </c>
      <c r="E950" s="3" t="s">
        <v>2006</v>
      </c>
      <c r="F950" s="3" t="s">
        <v>75</v>
      </c>
      <c r="G950" s="3" t="s">
        <v>58</v>
      </c>
      <c r="H950" s="3" t="s">
        <v>58</v>
      </c>
      <c r="I950" s="3" t="s">
        <v>69</v>
      </c>
      <c r="O950" s="3" t="s">
        <v>63</v>
      </c>
      <c r="R950" s="3" t="s">
        <v>47</v>
      </c>
      <c r="X950" s="3" t="s">
        <v>65</v>
      </c>
      <c r="Y950" s="3" t="s">
        <v>51</v>
      </c>
    </row>
    <row r="951">
      <c r="A951" s="3">
        <v>950.0</v>
      </c>
      <c r="B951" s="3" t="s">
        <v>106</v>
      </c>
      <c r="C951" s="3" t="s">
        <v>2007</v>
      </c>
      <c r="D951" s="3">
        <v>1994.0</v>
      </c>
      <c r="E951" s="3" t="s">
        <v>2008</v>
      </c>
      <c r="F951" s="3" t="s">
        <v>95</v>
      </c>
      <c r="G951" s="3" t="s">
        <v>58</v>
      </c>
      <c r="I951" s="3" t="s">
        <v>110</v>
      </c>
      <c r="O951" s="3" t="s">
        <v>63</v>
      </c>
      <c r="R951" s="3" t="s">
        <v>111</v>
      </c>
      <c r="X951" s="3" t="s">
        <v>65</v>
      </c>
      <c r="Y951" s="3" t="s">
        <v>51</v>
      </c>
    </row>
    <row r="952">
      <c r="A952" s="3">
        <v>951.0</v>
      </c>
      <c r="B952" s="3" t="s">
        <v>40</v>
      </c>
      <c r="C952" s="3" t="s">
        <v>2009</v>
      </c>
      <c r="D952" s="3">
        <v>2002.0</v>
      </c>
      <c r="E952" s="3" t="s">
        <v>2010</v>
      </c>
      <c r="F952" s="3" t="s">
        <v>356</v>
      </c>
      <c r="G952" s="3" t="s">
        <v>82</v>
      </c>
      <c r="H952" s="3" t="s">
        <v>82</v>
      </c>
      <c r="I952" s="3" t="s">
        <v>83</v>
      </c>
      <c r="O952" s="3" t="s">
        <v>63</v>
      </c>
      <c r="X952" s="3" t="s">
        <v>65</v>
      </c>
      <c r="Y952" s="3" t="s">
        <v>52</v>
      </c>
      <c r="Z952" s="3" t="s">
        <v>78</v>
      </c>
    </row>
    <row r="953">
      <c r="A953" s="3">
        <v>952.0</v>
      </c>
      <c r="B953" s="3" t="s">
        <v>106</v>
      </c>
      <c r="C953" s="3" t="s">
        <v>2011</v>
      </c>
      <c r="D953" s="3">
        <v>1992.0</v>
      </c>
      <c r="E953" s="3" t="s">
        <v>2012</v>
      </c>
      <c r="F953" s="3" t="s">
        <v>95</v>
      </c>
      <c r="G953" s="3" t="s">
        <v>58</v>
      </c>
      <c r="I953" s="3" t="s">
        <v>110</v>
      </c>
      <c r="O953" s="3" t="s">
        <v>63</v>
      </c>
      <c r="R953" s="3" t="s">
        <v>61</v>
      </c>
      <c r="T953" s="3" t="s">
        <v>147</v>
      </c>
      <c r="X953" s="3" t="s">
        <v>65</v>
      </c>
      <c r="Y953" s="3" t="s">
        <v>52</v>
      </c>
      <c r="Z953" s="3" t="s">
        <v>64</v>
      </c>
    </row>
    <row r="954">
      <c r="A954" s="3">
        <v>953.0</v>
      </c>
      <c r="B954" s="3" t="s">
        <v>40</v>
      </c>
      <c r="C954" s="3" t="s">
        <v>2013</v>
      </c>
      <c r="D954" s="3">
        <v>2017.0</v>
      </c>
      <c r="E954" s="3" t="s">
        <v>2014</v>
      </c>
      <c r="F954" s="3" t="s">
        <v>100</v>
      </c>
      <c r="G954" s="3" t="s">
        <v>101</v>
      </c>
      <c r="H954" s="3" t="s">
        <v>102</v>
      </c>
      <c r="I954" s="3" t="s">
        <v>254</v>
      </c>
      <c r="O954" s="3" t="s">
        <v>63</v>
      </c>
      <c r="R954" s="3" t="s">
        <v>61</v>
      </c>
      <c r="S954" s="3" t="s">
        <v>48</v>
      </c>
      <c r="T954" s="3" t="s">
        <v>70</v>
      </c>
      <c r="X954" s="3" t="s">
        <v>65</v>
      </c>
      <c r="Y954" s="3" t="s">
        <v>52</v>
      </c>
      <c r="Z954" s="3" t="s">
        <v>71</v>
      </c>
    </row>
    <row r="955">
      <c r="A955" s="3">
        <v>954.0</v>
      </c>
      <c r="B955" s="3" t="s">
        <v>40</v>
      </c>
      <c r="C955" s="3" t="s">
        <v>2015</v>
      </c>
      <c r="D955" s="3">
        <v>2008.0</v>
      </c>
      <c r="E955" s="3" t="s">
        <v>2016</v>
      </c>
      <c r="F955" s="3" t="s">
        <v>492</v>
      </c>
      <c r="G955" s="3" t="s">
        <v>58</v>
      </c>
      <c r="H955" s="3" t="s">
        <v>58</v>
      </c>
      <c r="I955" s="3" t="s">
        <v>110</v>
      </c>
      <c r="O955" s="3" t="s">
        <v>63</v>
      </c>
      <c r="R955" s="3" t="s">
        <v>247</v>
      </c>
      <c r="X955" s="3" t="s">
        <v>65</v>
      </c>
      <c r="Y955" s="3" t="s">
        <v>52</v>
      </c>
    </row>
    <row r="956">
      <c r="A956" s="3">
        <v>955.0</v>
      </c>
      <c r="B956" s="3" t="s">
        <v>40</v>
      </c>
      <c r="C956" s="3" t="s">
        <v>2017</v>
      </c>
      <c r="D956" s="3">
        <v>2020.0</v>
      </c>
      <c r="E956" s="3" t="s">
        <v>2018</v>
      </c>
      <c r="F956" s="3" t="s">
        <v>57</v>
      </c>
      <c r="G956" s="3" t="s">
        <v>58</v>
      </c>
      <c r="H956" s="3" t="s">
        <v>58</v>
      </c>
      <c r="I956" s="3" t="s">
        <v>110</v>
      </c>
      <c r="O956" s="3" t="s">
        <v>63</v>
      </c>
      <c r="R956" s="3" t="s">
        <v>61</v>
      </c>
      <c r="X956" s="3" t="s">
        <v>65</v>
      </c>
      <c r="Y956" s="3" t="s">
        <v>52</v>
      </c>
    </row>
    <row r="957">
      <c r="A957" s="3">
        <v>956.0</v>
      </c>
      <c r="B957" s="3" t="s">
        <v>55</v>
      </c>
      <c r="D957" s="3">
        <v>1999.0</v>
      </c>
      <c r="E957" s="3" t="s">
        <v>2019</v>
      </c>
      <c r="F957" s="3" t="s">
        <v>201</v>
      </c>
      <c r="G957" s="3" t="s">
        <v>58</v>
      </c>
      <c r="H957" s="3" t="s">
        <v>58</v>
      </c>
      <c r="I957" s="3" t="s">
        <v>69</v>
      </c>
      <c r="O957" s="3" t="s">
        <v>63</v>
      </c>
      <c r="R957" s="3" t="s">
        <v>61</v>
      </c>
      <c r="X957" s="3" t="s">
        <v>65</v>
      </c>
      <c r="Y957" s="3" t="s">
        <v>52</v>
      </c>
    </row>
    <row r="958">
      <c r="A958" s="3">
        <v>957.0</v>
      </c>
      <c r="B958" s="3" t="s">
        <v>40</v>
      </c>
      <c r="C958" s="3" t="s">
        <v>2020</v>
      </c>
      <c r="D958" s="3">
        <v>1997.0</v>
      </c>
      <c r="E958" s="3" t="s">
        <v>2021</v>
      </c>
      <c r="F958" s="3" t="s">
        <v>123</v>
      </c>
      <c r="G958" s="3" t="s">
        <v>124</v>
      </c>
      <c r="H958" s="3" t="s">
        <v>124</v>
      </c>
      <c r="I958" s="3" t="s">
        <v>155</v>
      </c>
      <c r="O958" s="3" t="s">
        <v>63</v>
      </c>
      <c r="R958" s="3" t="s">
        <v>238</v>
      </c>
      <c r="X958" s="3" t="s">
        <v>65</v>
      </c>
      <c r="Y958" s="3" t="s">
        <v>235</v>
      </c>
    </row>
    <row r="959">
      <c r="A959" s="3">
        <v>958.0</v>
      </c>
      <c r="B959" s="3" t="s">
        <v>40</v>
      </c>
      <c r="C959" s="3" t="s">
        <v>2022</v>
      </c>
      <c r="D959" s="3">
        <v>1998.0</v>
      </c>
      <c r="E959" s="3" t="s">
        <v>2023</v>
      </c>
      <c r="F959" s="3" t="s">
        <v>213</v>
      </c>
      <c r="G959" s="3" t="s">
        <v>58</v>
      </c>
      <c r="H959" s="3" t="s">
        <v>58</v>
      </c>
      <c r="I959" s="3" t="s">
        <v>69</v>
      </c>
      <c r="O959" s="3" t="s">
        <v>63</v>
      </c>
      <c r="R959" s="3" t="s">
        <v>260</v>
      </c>
      <c r="T959" s="3" t="s">
        <v>61</v>
      </c>
      <c r="X959" s="3" t="s">
        <v>65</v>
      </c>
      <c r="Y959" s="3" t="s">
        <v>121</v>
      </c>
      <c r="Z959" s="3" t="s">
        <v>52</v>
      </c>
    </row>
    <row r="960">
      <c r="A960" s="3">
        <v>959.0</v>
      </c>
      <c r="B960" s="3" t="s">
        <v>40</v>
      </c>
      <c r="C960" s="3" t="s">
        <v>2024</v>
      </c>
      <c r="D960" s="3">
        <v>2012.0</v>
      </c>
      <c r="E960" s="3" t="s">
        <v>2025</v>
      </c>
      <c r="F960" s="3" t="s">
        <v>311</v>
      </c>
      <c r="G960" s="3" t="s">
        <v>58</v>
      </c>
      <c r="H960" s="3" t="s">
        <v>58</v>
      </c>
      <c r="I960" s="3" t="s">
        <v>254</v>
      </c>
      <c r="O960" s="3" t="s">
        <v>63</v>
      </c>
      <c r="R960" s="3" t="s">
        <v>162</v>
      </c>
      <c r="T960" s="3" t="s">
        <v>61</v>
      </c>
      <c r="X960" s="3" t="s">
        <v>65</v>
      </c>
      <c r="Y960" s="3" t="s">
        <v>121</v>
      </c>
      <c r="Z960" s="3" t="s">
        <v>52</v>
      </c>
    </row>
    <row r="961">
      <c r="A961" s="3">
        <v>960.0</v>
      </c>
      <c r="B961" s="3" t="s">
        <v>40</v>
      </c>
      <c r="C961" s="3" t="s">
        <v>2026</v>
      </c>
      <c r="D961" s="3">
        <v>2012.0</v>
      </c>
      <c r="E961" s="3" t="s">
        <v>2027</v>
      </c>
      <c r="F961" s="3" t="s">
        <v>129</v>
      </c>
      <c r="G961" s="3" t="s">
        <v>82</v>
      </c>
      <c r="H961" s="3" t="s">
        <v>82</v>
      </c>
      <c r="I961" s="3" t="s">
        <v>254</v>
      </c>
      <c r="O961" s="3" t="s">
        <v>63</v>
      </c>
      <c r="R961" s="3" t="s">
        <v>162</v>
      </c>
      <c r="V961" s="3" t="s">
        <v>117</v>
      </c>
      <c r="X961" s="3" t="s">
        <v>65</v>
      </c>
      <c r="Y961" s="3" t="s">
        <v>121</v>
      </c>
      <c r="AA961" s="3" t="s">
        <v>118</v>
      </c>
    </row>
    <row r="962">
      <c r="A962" s="3">
        <v>961.0</v>
      </c>
      <c r="B962" s="3" t="s">
        <v>40</v>
      </c>
      <c r="C962" s="3" t="s">
        <v>2028</v>
      </c>
      <c r="D962" s="3">
        <v>1987.0</v>
      </c>
      <c r="E962" s="3" t="s">
        <v>2029</v>
      </c>
      <c r="F962" s="3" t="s">
        <v>172</v>
      </c>
      <c r="G962" s="3" t="s">
        <v>91</v>
      </c>
      <c r="H962" s="3" t="s">
        <v>91</v>
      </c>
      <c r="I962" s="3" t="s">
        <v>92</v>
      </c>
      <c r="O962" s="3" t="s">
        <v>63</v>
      </c>
      <c r="R962" s="3" t="s">
        <v>162</v>
      </c>
      <c r="X962" s="3" t="s">
        <v>65</v>
      </c>
      <c r="Y962" s="3" t="s">
        <v>121</v>
      </c>
    </row>
    <row r="963">
      <c r="A963" s="3">
        <v>962.0</v>
      </c>
      <c r="B963" s="3" t="s">
        <v>40</v>
      </c>
      <c r="C963" s="3" t="s">
        <v>2030</v>
      </c>
      <c r="D963" s="3">
        <v>2015.0</v>
      </c>
      <c r="E963" s="3" t="s">
        <v>2031</v>
      </c>
      <c r="F963" s="3" t="s">
        <v>158</v>
      </c>
      <c r="G963" s="3" t="s">
        <v>58</v>
      </c>
      <c r="H963" s="3" t="s">
        <v>58</v>
      </c>
      <c r="I963" s="3" t="s">
        <v>286</v>
      </c>
      <c r="O963" s="3" t="s">
        <v>63</v>
      </c>
      <c r="R963" s="3" t="s">
        <v>50</v>
      </c>
      <c r="X963" s="3" t="s">
        <v>65</v>
      </c>
      <c r="Y963" s="3" t="s">
        <v>54</v>
      </c>
    </row>
    <row r="964">
      <c r="A964" s="3">
        <v>963.0</v>
      </c>
      <c r="B964" s="3" t="s">
        <v>40</v>
      </c>
      <c r="C964" s="3" t="s">
        <v>1478</v>
      </c>
      <c r="D964" s="3">
        <v>2003.0</v>
      </c>
      <c r="E964" s="3" t="s">
        <v>2032</v>
      </c>
      <c r="F964" s="3" t="s">
        <v>1480</v>
      </c>
      <c r="G964" s="3" t="s">
        <v>58</v>
      </c>
      <c r="H964" s="3" t="s">
        <v>58</v>
      </c>
      <c r="I964" s="3" t="s">
        <v>76</v>
      </c>
      <c r="O964" s="3" t="s">
        <v>63</v>
      </c>
      <c r="X964" s="3" t="s">
        <v>65</v>
      </c>
      <c r="Y964" s="3" t="s">
        <v>53</v>
      </c>
      <c r="Z964" s="3" t="s">
        <v>78</v>
      </c>
    </row>
    <row r="965">
      <c r="A965" s="3">
        <v>964.0</v>
      </c>
      <c r="B965" s="3" t="s">
        <v>40</v>
      </c>
      <c r="C965" s="3" t="s">
        <v>2033</v>
      </c>
      <c r="D965" s="3">
        <v>2018.0</v>
      </c>
      <c r="E965" s="3" t="s">
        <v>2034</v>
      </c>
      <c r="F965" s="3" t="s">
        <v>158</v>
      </c>
      <c r="G965" s="3" t="s">
        <v>58</v>
      </c>
      <c r="H965" s="3" t="s">
        <v>58</v>
      </c>
      <c r="I965" s="3" t="s">
        <v>76</v>
      </c>
      <c r="J965" s="3" t="s">
        <v>388</v>
      </c>
      <c r="K965" s="3" t="s">
        <v>285</v>
      </c>
      <c r="L965" s="3" t="s">
        <v>69</v>
      </c>
      <c r="M965" s="3" t="s">
        <v>110</v>
      </c>
      <c r="O965" s="3" t="s">
        <v>63</v>
      </c>
      <c r="X965" s="3" t="s">
        <v>65</v>
      </c>
      <c r="Y965" s="3" t="s">
        <v>53</v>
      </c>
    </row>
    <row r="966">
      <c r="A966" s="3">
        <v>965.0</v>
      </c>
      <c r="B966" s="3" t="s">
        <v>40</v>
      </c>
      <c r="C966" s="3" t="s">
        <v>2035</v>
      </c>
      <c r="D966" s="3">
        <v>2009.0</v>
      </c>
      <c r="E966" s="3" t="s">
        <v>2036</v>
      </c>
      <c r="F966" s="3" t="s">
        <v>187</v>
      </c>
      <c r="G966" s="3" t="s">
        <v>58</v>
      </c>
      <c r="H966" s="3" t="s">
        <v>58</v>
      </c>
      <c r="I966" s="3" t="s">
        <v>110</v>
      </c>
      <c r="O966" s="3" t="s">
        <v>63</v>
      </c>
      <c r="X966" s="3" t="s">
        <v>65</v>
      </c>
      <c r="Y966" s="3" t="s">
        <v>78</v>
      </c>
    </row>
    <row r="967">
      <c r="A967" s="3">
        <v>966.0</v>
      </c>
      <c r="B967" s="3" t="s">
        <v>40</v>
      </c>
      <c r="C967" s="3" t="s">
        <v>2037</v>
      </c>
      <c r="D967" s="3">
        <v>2013.0</v>
      </c>
      <c r="E967" s="3" t="s">
        <v>2038</v>
      </c>
      <c r="F967" s="3" t="s">
        <v>129</v>
      </c>
      <c r="G967" s="3" t="s">
        <v>82</v>
      </c>
      <c r="H967" s="3" t="s">
        <v>82</v>
      </c>
      <c r="I967" s="3" t="s">
        <v>254</v>
      </c>
      <c r="O967" s="3" t="s">
        <v>63</v>
      </c>
      <c r="R967" s="3" t="s">
        <v>70</v>
      </c>
      <c r="T967" s="3" t="s">
        <v>162</v>
      </c>
      <c r="V967" s="3" t="s">
        <v>117</v>
      </c>
      <c r="W967" s="3" t="s">
        <v>61</v>
      </c>
      <c r="X967" s="3" t="s">
        <v>65</v>
      </c>
      <c r="Y967" s="3" t="s">
        <v>71</v>
      </c>
      <c r="Z967" s="3" t="s">
        <v>121</v>
      </c>
      <c r="AA967" s="3" t="s">
        <v>118</v>
      </c>
      <c r="AB967" s="3" t="s">
        <v>2039</v>
      </c>
    </row>
    <row r="968">
      <c r="A968" s="3">
        <v>967.0</v>
      </c>
      <c r="B968" s="3" t="s">
        <v>40</v>
      </c>
      <c r="C968" s="3" t="s">
        <v>2040</v>
      </c>
      <c r="D968" s="3">
        <v>2003.0</v>
      </c>
      <c r="E968" s="3" t="s">
        <v>2041</v>
      </c>
      <c r="F968" s="3" t="s">
        <v>129</v>
      </c>
      <c r="G968" s="3" t="s">
        <v>82</v>
      </c>
      <c r="H968" s="3" t="s">
        <v>82</v>
      </c>
      <c r="I968" s="3" t="s">
        <v>254</v>
      </c>
      <c r="O968" s="3" t="s">
        <v>63</v>
      </c>
      <c r="R968" s="3" t="s">
        <v>87</v>
      </c>
      <c r="X968" s="3" t="s">
        <v>65</v>
      </c>
      <c r="Y968" s="3" t="s">
        <v>71</v>
      </c>
    </row>
    <row r="969">
      <c r="A969" s="3">
        <v>968.0</v>
      </c>
      <c r="B969" s="3" t="s">
        <v>106</v>
      </c>
      <c r="C969" s="3" t="s">
        <v>2042</v>
      </c>
      <c r="D969" s="3">
        <v>2011.0</v>
      </c>
      <c r="E969" s="3" t="s">
        <v>2043</v>
      </c>
      <c r="F969" s="3" t="s">
        <v>2044</v>
      </c>
      <c r="G969" s="3" t="s">
        <v>101</v>
      </c>
      <c r="I969" s="3" t="s">
        <v>110</v>
      </c>
      <c r="O969" s="3" t="s">
        <v>63</v>
      </c>
      <c r="R969" s="3" t="s">
        <v>1942</v>
      </c>
      <c r="X969" s="3" t="s">
        <v>65</v>
      </c>
      <c r="Y969" s="3" t="s">
        <v>71</v>
      </c>
    </row>
    <row r="970">
      <c r="A970" s="3">
        <v>969.0</v>
      </c>
      <c r="B970" s="3" t="s">
        <v>106</v>
      </c>
      <c r="C970" s="3" t="s">
        <v>2045</v>
      </c>
      <c r="D970" s="3">
        <v>2011.0</v>
      </c>
      <c r="E970" s="3" t="s">
        <v>2046</v>
      </c>
      <c r="F970" s="3" t="s">
        <v>187</v>
      </c>
      <c r="G970" s="3" t="s">
        <v>58</v>
      </c>
      <c r="I970" s="3" t="s">
        <v>110</v>
      </c>
      <c r="O970" s="3" t="s">
        <v>63</v>
      </c>
      <c r="X970" s="3" t="s">
        <v>65</v>
      </c>
      <c r="Y970" s="3" t="s">
        <v>143</v>
      </c>
    </row>
    <row r="971">
      <c r="A971" s="3">
        <v>970.0</v>
      </c>
      <c r="B971" s="3" t="s">
        <v>40</v>
      </c>
      <c r="C971" s="3" t="s">
        <v>2047</v>
      </c>
      <c r="D971" s="3">
        <v>1992.0</v>
      </c>
      <c r="E971" s="3" t="s">
        <v>2048</v>
      </c>
      <c r="F971" s="3" t="s">
        <v>213</v>
      </c>
      <c r="G971" s="3" t="s">
        <v>58</v>
      </c>
      <c r="H971" s="3" t="s">
        <v>58</v>
      </c>
      <c r="I971" s="3" t="s">
        <v>69</v>
      </c>
      <c r="O971" s="3" t="s">
        <v>63</v>
      </c>
      <c r="X971" s="3" t="s">
        <v>65</v>
      </c>
    </row>
    <row r="972">
      <c r="A972" s="3">
        <v>971.0</v>
      </c>
      <c r="B972" s="3" t="s">
        <v>40</v>
      </c>
      <c r="C972" s="3" t="s">
        <v>2049</v>
      </c>
      <c r="D972" s="3">
        <v>1997.0</v>
      </c>
      <c r="E972" s="3" t="s">
        <v>2050</v>
      </c>
      <c r="F972" s="3" t="s">
        <v>68</v>
      </c>
      <c r="G972" s="3" t="s">
        <v>58</v>
      </c>
      <c r="H972" s="3" t="s">
        <v>58</v>
      </c>
      <c r="I972" s="3" t="s">
        <v>110</v>
      </c>
      <c r="O972" s="3" t="s">
        <v>63</v>
      </c>
      <c r="X972" s="3" t="s">
        <v>65</v>
      </c>
    </row>
    <row r="973">
      <c r="A973" s="3">
        <v>972.0</v>
      </c>
      <c r="B973" s="3" t="s">
        <v>40</v>
      </c>
      <c r="C973" s="3" t="s">
        <v>2051</v>
      </c>
      <c r="D973" s="3">
        <v>1998.0</v>
      </c>
      <c r="E973" s="3" t="s">
        <v>2052</v>
      </c>
      <c r="F973" s="3" t="s">
        <v>68</v>
      </c>
      <c r="G973" s="3" t="s">
        <v>58</v>
      </c>
      <c r="H973" s="3" t="s">
        <v>58</v>
      </c>
      <c r="I973" s="3" t="s">
        <v>69</v>
      </c>
      <c r="O973" s="3" t="s">
        <v>63</v>
      </c>
      <c r="X973" s="3" t="s">
        <v>65</v>
      </c>
    </row>
    <row r="974">
      <c r="A974" s="3">
        <v>973.0</v>
      </c>
      <c r="B974" s="3" t="s">
        <v>40</v>
      </c>
      <c r="C974" s="3" t="s">
        <v>2053</v>
      </c>
      <c r="D974" s="3">
        <v>1999.0</v>
      </c>
      <c r="E974" s="3" t="s">
        <v>2054</v>
      </c>
      <c r="F974" s="3" t="s">
        <v>68</v>
      </c>
      <c r="G974" s="3" t="s">
        <v>58</v>
      </c>
      <c r="H974" s="3" t="s">
        <v>58</v>
      </c>
      <c r="I974" s="3" t="s">
        <v>110</v>
      </c>
      <c r="O974" s="3" t="s">
        <v>63</v>
      </c>
      <c r="X974" s="3" t="s">
        <v>65</v>
      </c>
    </row>
    <row r="975">
      <c r="A975" s="3">
        <v>974.0</v>
      </c>
      <c r="B975" s="3" t="s">
        <v>40</v>
      </c>
      <c r="C975" s="3" t="s">
        <v>2055</v>
      </c>
      <c r="D975" s="3">
        <v>2005.0</v>
      </c>
      <c r="E975" s="3" t="s">
        <v>2056</v>
      </c>
      <c r="F975" s="3" t="s">
        <v>473</v>
      </c>
      <c r="G975" s="3" t="s">
        <v>142</v>
      </c>
      <c r="H975" s="3" t="s">
        <v>142</v>
      </c>
      <c r="I975" s="3" t="s">
        <v>110</v>
      </c>
      <c r="O975" s="3" t="s">
        <v>63</v>
      </c>
      <c r="X975" s="3" t="s">
        <v>65</v>
      </c>
    </row>
    <row r="976">
      <c r="A976" s="3">
        <v>975.0</v>
      </c>
      <c r="B976" s="3" t="s">
        <v>40</v>
      </c>
      <c r="C976" s="3" t="s">
        <v>2057</v>
      </c>
      <c r="D976" s="3">
        <v>2008.0</v>
      </c>
      <c r="E976" s="3" t="s">
        <v>2058</v>
      </c>
      <c r="F976" s="3" t="s">
        <v>187</v>
      </c>
      <c r="G976" s="3" t="s">
        <v>58</v>
      </c>
      <c r="H976" s="3" t="s">
        <v>58</v>
      </c>
      <c r="I976" s="3" t="s">
        <v>286</v>
      </c>
      <c r="J976" s="3" t="s">
        <v>76</v>
      </c>
      <c r="O976" s="3" t="s">
        <v>63</v>
      </c>
      <c r="X976" s="3" t="s">
        <v>65</v>
      </c>
    </row>
    <row r="977">
      <c r="A977" s="3">
        <v>976.0</v>
      </c>
      <c r="B977" s="3" t="s">
        <v>40</v>
      </c>
      <c r="C977" s="3" t="s">
        <v>2059</v>
      </c>
      <c r="D977" s="3">
        <v>2008.0</v>
      </c>
      <c r="E977" s="3" t="s">
        <v>2060</v>
      </c>
      <c r="F977" s="3" t="s">
        <v>356</v>
      </c>
      <c r="G977" s="3" t="s">
        <v>82</v>
      </c>
      <c r="H977" s="3" t="s">
        <v>82</v>
      </c>
      <c r="I977" s="3" t="s">
        <v>83</v>
      </c>
      <c r="O977" s="3" t="s">
        <v>63</v>
      </c>
      <c r="X977" s="3" t="s">
        <v>65</v>
      </c>
    </row>
    <row r="978">
      <c r="A978" s="3">
        <v>977.0</v>
      </c>
      <c r="B978" s="3" t="s">
        <v>40</v>
      </c>
      <c r="C978" s="3" t="s">
        <v>2059</v>
      </c>
      <c r="D978" s="3">
        <v>2009.0</v>
      </c>
      <c r="E978" s="3" t="s">
        <v>2061</v>
      </c>
      <c r="F978" s="3" t="s">
        <v>356</v>
      </c>
      <c r="G978" s="3" t="s">
        <v>82</v>
      </c>
      <c r="H978" s="3" t="s">
        <v>82</v>
      </c>
      <c r="I978" s="3" t="s">
        <v>83</v>
      </c>
      <c r="O978" s="3" t="s">
        <v>63</v>
      </c>
      <c r="X978" s="3" t="s">
        <v>65</v>
      </c>
    </row>
    <row r="979">
      <c r="A979" s="3">
        <v>978.0</v>
      </c>
      <c r="B979" s="3" t="s">
        <v>40</v>
      </c>
      <c r="C979" s="3" t="s">
        <v>2062</v>
      </c>
      <c r="D979" s="3">
        <v>2009.0</v>
      </c>
      <c r="E979" s="3" t="s">
        <v>2063</v>
      </c>
      <c r="F979" s="3" t="s">
        <v>137</v>
      </c>
      <c r="G979" s="3" t="s">
        <v>44</v>
      </c>
      <c r="H979" s="3" t="s">
        <v>45</v>
      </c>
      <c r="I979" s="3" t="s">
        <v>138</v>
      </c>
      <c r="O979" s="3" t="s">
        <v>63</v>
      </c>
      <c r="X979" s="3" t="s">
        <v>65</v>
      </c>
    </row>
    <row r="980">
      <c r="A980" s="3">
        <v>979.0</v>
      </c>
      <c r="B980" s="3" t="s">
        <v>40</v>
      </c>
      <c r="C980" s="3" t="s">
        <v>2064</v>
      </c>
      <c r="D980" s="3">
        <v>2010.0</v>
      </c>
      <c r="E980" s="3" t="s">
        <v>2065</v>
      </c>
      <c r="F980" s="3" t="s">
        <v>68</v>
      </c>
      <c r="G980" s="3" t="s">
        <v>58</v>
      </c>
      <c r="H980" s="3" t="s">
        <v>58</v>
      </c>
      <c r="I980" s="3" t="s">
        <v>69</v>
      </c>
      <c r="O980" s="3" t="s">
        <v>63</v>
      </c>
      <c r="X980" s="3" t="s">
        <v>65</v>
      </c>
    </row>
    <row r="981">
      <c r="A981" s="3">
        <v>980.0</v>
      </c>
      <c r="B981" s="3" t="s">
        <v>40</v>
      </c>
      <c r="C981" s="3" t="s">
        <v>2066</v>
      </c>
      <c r="D981" s="3">
        <v>2010.0</v>
      </c>
      <c r="E981" s="3" t="s">
        <v>2067</v>
      </c>
      <c r="F981" s="3" t="s">
        <v>356</v>
      </c>
      <c r="G981" s="3" t="s">
        <v>82</v>
      </c>
      <c r="H981" s="3" t="s">
        <v>82</v>
      </c>
      <c r="I981" s="3" t="s">
        <v>254</v>
      </c>
      <c r="O981" s="3" t="s">
        <v>63</v>
      </c>
      <c r="X981" s="3" t="s">
        <v>65</v>
      </c>
    </row>
    <row r="982">
      <c r="A982" s="3">
        <v>981.0</v>
      </c>
      <c r="B982" s="3" t="s">
        <v>40</v>
      </c>
      <c r="C982" s="3" t="s">
        <v>2068</v>
      </c>
      <c r="D982" s="3">
        <v>2012.0</v>
      </c>
      <c r="E982" s="3" t="s">
        <v>2069</v>
      </c>
      <c r="F982" s="3" t="s">
        <v>75</v>
      </c>
      <c r="G982" s="3" t="s">
        <v>58</v>
      </c>
      <c r="H982" s="3" t="s">
        <v>58</v>
      </c>
      <c r="I982" s="3" t="s">
        <v>285</v>
      </c>
      <c r="O982" s="3" t="s">
        <v>63</v>
      </c>
      <c r="X982" s="3" t="s">
        <v>65</v>
      </c>
    </row>
    <row r="983">
      <c r="A983" s="3">
        <v>982.0</v>
      </c>
      <c r="B983" s="3" t="s">
        <v>40</v>
      </c>
      <c r="C983" s="3" t="s">
        <v>2070</v>
      </c>
      <c r="D983" s="3">
        <v>2012.0</v>
      </c>
      <c r="E983" s="3" t="s">
        <v>2071</v>
      </c>
      <c r="F983" s="3" t="s">
        <v>504</v>
      </c>
      <c r="G983" s="3" t="s">
        <v>58</v>
      </c>
      <c r="H983" s="3" t="s">
        <v>58</v>
      </c>
      <c r="I983" s="3" t="s">
        <v>69</v>
      </c>
      <c r="O983" s="3" t="s">
        <v>63</v>
      </c>
      <c r="X983" s="3" t="s">
        <v>65</v>
      </c>
    </row>
    <row r="984">
      <c r="A984" s="3">
        <v>983.0</v>
      </c>
      <c r="B984" s="3" t="s">
        <v>40</v>
      </c>
      <c r="C984" s="3" t="s">
        <v>2072</v>
      </c>
      <c r="D984" s="3">
        <v>2012.0</v>
      </c>
      <c r="E984" s="3" t="s">
        <v>2073</v>
      </c>
      <c r="F984" s="3" t="s">
        <v>158</v>
      </c>
      <c r="G984" s="3" t="s">
        <v>58</v>
      </c>
      <c r="H984" s="3" t="s">
        <v>58</v>
      </c>
      <c r="I984" s="3" t="s">
        <v>286</v>
      </c>
      <c r="O984" s="3" t="s">
        <v>63</v>
      </c>
      <c r="X984" s="3" t="s">
        <v>65</v>
      </c>
    </row>
    <row r="985">
      <c r="A985" s="3">
        <v>984.0</v>
      </c>
      <c r="B985" s="3" t="s">
        <v>40</v>
      </c>
      <c r="C985" s="3" t="s">
        <v>2074</v>
      </c>
      <c r="D985" s="3">
        <v>2012.0</v>
      </c>
      <c r="E985" s="3" t="s">
        <v>2075</v>
      </c>
      <c r="F985" s="3" t="s">
        <v>57</v>
      </c>
      <c r="G985" s="3" t="s">
        <v>58</v>
      </c>
      <c r="H985" s="3" t="s">
        <v>58</v>
      </c>
      <c r="I985" s="3" t="s">
        <v>76</v>
      </c>
      <c r="O985" s="3" t="s">
        <v>63</v>
      </c>
      <c r="X985" s="3" t="s">
        <v>65</v>
      </c>
    </row>
    <row r="986">
      <c r="A986" s="3">
        <v>985.0</v>
      </c>
      <c r="B986" s="3" t="s">
        <v>40</v>
      </c>
      <c r="C986" s="3" t="s">
        <v>2076</v>
      </c>
      <c r="D986" s="3">
        <v>2013.0</v>
      </c>
      <c r="E986" s="3" t="s">
        <v>2077</v>
      </c>
      <c r="F986" s="3" t="s">
        <v>75</v>
      </c>
      <c r="G986" s="3" t="s">
        <v>58</v>
      </c>
      <c r="H986" s="3" t="s">
        <v>58</v>
      </c>
      <c r="I986" s="3" t="s">
        <v>285</v>
      </c>
      <c r="J986" s="3" t="s">
        <v>69</v>
      </c>
      <c r="K986" s="3" t="s">
        <v>110</v>
      </c>
      <c r="O986" s="3" t="s">
        <v>63</v>
      </c>
      <c r="X986" s="3" t="s">
        <v>65</v>
      </c>
    </row>
    <row r="987">
      <c r="A987" s="3">
        <v>986.0</v>
      </c>
      <c r="B987" s="3" t="s">
        <v>40</v>
      </c>
      <c r="C987" s="3" t="s">
        <v>2078</v>
      </c>
      <c r="D987" s="3">
        <v>2016.0</v>
      </c>
      <c r="E987" s="3" t="s">
        <v>2079</v>
      </c>
      <c r="F987" s="3" t="s">
        <v>201</v>
      </c>
      <c r="G987" s="3" t="s">
        <v>58</v>
      </c>
      <c r="H987" s="3" t="s">
        <v>58</v>
      </c>
      <c r="I987" s="3" t="s">
        <v>96</v>
      </c>
      <c r="O987" s="3" t="s">
        <v>63</v>
      </c>
      <c r="X987" s="3" t="s">
        <v>65</v>
      </c>
    </row>
    <row r="988">
      <c r="A988" s="3">
        <v>987.0</v>
      </c>
      <c r="B988" s="3" t="s">
        <v>40</v>
      </c>
      <c r="C988" s="3" t="s">
        <v>2080</v>
      </c>
      <c r="D988" s="3">
        <v>2016.0</v>
      </c>
      <c r="E988" s="3" t="s">
        <v>2081</v>
      </c>
      <c r="F988" s="3" t="s">
        <v>187</v>
      </c>
      <c r="G988" s="3" t="s">
        <v>58</v>
      </c>
      <c r="H988" s="3" t="s">
        <v>58</v>
      </c>
      <c r="I988" s="3" t="s">
        <v>69</v>
      </c>
      <c r="J988" s="3" t="s">
        <v>285</v>
      </c>
      <c r="O988" s="3" t="s">
        <v>63</v>
      </c>
      <c r="X988" s="3" t="s">
        <v>65</v>
      </c>
    </row>
    <row r="989">
      <c r="A989" s="3">
        <v>988.0</v>
      </c>
      <c r="B989" s="3" t="s">
        <v>40</v>
      </c>
      <c r="C989" s="3" t="s">
        <v>2082</v>
      </c>
      <c r="D989" s="3">
        <v>2017.0</v>
      </c>
      <c r="E989" s="3" t="s">
        <v>2083</v>
      </c>
      <c r="F989" s="3" t="s">
        <v>541</v>
      </c>
      <c r="G989" s="3" t="s">
        <v>541</v>
      </c>
      <c r="H989" s="3" t="s">
        <v>541</v>
      </c>
      <c r="I989" s="3" t="s">
        <v>1985</v>
      </c>
      <c r="J989" s="3" t="s">
        <v>1984</v>
      </c>
      <c r="K989" s="3" t="s">
        <v>285</v>
      </c>
      <c r="L989" s="3" t="s">
        <v>2084</v>
      </c>
      <c r="O989" s="3" t="s">
        <v>63</v>
      </c>
      <c r="X989" s="3" t="s">
        <v>65</v>
      </c>
    </row>
    <row r="990">
      <c r="A990" s="3">
        <v>989.0</v>
      </c>
      <c r="B990" s="3" t="s">
        <v>40</v>
      </c>
      <c r="C990" s="3" t="s">
        <v>2085</v>
      </c>
      <c r="D990" s="3">
        <v>2017.0</v>
      </c>
      <c r="E990" s="3" t="s">
        <v>2086</v>
      </c>
      <c r="F990" s="3" t="s">
        <v>356</v>
      </c>
      <c r="G990" s="3" t="s">
        <v>82</v>
      </c>
      <c r="H990" s="3" t="s">
        <v>82</v>
      </c>
      <c r="I990" s="3" t="s">
        <v>83</v>
      </c>
      <c r="O990" s="3" t="s">
        <v>63</v>
      </c>
      <c r="X990" s="3" t="s">
        <v>65</v>
      </c>
    </row>
    <row r="991">
      <c r="A991" s="3">
        <v>990.0</v>
      </c>
      <c r="B991" s="3" t="s">
        <v>40</v>
      </c>
      <c r="C991" s="3" t="s">
        <v>2087</v>
      </c>
      <c r="D991" s="3">
        <v>2018.0</v>
      </c>
      <c r="E991" s="3" t="s">
        <v>2088</v>
      </c>
      <c r="F991" s="3" t="s">
        <v>356</v>
      </c>
      <c r="G991" s="3" t="s">
        <v>82</v>
      </c>
      <c r="H991" s="3" t="s">
        <v>82</v>
      </c>
      <c r="I991" s="3" t="s">
        <v>254</v>
      </c>
      <c r="O991" s="3" t="s">
        <v>63</v>
      </c>
      <c r="X991" s="3" t="s">
        <v>65</v>
      </c>
    </row>
    <row r="992">
      <c r="A992" s="3">
        <v>991.0</v>
      </c>
      <c r="B992" s="3" t="s">
        <v>40</v>
      </c>
      <c r="C992" s="3" t="s">
        <v>2089</v>
      </c>
      <c r="D992" s="3">
        <v>2019.0</v>
      </c>
      <c r="E992" s="3" t="s">
        <v>2090</v>
      </c>
      <c r="F992" s="3" t="s">
        <v>75</v>
      </c>
      <c r="G992" s="3" t="s">
        <v>58</v>
      </c>
      <c r="H992" s="3" t="s">
        <v>58</v>
      </c>
      <c r="I992" s="3" t="s">
        <v>110</v>
      </c>
      <c r="O992" s="3" t="s">
        <v>63</v>
      </c>
      <c r="X992" s="3" t="s">
        <v>65</v>
      </c>
    </row>
    <row r="993">
      <c r="A993" s="3">
        <v>992.0</v>
      </c>
      <c r="B993" s="3" t="s">
        <v>40</v>
      </c>
      <c r="C993" s="3" t="s">
        <v>2091</v>
      </c>
      <c r="D993" s="3">
        <v>2019.0</v>
      </c>
      <c r="E993" s="3" t="s">
        <v>2092</v>
      </c>
      <c r="F993" s="3" t="s">
        <v>356</v>
      </c>
      <c r="G993" s="3" t="s">
        <v>82</v>
      </c>
      <c r="H993" s="3" t="s">
        <v>82</v>
      </c>
      <c r="I993" s="3" t="s">
        <v>317</v>
      </c>
      <c r="J993" s="3" t="s">
        <v>388</v>
      </c>
      <c r="K993" s="3" t="s">
        <v>180</v>
      </c>
      <c r="O993" s="3" t="s">
        <v>63</v>
      </c>
      <c r="X993" s="3" t="s">
        <v>65</v>
      </c>
    </row>
    <row r="994">
      <c r="A994" s="3">
        <v>993.0</v>
      </c>
      <c r="B994" s="3" t="s">
        <v>40</v>
      </c>
      <c r="C994" s="3" t="s">
        <v>2093</v>
      </c>
      <c r="D994" s="3">
        <v>2019.0</v>
      </c>
      <c r="E994" s="3" t="s">
        <v>2094</v>
      </c>
      <c r="F994" s="3" t="s">
        <v>201</v>
      </c>
      <c r="G994" s="3" t="s">
        <v>58</v>
      </c>
      <c r="H994" s="3" t="s">
        <v>58</v>
      </c>
      <c r="I994" s="3" t="s">
        <v>69</v>
      </c>
      <c r="O994" s="3" t="s">
        <v>63</v>
      </c>
      <c r="X994" s="3" t="s">
        <v>65</v>
      </c>
    </row>
    <row r="995">
      <c r="A995" s="3">
        <v>994.0</v>
      </c>
      <c r="B995" s="3" t="s">
        <v>40</v>
      </c>
      <c r="C995" s="3" t="s">
        <v>2095</v>
      </c>
      <c r="D995" s="3">
        <v>2019.0</v>
      </c>
      <c r="E995" s="3" t="s">
        <v>2096</v>
      </c>
      <c r="F995" s="3" t="s">
        <v>356</v>
      </c>
      <c r="G995" s="3" t="s">
        <v>82</v>
      </c>
      <c r="H995" s="3" t="s">
        <v>82</v>
      </c>
      <c r="I995" s="3" t="s">
        <v>254</v>
      </c>
      <c r="O995" s="3" t="s">
        <v>63</v>
      </c>
      <c r="X995" s="3" t="s">
        <v>65</v>
      </c>
    </row>
    <row r="996">
      <c r="A996" s="3">
        <v>995.0</v>
      </c>
      <c r="B996" s="3" t="s">
        <v>106</v>
      </c>
      <c r="C996" s="3" t="s">
        <v>2097</v>
      </c>
      <c r="D996" s="3">
        <v>1993.0</v>
      </c>
      <c r="E996" s="3" t="s">
        <v>2098</v>
      </c>
      <c r="F996" s="3" t="s">
        <v>187</v>
      </c>
      <c r="G996" s="3" t="s">
        <v>58</v>
      </c>
      <c r="I996" s="3" t="s">
        <v>110</v>
      </c>
      <c r="O996" s="3" t="s">
        <v>63</v>
      </c>
      <c r="X996" s="3" t="s">
        <v>65</v>
      </c>
    </row>
    <row r="997">
      <c r="A997" s="3">
        <v>996.0</v>
      </c>
      <c r="B997" s="3" t="s">
        <v>106</v>
      </c>
      <c r="C997" s="3" t="s">
        <v>2099</v>
      </c>
      <c r="D997" s="3">
        <v>1994.0</v>
      </c>
      <c r="E997" s="3" t="s">
        <v>2100</v>
      </c>
      <c r="F997" s="3" t="s">
        <v>515</v>
      </c>
      <c r="G997" s="3" t="s">
        <v>58</v>
      </c>
      <c r="I997" s="3" t="s">
        <v>110</v>
      </c>
      <c r="O997" s="3" t="s">
        <v>63</v>
      </c>
      <c r="X997" s="3" t="s">
        <v>65</v>
      </c>
    </row>
    <row r="998">
      <c r="A998" s="3">
        <v>997.0</v>
      </c>
      <c r="B998" s="3" t="s">
        <v>106</v>
      </c>
      <c r="C998" s="3" t="s">
        <v>2099</v>
      </c>
      <c r="D998" s="3">
        <v>1995.0</v>
      </c>
      <c r="E998" s="3" t="s">
        <v>2101</v>
      </c>
      <c r="F998" s="3" t="s">
        <v>515</v>
      </c>
      <c r="G998" s="3" t="s">
        <v>58</v>
      </c>
      <c r="I998" s="3" t="s">
        <v>110</v>
      </c>
      <c r="O998" s="3" t="s">
        <v>63</v>
      </c>
      <c r="X998" s="3" t="s">
        <v>65</v>
      </c>
    </row>
    <row r="999">
      <c r="A999" s="3">
        <v>998.0</v>
      </c>
      <c r="B999" s="3" t="s">
        <v>106</v>
      </c>
      <c r="C999" s="3" t="s">
        <v>2102</v>
      </c>
      <c r="D999" s="3">
        <v>1999.0</v>
      </c>
      <c r="E999" s="3" t="s">
        <v>2103</v>
      </c>
      <c r="F999" s="3" t="s">
        <v>184</v>
      </c>
      <c r="G999" s="3" t="s">
        <v>58</v>
      </c>
      <c r="I999" s="3" t="s">
        <v>110</v>
      </c>
      <c r="O999" s="3" t="s">
        <v>63</v>
      </c>
      <c r="X999" s="3" t="s">
        <v>65</v>
      </c>
    </row>
    <row r="1000">
      <c r="A1000" s="3">
        <v>999.0</v>
      </c>
      <c r="B1000" s="3" t="s">
        <v>106</v>
      </c>
      <c r="D1000" s="3">
        <v>2002.0</v>
      </c>
      <c r="E1000" s="3" t="s">
        <v>2104</v>
      </c>
      <c r="F1000" s="3" t="s">
        <v>57</v>
      </c>
      <c r="G1000" s="3" t="s">
        <v>58</v>
      </c>
      <c r="I1000" s="3" t="s">
        <v>110</v>
      </c>
      <c r="O1000" s="3" t="s">
        <v>63</v>
      </c>
      <c r="X1000" s="3" t="s">
        <v>65</v>
      </c>
    </row>
    <row r="1001">
      <c r="A1001" s="3">
        <v>1000.0</v>
      </c>
      <c r="B1001" s="3" t="s">
        <v>106</v>
      </c>
      <c r="C1001" s="3" t="s">
        <v>2105</v>
      </c>
      <c r="D1001" s="3">
        <v>2013.0</v>
      </c>
      <c r="E1001" s="3" t="s">
        <v>2106</v>
      </c>
      <c r="F1001" s="3" t="s">
        <v>1024</v>
      </c>
      <c r="G1001" s="3" t="s">
        <v>58</v>
      </c>
      <c r="I1001" s="3" t="s">
        <v>110</v>
      </c>
      <c r="O1001" s="3" t="s">
        <v>63</v>
      </c>
      <c r="X1001" s="3" t="s">
        <v>65</v>
      </c>
    </row>
    <row r="1002">
      <c r="A1002" s="3">
        <v>1001.0</v>
      </c>
      <c r="B1002" s="3" t="s">
        <v>55</v>
      </c>
      <c r="D1002" s="3">
        <v>1999.0</v>
      </c>
      <c r="E1002" s="3" t="s">
        <v>2107</v>
      </c>
      <c r="F1002" s="3" t="s">
        <v>526</v>
      </c>
      <c r="G1002" s="3" t="s">
        <v>58</v>
      </c>
      <c r="H1002" s="3" t="s">
        <v>58</v>
      </c>
      <c r="I1002" s="3" t="s">
        <v>285</v>
      </c>
      <c r="O1002" s="3" t="s">
        <v>63</v>
      </c>
      <c r="X1002" s="3" t="s">
        <v>65</v>
      </c>
    </row>
    <row r="1003">
      <c r="A1003" s="3">
        <v>1002.0</v>
      </c>
      <c r="B1003" s="3" t="s">
        <v>55</v>
      </c>
      <c r="D1003" s="3">
        <v>2004.0</v>
      </c>
      <c r="E1003" s="3" t="s">
        <v>2108</v>
      </c>
      <c r="F1003" s="3" t="s">
        <v>526</v>
      </c>
      <c r="G1003" s="3" t="s">
        <v>58</v>
      </c>
      <c r="H1003" s="3" t="s">
        <v>58</v>
      </c>
      <c r="I1003" s="3" t="s">
        <v>285</v>
      </c>
      <c r="O1003" s="3" t="s">
        <v>63</v>
      </c>
      <c r="X1003" s="3" t="s">
        <v>65</v>
      </c>
    </row>
    <row r="1004">
      <c r="A1004" s="3">
        <v>1003.0</v>
      </c>
      <c r="B1004" s="3" t="s">
        <v>106</v>
      </c>
      <c r="C1004" s="3" t="s">
        <v>2109</v>
      </c>
      <c r="D1004" s="3">
        <v>2010.0</v>
      </c>
      <c r="E1004" s="3" t="s">
        <v>2110</v>
      </c>
      <c r="F1004" s="3" t="s">
        <v>43</v>
      </c>
      <c r="G1004" s="3" t="s">
        <v>44</v>
      </c>
      <c r="I1004" s="3" t="s">
        <v>485</v>
      </c>
      <c r="X1004" s="3" t="s">
        <v>143</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7" max="8" width="25.63"/>
    <col customWidth="1" min="9" max="9" width="28.63"/>
    <col customWidth="1" min="10" max="10" width="20.5"/>
    <col customWidth="1" min="11" max="11" width="13.75"/>
    <col customWidth="1" min="12" max="12" width="22.25"/>
    <col customWidth="1" min="19" max="19" width="49.38"/>
    <col customWidth="1" min="20" max="37" width="8.13"/>
    <col customWidth="1" min="38" max="38" width="49.13"/>
    <col customWidth="1" min="39" max="48" width="11.0"/>
  </cols>
  <sheetData>
    <row r="1">
      <c r="A1" s="3" t="s">
        <v>12</v>
      </c>
      <c r="B1" s="3" t="s">
        <v>13</v>
      </c>
      <c r="C1" s="3" t="s">
        <v>14</v>
      </c>
      <c r="D1" s="3" t="s">
        <v>15</v>
      </c>
      <c r="E1" s="3" t="s">
        <v>16</v>
      </c>
      <c r="F1" s="3" t="s">
        <v>2111</v>
      </c>
      <c r="G1" s="7" t="s">
        <v>2112</v>
      </c>
      <c r="H1" s="3" t="s">
        <v>2113</v>
      </c>
      <c r="I1" s="7" t="s">
        <v>2114</v>
      </c>
      <c r="J1" s="3" t="s">
        <v>19</v>
      </c>
      <c r="K1" s="7" t="s">
        <v>2115</v>
      </c>
      <c r="L1" s="7" t="s">
        <v>2116</v>
      </c>
      <c r="M1" s="3" t="s">
        <v>20</v>
      </c>
      <c r="N1" s="3" t="s">
        <v>21</v>
      </c>
      <c r="O1" s="3" t="s">
        <v>22</v>
      </c>
      <c r="P1" s="3" t="s">
        <v>23</v>
      </c>
      <c r="Q1" s="3" t="s">
        <v>24</v>
      </c>
      <c r="R1" s="3" t="s">
        <v>25</v>
      </c>
      <c r="S1" s="7" t="s">
        <v>2117</v>
      </c>
      <c r="T1" s="3" t="s">
        <v>2118</v>
      </c>
      <c r="U1" s="3" t="s">
        <v>2119</v>
      </c>
      <c r="V1" s="3" t="s">
        <v>2120</v>
      </c>
      <c r="W1" s="3" t="s">
        <v>2121</v>
      </c>
      <c r="X1" s="3" t="s">
        <v>2122</v>
      </c>
      <c r="Y1" s="3" t="s">
        <v>2123</v>
      </c>
      <c r="Z1" s="3" t="s">
        <v>2124</v>
      </c>
      <c r="AA1" s="3" t="s">
        <v>2125</v>
      </c>
      <c r="AB1" s="3" t="s">
        <v>2126</v>
      </c>
      <c r="AC1" s="3" t="s">
        <v>26</v>
      </c>
      <c r="AD1" s="3" t="s">
        <v>27</v>
      </c>
      <c r="AE1" s="3" t="s">
        <v>28</v>
      </c>
      <c r="AF1" s="3" t="s">
        <v>29</v>
      </c>
      <c r="AG1" s="3" t="s">
        <v>30</v>
      </c>
      <c r="AH1" s="3" t="s">
        <v>31</v>
      </c>
      <c r="AI1" s="3" t="s">
        <v>32</v>
      </c>
      <c r="AJ1" s="3" t="s">
        <v>33</v>
      </c>
      <c r="AK1" s="3" t="s">
        <v>34</v>
      </c>
      <c r="AL1" s="7" t="s">
        <v>2127</v>
      </c>
      <c r="AM1" s="3" t="s">
        <v>2128</v>
      </c>
      <c r="AN1" s="3" t="s">
        <v>2129</v>
      </c>
      <c r="AO1" s="3" t="s">
        <v>2130</v>
      </c>
      <c r="AP1" s="3" t="s">
        <v>2131</v>
      </c>
      <c r="AQ1" s="3" t="s">
        <v>2132</v>
      </c>
      <c r="AR1" s="3" t="s">
        <v>35</v>
      </c>
      <c r="AS1" s="3" t="s">
        <v>36</v>
      </c>
      <c r="AT1" s="3" t="s">
        <v>37</v>
      </c>
      <c r="AU1" s="3" t="s">
        <v>38</v>
      </c>
      <c r="AV1" s="3" t="s">
        <v>39</v>
      </c>
      <c r="AW1" s="7" t="s">
        <v>2133</v>
      </c>
    </row>
    <row r="2" hidden="1">
      <c r="A2" s="3">
        <v>409.0</v>
      </c>
      <c r="B2" s="3" t="s">
        <v>106</v>
      </c>
      <c r="D2" s="3">
        <v>2016.0</v>
      </c>
      <c r="E2" s="3" t="s">
        <v>960</v>
      </c>
      <c r="F2" s="3" t="s">
        <v>2134</v>
      </c>
      <c r="G2" s="3"/>
      <c r="H2" s="3" t="s">
        <v>142</v>
      </c>
      <c r="I2" s="3"/>
      <c r="K2" s="3"/>
      <c r="L2" s="3"/>
      <c r="M2" s="3" t="s">
        <v>110</v>
      </c>
      <c r="S2" s="3"/>
      <c r="T2" s="3"/>
      <c r="U2" s="3"/>
      <c r="V2" s="3"/>
      <c r="AC2" s="3" t="s">
        <v>61</v>
      </c>
      <c r="AL2" s="3"/>
      <c r="AM2" s="3"/>
      <c r="AN2" s="3"/>
      <c r="AO2" s="3"/>
      <c r="AP2" s="3"/>
      <c r="AQ2" s="3"/>
      <c r="AR2" s="3" t="s">
        <v>52</v>
      </c>
      <c r="AW2" s="8" t="s">
        <v>2135</v>
      </c>
    </row>
    <row r="3" hidden="1">
      <c r="A3" s="3">
        <v>60.0</v>
      </c>
      <c r="B3" s="3" t="s">
        <v>106</v>
      </c>
      <c r="D3" s="3">
        <v>1986.0</v>
      </c>
      <c r="E3" s="3" t="s">
        <v>257</v>
      </c>
      <c r="F3" s="3" t="s">
        <v>258</v>
      </c>
      <c r="G3" s="3"/>
      <c r="H3" s="3" t="s">
        <v>91</v>
      </c>
      <c r="I3" s="3"/>
      <c r="K3" s="3"/>
      <c r="L3" s="3"/>
      <c r="M3" s="3" t="s">
        <v>92</v>
      </c>
      <c r="N3" s="3" t="s">
        <v>173</v>
      </c>
      <c r="S3" s="3"/>
      <c r="T3" s="3"/>
      <c r="U3" s="3"/>
      <c r="V3" s="3"/>
      <c r="W3" s="3"/>
      <c r="X3" s="3"/>
      <c r="Y3" s="3"/>
      <c r="Z3" s="3"/>
      <c r="AA3" s="3"/>
      <c r="AB3" s="3"/>
      <c r="AC3" s="3" t="s">
        <v>61</v>
      </c>
      <c r="AF3" s="3" t="s">
        <v>47</v>
      </c>
      <c r="AH3" s="3" t="s">
        <v>62</v>
      </c>
      <c r="AI3" s="3" t="s">
        <v>259</v>
      </c>
      <c r="AJ3" s="3" t="s">
        <v>260</v>
      </c>
      <c r="AL3" s="3"/>
      <c r="AM3" s="3"/>
      <c r="AN3" s="3"/>
      <c r="AO3" s="3"/>
      <c r="AP3" s="3"/>
      <c r="AQ3" s="3"/>
      <c r="AR3" s="3" t="s">
        <v>52</v>
      </c>
      <c r="AS3" s="3" t="s">
        <v>51</v>
      </c>
      <c r="AT3" s="3" t="s">
        <v>64</v>
      </c>
      <c r="AU3" s="3" t="s">
        <v>121</v>
      </c>
      <c r="AW3" s="8" t="s">
        <v>2135</v>
      </c>
    </row>
    <row r="4">
      <c r="A4" s="3">
        <v>70.0</v>
      </c>
      <c r="B4" s="3" t="s">
        <v>40</v>
      </c>
      <c r="C4" s="3" t="s">
        <v>288</v>
      </c>
      <c r="D4" s="3">
        <v>2009.0</v>
      </c>
      <c r="E4" s="3" t="s">
        <v>289</v>
      </c>
      <c r="F4" s="3" t="s">
        <v>258</v>
      </c>
      <c r="G4" s="3" t="s">
        <v>2136</v>
      </c>
      <c r="H4" s="3" t="s">
        <v>91</v>
      </c>
      <c r="I4" s="3" t="s">
        <v>2136</v>
      </c>
      <c r="J4" s="3" t="s">
        <v>91</v>
      </c>
      <c r="L4" s="3" t="s">
        <v>2137</v>
      </c>
      <c r="M4" s="3" t="s">
        <v>290</v>
      </c>
      <c r="S4" s="9" t="str">
        <f t="array" ref="S4">"[" &amp; TEXTJOIN(", ", TRUE, IF(LEN(T4:AB4), CHAR(34)&amp;T4:AB4&amp;CHAR(34), )) &amp; "]"
</f>
        <v>["Hunting &amp; Collecting Terrestrial Animals", "Logging &amp; Wood Harvesting", "Marine &amp; freshwater aquaculture"]</v>
      </c>
      <c r="T4" s="3" t="s">
        <v>2138</v>
      </c>
      <c r="U4" s="3" t="s">
        <v>2139</v>
      </c>
      <c r="V4" s="3"/>
      <c r="X4" s="3" t="s">
        <v>111</v>
      </c>
      <c r="AC4" s="3" t="s">
        <v>61</v>
      </c>
      <c r="AD4" s="3" t="s">
        <v>48</v>
      </c>
      <c r="AG4" s="3" t="s">
        <v>111</v>
      </c>
      <c r="AL4" s="9" t="str">
        <f t="array" ref="AL4">"[" &amp; TEXTJOIN(", ", TRUE, IF(LEN(AM4:AQ4), CHAR(34)&amp;AM4:AQ4&amp;CHAR(34), )) &amp; "]"
</f>
        <v>["Biological resource use", "Agriculture &amp; aquaculture"]</v>
      </c>
      <c r="AM4" s="3" t="s">
        <v>52</v>
      </c>
      <c r="AN4" s="3" t="s">
        <v>51</v>
      </c>
      <c r="AO4" s="3"/>
      <c r="AP4" s="3"/>
      <c r="AQ4" s="3"/>
      <c r="AR4" s="3" t="s">
        <v>52</v>
      </c>
      <c r="AS4" s="3" t="s">
        <v>51</v>
      </c>
      <c r="AW4" s="8" t="s">
        <v>2140</v>
      </c>
    </row>
    <row r="5" hidden="1">
      <c r="A5" s="3">
        <v>196.0</v>
      </c>
      <c r="B5" s="3" t="s">
        <v>55</v>
      </c>
      <c r="D5" s="3">
        <v>1990.0</v>
      </c>
      <c r="E5" s="3" t="s">
        <v>560</v>
      </c>
      <c r="F5" s="3" t="s">
        <v>258</v>
      </c>
      <c r="G5" s="3"/>
      <c r="H5" s="3" t="s">
        <v>91</v>
      </c>
      <c r="I5" s="3"/>
      <c r="J5" s="3" t="s">
        <v>91</v>
      </c>
      <c r="K5" s="3"/>
      <c r="L5" s="3"/>
      <c r="M5" s="3" t="s">
        <v>225</v>
      </c>
      <c r="N5" s="3" t="s">
        <v>173</v>
      </c>
      <c r="O5" s="3" t="s">
        <v>92</v>
      </c>
      <c r="S5" s="3"/>
      <c r="T5" s="3"/>
      <c r="U5" s="3"/>
      <c r="V5" s="3"/>
      <c r="W5" s="3"/>
      <c r="X5" s="3"/>
      <c r="AC5" s="3" t="s">
        <v>61</v>
      </c>
      <c r="AF5" s="3" t="s">
        <v>62</v>
      </c>
      <c r="AL5" s="3"/>
      <c r="AM5" s="3"/>
      <c r="AN5" s="3"/>
      <c r="AO5" s="3"/>
      <c r="AP5" s="3"/>
      <c r="AQ5" s="3"/>
      <c r="AR5" s="3" t="s">
        <v>52</v>
      </c>
      <c r="AS5" s="3" t="s">
        <v>64</v>
      </c>
      <c r="AW5" s="8" t="s">
        <v>2135</v>
      </c>
    </row>
    <row r="6">
      <c r="A6" s="3">
        <v>19.0</v>
      </c>
      <c r="B6" s="3" t="s">
        <v>40</v>
      </c>
      <c r="C6" s="3" t="s">
        <v>144</v>
      </c>
      <c r="D6" s="3">
        <v>2016.0</v>
      </c>
      <c r="E6" s="3" t="s">
        <v>145</v>
      </c>
      <c r="F6" s="3" t="s">
        <v>146</v>
      </c>
      <c r="G6" s="3" t="s">
        <v>2141</v>
      </c>
      <c r="H6" s="3" t="s">
        <v>58</v>
      </c>
      <c r="I6" s="3" t="s">
        <v>2142</v>
      </c>
      <c r="J6" s="3" t="s">
        <v>58</v>
      </c>
      <c r="L6" s="3" t="s">
        <v>2143</v>
      </c>
      <c r="M6" s="3" t="s">
        <v>110</v>
      </c>
      <c r="S6" s="9" t="str">
        <f t="array" ref="S6">"[" &amp; TEXTJOIN(", ", TRUE, IF(LEN(T6:AB6), CHAR(34)&amp;T6:AB6&amp;CHAR(34), )) &amp; "]"
</f>
        <v>["Marine &amp; freshwater aquaculture", "Industrial &amp; military effluents"]</v>
      </c>
      <c r="T6" s="3" t="s">
        <v>111</v>
      </c>
      <c r="U6" s="3"/>
      <c r="V6" s="3"/>
      <c r="W6" s="3" t="s">
        <v>147</v>
      </c>
      <c r="AC6" s="3" t="s">
        <v>111</v>
      </c>
      <c r="AF6" s="3" t="s">
        <v>147</v>
      </c>
      <c r="AH6" s="3" t="s">
        <v>134</v>
      </c>
      <c r="AL6" s="9" t="str">
        <f t="array" ref="AL6">"[" &amp; TEXTJOIN(", ", TRUE, IF(LEN(AM6:AQ6), CHAR(34)&amp;AM6:AQ6&amp;CHAR(34), )) &amp; "]"
</f>
        <v>["Agriculture &amp; aquaculture", "Pollution", "Natural system modifications"]</v>
      </c>
      <c r="AM6" s="3" t="s">
        <v>51</v>
      </c>
      <c r="AN6" s="3" t="s">
        <v>64</v>
      </c>
      <c r="AO6" s="3" t="s">
        <v>53</v>
      </c>
      <c r="AP6" s="3"/>
      <c r="AQ6" s="3"/>
      <c r="AR6" s="3" t="s">
        <v>51</v>
      </c>
      <c r="AS6" s="3" t="s">
        <v>64</v>
      </c>
      <c r="AT6" s="3" t="s">
        <v>53</v>
      </c>
      <c r="AW6" s="8" t="s">
        <v>2144</v>
      </c>
    </row>
    <row r="7">
      <c r="A7" s="3">
        <v>718.0</v>
      </c>
      <c r="B7" s="3" t="s">
        <v>40</v>
      </c>
      <c r="C7" s="3" t="s">
        <v>1548</v>
      </c>
      <c r="D7" s="3">
        <v>1986.0</v>
      </c>
      <c r="E7" s="3" t="s">
        <v>1549</v>
      </c>
      <c r="F7" s="3" t="s">
        <v>146</v>
      </c>
      <c r="G7" s="3" t="s">
        <v>2141</v>
      </c>
      <c r="H7" s="3" t="s">
        <v>58</v>
      </c>
      <c r="I7" s="3" t="s">
        <v>2142</v>
      </c>
      <c r="J7" s="3" t="s">
        <v>58</v>
      </c>
      <c r="L7" s="3" t="s">
        <v>2143</v>
      </c>
      <c r="M7" s="3" t="s">
        <v>110</v>
      </c>
      <c r="S7" s="9" t="str">
        <f t="array" ref="S7">"[" &amp; TEXTJOIN(", ", TRUE, IF(LEN(T7:AB7), CHAR(34)&amp;T7:AB7&amp;CHAR(34), )) &amp; "]"
</f>
        <v>["Commercial &amp; industrial areas"]</v>
      </c>
      <c r="U7" s="3"/>
      <c r="V7" s="3"/>
      <c r="Y7" s="3" t="s">
        <v>1942</v>
      </c>
      <c r="AC7" s="3" t="s">
        <v>87</v>
      </c>
      <c r="AF7" s="3" t="s">
        <v>87</v>
      </c>
      <c r="AH7" s="3" t="s">
        <v>1550</v>
      </c>
      <c r="AL7" s="9" t="str">
        <f t="array" ref="AL7">"[" &amp; TEXTJOIN(", ", TRUE, IF(LEN(AM7:AQ7), CHAR(34)&amp;AM7:AQ7&amp;CHAR(34), )) &amp; "]"
</f>
        <v>["Pollution", "Agriculture &amp; aquaculture", "Residential &amp; commercial development"]</v>
      </c>
      <c r="AM7" s="3" t="s">
        <v>64</v>
      </c>
      <c r="AN7" s="3" t="s">
        <v>51</v>
      </c>
      <c r="AO7" s="3" t="s">
        <v>71</v>
      </c>
      <c r="AP7" s="3"/>
      <c r="AQ7" s="3"/>
      <c r="AR7" s="3" t="s">
        <v>64</v>
      </c>
      <c r="AS7" s="3" t="s">
        <v>51</v>
      </c>
      <c r="AT7" s="3" t="s">
        <v>71</v>
      </c>
      <c r="AW7" s="8" t="s">
        <v>2145</v>
      </c>
    </row>
    <row r="8" hidden="1">
      <c r="A8" s="3">
        <v>11.0</v>
      </c>
      <c r="B8" s="3" t="s">
        <v>55</v>
      </c>
      <c r="D8" s="3">
        <v>2009.0</v>
      </c>
      <c r="E8" s="3" t="s">
        <v>112</v>
      </c>
      <c r="F8" s="3" t="s">
        <v>113</v>
      </c>
      <c r="G8" s="3"/>
      <c r="H8" s="3" t="s">
        <v>44</v>
      </c>
      <c r="I8" s="3"/>
      <c r="J8" s="3" t="s">
        <v>45</v>
      </c>
      <c r="K8" s="3"/>
      <c r="L8" s="3"/>
      <c r="M8" s="3" t="s">
        <v>114</v>
      </c>
      <c r="S8" s="3"/>
      <c r="T8" s="3"/>
      <c r="U8" s="3"/>
      <c r="V8" s="3"/>
      <c r="W8" s="3"/>
      <c r="X8" s="3"/>
      <c r="AC8" s="3" t="s">
        <v>47</v>
      </c>
      <c r="AF8" s="3" t="s">
        <v>61</v>
      </c>
      <c r="AL8" s="3"/>
      <c r="AM8" s="3"/>
      <c r="AN8" s="3"/>
      <c r="AO8" s="3"/>
      <c r="AP8" s="3"/>
      <c r="AQ8" s="3"/>
      <c r="AR8" s="3" t="s">
        <v>51</v>
      </c>
      <c r="AS8" s="3" t="s">
        <v>52</v>
      </c>
      <c r="AW8" s="8" t="s">
        <v>2135</v>
      </c>
    </row>
    <row r="9">
      <c r="A9" s="3">
        <v>111.0</v>
      </c>
      <c r="B9" s="3" t="s">
        <v>40</v>
      </c>
      <c r="C9" s="3" t="s">
        <v>394</v>
      </c>
      <c r="D9" s="3">
        <v>1986.0</v>
      </c>
      <c r="E9" s="3" t="s">
        <v>395</v>
      </c>
      <c r="F9" s="3" t="s">
        <v>113</v>
      </c>
      <c r="G9" s="3" t="s">
        <v>2146</v>
      </c>
      <c r="H9" s="3" t="s">
        <v>44</v>
      </c>
      <c r="I9" s="3" t="s">
        <v>2147</v>
      </c>
      <c r="J9" s="3" t="s">
        <v>45</v>
      </c>
      <c r="L9" s="3" t="s">
        <v>2148</v>
      </c>
      <c r="M9" s="3" t="s">
        <v>138</v>
      </c>
      <c r="S9" s="9" t="str">
        <f t="array" ref="S9">"[" &amp; TEXTJOIN(", ", TRUE, IF(LEN(T9:AB9), CHAR(34)&amp;T9:AB9&amp;CHAR(34), )) &amp; "]"
</f>
        <v>["Hunting &amp; Collecting Terrestrial Animals", "Invasive non-native/alien species/diseases"]</v>
      </c>
      <c r="T9" s="3" t="s">
        <v>2138</v>
      </c>
      <c r="U9" s="3"/>
      <c r="V9" s="3"/>
      <c r="W9" s="3" t="s">
        <v>50</v>
      </c>
      <c r="AC9" s="3" t="s">
        <v>61</v>
      </c>
      <c r="AF9" s="3" t="s">
        <v>50</v>
      </c>
      <c r="AL9" s="9" t="str">
        <f t="array" ref="AL9">"[" &amp; TEXTJOIN(", ", TRUE, IF(LEN(AM9:AQ9), CHAR(34)&amp;AM9:AQ9&amp;CHAR(34), )) &amp; "]"
</f>
        <v>["Biological resource use", "Invasive &amp; other problematic species, genes &amp; diseases"]</v>
      </c>
      <c r="AM9" s="3" t="s">
        <v>52</v>
      </c>
      <c r="AN9" s="3" t="s">
        <v>54</v>
      </c>
      <c r="AO9" s="3"/>
      <c r="AP9" s="3"/>
      <c r="AQ9" s="3"/>
      <c r="AR9" s="3" t="s">
        <v>52</v>
      </c>
      <c r="AS9" s="3" t="s">
        <v>54</v>
      </c>
      <c r="AW9" s="8" t="s">
        <v>2149</v>
      </c>
    </row>
    <row r="10">
      <c r="A10" s="3">
        <v>313.0</v>
      </c>
      <c r="B10" s="3" t="s">
        <v>40</v>
      </c>
      <c r="C10" s="3" t="s">
        <v>794</v>
      </c>
      <c r="D10" s="3">
        <v>2012.0</v>
      </c>
      <c r="E10" s="3" t="s">
        <v>795</v>
      </c>
      <c r="F10" s="3" t="s">
        <v>113</v>
      </c>
      <c r="G10" s="3" t="s">
        <v>2146</v>
      </c>
      <c r="H10" s="3" t="s">
        <v>44</v>
      </c>
      <c r="I10" s="3" t="s">
        <v>2147</v>
      </c>
      <c r="J10" s="3" t="s">
        <v>45</v>
      </c>
      <c r="L10" s="3" t="s">
        <v>2150</v>
      </c>
      <c r="M10" s="3" t="s">
        <v>275</v>
      </c>
      <c r="S10" s="9" t="str">
        <f t="array" ref="S10">"[" &amp; TEXTJOIN(", ", TRUE, IF(LEN(T10:AB10), CHAR(34)&amp;T10:AB10&amp;CHAR(34), )) &amp; "]"
</f>
        <v>["Hunting &amp; Collecting Terrestrial Animals"]</v>
      </c>
      <c r="T10" s="3" t="s">
        <v>2138</v>
      </c>
      <c r="U10" s="3"/>
      <c r="V10" s="3"/>
      <c r="AC10" s="3" t="s">
        <v>61</v>
      </c>
      <c r="AL10" s="9" t="str">
        <f t="array" ref="AL10">"[" &amp; TEXTJOIN(", ", TRUE, IF(LEN(AM10:AQ10), CHAR(34)&amp;AM10:AQ10&amp;CHAR(34), )) &amp; "]"
</f>
        <v>["Biological resource use"]</v>
      </c>
      <c r="AM10" s="3" t="s">
        <v>52</v>
      </c>
      <c r="AN10" s="3"/>
      <c r="AO10" s="3"/>
      <c r="AP10" s="3"/>
      <c r="AQ10" s="3"/>
      <c r="AR10" s="3" t="s">
        <v>52</v>
      </c>
      <c r="AW10" s="8" t="s">
        <v>2151</v>
      </c>
    </row>
    <row r="11" hidden="1">
      <c r="A11" s="3">
        <v>361.0</v>
      </c>
      <c r="B11" s="3" t="s">
        <v>106</v>
      </c>
      <c r="C11" s="3" t="s">
        <v>893</v>
      </c>
      <c r="D11" s="3">
        <v>1993.0</v>
      </c>
      <c r="E11" s="3" t="s">
        <v>894</v>
      </c>
      <c r="F11" s="3" t="s">
        <v>113</v>
      </c>
      <c r="G11" s="3"/>
      <c r="H11" s="3" t="s">
        <v>44</v>
      </c>
      <c r="I11" s="3"/>
      <c r="K11" s="3"/>
      <c r="L11" s="3"/>
      <c r="M11" s="3" t="s">
        <v>485</v>
      </c>
      <c r="S11" s="3"/>
      <c r="T11" s="3"/>
      <c r="U11" s="3"/>
      <c r="V11" s="3"/>
      <c r="AC11" s="3" t="s">
        <v>61</v>
      </c>
      <c r="AL11" s="3"/>
      <c r="AM11" s="3"/>
      <c r="AN11" s="3"/>
      <c r="AO11" s="3"/>
      <c r="AP11" s="3"/>
      <c r="AQ11" s="3"/>
      <c r="AR11" s="3" t="s">
        <v>52</v>
      </c>
      <c r="AW11" s="8" t="s">
        <v>2135</v>
      </c>
    </row>
    <row r="12" hidden="1">
      <c r="A12" s="3">
        <v>364.0</v>
      </c>
      <c r="B12" s="3" t="s">
        <v>106</v>
      </c>
      <c r="C12" s="3" t="s">
        <v>900</v>
      </c>
      <c r="D12" s="3">
        <v>1996.0</v>
      </c>
      <c r="E12" s="3" t="s">
        <v>901</v>
      </c>
      <c r="F12" s="3" t="s">
        <v>113</v>
      </c>
      <c r="G12" s="3"/>
      <c r="H12" s="3" t="s">
        <v>44</v>
      </c>
      <c r="I12" s="3"/>
      <c r="K12" s="3"/>
      <c r="L12" s="3"/>
      <c r="M12" s="3" t="s">
        <v>485</v>
      </c>
      <c r="S12" s="3"/>
      <c r="T12" s="3"/>
      <c r="U12" s="3"/>
      <c r="V12" s="3"/>
      <c r="AC12" s="3" t="s">
        <v>61</v>
      </c>
      <c r="AL12" s="3"/>
      <c r="AM12" s="3"/>
      <c r="AN12" s="3"/>
      <c r="AO12" s="3"/>
      <c r="AP12" s="3"/>
      <c r="AQ12" s="3"/>
      <c r="AR12" s="3" t="s">
        <v>52</v>
      </c>
      <c r="AW12" s="8" t="s">
        <v>2135</v>
      </c>
    </row>
    <row r="13">
      <c r="A13" s="3">
        <v>439.0</v>
      </c>
      <c r="B13" s="3" t="s">
        <v>40</v>
      </c>
      <c r="C13" s="3" t="s">
        <v>1004</v>
      </c>
      <c r="D13" s="3">
        <v>2016.0</v>
      </c>
      <c r="E13" s="3" t="s">
        <v>1005</v>
      </c>
      <c r="F13" s="3" t="s">
        <v>113</v>
      </c>
      <c r="G13" s="3" t="s">
        <v>2146</v>
      </c>
      <c r="H13" s="3" t="s">
        <v>44</v>
      </c>
      <c r="I13" s="3" t="s">
        <v>2147</v>
      </c>
      <c r="J13" s="3" t="s">
        <v>45</v>
      </c>
      <c r="L13" s="3" t="s">
        <v>2152</v>
      </c>
      <c r="M13" s="3" t="s">
        <v>114</v>
      </c>
      <c r="S13" s="9" t="str">
        <f t="array" ref="S13">"[" &amp; TEXTJOIN(", ", TRUE, IF(LEN(T13:AB13), CHAR(34)&amp;T13:AB13&amp;CHAR(34), )) &amp; "]"
</f>
        <v>["Habitat shifting &amp; alteration"]</v>
      </c>
      <c r="T13" s="3" t="s">
        <v>117</v>
      </c>
      <c r="U13" s="3"/>
      <c r="V13" s="3"/>
      <c r="AC13" s="3" t="s">
        <v>117</v>
      </c>
      <c r="AL13" s="9" t="str">
        <f t="array" ref="AL13">"[" &amp; TEXTJOIN(", ", TRUE, IF(LEN(AM13:AQ13), CHAR(34)&amp;AM13:AQ13&amp;CHAR(34), )) &amp; "]"
</f>
        <v>["Climate change &amp; severe weather"]</v>
      </c>
      <c r="AM13" s="3" t="s">
        <v>118</v>
      </c>
      <c r="AN13" s="3"/>
      <c r="AO13" s="3"/>
      <c r="AP13" s="3"/>
      <c r="AQ13" s="3"/>
      <c r="AR13" s="3" t="s">
        <v>118</v>
      </c>
      <c r="AW13" s="8" t="s">
        <v>2153</v>
      </c>
    </row>
    <row r="14" hidden="1">
      <c r="A14" s="3">
        <v>456.0</v>
      </c>
      <c r="B14" s="3" t="s">
        <v>106</v>
      </c>
      <c r="C14" s="3" t="s">
        <v>1039</v>
      </c>
      <c r="D14" s="3">
        <v>1992.0</v>
      </c>
      <c r="E14" s="3" t="s">
        <v>1040</v>
      </c>
      <c r="F14" s="3" t="s">
        <v>113</v>
      </c>
      <c r="G14" s="3"/>
      <c r="H14" s="3" t="s">
        <v>44</v>
      </c>
      <c r="I14" s="3"/>
      <c r="K14" s="3"/>
      <c r="L14" s="3"/>
      <c r="M14" s="3" t="s">
        <v>46</v>
      </c>
      <c r="S14" s="3"/>
      <c r="T14" s="3"/>
      <c r="U14" s="3"/>
      <c r="V14" s="3"/>
      <c r="AC14" s="3" t="s">
        <v>87</v>
      </c>
      <c r="AL14" s="3"/>
      <c r="AM14" s="3"/>
      <c r="AN14" s="3"/>
      <c r="AO14" s="3"/>
      <c r="AP14" s="3"/>
      <c r="AQ14" s="3"/>
      <c r="AR14" s="3" t="s">
        <v>121</v>
      </c>
      <c r="AS14" s="3" t="s">
        <v>143</v>
      </c>
      <c r="AW14" s="8" t="s">
        <v>2135</v>
      </c>
    </row>
    <row r="15">
      <c r="A15" s="3">
        <v>534.0</v>
      </c>
      <c r="B15" s="3" t="s">
        <v>40</v>
      </c>
      <c r="C15" s="3" t="s">
        <v>1191</v>
      </c>
      <c r="D15" s="3">
        <v>2009.0</v>
      </c>
      <c r="E15" s="3" t="s">
        <v>1192</v>
      </c>
      <c r="F15" s="3" t="s">
        <v>113</v>
      </c>
      <c r="G15" s="3" t="s">
        <v>2146</v>
      </c>
      <c r="H15" s="3" t="s">
        <v>44</v>
      </c>
      <c r="I15" s="3" t="s">
        <v>2147</v>
      </c>
      <c r="J15" s="3" t="s">
        <v>45</v>
      </c>
      <c r="L15" s="3" t="s">
        <v>2148</v>
      </c>
      <c r="M15" s="3" t="s">
        <v>138</v>
      </c>
      <c r="S15" s="9" t="str">
        <f t="array" ref="S15">"[" &amp; TEXTJOIN(", ", TRUE, IF(LEN(T15:AB15), CHAR(34)&amp;T15:AB15&amp;CHAR(34), )) &amp; "]"
</f>
        <v>["Invasive non-native/alien species/diseases"]</v>
      </c>
      <c r="T15" s="3" t="s">
        <v>50</v>
      </c>
      <c r="U15" s="3"/>
      <c r="V15" s="3"/>
      <c r="AC15" s="3" t="s">
        <v>50</v>
      </c>
      <c r="AL15" s="9" t="str">
        <f t="array" ref="AL15">"[" &amp; TEXTJOIN(", ", TRUE, IF(LEN(AM15:AQ15), CHAR(34)&amp;AM15:AQ15&amp;CHAR(34), )) &amp; "]"
</f>
        <v>["Invasive &amp; other problematic species, genes &amp; diseases"]</v>
      </c>
      <c r="AM15" s="3" t="s">
        <v>54</v>
      </c>
      <c r="AN15" s="3"/>
      <c r="AO15" s="3"/>
      <c r="AP15" s="3"/>
      <c r="AQ15" s="3"/>
      <c r="AR15" s="3" t="s">
        <v>54</v>
      </c>
      <c r="AW15" s="8" t="s">
        <v>2154</v>
      </c>
    </row>
    <row r="16">
      <c r="A16" s="3">
        <v>587.0</v>
      </c>
      <c r="B16" s="3" t="s">
        <v>40</v>
      </c>
      <c r="C16" s="3" t="s">
        <v>1299</v>
      </c>
      <c r="D16" s="3">
        <v>2017.0</v>
      </c>
      <c r="E16" s="3" t="s">
        <v>1300</v>
      </c>
      <c r="F16" s="3" t="s">
        <v>113</v>
      </c>
      <c r="G16" s="3" t="s">
        <v>2146</v>
      </c>
      <c r="H16" s="3" t="s">
        <v>44</v>
      </c>
      <c r="I16" s="3" t="s">
        <v>2147</v>
      </c>
      <c r="J16" s="3" t="s">
        <v>45</v>
      </c>
      <c r="L16" s="3" t="s">
        <v>2155</v>
      </c>
      <c r="M16" s="3" t="s">
        <v>1001</v>
      </c>
      <c r="S16" s="9" t="str">
        <f t="array" ref="S16">"[" &amp; TEXTJOIN(", ", TRUE, IF(LEN(T16:AB16), CHAR(34)&amp;T16:AB16&amp;CHAR(34), )) &amp; "]"
</f>
        <v>["Problematic native species/diseases"]</v>
      </c>
      <c r="T16" s="3" t="s">
        <v>244</v>
      </c>
      <c r="U16" s="3"/>
      <c r="V16" s="3"/>
      <c r="AC16" s="3" t="s">
        <v>244</v>
      </c>
      <c r="AL16" s="9" t="str">
        <f t="array" ref="AL16">"[" &amp; TEXTJOIN(", ", TRUE, IF(LEN(AM16:AQ16), CHAR(34)&amp;AM16:AQ16&amp;CHAR(34), )) &amp; "]"
</f>
        <v>["Invasive &amp; other problematic species, genes &amp; diseases"]</v>
      </c>
      <c r="AM16" s="3" t="s">
        <v>54</v>
      </c>
      <c r="AN16" s="3"/>
      <c r="AO16" s="3"/>
      <c r="AP16" s="3"/>
      <c r="AQ16" s="3"/>
      <c r="AR16" s="3" t="s">
        <v>54</v>
      </c>
      <c r="AW16" s="8" t="s">
        <v>2156</v>
      </c>
    </row>
    <row r="17">
      <c r="A17" s="3">
        <v>656.0</v>
      </c>
      <c r="B17" s="3" t="s">
        <v>40</v>
      </c>
      <c r="C17" s="3" t="s">
        <v>1425</v>
      </c>
      <c r="D17" s="3">
        <v>2019.0</v>
      </c>
      <c r="E17" s="3" t="s">
        <v>1426</v>
      </c>
      <c r="F17" s="3" t="s">
        <v>113</v>
      </c>
      <c r="G17" s="3" t="s">
        <v>2146</v>
      </c>
      <c r="H17" s="3" t="s">
        <v>44</v>
      </c>
      <c r="I17" s="3" t="s">
        <v>2147</v>
      </c>
      <c r="J17" s="3" t="s">
        <v>45</v>
      </c>
      <c r="L17" s="3" t="s">
        <v>2157</v>
      </c>
      <c r="M17" s="3" t="s">
        <v>485</v>
      </c>
      <c r="S17" s="9"/>
      <c r="U17" s="3"/>
      <c r="V17" s="3"/>
      <c r="AC17" s="3" t="s">
        <v>134</v>
      </c>
      <c r="AL17" s="9" t="str">
        <f t="array" ref="AL17">"[" &amp; TEXTJOIN(", ", TRUE, IF(LEN(AM17:AQ17), CHAR(34)&amp;AM17:AQ17&amp;CHAR(34), )) &amp; "]"
</f>
        <v>["Natural system modifications"]</v>
      </c>
      <c r="AM17" s="3" t="s">
        <v>53</v>
      </c>
      <c r="AN17" s="3"/>
      <c r="AO17" s="3"/>
      <c r="AP17" s="3"/>
      <c r="AQ17" s="3"/>
      <c r="AR17" s="3" t="s">
        <v>53</v>
      </c>
      <c r="AW17" s="8" t="s">
        <v>2158</v>
      </c>
    </row>
    <row r="18">
      <c r="A18" s="3">
        <v>647.0</v>
      </c>
      <c r="B18" s="3" t="s">
        <v>40</v>
      </c>
      <c r="C18" s="3" t="s">
        <v>1407</v>
      </c>
      <c r="D18" s="3">
        <v>2010.0</v>
      </c>
      <c r="E18" s="3" t="s">
        <v>1408</v>
      </c>
      <c r="F18" s="3" t="s">
        <v>113</v>
      </c>
      <c r="G18" s="3" t="s">
        <v>2146</v>
      </c>
      <c r="H18" s="3" t="s">
        <v>44</v>
      </c>
      <c r="I18" s="3" t="s">
        <v>2147</v>
      </c>
      <c r="J18" s="3" t="s">
        <v>45</v>
      </c>
      <c r="L18" s="3" t="s">
        <v>2148</v>
      </c>
      <c r="M18" s="3" t="s">
        <v>138</v>
      </c>
      <c r="S18" s="9"/>
      <c r="U18" s="3"/>
      <c r="V18" s="3"/>
      <c r="AC18" s="3" t="s">
        <v>143</v>
      </c>
      <c r="AL18" s="9" t="str">
        <f t="array" ref="AL18">"[" &amp; TEXTJOIN(", ", TRUE, IF(LEN(AM18:AQ18), CHAR(34)&amp;AM18:AQ18&amp;CHAR(34), )) &amp; "]"
</f>
        <v>["Natural system modifications"]</v>
      </c>
      <c r="AM18" s="3" t="s">
        <v>53</v>
      </c>
      <c r="AN18" s="3"/>
      <c r="AO18" s="3"/>
      <c r="AP18" s="3"/>
      <c r="AQ18" s="3"/>
      <c r="AR18" s="3" t="s">
        <v>53</v>
      </c>
      <c r="AW18" s="8" t="s">
        <v>2159</v>
      </c>
    </row>
    <row r="19">
      <c r="A19" s="3">
        <v>695.0</v>
      </c>
      <c r="B19" s="3" t="s">
        <v>40</v>
      </c>
      <c r="C19" s="3" t="s">
        <v>1502</v>
      </c>
      <c r="D19" s="3">
        <v>2008.0</v>
      </c>
      <c r="E19" s="3" t="s">
        <v>1503</v>
      </c>
      <c r="F19" s="3" t="s">
        <v>113</v>
      </c>
      <c r="G19" s="3" t="s">
        <v>2146</v>
      </c>
      <c r="H19" s="3" t="s">
        <v>44</v>
      </c>
      <c r="I19" s="3" t="s">
        <v>2147</v>
      </c>
      <c r="J19" s="3" t="s">
        <v>45</v>
      </c>
      <c r="L19" s="3" t="s">
        <v>2148</v>
      </c>
      <c r="M19" s="3" t="s">
        <v>138</v>
      </c>
      <c r="S19" s="9"/>
      <c r="T19" s="3"/>
      <c r="U19" s="3"/>
      <c r="V19" s="3"/>
      <c r="AL19" s="9" t="str">
        <f t="array" ref="AL19">"[" &amp; TEXTJOIN(", ", TRUE, IF(LEN(AM19:AQ19), CHAR(34)&amp;AM19:AQ19&amp;CHAR(34), )) &amp; "]"
</f>
        <v>[]</v>
      </c>
      <c r="AN19" s="3"/>
      <c r="AO19" s="3"/>
      <c r="AP19" s="3"/>
      <c r="AQ19" s="3"/>
      <c r="AR19" s="3" t="s">
        <v>78</v>
      </c>
      <c r="AW19" s="8" t="s">
        <v>2160</v>
      </c>
    </row>
    <row r="20" hidden="1">
      <c r="A20" s="3">
        <v>930.0</v>
      </c>
      <c r="B20" s="3" t="s">
        <v>40</v>
      </c>
      <c r="C20" s="3" t="s">
        <v>1963</v>
      </c>
      <c r="D20" s="3">
        <v>2003.0</v>
      </c>
      <c r="E20" s="3" t="s">
        <v>1964</v>
      </c>
      <c r="F20" s="3" t="s">
        <v>113</v>
      </c>
      <c r="G20" s="3"/>
      <c r="H20" s="3" t="s">
        <v>44</v>
      </c>
      <c r="I20" s="3"/>
      <c r="J20" s="3" t="s">
        <v>45</v>
      </c>
      <c r="K20" s="3"/>
      <c r="L20" s="3"/>
      <c r="M20" s="3" t="s">
        <v>138</v>
      </c>
      <c r="S20" s="3"/>
      <c r="T20" s="3"/>
      <c r="U20" s="3"/>
      <c r="V20" s="3"/>
      <c r="W20" s="3"/>
      <c r="X20" s="3"/>
      <c r="AC20" s="3" t="s">
        <v>87</v>
      </c>
      <c r="AF20" s="3" t="s">
        <v>50</v>
      </c>
      <c r="AL20" s="3"/>
      <c r="AM20" s="3"/>
      <c r="AN20" s="3"/>
      <c r="AO20" s="3"/>
      <c r="AP20" s="3"/>
      <c r="AQ20" s="3"/>
      <c r="AR20" s="3" t="s">
        <v>71</v>
      </c>
      <c r="AS20" s="3" t="s">
        <v>54</v>
      </c>
    </row>
    <row r="21" hidden="1">
      <c r="A21" s="3">
        <v>197.0</v>
      </c>
      <c r="B21" s="3" t="s">
        <v>106</v>
      </c>
      <c r="D21" s="3">
        <v>2020.0</v>
      </c>
      <c r="E21" s="3" t="s">
        <v>561</v>
      </c>
      <c r="F21" s="3" t="s">
        <v>562</v>
      </c>
      <c r="G21" s="3"/>
      <c r="H21" s="3" t="s">
        <v>58</v>
      </c>
      <c r="I21" s="3"/>
      <c r="K21" s="3"/>
      <c r="L21" s="3"/>
      <c r="M21" s="3" t="s">
        <v>110</v>
      </c>
      <c r="S21" s="3"/>
      <c r="T21" s="3"/>
      <c r="U21" s="3"/>
      <c r="V21" s="3"/>
      <c r="AC21" s="3" t="s">
        <v>61</v>
      </c>
      <c r="AD21" s="3" t="s">
        <v>247</v>
      </c>
      <c r="AL21" s="3"/>
      <c r="AM21" s="3"/>
      <c r="AN21" s="3"/>
      <c r="AO21" s="3"/>
      <c r="AP21" s="3"/>
      <c r="AQ21" s="3"/>
      <c r="AR21" s="3" t="s">
        <v>52</v>
      </c>
      <c r="AS21" s="3" t="s">
        <v>64</v>
      </c>
      <c r="AW21" s="8" t="s">
        <v>2135</v>
      </c>
    </row>
    <row r="22" hidden="1">
      <c r="A22" s="3">
        <v>151.0</v>
      </c>
      <c r="B22" s="3" t="s">
        <v>106</v>
      </c>
      <c r="D22" s="3">
        <v>2008.0</v>
      </c>
      <c r="E22" s="3" t="s">
        <v>474</v>
      </c>
      <c r="F22" s="3" t="s">
        <v>475</v>
      </c>
      <c r="H22" s="3" t="s">
        <v>101</v>
      </c>
      <c r="I22" s="3"/>
      <c r="K22" s="3"/>
      <c r="L22" s="3"/>
      <c r="M22" s="3" t="s">
        <v>309</v>
      </c>
      <c r="S22" s="3"/>
      <c r="T22" s="3"/>
      <c r="U22" s="3"/>
      <c r="V22" s="3"/>
      <c r="W22" s="3"/>
      <c r="X22" s="3"/>
      <c r="Y22" s="3"/>
      <c r="Z22" s="3"/>
      <c r="AA22" s="3"/>
      <c r="AB22" s="3"/>
      <c r="AC22" s="3" t="s">
        <v>61</v>
      </c>
      <c r="AD22" s="3" t="s">
        <v>247</v>
      </c>
      <c r="AF22" s="3" t="s">
        <v>147</v>
      </c>
      <c r="AG22" s="3" t="s">
        <v>62</v>
      </c>
      <c r="AH22" s="3" t="s">
        <v>97</v>
      </c>
      <c r="AJ22" s="3" t="s">
        <v>244</v>
      </c>
      <c r="AL22" s="3"/>
      <c r="AM22" s="3"/>
      <c r="AN22" s="3"/>
      <c r="AO22" s="3"/>
      <c r="AP22" s="3"/>
      <c r="AQ22" s="3"/>
      <c r="AR22" s="3" t="s">
        <v>52</v>
      </c>
      <c r="AS22" s="3" t="s">
        <v>64</v>
      </c>
      <c r="AT22" s="3" t="s">
        <v>51</v>
      </c>
      <c r="AU22" s="3" t="s">
        <v>54</v>
      </c>
      <c r="AW22" s="8" t="s">
        <v>2135</v>
      </c>
    </row>
    <row r="23" hidden="1">
      <c r="A23" s="3">
        <v>422.0</v>
      </c>
      <c r="B23" s="3" t="s">
        <v>106</v>
      </c>
      <c r="D23" s="3">
        <v>2019.0</v>
      </c>
      <c r="E23" s="3" t="s">
        <v>975</v>
      </c>
      <c r="F23" s="3" t="s">
        <v>475</v>
      </c>
      <c r="H23" s="3" t="s">
        <v>101</v>
      </c>
      <c r="I23" s="3"/>
      <c r="K23" s="3"/>
      <c r="L23" s="3"/>
      <c r="M23" s="3" t="s">
        <v>266</v>
      </c>
      <c r="S23" s="3"/>
      <c r="T23" s="3"/>
      <c r="U23" s="3"/>
      <c r="V23" s="3"/>
      <c r="AC23" s="3" t="s">
        <v>61</v>
      </c>
      <c r="AL23" s="3"/>
      <c r="AM23" s="3"/>
      <c r="AN23" s="3"/>
      <c r="AO23" s="3"/>
      <c r="AP23" s="3"/>
      <c r="AQ23" s="3"/>
      <c r="AR23" s="3" t="s">
        <v>52</v>
      </c>
      <c r="AW23" s="8" t="s">
        <v>2135</v>
      </c>
    </row>
    <row r="24" hidden="1">
      <c r="A24" s="3">
        <v>237.0</v>
      </c>
      <c r="B24" s="3" t="s">
        <v>106</v>
      </c>
      <c r="C24" s="3" t="s">
        <v>639</v>
      </c>
      <c r="D24" s="3">
        <v>1998.0</v>
      </c>
      <c r="E24" s="3" t="s">
        <v>640</v>
      </c>
      <c r="F24" s="3" t="s">
        <v>475</v>
      </c>
      <c r="H24" s="3" t="s">
        <v>541</v>
      </c>
      <c r="I24" s="3"/>
      <c r="K24" s="3"/>
      <c r="L24" s="3"/>
      <c r="M24" s="3" t="s">
        <v>110</v>
      </c>
      <c r="S24" s="3"/>
      <c r="T24" s="3"/>
      <c r="U24" s="3"/>
      <c r="V24" s="3"/>
      <c r="AC24" s="3" t="s">
        <v>61</v>
      </c>
      <c r="AL24" s="3"/>
      <c r="AM24" s="3"/>
      <c r="AN24" s="3"/>
      <c r="AO24" s="3"/>
      <c r="AP24" s="3"/>
      <c r="AQ24" s="3"/>
      <c r="AR24" s="3" t="s">
        <v>52</v>
      </c>
      <c r="AS24" s="3" t="s">
        <v>143</v>
      </c>
      <c r="AW24" s="8" t="s">
        <v>2135</v>
      </c>
    </row>
    <row r="25" hidden="1">
      <c r="A25" s="3">
        <v>194.0</v>
      </c>
      <c r="B25" s="3" t="s">
        <v>106</v>
      </c>
      <c r="C25" s="3" t="s">
        <v>555</v>
      </c>
      <c r="D25" s="3">
        <v>2011.0</v>
      </c>
      <c r="E25" s="3" t="s">
        <v>556</v>
      </c>
      <c r="F25" s="3" t="s">
        <v>475</v>
      </c>
      <c r="H25" s="3" t="s">
        <v>124</v>
      </c>
      <c r="I25" s="3"/>
      <c r="J25" s="3" t="s">
        <v>101</v>
      </c>
      <c r="K25" s="3"/>
      <c r="L25" s="3"/>
      <c r="M25" s="3" t="s">
        <v>110</v>
      </c>
      <c r="N25" s="3" t="s">
        <v>205</v>
      </c>
      <c r="O25" s="3" t="s">
        <v>155</v>
      </c>
      <c r="P25" s="3" t="s">
        <v>309</v>
      </c>
      <c r="S25" s="3"/>
      <c r="T25" s="3"/>
      <c r="U25" s="3"/>
      <c r="V25" s="3"/>
      <c r="W25" s="3"/>
      <c r="X25" s="3"/>
      <c r="AC25" s="3" t="s">
        <v>48</v>
      </c>
      <c r="AD25" s="3" t="s">
        <v>61</v>
      </c>
      <c r="AF25" s="3" t="s">
        <v>147</v>
      </c>
      <c r="AG25" s="3" t="s">
        <v>62</v>
      </c>
      <c r="AL25" s="3"/>
      <c r="AM25" s="3"/>
      <c r="AN25" s="3"/>
      <c r="AO25" s="3"/>
      <c r="AP25" s="3"/>
      <c r="AQ25" s="3"/>
      <c r="AR25" s="3" t="s">
        <v>52</v>
      </c>
      <c r="AS25" s="3" t="s">
        <v>64</v>
      </c>
      <c r="AW25" s="8" t="s">
        <v>2135</v>
      </c>
    </row>
    <row r="26" hidden="1">
      <c r="A26" s="3">
        <v>10.0</v>
      </c>
      <c r="B26" s="3" t="s">
        <v>106</v>
      </c>
      <c r="C26" s="3" t="s">
        <v>107</v>
      </c>
      <c r="D26" s="3">
        <v>1994.0</v>
      </c>
      <c r="E26" s="3" t="s">
        <v>108</v>
      </c>
      <c r="F26" s="3" t="s">
        <v>109</v>
      </c>
      <c r="G26" s="3"/>
      <c r="H26" s="3" t="s">
        <v>58</v>
      </c>
      <c r="I26" s="3"/>
      <c r="K26" s="3"/>
      <c r="L26" s="3"/>
      <c r="M26" s="3" t="s">
        <v>110</v>
      </c>
      <c r="S26" s="3"/>
      <c r="T26" s="3"/>
      <c r="U26" s="3"/>
      <c r="V26" s="3"/>
      <c r="W26" s="3"/>
      <c r="X26" s="3"/>
      <c r="AC26" s="3" t="s">
        <v>111</v>
      </c>
      <c r="AF26" s="3" t="s">
        <v>61</v>
      </c>
      <c r="AL26" s="3"/>
      <c r="AM26" s="3"/>
      <c r="AN26" s="3"/>
      <c r="AO26" s="3"/>
      <c r="AP26" s="3"/>
      <c r="AQ26" s="3"/>
      <c r="AR26" s="3" t="s">
        <v>51</v>
      </c>
      <c r="AS26" s="3" t="s">
        <v>52</v>
      </c>
      <c r="AW26" s="8" t="s">
        <v>2135</v>
      </c>
    </row>
    <row r="27" hidden="1">
      <c r="A27" s="3">
        <v>90.0</v>
      </c>
      <c r="B27" s="3" t="s">
        <v>106</v>
      </c>
      <c r="C27" s="3" t="s">
        <v>344</v>
      </c>
      <c r="D27" s="3">
        <v>1996.0</v>
      </c>
      <c r="E27" s="3" t="s">
        <v>345</v>
      </c>
      <c r="F27" s="3" t="s">
        <v>109</v>
      </c>
      <c r="G27" s="3"/>
      <c r="H27" s="3" t="s">
        <v>58</v>
      </c>
      <c r="I27" s="3"/>
      <c r="K27" s="3"/>
      <c r="L27" s="3"/>
      <c r="M27" s="3" t="s">
        <v>110</v>
      </c>
      <c r="S27" s="3"/>
      <c r="T27" s="3"/>
      <c r="U27" s="3"/>
      <c r="V27" s="3"/>
      <c r="W27" s="3"/>
      <c r="X27" s="3"/>
      <c r="Y27" s="3"/>
      <c r="Z27" s="3"/>
      <c r="AC27" s="3" t="s">
        <v>61</v>
      </c>
      <c r="AF27" s="3" t="s">
        <v>346</v>
      </c>
      <c r="AH27" s="3" t="s">
        <v>134</v>
      </c>
      <c r="AL27" s="3"/>
      <c r="AM27" s="3"/>
      <c r="AN27" s="3"/>
      <c r="AO27" s="3"/>
      <c r="AP27" s="3"/>
      <c r="AQ27" s="3"/>
      <c r="AR27" s="3" t="s">
        <v>52</v>
      </c>
      <c r="AS27" s="3" t="s">
        <v>235</v>
      </c>
      <c r="AT27" s="3" t="s">
        <v>53</v>
      </c>
      <c r="AW27" s="8" t="s">
        <v>2135</v>
      </c>
    </row>
    <row r="28">
      <c r="A28" s="3">
        <v>462.0</v>
      </c>
      <c r="B28" s="3" t="s">
        <v>40</v>
      </c>
      <c r="C28" s="3" t="s">
        <v>1052</v>
      </c>
      <c r="D28" s="3">
        <v>2019.0</v>
      </c>
      <c r="E28" s="3" t="s">
        <v>1053</v>
      </c>
      <c r="F28" s="3" t="s">
        <v>109</v>
      </c>
      <c r="G28" s="3" t="s">
        <v>2161</v>
      </c>
      <c r="H28" s="3" t="s">
        <v>58</v>
      </c>
      <c r="I28" s="3" t="s">
        <v>2142</v>
      </c>
      <c r="J28" s="3" t="s">
        <v>58</v>
      </c>
      <c r="L28" s="3" t="s">
        <v>2143</v>
      </c>
      <c r="M28" s="3" t="s">
        <v>110</v>
      </c>
      <c r="S28" s="9" t="str">
        <f t="array" ref="S28">"[" &amp; TEXTJOIN(", ", TRUE, IF(LEN(T28:AB28), CHAR(34)&amp;T28:AB28&amp;CHAR(34), )) &amp; "]"
</f>
        <v>["Recreational activities"]</v>
      </c>
      <c r="T28" s="3" t="s">
        <v>162</v>
      </c>
      <c r="U28" s="3"/>
      <c r="V28" s="3"/>
      <c r="AC28" s="3" t="s">
        <v>162</v>
      </c>
      <c r="AL28" s="9" t="str">
        <f t="array" ref="AL28">"[" &amp; TEXTJOIN(", ", TRUE, IF(LEN(AM28:AQ28), CHAR(34)&amp;AM28:AQ28&amp;CHAR(34), )) &amp; "]"
</f>
        <v>["Human intrusions &amp; disturbance"]</v>
      </c>
      <c r="AM28" s="3" t="s">
        <v>121</v>
      </c>
      <c r="AN28" s="3"/>
      <c r="AO28" s="3"/>
      <c r="AP28" s="3"/>
      <c r="AQ28" s="3"/>
      <c r="AR28" s="3" t="s">
        <v>121</v>
      </c>
      <c r="AW28" s="8" t="s">
        <v>2162</v>
      </c>
    </row>
    <row r="29" hidden="1">
      <c r="A29" s="3">
        <v>898.0</v>
      </c>
      <c r="B29" s="3" t="s">
        <v>106</v>
      </c>
      <c r="C29" s="3" t="s">
        <v>1905</v>
      </c>
      <c r="D29" s="3">
        <v>1992.0</v>
      </c>
      <c r="E29" s="3" t="s">
        <v>1906</v>
      </c>
      <c r="F29" s="3" t="s">
        <v>109</v>
      </c>
      <c r="G29" s="3"/>
      <c r="H29" s="3" t="s">
        <v>58</v>
      </c>
      <c r="I29" s="3"/>
      <c r="K29" s="3"/>
      <c r="L29" s="3"/>
      <c r="M29" s="3" t="s">
        <v>110</v>
      </c>
      <c r="S29" s="3"/>
      <c r="T29" s="3"/>
      <c r="U29" s="3"/>
      <c r="V29" s="3"/>
      <c r="AC29" s="3" t="s">
        <v>147</v>
      </c>
      <c r="AL29" s="3"/>
      <c r="AM29" s="3"/>
      <c r="AN29" s="3"/>
      <c r="AO29" s="3"/>
      <c r="AP29" s="3"/>
      <c r="AQ29" s="3"/>
      <c r="AR29" s="3" t="s">
        <v>64</v>
      </c>
    </row>
    <row r="30" hidden="1">
      <c r="A30" s="3">
        <v>362.0</v>
      </c>
      <c r="B30" s="3" t="s">
        <v>106</v>
      </c>
      <c r="C30" s="3" t="s">
        <v>895</v>
      </c>
      <c r="D30" s="3">
        <v>1995.0</v>
      </c>
      <c r="E30" s="3" t="s">
        <v>896</v>
      </c>
      <c r="F30" s="3" t="s">
        <v>897</v>
      </c>
      <c r="G30" s="3"/>
      <c r="H30" s="3" t="s">
        <v>58</v>
      </c>
      <c r="I30" s="3"/>
      <c r="K30" s="3"/>
      <c r="L30" s="3"/>
      <c r="M30" s="3" t="s">
        <v>110</v>
      </c>
      <c r="S30" s="3"/>
      <c r="T30" s="3"/>
      <c r="U30" s="3"/>
      <c r="V30" s="3"/>
      <c r="AC30" s="3" t="s">
        <v>61</v>
      </c>
      <c r="AL30" s="3"/>
      <c r="AM30" s="3"/>
      <c r="AN30" s="3"/>
      <c r="AO30" s="3"/>
      <c r="AP30" s="3"/>
      <c r="AQ30" s="3"/>
      <c r="AR30" s="3" t="s">
        <v>52</v>
      </c>
      <c r="AW30" s="8" t="s">
        <v>2135</v>
      </c>
    </row>
    <row r="31" hidden="1">
      <c r="A31" s="3">
        <v>915.0</v>
      </c>
      <c r="B31" s="3" t="s">
        <v>106</v>
      </c>
      <c r="D31" s="3">
        <v>2018.0</v>
      </c>
      <c r="E31" s="3" t="s">
        <v>1933</v>
      </c>
      <c r="F31" s="3" t="s">
        <v>1934</v>
      </c>
      <c r="G31" s="3"/>
      <c r="H31" s="3" t="s">
        <v>124</v>
      </c>
      <c r="I31" s="3"/>
      <c r="K31" s="3"/>
      <c r="L31" s="3"/>
      <c r="M31" s="3" t="s">
        <v>205</v>
      </c>
      <c r="S31" s="3"/>
      <c r="T31" s="3"/>
      <c r="U31" s="3"/>
      <c r="V31" s="3"/>
      <c r="AC31" s="3" t="s">
        <v>125</v>
      </c>
      <c r="AL31" s="3"/>
      <c r="AM31" s="3"/>
      <c r="AN31" s="3"/>
      <c r="AO31" s="3"/>
      <c r="AP31" s="3"/>
      <c r="AQ31" s="3"/>
      <c r="AR31" s="3" t="s">
        <v>64</v>
      </c>
    </row>
    <row r="32">
      <c r="A32" s="3">
        <v>109.0</v>
      </c>
      <c r="B32" s="3" t="s">
        <v>40</v>
      </c>
      <c r="C32" s="3" t="s">
        <v>389</v>
      </c>
      <c r="D32" s="3">
        <v>1991.0</v>
      </c>
      <c r="E32" s="3" t="s">
        <v>390</v>
      </c>
      <c r="F32" s="3" t="s">
        <v>391</v>
      </c>
      <c r="G32" s="3" t="s">
        <v>2163</v>
      </c>
      <c r="H32" s="3" t="s">
        <v>58</v>
      </c>
      <c r="I32" s="3" t="s">
        <v>2142</v>
      </c>
      <c r="J32" s="3" t="s">
        <v>58</v>
      </c>
      <c r="L32" s="3" t="s">
        <v>2143</v>
      </c>
      <c r="M32" s="3" t="s">
        <v>110</v>
      </c>
      <c r="S32" s="9" t="str">
        <f t="array" ref="S32">"[" &amp; TEXTJOIN(", ", TRUE, IF(LEN(T32:AB32), CHAR(34)&amp;T32:AB32&amp;CHAR(34), )) &amp; "]"
</f>
        <v>["Hunting &amp; Collecting Terrestrial Animals", "Fishing &amp; Harvesting Aquatic Resources", "Diseases of unknown cause", "Roads &amp; railroads", "Industrial &amp; military effluents"]</v>
      </c>
      <c r="T32" s="3" t="s">
        <v>2138</v>
      </c>
      <c r="U32" s="3" t="s">
        <v>2164</v>
      </c>
      <c r="V32" s="3"/>
      <c r="W32" s="3" t="s">
        <v>392</v>
      </c>
      <c r="Y32" s="3" t="s">
        <v>63</v>
      </c>
      <c r="AB32" s="3" t="s">
        <v>147</v>
      </c>
      <c r="AC32" s="3" t="s">
        <v>61</v>
      </c>
      <c r="AD32" s="3" t="s">
        <v>247</v>
      </c>
      <c r="AF32" s="3" t="s">
        <v>392</v>
      </c>
      <c r="AH32" s="3" t="s">
        <v>63</v>
      </c>
      <c r="AK32" s="3" t="s">
        <v>147</v>
      </c>
      <c r="AL32" s="9" t="str">
        <f t="array" ref="AL32">"[" &amp; TEXTJOIN(", ", TRUE, IF(LEN(AM32:AQ32), CHAR(34)&amp;AM32:AQ32&amp;CHAR(34), )) &amp; "]"
</f>
        <v>["Biological resource use", "Invasive &amp; other problematic species, genes &amp; diseases", "Transportation &amp; service corridors", "Pollution"]</v>
      </c>
      <c r="AM32" s="3" t="s">
        <v>52</v>
      </c>
      <c r="AN32" s="3" t="s">
        <v>54</v>
      </c>
      <c r="AO32" s="3" t="s">
        <v>65</v>
      </c>
      <c r="AP32" s="3"/>
      <c r="AQ32" s="3" t="s">
        <v>64</v>
      </c>
      <c r="AR32" s="3" t="s">
        <v>52</v>
      </c>
      <c r="AS32" s="3" t="s">
        <v>54</v>
      </c>
      <c r="AT32" s="3" t="s">
        <v>65</v>
      </c>
      <c r="AV32" s="3" t="s">
        <v>64</v>
      </c>
      <c r="AW32" s="8" t="s">
        <v>2165</v>
      </c>
    </row>
    <row r="33">
      <c r="A33" s="3">
        <v>294.0</v>
      </c>
      <c r="B33" s="3" t="s">
        <v>40</v>
      </c>
      <c r="C33" s="3" t="s">
        <v>754</v>
      </c>
      <c r="D33" s="3">
        <v>2008.0</v>
      </c>
      <c r="E33" s="3" t="s">
        <v>755</v>
      </c>
      <c r="F33" s="3" t="s">
        <v>391</v>
      </c>
      <c r="G33" s="3" t="s">
        <v>2163</v>
      </c>
      <c r="H33" s="3" t="s">
        <v>58</v>
      </c>
      <c r="I33" s="3" t="s">
        <v>2142</v>
      </c>
      <c r="J33" s="3" t="s">
        <v>58</v>
      </c>
      <c r="L33" s="3" t="s">
        <v>2166</v>
      </c>
      <c r="M33" s="3" t="s">
        <v>96</v>
      </c>
      <c r="S33" s="9" t="str">
        <f t="array" ref="S33">"[" &amp; TEXTJOIN(", ", TRUE, IF(LEN(T33:AB33), CHAR(34)&amp;T33:AB33&amp;CHAR(34), )) &amp; "]"
</f>
        <v>["Logging &amp; Wood Harvesting"]</v>
      </c>
      <c r="T33" s="3" t="s">
        <v>2139</v>
      </c>
      <c r="U33" s="3"/>
      <c r="V33" s="3"/>
      <c r="AC33" s="3" t="s">
        <v>48</v>
      </c>
      <c r="AL33" s="9" t="str">
        <f t="array" ref="AL33">"[" &amp; TEXTJOIN(", ", TRUE, IF(LEN(AM33:AQ33), CHAR(34)&amp;AM33:AQ33&amp;CHAR(34), )) &amp; "]"
</f>
        <v>["Biological resource use"]</v>
      </c>
      <c r="AM33" s="3" t="s">
        <v>52</v>
      </c>
      <c r="AN33" s="3"/>
      <c r="AO33" s="3"/>
      <c r="AP33" s="3"/>
      <c r="AQ33" s="3"/>
      <c r="AR33" s="3" t="s">
        <v>52</v>
      </c>
      <c r="AW33" s="8" t="s">
        <v>2167</v>
      </c>
    </row>
    <row r="34" hidden="1">
      <c r="A34" s="3">
        <v>359.0</v>
      </c>
      <c r="B34" s="3" t="s">
        <v>106</v>
      </c>
      <c r="C34" s="3" t="s">
        <v>888</v>
      </c>
      <c r="D34" s="3">
        <v>1992.0</v>
      </c>
      <c r="E34" s="3" t="s">
        <v>889</v>
      </c>
      <c r="F34" s="3" t="s">
        <v>391</v>
      </c>
      <c r="G34" s="3"/>
      <c r="H34" s="3" t="s">
        <v>58</v>
      </c>
      <c r="I34" s="3"/>
      <c r="K34" s="3"/>
      <c r="L34" s="3"/>
      <c r="M34" s="3" t="s">
        <v>110</v>
      </c>
      <c r="S34" s="3"/>
      <c r="T34" s="3"/>
      <c r="U34" s="3"/>
      <c r="V34" s="3"/>
      <c r="AC34" s="3" t="s">
        <v>61</v>
      </c>
      <c r="AL34" s="3"/>
      <c r="AM34" s="3"/>
      <c r="AN34" s="3"/>
      <c r="AO34" s="3"/>
      <c r="AP34" s="3"/>
      <c r="AQ34" s="3"/>
      <c r="AR34" s="3" t="s">
        <v>52</v>
      </c>
      <c r="AW34" s="8" t="s">
        <v>2135</v>
      </c>
    </row>
    <row r="35" hidden="1">
      <c r="A35" s="3">
        <v>474.0</v>
      </c>
      <c r="B35" s="3" t="s">
        <v>55</v>
      </c>
      <c r="D35" s="3">
        <v>1993.0</v>
      </c>
      <c r="E35" s="3" t="s">
        <v>1074</v>
      </c>
      <c r="F35" s="3" t="s">
        <v>391</v>
      </c>
      <c r="G35" s="3"/>
      <c r="H35" s="3" t="s">
        <v>58</v>
      </c>
      <c r="I35" s="3"/>
      <c r="J35" s="3" t="s">
        <v>58</v>
      </c>
      <c r="K35" s="3"/>
      <c r="L35" s="3"/>
      <c r="M35" s="3" t="s">
        <v>286</v>
      </c>
      <c r="S35" s="3"/>
      <c r="T35" s="3"/>
      <c r="U35" s="3"/>
      <c r="V35" s="3"/>
      <c r="W35" s="3"/>
      <c r="X35" s="3"/>
      <c r="Y35" s="3"/>
      <c r="Z35" s="3"/>
      <c r="AC35" s="3" t="s">
        <v>50</v>
      </c>
      <c r="AF35" s="3" t="s">
        <v>49</v>
      </c>
      <c r="AH35" s="3" t="s">
        <v>147</v>
      </c>
      <c r="AL35" s="3"/>
      <c r="AM35" s="3"/>
      <c r="AN35" s="3"/>
      <c r="AO35" s="3"/>
      <c r="AP35" s="3"/>
      <c r="AQ35" s="3"/>
      <c r="AR35" s="3" t="s">
        <v>54</v>
      </c>
      <c r="AS35" s="3" t="s">
        <v>53</v>
      </c>
      <c r="AT35" s="3" t="s">
        <v>64</v>
      </c>
      <c r="AW35" s="8" t="s">
        <v>2135</v>
      </c>
    </row>
    <row r="36">
      <c r="A36" s="3">
        <v>502.0</v>
      </c>
      <c r="B36" s="3" t="s">
        <v>40</v>
      </c>
      <c r="C36" s="3" t="s">
        <v>1128</v>
      </c>
      <c r="D36" s="3">
        <v>1999.0</v>
      </c>
      <c r="E36" s="3" t="s">
        <v>1129</v>
      </c>
      <c r="F36" s="3" t="s">
        <v>391</v>
      </c>
      <c r="G36" s="3" t="s">
        <v>2163</v>
      </c>
      <c r="H36" s="3" t="s">
        <v>58</v>
      </c>
      <c r="I36" s="3" t="s">
        <v>2142</v>
      </c>
      <c r="J36" s="3" t="s">
        <v>58</v>
      </c>
      <c r="L36" s="3" t="s">
        <v>2168</v>
      </c>
      <c r="M36" s="3" t="s">
        <v>286</v>
      </c>
      <c r="S36" s="9" t="str">
        <f t="array" ref="S36">"[" &amp; TEXTJOIN(", ", TRUE, IF(LEN(T36:AB36), CHAR(34)&amp;T36:AB36&amp;CHAR(34), )) &amp; "]"
</f>
        <v>["Invasive non-native/alien species/diseases"]</v>
      </c>
      <c r="T36" s="3" t="s">
        <v>50</v>
      </c>
      <c r="U36" s="3"/>
      <c r="V36" s="3"/>
      <c r="AC36" s="3" t="s">
        <v>50</v>
      </c>
      <c r="AL36" s="9" t="str">
        <f t="array" ref="AL36">"[" &amp; TEXTJOIN(", ", TRUE, IF(LEN(AM36:AQ36), CHAR(34)&amp;AM36:AQ36&amp;CHAR(34), )) &amp; "]"
</f>
        <v>["Invasive &amp; other problematic species, genes &amp; diseases"]</v>
      </c>
      <c r="AM36" s="3" t="s">
        <v>54</v>
      </c>
      <c r="AN36" s="3"/>
      <c r="AO36" s="3"/>
      <c r="AP36" s="3"/>
      <c r="AQ36" s="3"/>
      <c r="AR36" s="3" t="s">
        <v>54</v>
      </c>
      <c r="AW36" s="8" t="s">
        <v>2169</v>
      </c>
    </row>
    <row r="37">
      <c r="A37" s="3">
        <v>504.0</v>
      </c>
      <c r="B37" s="3" t="s">
        <v>40</v>
      </c>
      <c r="C37" s="3" t="s">
        <v>1131</v>
      </c>
      <c r="D37" s="3">
        <v>2000.0</v>
      </c>
      <c r="E37" s="3" t="s">
        <v>1132</v>
      </c>
      <c r="F37" s="3" t="s">
        <v>391</v>
      </c>
      <c r="G37" s="3" t="s">
        <v>2163</v>
      </c>
      <c r="H37" s="3" t="s">
        <v>58</v>
      </c>
      <c r="I37" s="3" t="s">
        <v>2142</v>
      </c>
      <c r="J37" s="3" t="s">
        <v>58</v>
      </c>
      <c r="L37" s="3" t="s">
        <v>2170</v>
      </c>
      <c r="M37" s="3" t="s">
        <v>96</v>
      </c>
      <c r="N37" s="3" t="s">
        <v>69</v>
      </c>
      <c r="O37" s="3" t="s">
        <v>76</v>
      </c>
      <c r="S37" s="9" t="str">
        <f t="array" ref="S37">"[" &amp; TEXTJOIN(", ", TRUE, IF(LEN(T37:AB37), CHAR(34)&amp;T37:AB37&amp;CHAR(34), )) &amp; "]"
</f>
        <v>["Invasive non-native/alien species/diseases"]</v>
      </c>
      <c r="T37" s="3" t="s">
        <v>50</v>
      </c>
      <c r="U37" s="3"/>
      <c r="V37" s="3"/>
      <c r="AC37" s="3" t="s">
        <v>50</v>
      </c>
      <c r="AL37" s="9" t="str">
        <f t="array" ref="AL37">"[" &amp; TEXTJOIN(", ", TRUE, IF(LEN(AM37:AQ37), CHAR(34)&amp;AM37:AQ37&amp;CHAR(34), )) &amp; "]"
</f>
        <v>["Invasive &amp; other problematic species, genes &amp; diseases"]</v>
      </c>
      <c r="AM37" s="3" t="s">
        <v>54</v>
      </c>
      <c r="AN37" s="3"/>
      <c r="AO37" s="3"/>
      <c r="AP37" s="3"/>
      <c r="AQ37" s="3"/>
      <c r="AR37" s="3" t="s">
        <v>54</v>
      </c>
      <c r="AW37" s="8" t="s">
        <v>2171</v>
      </c>
    </row>
    <row r="38">
      <c r="A38" s="3">
        <v>507.0</v>
      </c>
      <c r="B38" s="3" t="s">
        <v>40</v>
      </c>
      <c r="C38" s="3" t="s">
        <v>1137</v>
      </c>
      <c r="D38" s="3">
        <v>2001.0</v>
      </c>
      <c r="E38" s="3" t="s">
        <v>1138</v>
      </c>
      <c r="F38" s="3" t="s">
        <v>391</v>
      </c>
      <c r="G38" s="3" t="s">
        <v>2163</v>
      </c>
      <c r="H38" s="3" t="s">
        <v>58</v>
      </c>
      <c r="I38" s="3" t="s">
        <v>2142</v>
      </c>
      <c r="J38" s="3" t="s">
        <v>58</v>
      </c>
      <c r="L38" s="3" t="s">
        <v>2168</v>
      </c>
      <c r="M38" s="3" t="s">
        <v>286</v>
      </c>
      <c r="S38" s="9" t="str">
        <f t="array" ref="S38">"[" &amp; TEXTJOIN(", ", TRUE, IF(LEN(T38:AB38), CHAR(34)&amp;T38:AB38&amp;CHAR(34), )) &amp; "]"
</f>
        <v>["Invasive non-native/alien species/diseases"]</v>
      </c>
      <c r="T38" s="3" t="s">
        <v>50</v>
      </c>
      <c r="U38" s="3"/>
      <c r="V38" s="3"/>
      <c r="AC38" s="3" t="s">
        <v>50</v>
      </c>
      <c r="AL38" s="9" t="str">
        <f t="array" ref="AL38">"[" &amp; TEXTJOIN(", ", TRUE, IF(LEN(AM38:AQ38), CHAR(34)&amp;AM38:AQ38&amp;CHAR(34), )) &amp; "]"
</f>
        <v>["Invasive &amp; other problematic species, genes &amp; diseases"]</v>
      </c>
      <c r="AM38" s="3" t="s">
        <v>54</v>
      </c>
      <c r="AN38" s="3"/>
      <c r="AO38" s="3"/>
      <c r="AP38" s="3"/>
      <c r="AQ38" s="3"/>
      <c r="AR38" s="3" t="s">
        <v>54</v>
      </c>
      <c r="AW38" s="8" t="s">
        <v>2172</v>
      </c>
    </row>
    <row r="39">
      <c r="A39" s="3">
        <v>521.0</v>
      </c>
      <c r="B39" s="3" t="s">
        <v>40</v>
      </c>
      <c r="C39" s="3" t="s">
        <v>1165</v>
      </c>
      <c r="D39" s="3">
        <v>2007.0</v>
      </c>
      <c r="E39" s="3" t="s">
        <v>1166</v>
      </c>
      <c r="F39" s="3" t="s">
        <v>391</v>
      </c>
      <c r="G39" s="3" t="s">
        <v>2163</v>
      </c>
      <c r="H39" s="3" t="s">
        <v>58</v>
      </c>
      <c r="I39" s="3" t="s">
        <v>2142</v>
      </c>
      <c r="J39" s="3" t="s">
        <v>58</v>
      </c>
      <c r="L39" s="3" t="s">
        <v>2173</v>
      </c>
      <c r="M39" s="3" t="s">
        <v>287</v>
      </c>
      <c r="S39" s="9" t="str">
        <f t="array" ref="S39">"[" &amp; TEXTJOIN(", ", TRUE, IF(LEN(T39:AB39), CHAR(34)&amp;T39:AB39&amp;CHAR(34), )) &amp; "]"
</f>
        <v>["Invasive non-native/alien species/diseases"]</v>
      </c>
      <c r="T39" s="3" t="s">
        <v>50</v>
      </c>
      <c r="U39" s="3"/>
      <c r="V39" s="3"/>
      <c r="AC39" s="3" t="s">
        <v>50</v>
      </c>
      <c r="AL39" s="9" t="str">
        <f t="array" ref="AL39">"[" &amp; TEXTJOIN(", ", TRUE, IF(LEN(AM39:AQ39), CHAR(34)&amp;AM39:AQ39&amp;CHAR(34), )) &amp; "]"
</f>
        <v>["Invasive &amp; other problematic species, genes &amp; diseases"]</v>
      </c>
      <c r="AM39" s="3" t="s">
        <v>54</v>
      </c>
      <c r="AN39" s="3"/>
      <c r="AO39" s="3"/>
      <c r="AP39" s="3"/>
      <c r="AQ39" s="3"/>
      <c r="AR39" s="3" t="s">
        <v>54</v>
      </c>
      <c r="AW39" s="8" t="s">
        <v>2174</v>
      </c>
    </row>
    <row r="40">
      <c r="A40" s="3">
        <v>526.0</v>
      </c>
      <c r="B40" s="3" t="s">
        <v>40</v>
      </c>
      <c r="C40" s="3" t="s">
        <v>1175</v>
      </c>
      <c r="D40" s="3">
        <v>2008.0</v>
      </c>
      <c r="E40" s="3" t="s">
        <v>1176</v>
      </c>
      <c r="F40" s="3" t="s">
        <v>391</v>
      </c>
      <c r="G40" s="3" t="s">
        <v>2163</v>
      </c>
      <c r="H40" s="3" t="s">
        <v>58</v>
      </c>
      <c r="I40" s="3" t="s">
        <v>2142</v>
      </c>
      <c r="J40" s="3" t="s">
        <v>58</v>
      </c>
      <c r="L40" s="3" t="s">
        <v>2175</v>
      </c>
      <c r="M40" s="3" t="s">
        <v>286</v>
      </c>
      <c r="N40" s="3" t="s">
        <v>76</v>
      </c>
      <c r="O40" s="3" t="s">
        <v>287</v>
      </c>
      <c r="P40" s="3" t="s">
        <v>69</v>
      </c>
      <c r="Q40" s="3" t="s">
        <v>96</v>
      </c>
      <c r="S40" s="9" t="str">
        <f t="array" ref="S40">"[" &amp; TEXTJOIN(", ", TRUE, IF(LEN(T40:AB40), CHAR(34)&amp;T40:AB40&amp;CHAR(34), )) &amp; "]"
</f>
        <v>["Invasive non-native/alien species/diseases"]</v>
      </c>
      <c r="T40" s="3" t="s">
        <v>50</v>
      </c>
      <c r="U40" s="3"/>
      <c r="V40" s="3"/>
      <c r="AC40" s="3" t="s">
        <v>50</v>
      </c>
      <c r="AL40" s="9" t="str">
        <f t="array" ref="AL40">"[" &amp; TEXTJOIN(", ", TRUE, IF(LEN(AM40:AQ40), CHAR(34)&amp;AM40:AQ40&amp;CHAR(34), )) &amp; "]"
</f>
        <v>["Invasive &amp; other problematic species, genes &amp; diseases"]</v>
      </c>
      <c r="AM40" s="3" t="s">
        <v>54</v>
      </c>
      <c r="AN40" s="3"/>
      <c r="AO40" s="3"/>
      <c r="AP40" s="3"/>
      <c r="AQ40" s="3"/>
      <c r="AR40" s="3" t="s">
        <v>54</v>
      </c>
      <c r="AW40" s="8" t="s">
        <v>2176</v>
      </c>
    </row>
    <row r="41" hidden="1">
      <c r="A41" s="3">
        <v>609.0</v>
      </c>
      <c r="B41" s="3" t="s">
        <v>55</v>
      </c>
      <c r="D41" s="3">
        <v>1991.0</v>
      </c>
      <c r="E41" s="3" t="s">
        <v>1344</v>
      </c>
      <c r="F41" s="3" t="s">
        <v>391</v>
      </c>
      <c r="G41" s="3"/>
      <c r="H41" s="3" t="s">
        <v>58</v>
      </c>
      <c r="I41" s="3"/>
      <c r="J41" s="3" t="s">
        <v>58</v>
      </c>
      <c r="K41" s="3"/>
      <c r="L41" s="3"/>
      <c r="M41" s="3" t="s">
        <v>286</v>
      </c>
      <c r="S41" s="3"/>
      <c r="T41" s="3"/>
      <c r="U41" s="3"/>
      <c r="V41" s="3"/>
      <c r="AC41" s="3" t="s">
        <v>50</v>
      </c>
      <c r="AL41" s="3"/>
      <c r="AM41" s="3"/>
      <c r="AN41" s="3"/>
      <c r="AO41" s="3"/>
      <c r="AP41" s="3"/>
      <c r="AQ41" s="3"/>
      <c r="AR41" s="3" t="s">
        <v>54</v>
      </c>
      <c r="AW41" s="8" t="s">
        <v>2135</v>
      </c>
    </row>
    <row r="42" hidden="1">
      <c r="A42" s="3">
        <v>611.0</v>
      </c>
      <c r="B42" s="3" t="s">
        <v>55</v>
      </c>
      <c r="D42" s="3">
        <v>1993.0</v>
      </c>
      <c r="E42" s="3" t="s">
        <v>1346</v>
      </c>
      <c r="F42" s="3" t="s">
        <v>391</v>
      </c>
      <c r="G42" s="3"/>
      <c r="H42" s="3" t="s">
        <v>58</v>
      </c>
      <c r="I42" s="3"/>
      <c r="J42" s="3" t="s">
        <v>58</v>
      </c>
      <c r="K42" s="3"/>
      <c r="L42" s="3"/>
      <c r="M42" s="3" t="s">
        <v>286</v>
      </c>
      <c r="S42" s="3"/>
      <c r="T42" s="3"/>
      <c r="U42" s="3"/>
      <c r="V42" s="3"/>
      <c r="AC42" s="3" t="s">
        <v>244</v>
      </c>
      <c r="AL42" s="3"/>
      <c r="AM42" s="3"/>
      <c r="AN42" s="3"/>
      <c r="AO42" s="3"/>
      <c r="AP42" s="3"/>
      <c r="AQ42" s="3"/>
      <c r="AR42" s="3" t="s">
        <v>54</v>
      </c>
      <c r="AW42" s="8" t="s">
        <v>2135</v>
      </c>
    </row>
    <row r="43" hidden="1">
      <c r="A43" s="3">
        <v>615.0</v>
      </c>
      <c r="B43" s="3" t="s">
        <v>55</v>
      </c>
      <c r="D43" s="3">
        <v>2000.0</v>
      </c>
      <c r="E43" s="3" t="s">
        <v>1351</v>
      </c>
      <c r="F43" s="3" t="s">
        <v>391</v>
      </c>
      <c r="G43" s="3"/>
      <c r="H43" s="3" t="s">
        <v>58</v>
      </c>
      <c r="I43" s="3"/>
      <c r="J43" s="3" t="s">
        <v>58</v>
      </c>
      <c r="K43" s="3"/>
      <c r="L43" s="3"/>
      <c r="M43" s="3" t="s">
        <v>286</v>
      </c>
      <c r="S43" s="3"/>
      <c r="T43" s="3"/>
      <c r="U43" s="3"/>
      <c r="V43" s="3"/>
      <c r="AC43" s="3" t="s">
        <v>50</v>
      </c>
      <c r="AL43" s="3"/>
      <c r="AM43" s="3"/>
      <c r="AN43" s="3"/>
      <c r="AO43" s="3"/>
      <c r="AP43" s="3"/>
      <c r="AQ43" s="3"/>
      <c r="AR43" s="3" t="s">
        <v>54</v>
      </c>
      <c r="AW43" s="8" t="s">
        <v>2135</v>
      </c>
    </row>
    <row r="44" hidden="1">
      <c r="A44" s="3">
        <v>617.0</v>
      </c>
      <c r="B44" s="3" t="s">
        <v>55</v>
      </c>
      <c r="D44" s="3">
        <v>2001.0</v>
      </c>
      <c r="E44" s="3" t="s">
        <v>1353</v>
      </c>
      <c r="F44" s="3" t="s">
        <v>391</v>
      </c>
      <c r="G44" s="3"/>
      <c r="H44" s="3" t="s">
        <v>58</v>
      </c>
      <c r="I44" s="3"/>
      <c r="J44" s="3" t="s">
        <v>58</v>
      </c>
      <c r="K44" s="3"/>
      <c r="L44" s="3"/>
      <c r="M44" s="3" t="s">
        <v>286</v>
      </c>
      <c r="S44" s="3"/>
      <c r="T44" s="3"/>
      <c r="U44" s="3"/>
      <c r="V44" s="3"/>
      <c r="AC44" s="3" t="s">
        <v>77</v>
      </c>
      <c r="AL44" s="3"/>
      <c r="AM44" s="3"/>
      <c r="AN44" s="3"/>
      <c r="AO44" s="3"/>
      <c r="AP44" s="3"/>
      <c r="AQ44" s="3"/>
      <c r="AR44" s="3" t="s">
        <v>54</v>
      </c>
      <c r="AW44" s="8" t="s">
        <v>2135</v>
      </c>
    </row>
    <row r="45" hidden="1">
      <c r="A45" s="3">
        <v>189.0</v>
      </c>
      <c r="B45" s="3" t="s">
        <v>106</v>
      </c>
      <c r="D45" s="3">
        <v>1989.0</v>
      </c>
      <c r="E45" s="3" t="s">
        <v>548</v>
      </c>
      <c r="F45" s="3" t="s">
        <v>549</v>
      </c>
      <c r="G45" s="3"/>
      <c r="H45" s="3" t="s">
        <v>58</v>
      </c>
      <c r="I45" s="3"/>
      <c r="K45" s="3"/>
      <c r="L45" s="3"/>
      <c r="M45" s="3" t="s">
        <v>110</v>
      </c>
      <c r="S45" s="3"/>
      <c r="T45" s="3"/>
      <c r="U45" s="3"/>
      <c r="V45" s="3"/>
      <c r="W45" s="3"/>
      <c r="X45" s="3"/>
      <c r="AC45" s="3" t="s">
        <v>267</v>
      </c>
      <c r="AD45" s="3" t="s">
        <v>61</v>
      </c>
      <c r="AF45" s="3" t="s">
        <v>125</v>
      </c>
      <c r="AL45" s="3"/>
      <c r="AM45" s="3"/>
      <c r="AN45" s="3"/>
      <c r="AO45" s="3"/>
      <c r="AP45" s="3"/>
      <c r="AQ45" s="3"/>
      <c r="AR45" s="3" t="s">
        <v>52</v>
      </c>
      <c r="AS45" s="3" t="s">
        <v>64</v>
      </c>
      <c r="AW45" s="8" t="s">
        <v>2135</v>
      </c>
    </row>
    <row r="46" hidden="1">
      <c r="A46" s="3">
        <v>395.0</v>
      </c>
      <c r="B46" s="3" t="s">
        <v>55</v>
      </c>
      <c r="D46" s="3">
        <v>1997.0</v>
      </c>
      <c r="E46" s="3" t="s">
        <v>944</v>
      </c>
      <c r="F46" s="3" t="s">
        <v>549</v>
      </c>
      <c r="G46" s="3"/>
      <c r="H46" s="3" t="s">
        <v>58</v>
      </c>
      <c r="I46" s="3"/>
      <c r="J46" s="3" t="s">
        <v>58</v>
      </c>
      <c r="K46" s="3"/>
      <c r="L46" s="3"/>
      <c r="M46" s="3" t="s">
        <v>69</v>
      </c>
      <c r="S46" s="3"/>
      <c r="T46" s="3"/>
      <c r="U46" s="3"/>
      <c r="V46" s="3"/>
      <c r="AC46" s="3" t="s">
        <v>61</v>
      </c>
      <c r="AL46" s="3"/>
      <c r="AM46" s="3"/>
      <c r="AN46" s="3"/>
      <c r="AO46" s="3"/>
      <c r="AP46" s="3"/>
      <c r="AQ46" s="3"/>
      <c r="AR46" s="3" t="s">
        <v>52</v>
      </c>
      <c r="AW46" s="8" t="s">
        <v>2135</v>
      </c>
    </row>
    <row r="47">
      <c r="A47" s="3">
        <v>743.0</v>
      </c>
      <c r="B47" s="3" t="s">
        <v>40</v>
      </c>
      <c r="C47" s="3" t="s">
        <v>1602</v>
      </c>
      <c r="D47" s="3">
        <v>2017.0</v>
      </c>
      <c r="E47" s="3" t="s">
        <v>1603</v>
      </c>
      <c r="F47" s="3" t="s">
        <v>549</v>
      </c>
      <c r="G47" s="3" t="s">
        <v>2177</v>
      </c>
      <c r="H47" s="3" t="s">
        <v>58</v>
      </c>
      <c r="I47" s="3" t="s">
        <v>2142</v>
      </c>
      <c r="J47" s="3" t="s">
        <v>58</v>
      </c>
      <c r="L47" s="3" t="s">
        <v>2143</v>
      </c>
      <c r="M47" s="3" t="s">
        <v>110</v>
      </c>
      <c r="S47" s="9" t="str">
        <f t="array" ref="S47">"[" &amp; TEXTJOIN(", ", TRUE, IF(LEN(T47:AB47), CHAR(34)&amp;T47:AB47&amp;CHAR(34), )) &amp; "]"
</f>
        <v>["Hunting &amp; collecting terrestrial animals"]</v>
      </c>
      <c r="U47" s="3"/>
      <c r="V47" s="3"/>
      <c r="W47" s="3" t="s">
        <v>2178</v>
      </c>
      <c r="AC47" s="3" t="s">
        <v>87</v>
      </c>
      <c r="AF47" s="3" t="s">
        <v>61</v>
      </c>
      <c r="AL47" s="9" t="str">
        <f t="array" ref="AL47">"[" &amp; TEXTJOIN(", ", TRUE, IF(LEN(AM47:AQ47), CHAR(34)&amp;AM47:AQ47&amp;CHAR(34), )) &amp; "]"
</f>
        <v>["Pollution", "Biological resource use"]</v>
      </c>
      <c r="AM47" s="3" t="s">
        <v>64</v>
      </c>
      <c r="AN47" s="3" t="s">
        <v>52</v>
      </c>
      <c r="AO47" s="3"/>
      <c r="AP47" s="3"/>
      <c r="AQ47" s="3"/>
      <c r="AR47" s="3" t="s">
        <v>64</v>
      </c>
      <c r="AS47" s="3" t="s">
        <v>52</v>
      </c>
      <c r="AW47" s="8" t="s">
        <v>2179</v>
      </c>
    </row>
    <row r="48">
      <c r="A48" s="3">
        <v>552.0</v>
      </c>
      <c r="B48" s="3" t="s">
        <v>40</v>
      </c>
      <c r="C48" s="3" t="s">
        <v>1228</v>
      </c>
      <c r="D48" s="3">
        <v>2012.0</v>
      </c>
      <c r="E48" s="3" t="s">
        <v>1229</v>
      </c>
      <c r="F48" s="3" t="s">
        <v>549</v>
      </c>
      <c r="G48" s="3" t="s">
        <v>2177</v>
      </c>
      <c r="H48" s="3" t="s">
        <v>58</v>
      </c>
      <c r="I48" s="3" t="s">
        <v>2142</v>
      </c>
      <c r="J48" s="3" t="s">
        <v>58</v>
      </c>
      <c r="L48" s="3" t="s">
        <v>2180</v>
      </c>
      <c r="M48" s="3" t="s">
        <v>285</v>
      </c>
      <c r="S48" s="9" t="str">
        <f t="array" ref="S48">"[" &amp; TEXTJOIN(", ", TRUE, IF(LEN(T48:AB48), CHAR(34)&amp;T48:AB48&amp;CHAR(34), )) &amp; "]"
</f>
        <v>["Viral/prion-induced diseases"]</v>
      </c>
      <c r="T48" s="3" t="s">
        <v>385</v>
      </c>
      <c r="U48" s="3"/>
      <c r="V48" s="3"/>
      <c r="AC48" s="3" t="s">
        <v>385</v>
      </c>
      <c r="AL48" s="9" t="str">
        <f t="array" ref="AL48">"[" &amp; TEXTJOIN(", ", TRUE, IF(LEN(AM48:AQ48), CHAR(34)&amp;AM48:AQ48&amp;CHAR(34), )) &amp; "]"
</f>
        <v>["Invasive &amp; other problematic species, genes &amp; diseases"]</v>
      </c>
      <c r="AM48" s="3" t="s">
        <v>54</v>
      </c>
      <c r="AN48" s="3"/>
      <c r="AO48" s="3"/>
      <c r="AP48" s="3"/>
      <c r="AQ48" s="3"/>
      <c r="AR48" s="3" t="s">
        <v>54</v>
      </c>
      <c r="AW48" s="8" t="s">
        <v>2181</v>
      </c>
    </row>
    <row r="49" hidden="1">
      <c r="A49" s="3">
        <v>162.0</v>
      </c>
      <c r="B49" s="3" t="s">
        <v>106</v>
      </c>
      <c r="C49" s="3" t="s">
        <v>494</v>
      </c>
      <c r="D49" s="3">
        <v>2011.0</v>
      </c>
      <c r="E49" s="3" t="s">
        <v>495</v>
      </c>
      <c r="F49" s="3" t="s">
        <v>496</v>
      </c>
      <c r="G49" s="3"/>
      <c r="H49" s="3" t="s">
        <v>91</v>
      </c>
      <c r="I49" s="3"/>
      <c r="K49" s="3"/>
      <c r="L49" s="3"/>
      <c r="M49" s="3" t="s">
        <v>173</v>
      </c>
      <c r="S49" s="3"/>
      <c r="T49" s="3"/>
      <c r="U49" s="3"/>
      <c r="V49" s="3"/>
      <c r="W49" s="3"/>
      <c r="X49" s="3"/>
      <c r="Y49" s="3"/>
      <c r="Z49" s="3"/>
      <c r="AA49" s="3"/>
      <c r="AB49" s="3"/>
      <c r="AC49" s="3" t="s">
        <v>61</v>
      </c>
      <c r="AF49" s="3" t="s">
        <v>87</v>
      </c>
      <c r="AH49" s="3" t="s">
        <v>250</v>
      </c>
      <c r="AJ49" s="3" t="s">
        <v>111</v>
      </c>
      <c r="AL49" s="3"/>
      <c r="AM49" s="3"/>
      <c r="AN49" s="3"/>
      <c r="AO49" s="3"/>
      <c r="AP49" s="3"/>
      <c r="AQ49" s="3"/>
      <c r="AR49" s="3" t="s">
        <v>52</v>
      </c>
      <c r="AS49" s="3" t="s">
        <v>64</v>
      </c>
      <c r="AT49" s="3" t="s">
        <v>53</v>
      </c>
      <c r="AU49" s="3" t="s">
        <v>51</v>
      </c>
      <c r="AW49" s="8" t="s">
        <v>2135</v>
      </c>
    </row>
    <row r="50">
      <c r="A50" s="3">
        <v>325.0</v>
      </c>
      <c r="B50" s="3" t="s">
        <v>40</v>
      </c>
      <c r="C50" s="3" t="s">
        <v>818</v>
      </c>
      <c r="D50" s="3">
        <v>2015.0</v>
      </c>
      <c r="E50" s="3" t="s">
        <v>819</v>
      </c>
      <c r="F50" s="3" t="s">
        <v>496</v>
      </c>
      <c r="G50" s="3" t="s">
        <v>2182</v>
      </c>
      <c r="H50" s="3" t="s">
        <v>91</v>
      </c>
      <c r="I50" s="3" t="s">
        <v>2136</v>
      </c>
      <c r="J50" s="3" t="s">
        <v>91</v>
      </c>
      <c r="L50" s="3" t="s">
        <v>2183</v>
      </c>
      <c r="M50" s="3" t="s">
        <v>173</v>
      </c>
      <c r="S50" s="9" t="str">
        <f t="array" ref="S50">"[" &amp; TEXTJOIN(", ", TRUE, IF(LEN(T50:AB50), CHAR(34)&amp;T50:AB50&amp;CHAR(34), )) &amp; "]"
</f>
        <v>["Fishing &amp; Harvesting Aquatic Resources"]</v>
      </c>
      <c r="T50" s="3" t="s">
        <v>2164</v>
      </c>
      <c r="U50" s="3"/>
      <c r="V50" s="3"/>
      <c r="AC50" s="3" t="s">
        <v>247</v>
      </c>
      <c r="AL50" s="9" t="str">
        <f t="array" ref="AL50">"[" &amp; TEXTJOIN(", ", TRUE, IF(LEN(AM50:AQ50), CHAR(34)&amp;AM50:AQ50&amp;CHAR(34), )) &amp; "]"
</f>
        <v>["Biological resource use"]</v>
      </c>
      <c r="AM50" s="3" t="s">
        <v>52</v>
      </c>
      <c r="AN50" s="3"/>
      <c r="AO50" s="3"/>
      <c r="AP50" s="3"/>
      <c r="AQ50" s="3"/>
      <c r="AR50" s="3" t="s">
        <v>52</v>
      </c>
      <c r="AW50" s="8" t="s">
        <v>2184</v>
      </c>
    </row>
    <row r="51" hidden="1">
      <c r="A51" s="3">
        <v>399.0</v>
      </c>
      <c r="B51" s="3" t="s">
        <v>55</v>
      </c>
      <c r="D51" s="3">
        <v>2009.0</v>
      </c>
      <c r="E51" s="3" t="s">
        <v>948</v>
      </c>
      <c r="F51" s="3" t="s">
        <v>496</v>
      </c>
      <c r="G51" s="3"/>
      <c r="H51" s="3" t="s">
        <v>91</v>
      </c>
      <c r="I51" s="3"/>
      <c r="J51" s="3" t="s">
        <v>91</v>
      </c>
      <c r="K51" s="3"/>
      <c r="L51" s="3"/>
      <c r="M51" s="3" t="s">
        <v>173</v>
      </c>
      <c r="N51" s="3" t="s">
        <v>92</v>
      </c>
      <c r="S51" s="3"/>
      <c r="T51" s="3"/>
      <c r="U51" s="3"/>
      <c r="V51" s="3"/>
      <c r="AC51" s="3" t="s">
        <v>61</v>
      </c>
      <c r="AL51" s="3"/>
      <c r="AM51" s="3"/>
      <c r="AN51" s="3"/>
      <c r="AO51" s="3"/>
      <c r="AP51" s="3"/>
      <c r="AQ51" s="3"/>
      <c r="AR51" s="3" t="s">
        <v>52</v>
      </c>
      <c r="AW51" s="8" t="s">
        <v>2135</v>
      </c>
    </row>
    <row r="52" hidden="1">
      <c r="A52" s="3">
        <v>420.0</v>
      </c>
      <c r="B52" s="3" t="s">
        <v>106</v>
      </c>
      <c r="D52" s="3">
        <v>2019.0</v>
      </c>
      <c r="E52" s="3" t="s">
        <v>973</v>
      </c>
      <c r="F52" s="3" t="s">
        <v>496</v>
      </c>
      <c r="G52" s="3"/>
      <c r="H52" s="3" t="s">
        <v>91</v>
      </c>
      <c r="I52" s="3"/>
      <c r="K52" s="3"/>
      <c r="L52" s="3"/>
      <c r="M52" s="3" t="s">
        <v>173</v>
      </c>
      <c r="S52" s="3"/>
      <c r="T52" s="3"/>
      <c r="U52" s="3"/>
      <c r="V52" s="3"/>
      <c r="AC52" s="3" t="s">
        <v>247</v>
      </c>
      <c r="AL52" s="3"/>
      <c r="AM52" s="3"/>
      <c r="AN52" s="3"/>
      <c r="AO52" s="3"/>
      <c r="AP52" s="3"/>
      <c r="AQ52" s="3"/>
      <c r="AR52" s="3" t="s">
        <v>52</v>
      </c>
      <c r="AW52" s="8" t="s">
        <v>2135</v>
      </c>
    </row>
    <row r="53" hidden="1">
      <c r="A53" s="3">
        <v>182.0</v>
      </c>
      <c r="B53" s="3" t="s">
        <v>106</v>
      </c>
      <c r="C53" s="3" t="s">
        <v>536</v>
      </c>
      <c r="D53" s="3">
        <v>2014.0</v>
      </c>
      <c r="E53" s="3" t="s">
        <v>537</v>
      </c>
      <c r="F53" s="3" t="s">
        <v>538</v>
      </c>
      <c r="G53" s="3"/>
      <c r="H53" s="3" t="s">
        <v>124</v>
      </c>
      <c r="I53" s="3"/>
      <c r="K53" s="3"/>
      <c r="L53" s="3"/>
      <c r="M53" s="3" t="s">
        <v>155</v>
      </c>
      <c r="N53" s="3" t="s">
        <v>110</v>
      </c>
      <c r="O53" s="3" t="s">
        <v>205</v>
      </c>
      <c r="S53" s="3"/>
      <c r="T53" s="3"/>
      <c r="U53" s="3"/>
      <c r="V53" s="3"/>
      <c r="AC53" s="3" t="s">
        <v>61</v>
      </c>
      <c r="AL53" s="3"/>
      <c r="AM53" s="3"/>
      <c r="AN53" s="3"/>
      <c r="AO53" s="3"/>
      <c r="AP53" s="3"/>
      <c r="AQ53" s="3"/>
      <c r="AR53" s="3" t="s">
        <v>52</v>
      </c>
      <c r="AS53" s="3" t="s">
        <v>64</v>
      </c>
      <c r="AT53" s="3" t="s">
        <v>143</v>
      </c>
      <c r="AW53" s="8" t="s">
        <v>2135</v>
      </c>
    </row>
    <row r="54" hidden="1">
      <c r="A54" s="3">
        <v>96.0</v>
      </c>
      <c r="B54" s="3" t="s">
        <v>106</v>
      </c>
      <c r="D54" s="3">
        <v>1988.0</v>
      </c>
      <c r="E54" s="3" t="s">
        <v>360</v>
      </c>
      <c r="F54" s="3" t="s">
        <v>361</v>
      </c>
      <c r="G54" s="3"/>
      <c r="H54" s="3" t="s">
        <v>44</v>
      </c>
      <c r="I54" s="3"/>
      <c r="K54" s="3"/>
      <c r="L54" s="3"/>
      <c r="M54" s="3" t="s">
        <v>266</v>
      </c>
      <c r="S54" s="3"/>
      <c r="T54" s="3"/>
      <c r="U54" s="3"/>
      <c r="V54" s="3"/>
      <c r="W54" s="3"/>
      <c r="X54" s="3"/>
      <c r="AC54" s="3" t="s">
        <v>247</v>
      </c>
      <c r="AD54" s="3" t="s">
        <v>61</v>
      </c>
      <c r="AE54" s="3" t="s">
        <v>48</v>
      </c>
      <c r="AF54" s="3" t="s">
        <v>238</v>
      </c>
      <c r="AL54" s="3"/>
      <c r="AM54" s="3"/>
      <c r="AN54" s="3"/>
      <c r="AO54" s="3"/>
      <c r="AP54" s="3"/>
      <c r="AQ54" s="3"/>
      <c r="AR54" s="3" t="s">
        <v>52</v>
      </c>
      <c r="AS54" s="3" t="s">
        <v>235</v>
      </c>
      <c r="AW54" s="8" t="s">
        <v>2135</v>
      </c>
    </row>
    <row r="55" hidden="1">
      <c r="A55" s="3">
        <v>101.0</v>
      </c>
      <c r="B55" s="3" t="s">
        <v>106</v>
      </c>
      <c r="D55" s="3">
        <v>2002.0</v>
      </c>
      <c r="E55" s="3" t="s">
        <v>369</v>
      </c>
      <c r="F55" s="3" t="s">
        <v>361</v>
      </c>
      <c r="G55" s="3"/>
      <c r="H55" s="3" t="s">
        <v>44</v>
      </c>
      <c r="I55" s="3"/>
      <c r="K55" s="3"/>
      <c r="L55" s="3"/>
      <c r="M55" s="3" t="s">
        <v>46</v>
      </c>
      <c r="S55" s="3"/>
      <c r="T55" s="3"/>
      <c r="U55" s="3"/>
      <c r="V55" s="3"/>
      <c r="W55" s="3"/>
      <c r="X55" s="3"/>
      <c r="Y55" s="3"/>
      <c r="Z55" s="3"/>
      <c r="AC55" s="3" t="s">
        <v>247</v>
      </c>
      <c r="AD55" s="3" t="s">
        <v>61</v>
      </c>
      <c r="AF55" s="3" t="s">
        <v>260</v>
      </c>
      <c r="AH55" s="3" t="s">
        <v>125</v>
      </c>
      <c r="AL55" s="3"/>
      <c r="AM55" s="3"/>
      <c r="AN55" s="3"/>
      <c r="AO55" s="3"/>
      <c r="AP55" s="3"/>
      <c r="AQ55" s="3"/>
      <c r="AR55" s="3" t="s">
        <v>52</v>
      </c>
      <c r="AS55" s="3" t="s">
        <v>121</v>
      </c>
      <c r="AT55" s="3" t="s">
        <v>64</v>
      </c>
      <c r="AW55" s="8" t="s">
        <v>2135</v>
      </c>
    </row>
    <row r="56">
      <c r="A56" s="3">
        <v>202.0</v>
      </c>
      <c r="B56" s="3" t="s">
        <v>40</v>
      </c>
      <c r="C56" s="3" t="s">
        <v>571</v>
      </c>
      <c r="D56" s="3">
        <v>2014.0</v>
      </c>
      <c r="E56" s="3" t="s">
        <v>572</v>
      </c>
      <c r="F56" s="3" t="s">
        <v>43</v>
      </c>
      <c r="G56" s="3" t="s">
        <v>2185</v>
      </c>
      <c r="H56" s="3" t="s">
        <v>44</v>
      </c>
      <c r="I56" s="3" t="s">
        <v>2147</v>
      </c>
      <c r="J56" s="3" t="s">
        <v>45</v>
      </c>
      <c r="L56" s="3" t="s">
        <v>2186</v>
      </c>
      <c r="M56" s="3" t="s">
        <v>46</v>
      </c>
      <c r="S56" s="9" t="str">
        <f t="array" ref="S56">"[" &amp; TEXTJOIN(", ", TRUE, IF(LEN(T56:AB56), CHAR(34)&amp;T56:AB56&amp;CHAR(34), )) &amp; "]"
</f>
        <v>["Hunting &amp; Collecting Terrestrial Animals", "Fishing &amp; Harvesting Aquatic Resources", "Housing &amp; urban areas", "Work &amp; other activities", "Domestic &amp; urban waste water", "Livestock farming &amp; ranching"]</v>
      </c>
      <c r="T56" s="3" t="s">
        <v>2138</v>
      </c>
      <c r="U56" s="3" t="s">
        <v>2164</v>
      </c>
      <c r="V56" s="3"/>
      <c r="W56" s="3" t="s">
        <v>70</v>
      </c>
      <c r="Y56" s="3" t="s">
        <v>260</v>
      </c>
      <c r="AA56" s="3" t="s">
        <v>259</v>
      </c>
      <c r="AB56" s="3" t="s">
        <v>47</v>
      </c>
      <c r="AC56" s="3" t="s">
        <v>61</v>
      </c>
      <c r="AD56" s="3" t="s">
        <v>247</v>
      </c>
      <c r="AF56" s="3" t="s">
        <v>70</v>
      </c>
      <c r="AH56" s="3" t="s">
        <v>260</v>
      </c>
      <c r="AJ56" s="3" t="s">
        <v>259</v>
      </c>
      <c r="AK56" s="3" t="s">
        <v>47</v>
      </c>
      <c r="AL56" s="9" t="str">
        <f t="array" ref="AL56">"[" &amp; TEXTJOIN(", ", TRUE, IF(LEN(AM56:AQ56), CHAR(34)&amp;AM56:AQ56&amp;CHAR(34), )) &amp; "]"
</f>
        <v>["Biological resource use", "Residential &amp; commercial development", "Human intrusions &amp; disturbance", "Pollution", "Agriculture &amp; aquaculture"]</v>
      </c>
      <c r="AM56" s="3" t="s">
        <v>52</v>
      </c>
      <c r="AN56" s="3" t="s">
        <v>71</v>
      </c>
      <c r="AO56" s="3" t="s">
        <v>121</v>
      </c>
      <c r="AP56" s="3" t="s">
        <v>64</v>
      </c>
      <c r="AQ56" s="3" t="s">
        <v>51</v>
      </c>
      <c r="AR56" s="3" t="s">
        <v>52</v>
      </c>
      <c r="AS56" s="3" t="s">
        <v>71</v>
      </c>
      <c r="AT56" s="3" t="s">
        <v>121</v>
      </c>
      <c r="AU56" s="3" t="s">
        <v>64</v>
      </c>
      <c r="AV56" s="3" t="s">
        <v>51</v>
      </c>
      <c r="AW56" s="8" t="s">
        <v>2187</v>
      </c>
    </row>
    <row r="57">
      <c r="A57" s="3">
        <v>1.0</v>
      </c>
      <c r="B57" s="3" t="s">
        <v>40</v>
      </c>
      <c r="C57" s="3" t="s">
        <v>41</v>
      </c>
      <c r="D57" s="3">
        <v>2005.0</v>
      </c>
      <c r="E57" s="3" t="s">
        <v>42</v>
      </c>
      <c r="F57" s="3" t="s">
        <v>43</v>
      </c>
      <c r="G57" s="3" t="s">
        <v>2185</v>
      </c>
      <c r="H57" s="3" t="s">
        <v>44</v>
      </c>
      <c r="I57" s="3" t="s">
        <v>2147</v>
      </c>
      <c r="J57" s="3" t="s">
        <v>45</v>
      </c>
      <c r="L57" s="3" t="s">
        <v>2186</v>
      </c>
      <c r="M57" s="3" t="s">
        <v>46</v>
      </c>
      <c r="S57" s="9" t="str">
        <f t="array" ref="S57">"[" &amp; TEXTJOIN(", ", TRUE, IF(LEN(T57:AB57), CHAR(34)&amp;T57:AB57&amp;CHAR(34), )) &amp; "]"
</f>
        <v>["Livestock farming &amp; ranching", "Logging &amp; wood harvesting", "Dams &amp; water management/use", "Invasive non-native/alien species/diseases"]</v>
      </c>
      <c r="T57" s="3" t="s">
        <v>47</v>
      </c>
      <c r="U57" s="3"/>
      <c r="V57" s="3"/>
      <c r="W57" s="3" t="s">
        <v>2188</v>
      </c>
      <c r="Y57" s="3" t="s">
        <v>49</v>
      </c>
      <c r="AA57" s="3" t="s">
        <v>50</v>
      </c>
      <c r="AC57" s="3" t="s">
        <v>47</v>
      </c>
      <c r="AF57" s="3" t="s">
        <v>48</v>
      </c>
      <c r="AH57" s="3" t="s">
        <v>49</v>
      </c>
      <c r="AJ57" s="3" t="s">
        <v>50</v>
      </c>
      <c r="AL57" s="9" t="str">
        <f t="array" ref="AL57">"[" &amp; TEXTJOIN(", ", TRUE, IF(LEN(AM57:AQ57), CHAR(34)&amp;AM57:AQ57&amp;CHAR(34), )) &amp; "]"
</f>
        <v>["Agriculture &amp; aquaculture", "Biological resource use", "Natural system modifications", "Invasive &amp; other problematic species, genes &amp; diseases"]</v>
      </c>
      <c r="AM57" s="3" t="s">
        <v>51</v>
      </c>
      <c r="AN57" s="3" t="s">
        <v>52</v>
      </c>
      <c r="AO57" s="3" t="s">
        <v>53</v>
      </c>
      <c r="AP57" s="3" t="s">
        <v>54</v>
      </c>
      <c r="AQ57" s="3"/>
      <c r="AR57" s="3" t="s">
        <v>51</v>
      </c>
      <c r="AS57" s="3" t="s">
        <v>52</v>
      </c>
      <c r="AT57" s="3" t="s">
        <v>53</v>
      </c>
      <c r="AU57" s="3" t="s">
        <v>54</v>
      </c>
      <c r="AW57" s="8" t="s">
        <v>2189</v>
      </c>
    </row>
    <row r="58" hidden="1">
      <c r="A58" s="3">
        <v>47.0</v>
      </c>
      <c r="B58" s="3" t="s">
        <v>106</v>
      </c>
      <c r="C58" s="3" t="s">
        <v>221</v>
      </c>
      <c r="D58" s="3">
        <v>2011.0</v>
      </c>
      <c r="E58" s="3" t="s">
        <v>2190</v>
      </c>
      <c r="F58" s="3" t="s">
        <v>43</v>
      </c>
      <c r="G58" s="3"/>
      <c r="H58" s="3" t="s">
        <v>44</v>
      </c>
      <c r="I58" s="3"/>
      <c r="K58" s="3"/>
      <c r="L58" s="3"/>
      <c r="M58" s="3" t="s">
        <v>46</v>
      </c>
      <c r="S58" s="3"/>
      <c r="T58" s="3"/>
      <c r="U58" s="3"/>
      <c r="V58" s="3"/>
      <c r="AC58" s="3" t="s">
        <v>111</v>
      </c>
      <c r="AL58" s="3"/>
      <c r="AM58" s="3"/>
      <c r="AN58" s="3"/>
      <c r="AO58" s="3"/>
      <c r="AP58" s="3"/>
      <c r="AQ58" s="3"/>
      <c r="AR58" s="3" t="s">
        <v>51</v>
      </c>
      <c r="AW58" s="8" t="s">
        <v>2135</v>
      </c>
    </row>
    <row r="59">
      <c r="A59" s="3">
        <v>92.0</v>
      </c>
      <c r="B59" s="3" t="s">
        <v>40</v>
      </c>
      <c r="C59" s="3" t="s">
        <v>350</v>
      </c>
      <c r="D59" s="3">
        <v>2007.0</v>
      </c>
      <c r="E59" s="3" t="s">
        <v>351</v>
      </c>
      <c r="F59" s="3" t="s">
        <v>43</v>
      </c>
      <c r="G59" s="3" t="s">
        <v>2185</v>
      </c>
      <c r="H59" s="3" t="s">
        <v>44</v>
      </c>
      <c r="I59" s="3" t="s">
        <v>2147</v>
      </c>
      <c r="J59" s="3" t="s">
        <v>45</v>
      </c>
      <c r="L59" s="3" t="s">
        <v>2186</v>
      </c>
      <c r="M59" s="3" t="s">
        <v>46</v>
      </c>
      <c r="S59" s="9" t="str">
        <f t="array" ref="S59">"[" &amp; TEXTJOIN(", ", TRUE, IF(LEN(T59:AB59), CHAR(34)&amp;T59:AB59&amp;CHAR(34), )) &amp; "]"
</f>
        <v>["Hunting &amp; Collecting Terrestrial Animals", "Mining &amp; quarrying", "Industrial &amp; military effluents", "Oil &amp; gas drilling", "Dams &amp; water management/use"]</v>
      </c>
      <c r="T59" s="3" t="s">
        <v>2138</v>
      </c>
      <c r="U59" s="3"/>
      <c r="V59" s="3"/>
      <c r="W59" s="3" t="s">
        <v>238</v>
      </c>
      <c r="Y59" s="3" t="s">
        <v>147</v>
      </c>
      <c r="Z59" s="3" t="s">
        <v>352</v>
      </c>
      <c r="AA59" s="3" t="s">
        <v>49</v>
      </c>
      <c r="AC59" s="3" t="s">
        <v>61</v>
      </c>
      <c r="AF59" s="3" t="s">
        <v>238</v>
      </c>
      <c r="AH59" s="3" t="s">
        <v>147</v>
      </c>
      <c r="AI59" s="3" t="s">
        <v>352</v>
      </c>
      <c r="AJ59" s="3" t="s">
        <v>49</v>
      </c>
      <c r="AL59" s="9" t="str">
        <f t="array" ref="AL59">"[" &amp; TEXTJOIN(", ", TRUE, IF(LEN(AM59:AQ59), CHAR(34)&amp;AM59:AQ59&amp;CHAR(34), )) &amp; "]"
</f>
        <v>["Biological resource use", "Energy production &amp; mining", "Pollution", "Natural system modifications"]</v>
      </c>
      <c r="AM59" s="3" t="s">
        <v>52</v>
      </c>
      <c r="AN59" s="3" t="s">
        <v>235</v>
      </c>
      <c r="AO59" s="3" t="s">
        <v>64</v>
      </c>
      <c r="AP59" s="3" t="s">
        <v>53</v>
      </c>
      <c r="AQ59" s="3"/>
      <c r="AR59" s="3" t="s">
        <v>52</v>
      </c>
      <c r="AS59" s="3" t="s">
        <v>235</v>
      </c>
      <c r="AT59" s="3" t="s">
        <v>64</v>
      </c>
      <c r="AU59" s="3" t="s">
        <v>53</v>
      </c>
      <c r="AW59" s="8" t="s">
        <v>2191</v>
      </c>
    </row>
    <row r="60">
      <c r="A60" s="3">
        <v>65.0</v>
      </c>
      <c r="B60" s="3" t="s">
        <v>40</v>
      </c>
      <c r="C60" s="3" t="s">
        <v>273</v>
      </c>
      <c r="D60" s="3">
        <v>2017.0</v>
      </c>
      <c r="E60" s="3" t="s">
        <v>274</v>
      </c>
      <c r="F60" s="3" t="s">
        <v>43</v>
      </c>
      <c r="G60" s="3" t="s">
        <v>2185</v>
      </c>
      <c r="H60" s="3" t="s">
        <v>44</v>
      </c>
      <c r="I60" s="3" t="s">
        <v>2147</v>
      </c>
      <c r="J60" s="3" t="s">
        <v>45</v>
      </c>
      <c r="L60" s="3" t="s">
        <v>2192</v>
      </c>
      <c r="M60" s="3" t="s">
        <v>208</v>
      </c>
      <c r="N60" s="3" t="s">
        <v>275</v>
      </c>
      <c r="S60" s="9" t="str">
        <f t="array" ref="S60">"[" &amp; TEXTJOIN(", ", TRUE, IF(LEN(T60:AB60), CHAR(34)&amp;T60:AB60&amp;CHAR(34), )) &amp; "]"
</f>
        <v>["Logging &amp; Wood Harvesting"]</v>
      </c>
      <c r="T60" s="3" t="s">
        <v>2139</v>
      </c>
      <c r="U60" s="3"/>
      <c r="V60" s="3"/>
      <c r="AC60" s="3" t="s">
        <v>48</v>
      </c>
      <c r="AF60" s="3" t="s">
        <v>87</v>
      </c>
      <c r="AH60" s="3" t="s">
        <v>87</v>
      </c>
      <c r="AL60" s="9" t="str">
        <f t="array" ref="AL60">"[" &amp; TEXTJOIN(", ", TRUE, IF(LEN(AM60:AQ60), CHAR(34)&amp;AM60:AQ60&amp;CHAR(34), )) &amp; "]"
</f>
        <v>["Biological resource use", "Agriculture &amp; aquaculture", "Residential &amp; commercial development"]</v>
      </c>
      <c r="AM60" s="3" t="s">
        <v>52</v>
      </c>
      <c r="AN60" s="3" t="s">
        <v>51</v>
      </c>
      <c r="AO60" s="3" t="s">
        <v>71</v>
      </c>
      <c r="AP60" s="3"/>
      <c r="AQ60" s="3"/>
      <c r="AR60" s="3" t="s">
        <v>52</v>
      </c>
      <c r="AS60" s="3" t="s">
        <v>51</v>
      </c>
      <c r="AT60" s="3" t="s">
        <v>71</v>
      </c>
      <c r="AW60" s="8" t="s">
        <v>2193</v>
      </c>
    </row>
    <row r="61">
      <c r="A61" s="3">
        <v>452.0</v>
      </c>
      <c r="B61" s="3" t="s">
        <v>40</v>
      </c>
      <c r="C61" s="3" t="s">
        <v>1031</v>
      </c>
      <c r="D61" s="3">
        <v>2015.0</v>
      </c>
      <c r="E61" s="3" t="s">
        <v>1032</v>
      </c>
      <c r="F61" s="3" t="s">
        <v>43</v>
      </c>
      <c r="G61" s="3" t="s">
        <v>2185</v>
      </c>
      <c r="H61" s="3" t="s">
        <v>44</v>
      </c>
      <c r="I61" s="3" t="s">
        <v>2147</v>
      </c>
      <c r="J61" s="3" t="s">
        <v>45</v>
      </c>
      <c r="L61" s="3" t="s">
        <v>2186</v>
      </c>
      <c r="M61" s="3" t="s">
        <v>46</v>
      </c>
      <c r="S61" s="9" t="str">
        <f t="array" ref="S61">"[" &amp; TEXTJOIN(", ", TRUE, IF(LEN(T61:AB61), CHAR(34)&amp;T61:AB61&amp;CHAR(34), )) &amp; "]"
</f>
        <v>["Work &amp; other activities", "Housing &amp; urban areas"]</v>
      </c>
      <c r="T61" s="3" t="s">
        <v>260</v>
      </c>
      <c r="U61" s="3"/>
      <c r="V61" s="3"/>
      <c r="W61" s="3" t="s">
        <v>70</v>
      </c>
      <c r="AC61" s="3" t="s">
        <v>260</v>
      </c>
      <c r="AF61" s="3" t="s">
        <v>70</v>
      </c>
      <c r="AL61" s="9" t="str">
        <f t="array" ref="AL61">"[" &amp; TEXTJOIN(", ", TRUE, IF(LEN(AM61:AQ61), CHAR(34)&amp;AM61:AQ61&amp;CHAR(34), )) &amp; "]"
</f>
        <v>["Human intrusions &amp; disturbance", "Residential &amp; commercial development"]</v>
      </c>
      <c r="AM61" s="3" t="s">
        <v>121</v>
      </c>
      <c r="AN61" s="3" t="s">
        <v>71</v>
      </c>
      <c r="AO61" s="3"/>
      <c r="AP61" s="3"/>
      <c r="AQ61" s="3"/>
      <c r="AR61" s="3" t="s">
        <v>121</v>
      </c>
      <c r="AS61" s="3" t="s">
        <v>71</v>
      </c>
      <c r="AW61" s="8" t="s">
        <v>2194</v>
      </c>
    </row>
    <row r="62">
      <c r="A62" s="3">
        <v>213.0</v>
      </c>
      <c r="B62" s="3" t="s">
        <v>40</v>
      </c>
      <c r="C62" s="3" t="s">
        <v>593</v>
      </c>
      <c r="D62" s="3">
        <v>2018.0</v>
      </c>
      <c r="E62" s="3" t="s">
        <v>594</v>
      </c>
      <c r="F62" s="3" t="s">
        <v>43</v>
      </c>
      <c r="G62" s="3" t="s">
        <v>2185</v>
      </c>
      <c r="H62" s="3" t="s">
        <v>44</v>
      </c>
      <c r="I62" s="3" t="s">
        <v>2147</v>
      </c>
      <c r="J62" s="3" t="s">
        <v>45</v>
      </c>
      <c r="L62" s="3" t="s">
        <v>2150</v>
      </c>
      <c r="M62" s="3" t="s">
        <v>275</v>
      </c>
      <c r="S62" s="9" t="str">
        <f t="array" ref="S62">"[" &amp; TEXTJOIN(", ", TRUE, IF(LEN(T62:AB62), CHAR(34)&amp;T62:AB62&amp;CHAR(34), )) &amp; "]"
</f>
        <v>["Hunting &amp; Collecting Terrestrial Animals", "Roads &amp; railroads"]</v>
      </c>
      <c r="T62" s="3" t="s">
        <v>2138</v>
      </c>
      <c r="U62" s="3"/>
      <c r="V62" s="3"/>
      <c r="W62" s="3" t="s">
        <v>63</v>
      </c>
      <c r="AC62" s="3" t="s">
        <v>61</v>
      </c>
      <c r="AF62" s="3" t="s">
        <v>63</v>
      </c>
      <c r="AL62" s="9" t="str">
        <f t="array" ref="AL62">"[" &amp; TEXTJOIN(", ", TRUE, IF(LEN(AM62:AQ62), CHAR(34)&amp;AM62:AQ62&amp;CHAR(34), )) &amp; "]"
</f>
        <v>["Biological resource use", "Transportation &amp; service corridors"]</v>
      </c>
      <c r="AM62" s="3" t="s">
        <v>52</v>
      </c>
      <c r="AN62" s="3" t="s">
        <v>65</v>
      </c>
      <c r="AP62" s="3"/>
      <c r="AQ62" s="3"/>
      <c r="AR62" s="3" t="s">
        <v>52</v>
      </c>
      <c r="AS62" s="3" t="s">
        <v>65</v>
      </c>
      <c r="AT62" s="3" t="s">
        <v>78</v>
      </c>
      <c r="AW62" s="8" t="s">
        <v>2195</v>
      </c>
    </row>
    <row r="63" hidden="1">
      <c r="A63" s="3">
        <v>215.0</v>
      </c>
      <c r="B63" s="3" t="s">
        <v>106</v>
      </c>
      <c r="C63" s="3" t="s">
        <v>597</v>
      </c>
      <c r="D63" s="3">
        <v>2012.0</v>
      </c>
      <c r="E63" s="3" t="s">
        <v>598</v>
      </c>
      <c r="F63" s="3" t="s">
        <v>43</v>
      </c>
      <c r="G63" s="3"/>
      <c r="H63" s="3" t="s">
        <v>44</v>
      </c>
      <c r="I63" s="3"/>
      <c r="K63" s="3"/>
      <c r="L63" s="3"/>
      <c r="M63" s="3" t="s">
        <v>485</v>
      </c>
      <c r="S63" s="3"/>
      <c r="T63" s="3"/>
      <c r="U63" s="3"/>
      <c r="V63" s="3"/>
      <c r="W63" s="3"/>
      <c r="X63" s="3"/>
      <c r="Y63" s="3"/>
      <c r="Z63" s="3"/>
      <c r="AC63" s="3" t="s">
        <v>61</v>
      </c>
      <c r="AF63" s="3" t="s">
        <v>63</v>
      </c>
      <c r="AH63" s="3" t="s">
        <v>62</v>
      </c>
      <c r="AK63" s="3" t="s">
        <v>111</v>
      </c>
      <c r="AL63" s="3"/>
      <c r="AM63" s="3"/>
      <c r="AN63" s="3"/>
      <c r="AO63" s="3"/>
      <c r="AP63" s="3"/>
      <c r="AQ63" s="3"/>
      <c r="AR63" s="3" t="s">
        <v>52</v>
      </c>
      <c r="AS63" s="3" t="s">
        <v>65</v>
      </c>
      <c r="AT63" s="3" t="s">
        <v>64</v>
      </c>
      <c r="AU63" s="3" t="s">
        <v>143</v>
      </c>
      <c r="AV63" s="3" t="s">
        <v>51</v>
      </c>
      <c r="AW63" s="8" t="s">
        <v>2135</v>
      </c>
    </row>
    <row r="64" hidden="1">
      <c r="A64" s="3">
        <v>239.0</v>
      </c>
      <c r="B64" s="3" t="s">
        <v>106</v>
      </c>
      <c r="C64" s="3" t="s">
        <v>644</v>
      </c>
      <c r="D64" s="3">
        <v>2012.0</v>
      </c>
      <c r="E64" s="3" t="s">
        <v>645</v>
      </c>
      <c r="F64" s="3" t="s">
        <v>43</v>
      </c>
      <c r="G64" s="3"/>
      <c r="H64" s="3" t="s">
        <v>44</v>
      </c>
      <c r="I64" s="3"/>
      <c r="K64" s="3"/>
      <c r="L64" s="3"/>
      <c r="M64" s="3" t="s">
        <v>46</v>
      </c>
      <c r="S64" s="3"/>
      <c r="T64" s="3"/>
      <c r="U64" s="3"/>
      <c r="V64" s="3"/>
      <c r="AC64" s="3" t="s">
        <v>61</v>
      </c>
      <c r="AL64" s="3"/>
      <c r="AM64" s="3"/>
      <c r="AN64" s="3"/>
      <c r="AO64" s="3"/>
      <c r="AP64" s="3"/>
      <c r="AQ64" s="3"/>
      <c r="AR64" s="3" t="s">
        <v>52</v>
      </c>
      <c r="AS64" s="3" t="s">
        <v>143</v>
      </c>
      <c r="AW64" s="8" t="s">
        <v>2135</v>
      </c>
    </row>
    <row r="65">
      <c r="A65" s="3">
        <v>41.0</v>
      </c>
      <c r="B65" s="3" t="s">
        <v>40</v>
      </c>
      <c r="C65" s="3" t="s">
        <v>206</v>
      </c>
      <c r="D65" s="3">
        <v>2018.0</v>
      </c>
      <c r="E65" s="3" t="s">
        <v>207</v>
      </c>
      <c r="F65" s="3" t="s">
        <v>43</v>
      </c>
      <c r="G65" s="3" t="s">
        <v>2185</v>
      </c>
      <c r="H65" s="3" t="s">
        <v>44</v>
      </c>
      <c r="I65" s="3" t="s">
        <v>2147</v>
      </c>
      <c r="J65" s="3" t="s">
        <v>45</v>
      </c>
      <c r="L65" s="3" t="s">
        <v>2196</v>
      </c>
      <c r="M65" s="3" t="s">
        <v>208</v>
      </c>
      <c r="S65" s="9" t="str">
        <f t="array" ref="S65">"[" &amp; TEXTJOIN(", ", TRUE, IF(LEN(T65:AB65), CHAR(34)&amp;T65:AB65&amp;CHAR(34), )) &amp; "]"
</f>
        <v>["Annual &amp; perennial non-timber crops"]</v>
      </c>
      <c r="T65" s="3" t="s">
        <v>60</v>
      </c>
      <c r="U65" s="3"/>
      <c r="V65" s="3"/>
      <c r="AC65" s="3" t="s">
        <v>60</v>
      </c>
      <c r="AL65" s="9" t="str">
        <f t="array" ref="AL65">"[" &amp; TEXTJOIN(", ", TRUE, IF(LEN(AM65:AQ65), CHAR(34)&amp;AM65:AQ65&amp;CHAR(34), )) &amp; "]"
</f>
        <v>["Agriculture &amp; aquaculture"]</v>
      </c>
      <c r="AM65" s="3" t="s">
        <v>51</v>
      </c>
      <c r="AN65" s="3"/>
      <c r="AO65" s="3"/>
      <c r="AP65" s="3"/>
      <c r="AQ65" s="3"/>
      <c r="AR65" s="3" t="s">
        <v>51</v>
      </c>
      <c r="AW65" s="8" t="s">
        <v>2197</v>
      </c>
    </row>
    <row r="66">
      <c r="A66" s="3">
        <v>310.0</v>
      </c>
      <c r="B66" s="3" t="s">
        <v>40</v>
      </c>
      <c r="C66" s="3" t="s">
        <v>788</v>
      </c>
      <c r="D66" s="3">
        <v>2012.0</v>
      </c>
      <c r="E66" s="3" t="s">
        <v>789</v>
      </c>
      <c r="F66" s="3" t="s">
        <v>43</v>
      </c>
      <c r="G66" s="3" t="s">
        <v>2185</v>
      </c>
      <c r="H66" s="3" t="s">
        <v>44</v>
      </c>
      <c r="I66" s="3" t="s">
        <v>2147</v>
      </c>
      <c r="J66" s="3" t="s">
        <v>45</v>
      </c>
      <c r="L66" s="3" t="s">
        <v>2186</v>
      </c>
      <c r="M66" s="3" t="s">
        <v>46</v>
      </c>
      <c r="S66" s="9" t="str">
        <f t="array" ref="S66">"[" &amp; TEXTJOIN(", ", TRUE, IF(LEN(T66:AB66), CHAR(34)&amp;T66:AB66&amp;CHAR(34), )) &amp; "]"
</f>
        <v>["Fishing &amp; Harvesting Aquatic Resources"]</v>
      </c>
      <c r="T66" s="3" t="s">
        <v>2164</v>
      </c>
      <c r="U66" s="3"/>
      <c r="V66" s="3"/>
      <c r="AC66" s="3" t="s">
        <v>247</v>
      </c>
      <c r="AL66" s="9" t="str">
        <f t="array" ref="AL66">"[" &amp; TEXTJOIN(", ", TRUE, IF(LEN(AM66:AQ66), CHAR(34)&amp;AM66:AQ66&amp;CHAR(34), )) &amp; "]"
</f>
        <v>["Biological resource use"]</v>
      </c>
      <c r="AM66" s="3" t="s">
        <v>52</v>
      </c>
      <c r="AN66" s="3"/>
      <c r="AO66" s="3"/>
      <c r="AP66" s="3"/>
      <c r="AQ66" s="3"/>
      <c r="AR66" s="3" t="s">
        <v>52</v>
      </c>
      <c r="AW66" s="8" t="s">
        <v>2198</v>
      </c>
    </row>
    <row r="67">
      <c r="A67" s="3">
        <v>296.0</v>
      </c>
      <c r="B67" s="3" t="s">
        <v>40</v>
      </c>
      <c r="C67" s="3" t="s">
        <v>758</v>
      </c>
      <c r="D67" s="3">
        <v>2008.0</v>
      </c>
      <c r="E67" s="3" t="s">
        <v>759</v>
      </c>
      <c r="F67" s="3" t="s">
        <v>43</v>
      </c>
      <c r="G67" s="3" t="s">
        <v>2185</v>
      </c>
      <c r="H67" s="3" t="s">
        <v>44</v>
      </c>
      <c r="I67" s="3" t="s">
        <v>2147</v>
      </c>
      <c r="J67" s="3" t="s">
        <v>45</v>
      </c>
      <c r="L67" s="3" t="s">
        <v>2186</v>
      </c>
      <c r="M67" s="3" t="s">
        <v>46</v>
      </c>
      <c r="S67" s="9" t="str">
        <f t="array" ref="S67">"[" &amp; TEXTJOIN(", ", TRUE, IF(LEN(T67:AB67), CHAR(34)&amp;T67:AB67&amp;CHAR(34), )) &amp; "]"
</f>
        <v>["Hunting &amp; Collecting Terrestrial Animals"]</v>
      </c>
      <c r="T67" s="3" t="s">
        <v>2138</v>
      </c>
      <c r="U67" s="3"/>
      <c r="V67" s="3"/>
      <c r="AC67" s="3" t="s">
        <v>61</v>
      </c>
      <c r="AL67" s="9" t="str">
        <f t="array" ref="AL67">"[" &amp; TEXTJOIN(", ", TRUE, IF(LEN(AM67:AQ67), CHAR(34)&amp;AM67:AQ67&amp;CHAR(34), )) &amp; "]"
</f>
        <v>["Biological resource use"]</v>
      </c>
      <c r="AM67" s="3" t="s">
        <v>52</v>
      </c>
      <c r="AN67" s="3"/>
      <c r="AO67" s="3"/>
      <c r="AP67" s="3"/>
      <c r="AQ67" s="3"/>
      <c r="AR67" s="3" t="s">
        <v>52</v>
      </c>
      <c r="AW67" s="8" t="s">
        <v>2199</v>
      </c>
    </row>
    <row r="68">
      <c r="A68" s="3">
        <v>305.0</v>
      </c>
      <c r="B68" s="3" t="s">
        <v>40</v>
      </c>
      <c r="C68" s="3" t="s">
        <v>778</v>
      </c>
      <c r="D68" s="3">
        <v>2010.0</v>
      </c>
      <c r="E68" s="3" t="s">
        <v>779</v>
      </c>
      <c r="F68" s="3" t="s">
        <v>43</v>
      </c>
      <c r="G68" s="3" t="s">
        <v>2185</v>
      </c>
      <c r="H68" s="3" t="s">
        <v>44</v>
      </c>
      <c r="I68" s="3" t="s">
        <v>2147</v>
      </c>
      <c r="J68" s="3" t="s">
        <v>45</v>
      </c>
      <c r="L68" s="3" t="s">
        <v>2186</v>
      </c>
      <c r="M68" s="3" t="s">
        <v>46</v>
      </c>
      <c r="S68" s="9" t="str">
        <f t="array" ref="S68">"[" &amp; TEXTJOIN(", ", TRUE, IF(LEN(T68:AB68), CHAR(34)&amp;T68:AB68&amp;CHAR(34), )) &amp; "]"
</f>
        <v>["Hunting &amp; Collecting Terrestrial Animals"]</v>
      </c>
      <c r="T68" s="3" t="s">
        <v>2138</v>
      </c>
      <c r="U68" s="3"/>
      <c r="V68" s="3"/>
      <c r="AC68" s="3" t="s">
        <v>61</v>
      </c>
      <c r="AL68" s="9" t="str">
        <f t="array" ref="AL68">"[" &amp; TEXTJOIN(", ", TRUE, IF(LEN(AM68:AQ68), CHAR(34)&amp;AM68:AQ68&amp;CHAR(34), )) &amp; "]"
</f>
        <v>["Biological resource use"]</v>
      </c>
      <c r="AM68" s="3" t="s">
        <v>52</v>
      </c>
      <c r="AN68" s="3"/>
      <c r="AO68" s="3"/>
      <c r="AP68" s="3"/>
      <c r="AQ68" s="3"/>
      <c r="AR68" s="3" t="s">
        <v>52</v>
      </c>
      <c r="AW68" s="8" t="s">
        <v>2200</v>
      </c>
    </row>
    <row r="69">
      <c r="A69" s="3">
        <v>314.0</v>
      </c>
      <c r="B69" s="3" t="s">
        <v>40</v>
      </c>
      <c r="C69" s="3" t="s">
        <v>796</v>
      </c>
      <c r="D69" s="3">
        <v>2012.0</v>
      </c>
      <c r="E69" s="3" t="s">
        <v>797</v>
      </c>
      <c r="F69" s="3" t="s">
        <v>43</v>
      </c>
      <c r="G69" s="3" t="s">
        <v>2185</v>
      </c>
      <c r="H69" s="3" t="s">
        <v>44</v>
      </c>
      <c r="I69" s="3" t="s">
        <v>2147</v>
      </c>
      <c r="J69" s="3" t="s">
        <v>45</v>
      </c>
      <c r="L69" s="3" t="s">
        <v>2157</v>
      </c>
      <c r="M69" s="3" t="s">
        <v>485</v>
      </c>
      <c r="S69" s="9" t="str">
        <f t="array" ref="S69">"[" &amp; TEXTJOIN(", ", TRUE, IF(LEN(T69:AB69), CHAR(34)&amp;T69:AB69&amp;CHAR(34), )) &amp; "]"
</f>
        <v>["Hunting &amp; Collecting Terrestrial Animals"]</v>
      </c>
      <c r="T69" s="3" t="s">
        <v>2138</v>
      </c>
      <c r="U69" s="3"/>
      <c r="V69" s="3"/>
      <c r="AC69" s="3" t="s">
        <v>61</v>
      </c>
      <c r="AL69" s="9" t="str">
        <f t="array" ref="AL69">"[" &amp; TEXTJOIN(", ", TRUE, IF(LEN(AM69:AQ69), CHAR(34)&amp;AM69:AQ69&amp;CHAR(34), )) &amp; "]"
</f>
        <v>["Biological resource use"]</v>
      </c>
      <c r="AM69" s="3" t="s">
        <v>52</v>
      </c>
      <c r="AN69" s="3"/>
      <c r="AO69" s="3"/>
      <c r="AP69" s="3"/>
      <c r="AQ69" s="3"/>
      <c r="AR69" s="3" t="s">
        <v>52</v>
      </c>
      <c r="AW69" s="8" t="s">
        <v>2201</v>
      </c>
    </row>
    <row r="70">
      <c r="A70" s="3">
        <v>342.0</v>
      </c>
      <c r="B70" s="3" t="s">
        <v>40</v>
      </c>
      <c r="C70" s="3" t="s">
        <v>852</v>
      </c>
      <c r="D70" s="3">
        <v>2018.0</v>
      </c>
      <c r="E70" s="3" t="s">
        <v>853</v>
      </c>
      <c r="F70" s="3" t="s">
        <v>43</v>
      </c>
      <c r="G70" s="3" t="s">
        <v>2185</v>
      </c>
      <c r="H70" s="3" t="s">
        <v>44</v>
      </c>
      <c r="I70" s="3" t="s">
        <v>2147</v>
      </c>
      <c r="J70" s="3" t="s">
        <v>45</v>
      </c>
      <c r="L70" s="3" t="s">
        <v>2186</v>
      </c>
      <c r="M70" s="3" t="s">
        <v>46</v>
      </c>
      <c r="S70" s="9" t="str">
        <f t="array" ref="S70">"[" &amp; TEXTJOIN(", ", TRUE, IF(LEN(T70:AB70), CHAR(34)&amp;T70:AB70&amp;CHAR(34), )) &amp; "]"
</f>
        <v>["Hunting &amp; Collecting Terrestrial Animals"]</v>
      </c>
      <c r="T70" s="3" t="s">
        <v>2138</v>
      </c>
      <c r="U70" s="3"/>
      <c r="V70" s="3"/>
      <c r="AC70" s="3" t="s">
        <v>61</v>
      </c>
      <c r="AL70" s="9" t="str">
        <f t="array" ref="AL70">"[" &amp; TEXTJOIN(", ", TRUE, IF(LEN(AM70:AQ70), CHAR(34)&amp;AM70:AQ70&amp;CHAR(34), )) &amp; "]"
</f>
        <v>["Biological resource use"]</v>
      </c>
      <c r="AM70" s="3" t="s">
        <v>52</v>
      </c>
      <c r="AN70" s="3"/>
      <c r="AO70" s="3"/>
      <c r="AP70" s="3"/>
      <c r="AQ70" s="3"/>
      <c r="AR70" s="3" t="s">
        <v>52</v>
      </c>
      <c r="AW70" s="8" t="s">
        <v>2202</v>
      </c>
    </row>
    <row r="71" hidden="1">
      <c r="A71" s="3">
        <v>373.0</v>
      </c>
      <c r="B71" s="3" t="s">
        <v>106</v>
      </c>
      <c r="D71" s="3">
        <v>2004.0</v>
      </c>
      <c r="E71" s="3" t="s">
        <v>913</v>
      </c>
      <c r="F71" s="3" t="s">
        <v>43</v>
      </c>
      <c r="G71" s="3"/>
      <c r="H71" s="3" t="s">
        <v>44</v>
      </c>
      <c r="I71" s="3"/>
      <c r="K71" s="3"/>
      <c r="L71" s="3"/>
      <c r="M71" s="3" t="s">
        <v>485</v>
      </c>
      <c r="S71" s="3"/>
      <c r="T71" s="3"/>
      <c r="U71" s="3"/>
      <c r="V71" s="3"/>
      <c r="AC71" s="3" t="s">
        <v>247</v>
      </c>
      <c r="AL71" s="3"/>
      <c r="AM71" s="3"/>
      <c r="AN71" s="3"/>
      <c r="AO71" s="3"/>
      <c r="AP71" s="3"/>
      <c r="AQ71" s="3"/>
      <c r="AR71" s="3" t="s">
        <v>52</v>
      </c>
      <c r="AW71" s="8" t="s">
        <v>2135</v>
      </c>
    </row>
    <row r="72" hidden="1">
      <c r="A72" s="3">
        <v>384.0</v>
      </c>
      <c r="B72" s="3" t="s">
        <v>106</v>
      </c>
      <c r="C72" s="3" t="s">
        <v>929</v>
      </c>
      <c r="D72" s="3">
        <v>2011.0</v>
      </c>
      <c r="E72" s="3" t="s">
        <v>930</v>
      </c>
      <c r="F72" s="3" t="s">
        <v>43</v>
      </c>
      <c r="G72" s="3"/>
      <c r="H72" s="3" t="s">
        <v>44</v>
      </c>
      <c r="I72" s="3"/>
      <c r="K72" s="3"/>
      <c r="L72" s="3"/>
      <c r="M72" s="3" t="s">
        <v>485</v>
      </c>
      <c r="S72" s="3"/>
      <c r="T72" s="3"/>
      <c r="U72" s="3"/>
      <c r="V72" s="3"/>
      <c r="AC72" s="3" t="s">
        <v>61</v>
      </c>
      <c r="AL72" s="3"/>
      <c r="AM72" s="3"/>
      <c r="AN72" s="3"/>
      <c r="AO72" s="3"/>
      <c r="AP72" s="3"/>
      <c r="AQ72" s="3"/>
      <c r="AR72" s="3" t="s">
        <v>52</v>
      </c>
      <c r="AW72" s="8" t="s">
        <v>2135</v>
      </c>
    </row>
    <row r="73">
      <c r="A73" s="3">
        <v>346.0</v>
      </c>
      <c r="B73" s="3" t="s">
        <v>40</v>
      </c>
      <c r="C73" s="3" t="s">
        <v>860</v>
      </c>
      <c r="D73" s="3">
        <v>2018.0</v>
      </c>
      <c r="E73" s="3" t="s">
        <v>861</v>
      </c>
      <c r="F73" s="3" t="s">
        <v>43</v>
      </c>
      <c r="G73" s="3" t="s">
        <v>2185</v>
      </c>
      <c r="H73" s="3" t="s">
        <v>44</v>
      </c>
      <c r="I73" s="3" t="s">
        <v>2147</v>
      </c>
      <c r="J73" s="3" t="s">
        <v>45</v>
      </c>
      <c r="L73" s="3" t="s">
        <v>2203</v>
      </c>
      <c r="M73" s="3" t="s">
        <v>485</v>
      </c>
      <c r="N73" s="3" t="s">
        <v>46</v>
      </c>
      <c r="S73" s="9" t="str">
        <f t="array" ref="S73">"[" &amp; TEXTJOIN(", ", TRUE, IF(LEN(T73:AB73), CHAR(34)&amp;T73:AB73&amp;CHAR(34), )) &amp; "]"
</f>
        <v>["Hunting &amp; Collecting Terrestrial Animals"]</v>
      </c>
      <c r="T73" s="3" t="s">
        <v>2138</v>
      </c>
      <c r="U73" s="3"/>
      <c r="V73" s="3"/>
      <c r="AC73" s="3" t="s">
        <v>61</v>
      </c>
      <c r="AL73" s="9" t="str">
        <f t="array" ref="AL73">"[" &amp; TEXTJOIN(", ", TRUE, IF(LEN(AM73:AQ73), CHAR(34)&amp;AM73:AQ73&amp;CHAR(34), )) &amp; "]"
</f>
        <v>["Biological resource use"]</v>
      </c>
      <c r="AM73" s="3" t="s">
        <v>52</v>
      </c>
      <c r="AN73" s="3"/>
      <c r="AO73" s="3"/>
      <c r="AP73" s="3"/>
      <c r="AQ73" s="3"/>
      <c r="AR73" s="3" t="s">
        <v>52</v>
      </c>
      <c r="AW73" s="8" t="s">
        <v>2204</v>
      </c>
    </row>
    <row r="74">
      <c r="A74" s="3">
        <v>441.0</v>
      </c>
      <c r="B74" s="3" t="s">
        <v>40</v>
      </c>
      <c r="C74" s="3" t="s">
        <v>1008</v>
      </c>
      <c r="D74" s="3">
        <v>2017.0</v>
      </c>
      <c r="E74" s="3" t="s">
        <v>1009</v>
      </c>
      <c r="F74" s="3" t="s">
        <v>43</v>
      </c>
      <c r="G74" s="3" t="s">
        <v>2185</v>
      </c>
      <c r="H74" s="3" t="s">
        <v>44</v>
      </c>
      <c r="I74" s="3" t="s">
        <v>2147</v>
      </c>
      <c r="J74" s="3" t="s">
        <v>45</v>
      </c>
      <c r="L74" s="3" t="s">
        <v>2157</v>
      </c>
      <c r="M74" s="3" t="s">
        <v>485</v>
      </c>
      <c r="S74" s="9"/>
      <c r="U74" s="3"/>
      <c r="V74" s="3"/>
      <c r="AC74" s="3" t="s">
        <v>332</v>
      </c>
      <c r="AL74" s="9" t="str">
        <f t="array" ref="AL74">"[" &amp; TEXTJOIN(", ", TRUE, IF(LEN(AM74:AQ74), CHAR(34)&amp;AM74:AQ74&amp;CHAR(34), )) &amp; "]"
</f>
        <v>["Climate change &amp; severe weather"]</v>
      </c>
      <c r="AM74" s="3" t="s">
        <v>118</v>
      </c>
      <c r="AN74" s="3"/>
      <c r="AO74" s="3"/>
      <c r="AP74" s="3"/>
      <c r="AQ74" s="3"/>
      <c r="AR74" s="3" t="s">
        <v>118</v>
      </c>
      <c r="AW74" s="8" t="s">
        <v>2205</v>
      </c>
    </row>
    <row r="75" hidden="1">
      <c r="A75" s="3">
        <v>466.0</v>
      </c>
      <c r="B75" s="3" t="s">
        <v>106</v>
      </c>
      <c r="D75" s="3">
        <v>2018.0</v>
      </c>
      <c r="E75" s="3" t="s">
        <v>1060</v>
      </c>
      <c r="F75" s="3" t="s">
        <v>43</v>
      </c>
      <c r="G75" s="3"/>
      <c r="H75" s="3" t="s">
        <v>44</v>
      </c>
      <c r="I75" s="3"/>
      <c r="K75" s="3"/>
      <c r="L75" s="3"/>
      <c r="M75" s="3" t="s">
        <v>485</v>
      </c>
      <c r="S75" s="3"/>
      <c r="T75" s="3"/>
      <c r="U75" s="3"/>
      <c r="V75" s="3"/>
      <c r="AC75" s="3" t="s">
        <v>162</v>
      </c>
      <c r="AL75" s="3"/>
      <c r="AM75" s="3"/>
      <c r="AN75" s="3"/>
      <c r="AO75" s="3"/>
      <c r="AP75" s="3"/>
      <c r="AQ75" s="3"/>
      <c r="AR75" s="3" t="s">
        <v>121</v>
      </c>
      <c r="AW75" s="8" t="s">
        <v>2135</v>
      </c>
    </row>
    <row r="76">
      <c r="A76" s="3">
        <v>589.0</v>
      </c>
      <c r="B76" s="3" t="s">
        <v>40</v>
      </c>
      <c r="C76" s="3" t="s">
        <v>1303</v>
      </c>
      <c r="D76" s="3">
        <v>2017.0</v>
      </c>
      <c r="E76" s="3" t="s">
        <v>1304</v>
      </c>
      <c r="F76" s="3" t="s">
        <v>43</v>
      </c>
      <c r="G76" s="3" t="s">
        <v>2185</v>
      </c>
      <c r="H76" s="3" t="s">
        <v>44</v>
      </c>
      <c r="I76" s="3" t="s">
        <v>2147</v>
      </c>
      <c r="J76" s="3" t="s">
        <v>45</v>
      </c>
      <c r="L76" s="3" t="s">
        <v>2206</v>
      </c>
      <c r="M76" s="3" t="s">
        <v>46</v>
      </c>
      <c r="N76" s="3" t="s">
        <v>485</v>
      </c>
      <c r="S76" s="9" t="str">
        <f t="array" ref="S76">"[" &amp; TEXTJOIN(", ", TRUE, IF(LEN(T76:AB76), CHAR(34)&amp;T76:AB76&amp;CHAR(34), )) &amp; "]"
</f>
        <v>["Problematic native species/diseases"]</v>
      </c>
      <c r="T76" s="3" t="s">
        <v>244</v>
      </c>
      <c r="U76" s="3"/>
      <c r="V76" s="3"/>
      <c r="AC76" s="3" t="s">
        <v>244</v>
      </c>
      <c r="AL76" s="9" t="str">
        <f t="array" ref="AL76">"[" &amp; TEXTJOIN(", ", TRUE, IF(LEN(AM76:AQ76), CHAR(34)&amp;AM76:AQ76&amp;CHAR(34), )) &amp; "]"
</f>
        <v>["Invasive &amp; other problematic species, genes &amp; diseases"]</v>
      </c>
      <c r="AM76" s="3" t="s">
        <v>54</v>
      </c>
      <c r="AN76" s="3"/>
      <c r="AO76" s="3"/>
      <c r="AP76" s="3"/>
      <c r="AQ76" s="3"/>
      <c r="AR76" s="3" t="s">
        <v>54</v>
      </c>
      <c r="AW76" s="8" t="s">
        <v>2207</v>
      </c>
    </row>
    <row r="77">
      <c r="A77" s="3">
        <v>560.0</v>
      </c>
      <c r="B77" s="3" t="s">
        <v>40</v>
      </c>
      <c r="C77" s="3" t="s">
        <v>1244</v>
      </c>
      <c r="D77" s="3">
        <v>2013.0</v>
      </c>
      <c r="E77" s="3" t="s">
        <v>1245</v>
      </c>
      <c r="F77" s="3" t="s">
        <v>43</v>
      </c>
      <c r="G77" s="3" t="s">
        <v>2185</v>
      </c>
      <c r="H77" s="3" t="s">
        <v>44</v>
      </c>
      <c r="I77" s="3" t="s">
        <v>2147</v>
      </c>
      <c r="J77" s="3" t="s">
        <v>45</v>
      </c>
      <c r="L77" s="3" t="s">
        <v>2150</v>
      </c>
      <c r="M77" s="3" t="s">
        <v>275</v>
      </c>
      <c r="S77" s="9" t="str">
        <f t="array" ref="S77">"[" &amp; TEXTJOIN(", ", TRUE, IF(LEN(T77:AB77), CHAR(34)&amp;T77:AB77&amp;CHAR(34), )) &amp; "]"
</f>
        <v>["Viral/prion-induced diseases"]</v>
      </c>
      <c r="T77" s="3" t="s">
        <v>385</v>
      </c>
      <c r="U77" s="3"/>
      <c r="V77" s="3"/>
      <c r="AC77" s="3" t="s">
        <v>385</v>
      </c>
      <c r="AL77" s="9" t="str">
        <f t="array" ref="AL77">"[" &amp; TEXTJOIN(", ", TRUE, IF(LEN(AM77:AQ77), CHAR(34)&amp;AM77:AQ77&amp;CHAR(34), )) &amp; "]"
</f>
        <v>["Invasive &amp; other problematic species, genes &amp; diseases"]</v>
      </c>
      <c r="AM77" s="3" t="s">
        <v>54</v>
      </c>
      <c r="AN77" s="3"/>
      <c r="AO77" s="3"/>
      <c r="AP77" s="3"/>
      <c r="AQ77" s="3"/>
      <c r="AR77" s="3" t="s">
        <v>54</v>
      </c>
      <c r="AW77" s="8" t="s">
        <v>2208</v>
      </c>
    </row>
    <row r="78">
      <c r="A78" s="3">
        <v>596.0</v>
      </c>
      <c r="B78" s="3" t="s">
        <v>40</v>
      </c>
      <c r="C78" s="3" t="s">
        <v>1317</v>
      </c>
      <c r="D78" s="3">
        <v>2018.0</v>
      </c>
      <c r="E78" s="3" t="s">
        <v>1318</v>
      </c>
      <c r="F78" s="3" t="s">
        <v>43</v>
      </c>
      <c r="G78" s="3" t="s">
        <v>2185</v>
      </c>
      <c r="H78" s="3" t="s">
        <v>44</v>
      </c>
      <c r="I78" s="3" t="s">
        <v>2147</v>
      </c>
      <c r="J78" s="3" t="s">
        <v>45</v>
      </c>
      <c r="L78" s="3" t="s">
        <v>2157</v>
      </c>
      <c r="M78" s="3" t="s">
        <v>485</v>
      </c>
      <c r="S78" s="9" t="str">
        <f t="array" ref="S78">"[" &amp; TEXTJOIN(", ", TRUE, IF(LEN(T78:AB78), CHAR(34)&amp;T78:AB78&amp;CHAR(34), )) &amp; "]"
</f>
        <v>["Viral/prion-induced diseases"]</v>
      </c>
      <c r="T78" s="3" t="s">
        <v>385</v>
      </c>
      <c r="U78" s="3"/>
      <c r="V78" s="3"/>
      <c r="AC78" s="3" t="s">
        <v>385</v>
      </c>
      <c r="AL78" s="9" t="str">
        <f t="array" ref="AL78">"[" &amp; TEXTJOIN(", ", TRUE, IF(LEN(AM78:AQ78), CHAR(34)&amp;AM78:AQ78&amp;CHAR(34), )) &amp; "]"
</f>
        <v>["Invasive &amp; other problematic species, genes &amp; diseases"]</v>
      </c>
      <c r="AM78" s="3" t="s">
        <v>54</v>
      </c>
      <c r="AN78" s="3"/>
      <c r="AO78" s="3"/>
      <c r="AP78" s="3"/>
      <c r="AQ78" s="3"/>
      <c r="AR78" s="3" t="s">
        <v>54</v>
      </c>
      <c r="AW78" s="8" t="s">
        <v>2209</v>
      </c>
    </row>
    <row r="79">
      <c r="A79" s="3">
        <v>651.0</v>
      </c>
      <c r="B79" s="3" t="s">
        <v>40</v>
      </c>
      <c r="C79" s="3" t="s">
        <v>1415</v>
      </c>
      <c r="D79" s="3">
        <v>2014.0</v>
      </c>
      <c r="E79" s="3" t="s">
        <v>1416</v>
      </c>
      <c r="F79" s="3" t="s">
        <v>43</v>
      </c>
      <c r="G79" s="3" t="s">
        <v>2185</v>
      </c>
      <c r="H79" s="3" t="s">
        <v>44</v>
      </c>
      <c r="I79" s="3" t="s">
        <v>2147</v>
      </c>
      <c r="J79" s="3" t="s">
        <v>45</v>
      </c>
      <c r="L79" s="3" t="s">
        <v>2186</v>
      </c>
      <c r="M79" s="3" t="s">
        <v>46</v>
      </c>
      <c r="S79" s="9" t="str">
        <f t="array" ref="S79">"[" &amp; TEXTJOIN(", ", TRUE, IF(LEN(T79:AB79), CHAR(34)&amp;T79:AB79&amp;CHAR(34), )) &amp; "]"
</f>
        <v>["Dams &amp; water management/use"]</v>
      </c>
      <c r="T79" s="3" t="s">
        <v>49</v>
      </c>
      <c r="U79" s="3"/>
      <c r="V79" s="3"/>
      <c r="AC79" s="3" t="s">
        <v>49</v>
      </c>
      <c r="AL79" s="9" t="str">
        <f t="array" ref="AL79">"[" &amp; TEXTJOIN(", ", TRUE, IF(LEN(AM79:AQ79), CHAR(34)&amp;AM79:AQ79&amp;CHAR(34), )) &amp; "]"
</f>
        <v>["Natural system modifications"]</v>
      </c>
      <c r="AM79" s="3" t="s">
        <v>53</v>
      </c>
      <c r="AN79" s="3"/>
      <c r="AO79" s="3"/>
      <c r="AP79" s="3"/>
      <c r="AQ79" s="3"/>
      <c r="AR79" s="3" t="s">
        <v>53</v>
      </c>
      <c r="AW79" s="8" t="s">
        <v>2210</v>
      </c>
    </row>
    <row r="80" hidden="1">
      <c r="A80" s="3">
        <v>659.0</v>
      </c>
      <c r="B80" s="3" t="s">
        <v>106</v>
      </c>
      <c r="D80" s="3">
        <v>2015.0</v>
      </c>
      <c r="E80" s="3" t="s">
        <v>1432</v>
      </c>
      <c r="F80" s="3" t="s">
        <v>43</v>
      </c>
      <c r="G80" s="3"/>
      <c r="H80" s="3" t="s">
        <v>44</v>
      </c>
      <c r="I80" s="3"/>
      <c r="J80" s="3" t="s">
        <v>45</v>
      </c>
      <c r="K80" s="3"/>
      <c r="L80" s="3"/>
      <c r="M80" s="3" t="s">
        <v>46</v>
      </c>
      <c r="S80" s="3"/>
      <c r="T80" s="3"/>
      <c r="U80" s="3"/>
      <c r="V80" s="3"/>
      <c r="AC80" s="3" t="s">
        <v>49</v>
      </c>
      <c r="AL80" s="3"/>
      <c r="AM80" s="3"/>
      <c r="AN80" s="3"/>
      <c r="AO80" s="3"/>
      <c r="AP80" s="3"/>
      <c r="AQ80" s="3"/>
      <c r="AR80" s="3" t="s">
        <v>53</v>
      </c>
      <c r="AW80" s="8" t="s">
        <v>2135</v>
      </c>
    </row>
    <row r="81" hidden="1">
      <c r="A81" s="3">
        <v>660.0</v>
      </c>
      <c r="B81" s="3" t="s">
        <v>106</v>
      </c>
      <c r="D81" s="3">
        <v>2017.0</v>
      </c>
      <c r="E81" s="3" t="s">
        <v>1433</v>
      </c>
      <c r="F81" s="3" t="s">
        <v>43</v>
      </c>
      <c r="G81" s="3"/>
      <c r="H81" s="3" t="s">
        <v>44</v>
      </c>
      <c r="I81" s="3"/>
      <c r="K81" s="3"/>
      <c r="L81" s="3"/>
      <c r="M81" s="3" t="s">
        <v>46</v>
      </c>
      <c r="S81" s="3"/>
      <c r="T81" s="3"/>
      <c r="U81" s="3"/>
      <c r="V81" s="3"/>
      <c r="AC81" s="3" t="s">
        <v>49</v>
      </c>
      <c r="AL81" s="3"/>
      <c r="AM81" s="3"/>
      <c r="AN81" s="3"/>
      <c r="AO81" s="3"/>
      <c r="AP81" s="3"/>
      <c r="AQ81" s="3"/>
      <c r="AR81" s="3" t="s">
        <v>53</v>
      </c>
      <c r="AW81" s="8" t="s">
        <v>2135</v>
      </c>
    </row>
    <row r="82">
      <c r="A82" s="3">
        <v>815.0</v>
      </c>
      <c r="B82" s="3" t="s">
        <v>40</v>
      </c>
      <c r="C82" s="3" t="s">
        <v>1744</v>
      </c>
      <c r="D82" s="3">
        <v>2001.0</v>
      </c>
      <c r="E82" s="3" t="s">
        <v>1745</v>
      </c>
      <c r="F82" s="3" t="s">
        <v>43</v>
      </c>
      <c r="G82" s="3" t="s">
        <v>2185</v>
      </c>
      <c r="H82" s="3" t="s">
        <v>44</v>
      </c>
      <c r="I82" s="3" t="s">
        <v>2147</v>
      </c>
      <c r="J82" s="3" t="s">
        <v>45</v>
      </c>
      <c r="L82" s="3" t="s">
        <v>2211</v>
      </c>
      <c r="M82" s="3" t="s">
        <v>266</v>
      </c>
      <c r="S82" s="9" t="str">
        <f t="array" ref="S82">"[" &amp; TEXTJOIN(", ", TRUE, IF(LEN(T82:AB82), CHAR(34)&amp;T82:AB82&amp;CHAR(34), )) &amp; "]"
</f>
        <v>["Industrial &amp; military effluents"]</v>
      </c>
      <c r="T82" s="3" t="s">
        <v>147</v>
      </c>
      <c r="U82" s="3"/>
      <c r="V82" s="3"/>
      <c r="AC82" s="3" t="s">
        <v>147</v>
      </c>
      <c r="AL82" s="9" t="str">
        <f t="array" ref="AL82">"[" &amp; TEXTJOIN(", ", TRUE, IF(LEN(AM82:AQ82), CHAR(34)&amp;AM82:AQ82&amp;CHAR(34), )) &amp; "]"
</f>
        <v>["Pollution"]</v>
      </c>
      <c r="AM82" s="3" t="s">
        <v>64</v>
      </c>
      <c r="AN82" s="3"/>
      <c r="AO82" s="3"/>
      <c r="AP82" s="3"/>
      <c r="AQ82" s="3"/>
      <c r="AR82" s="3" t="s">
        <v>64</v>
      </c>
      <c r="AW82" s="8" t="s">
        <v>2212</v>
      </c>
    </row>
    <row r="83" hidden="1">
      <c r="A83" s="3">
        <v>879.0</v>
      </c>
      <c r="B83" s="3" t="s">
        <v>40</v>
      </c>
      <c r="C83" s="3" t="s">
        <v>599</v>
      </c>
      <c r="D83" s="3">
        <v>2018.0</v>
      </c>
      <c r="E83" s="3" t="s">
        <v>1872</v>
      </c>
      <c r="F83" s="3" t="s">
        <v>43</v>
      </c>
      <c r="G83" s="3"/>
      <c r="H83" s="3" t="s">
        <v>44</v>
      </c>
      <c r="I83" s="3"/>
      <c r="J83" s="3" t="s">
        <v>45</v>
      </c>
      <c r="K83" s="3"/>
      <c r="L83" s="3"/>
      <c r="M83" s="3" t="s">
        <v>485</v>
      </c>
      <c r="S83" s="3"/>
      <c r="T83" s="3"/>
      <c r="U83" s="3"/>
      <c r="V83" s="3"/>
      <c r="AC83" s="3" t="s">
        <v>1873</v>
      </c>
      <c r="AL83" s="3"/>
      <c r="AM83" s="3"/>
      <c r="AN83" s="3"/>
      <c r="AO83" s="3"/>
      <c r="AP83" s="3"/>
      <c r="AQ83" s="3"/>
      <c r="AR83" s="3" t="s">
        <v>64</v>
      </c>
    </row>
    <row r="84" hidden="1">
      <c r="A84" s="3">
        <v>1003.0</v>
      </c>
      <c r="B84" s="3" t="s">
        <v>106</v>
      </c>
      <c r="C84" s="3" t="s">
        <v>2109</v>
      </c>
      <c r="D84" s="3">
        <v>2010.0</v>
      </c>
      <c r="E84" s="3" t="s">
        <v>2110</v>
      </c>
      <c r="F84" s="3" t="s">
        <v>43</v>
      </c>
      <c r="G84" s="3"/>
      <c r="H84" s="3" t="s">
        <v>44</v>
      </c>
      <c r="I84" s="3"/>
      <c r="K84" s="3"/>
      <c r="L84" s="3"/>
      <c r="M84" s="3" t="s">
        <v>485</v>
      </c>
      <c r="AL84" s="3"/>
      <c r="AM84" s="3"/>
      <c r="AN84" s="3"/>
      <c r="AO84" s="3"/>
      <c r="AP84" s="3"/>
      <c r="AQ84" s="3"/>
      <c r="AR84" s="3" t="s">
        <v>143</v>
      </c>
    </row>
    <row r="85" hidden="1">
      <c r="A85" s="3">
        <v>191.0</v>
      </c>
      <c r="B85" s="3" t="s">
        <v>106</v>
      </c>
      <c r="D85" s="3">
        <v>2006.0</v>
      </c>
      <c r="E85" s="3" t="s">
        <v>551</v>
      </c>
      <c r="F85" s="3" t="s">
        <v>552</v>
      </c>
      <c r="G85" s="3"/>
      <c r="H85" s="3" t="s">
        <v>58</v>
      </c>
      <c r="I85" s="3"/>
      <c r="K85" s="3"/>
      <c r="L85" s="3"/>
      <c r="M85" s="3" t="s">
        <v>110</v>
      </c>
      <c r="S85" s="3"/>
      <c r="T85" s="3"/>
      <c r="U85" s="3"/>
      <c r="V85" s="3"/>
      <c r="W85" s="3"/>
      <c r="X85" s="3"/>
      <c r="AC85" s="3" t="s">
        <v>247</v>
      </c>
      <c r="AF85" s="3" t="s">
        <v>125</v>
      </c>
      <c r="AL85" s="3"/>
      <c r="AM85" s="3"/>
      <c r="AN85" s="3"/>
      <c r="AO85" s="3"/>
      <c r="AP85" s="3"/>
      <c r="AQ85" s="3"/>
      <c r="AR85" s="3" t="s">
        <v>52</v>
      </c>
      <c r="AS85" s="3" t="s">
        <v>64</v>
      </c>
      <c r="AW85" s="8" t="s">
        <v>2135</v>
      </c>
    </row>
    <row r="86" hidden="1">
      <c r="A86" s="3">
        <v>232.0</v>
      </c>
      <c r="B86" s="3" t="s">
        <v>106</v>
      </c>
      <c r="D86" s="3">
        <v>2007.0</v>
      </c>
      <c r="E86" s="3" t="s">
        <v>628</v>
      </c>
      <c r="F86" s="3" t="s">
        <v>552</v>
      </c>
      <c r="G86" s="3"/>
      <c r="H86" s="3" t="s">
        <v>58</v>
      </c>
      <c r="I86" s="3"/>
      <c r="K86" s="3"/>
      <c r="L86" s="3"/>
      <c r="M86" s="3" t="s">
        <v>110</v>
      </c>
      <c r="S86" s="3"/>
      <c r="T86" s="3"/>
      <c r="U86" s="3"/>
      <c r="V86" s="3"/>
      <c r="W86" s="3"/>
      <c r="X86" s="3"/>
      <c r="AC86" s="3" t="s">
        <v>61</v>
      </c>
      <c r="AF86" s="3" t="s">
        <v>63</v>
      </c>
      <c r="AL86" s="3"/>
      <c r="AM86" s="3"/>
      <c r="AN86" s="3"/>
      <c r="AO86" s="3"/>
      <c r="AP86" s="3"/>
      <c r="AQ86" s="3"/>
      <c r="AR86" s="3" t="s">
        <v>52</v>
      </c>
      <c r="AS86" s="3" t="s">
        <v>65</v>
      </c>
      <c r="AW86" s="8" t="s">
        <v>2135</v>
      </c>
    </row>
    <row r="87">
      <c r="A87" s="3">
        <v>712.0</v>
      </c>
      <c r="B87" s="3" t="s">
        <v>40</v>
      </c>
      <c r="C87" s="3" t="s">
        <v>1536</v>
      </c>
      <c r="D87" s="3">
        <v>2019.0</v>
      </c>
      <c r="E87" s="3" t="s">
        <v>1537</v>
      </c>
      <c r="F87" s="3" t="s">
        <v>552</v>
      </c>
      <c r="G87" s="3" t="s">
        <v>2213</v>
      </c>
      <c r="H87" s="3" t="s">
        <v>58</v>
      </c>
      <c r="I87" s="3" t="s">
        <v>2142</v>
      </c>
      <c r="J87" s="3" t="s">
        <v>58</v>
      </c>
      <c r="L87" s="3" t="s">
        <v>2214</v>
      </c>
      <c r="M87" s="3" t="s">
        <v>59</v>
      </c>
      <c r="S87" s="9"/>
      <c r="T87" s="3"/>
      <c r="U87" s="3"/>
      <c r="V87" s="3"/>
      <c r="AL87" s="9" t="str">
        <f t="array" ref="AL87">"[" &amp; TEXTJOIN(", ", TRUE, IF(LEN(AM87:AQ87), CHAR(34)&amp;AM87:AQ87&amp;CHAR(34), )) &amp; "]"
</f>
        <v>[]</v>
      </c>
      <c r="AN87" s="3"/>
      <c r="AO87" s="3"/>
      <c r="AP87" s="3"/>
      <c r="AQ87" s="3"/>
      <c r="AR87" s="3" t="s">
        <v>78</v>
      </c>
      <c r="AW87" s="8" t="s">
        <v>2215</v>
      </c>
    </row>
    <row r="88" hidden="1">
      <c r="A88" s="3">
        <v>50.0</v>
      </c>
      <c r="B88" s="3" t="s">
        <v>106</v>
      </c>
      <c r="C88" s="3" t="s">
        <v>228</v>
      </c>
      <c r="D88" s="3">
        <v>2010.0</v>
      </c>
      <c r="E88" s="3" t="s">
        <v>229</v>
      </c>
      <c r="F88" s="3" t="s">
        <v>230</v>
      </c>
      <c r="G88" s="3"/>
      <c r="H88" s="3" t="s">
        <v>101</v>
      </c>
      <c r="I88" s="3"/>
      <c r="K88" s="3"/>
      <c r="L88" s="3"/>
      <c r="M88" s="3" t="s">
        <v>205</v>
      </c>
      <c r="S88" s="3"/>
      <c r="T88" s="3"/>
      <c r="U88" s="3"/>
      <c r="V88" s="3"/>
      <c r="W88" s="3"/>
      <c r="X88" s="3"/>
      <c r="Y88" s="3"/>
      <c r="Z88" s="3"/>
      <c r="AC88" s="3" t="s">
        <v>61</v>
      </c>
      <c r="AF88" s="3" t="s">
        <v>60</v>
      </c>
      <c r="AH88" s="3" t="s">
        <v>111</v>
      </c>
      <c r="AL88" s="3"/>
      <c r="AM88" s="3"/>
      <c r="AN88" s="3"/>
      <c r="AO88" s="3"/>
      <c r="AP88" s="3"/>
      <c r="AQ88" s="3"/>
      <c r="AR88" s="3" t="s">
        <v>52</v>
      </c>
      <c r="AS88" s="3" t="s">
        <v>51</v>
      </c>
      <c r="AT88" s="3" t="s">
        <v>51</v>
      </c>
      <c r="AW88" s="8" t="s">
        <v>2135</v>
      </c>
    </row>
    <row r="89" hidden="1">
      <c r="A89" s="3">
        <v>154.0</v>
      </c>
      <c r="B89" s="3" t="s">
        <v>106</v>
      </c>
      <c r="C89" s="3" t="s">
        <v>477</v>
      </c>
      <c r="D89" s="3">
        <v>2010.0</v>
      </c>
      <c r="E89" s="3" t="s">
        <v>478</v>
      </c>
      <c r="F89" s="3" t="s">
        <v>230</v>
      </c>
      <c r="G89" s="3"/>
      <c r="H89" s="3" t="s">
        <v>101</v>
      </c>
      <c r="I89" s="3"/>
      <c r="K89" s="3"/>
      <c r="L89" s="3"/>
      <c r="M89" s="3" t="s">
        <v>155</v>
      </c>
      <c r="N89" s="3" t="s">
        <v>309</v>
      </c>
      <c r="S89" s="3"/>
      <c r="T89" s="3"/>
      <c r="U89" s="3"/>
      <c r="V89" s="3"/>
      <c r="W89" s="3"/>
      <c r="X89" s="3"/>
      <c r="Y89" s="3"/>
      <c r="Z89" s="3"/>
      <c r="AC89" s="3" t="s">
        <v>48</v>
      </c>
      <c r="AD89" s="3" t="s">
        <v>61</v>
      </c>
      <c r="AF89" s="3" t="s">
        <v>147</v>
      </c>
      <c r="AH89" s="3" t="s">
        <v>238</v>
      </c>
      <c r="AL89" s="3"/>
      <c r="AM89" s="3"/>
      <c r="AN89" s="3"/>
      <c r="AO89" s="3"/>
      <c r="AP89" s="3"/>
      <c r="AQ89" s="3"/>
      <c r="AR89" s="3" t="s">
        <v>52</v>
      </c>
      <c r="AS89" s="3" t="s">
        <v>64</v>
      </c>
      <c r="AT89" s="3" t="s">
        <v>235</v>
      </c>
      <c r="AW89" s="8" t="s">
        <v>2135</v>
      </c>
    </row>
    <row r="90" hidden="1">
      <c r="A90" s="3">
        <v>408.0</v>
      </c>
      <c r="B90" s="3" t="s">
        <v>106</v>
      </c>
      <c r="D90" s="3">
        <v>2016.0</v>
      </c>
      <c r="E90" s="3" t="s">
        <v>959</v>
      </c>
      <c r="F90" s="3" t="s">
        <v>230</v>
      </c>
      <c r="G90" s="3"/>
      <c r="H90" s="3" t="s">
        <v>101</v>
      </c>
      <c r="I90" s="3"/>
      <c r="K90" s="3"/>
      <c r="L90" s="3"/>
      <c r="M90" s="3" t="s">
        <v>266</v>
      </c>
      <c r="S90" s="3"/>
      <c r="T90" s="3"/>
      <c r="U90" s="3"/>
      <c r="V90" s="3"/>
      <c r="AC90" s="3" t="s">
        <v>61</v>
      </c>
      <c r="AL90" s="3"/>
      <c r="AM90" s="3"/>
      <c r="AN90" s="3"/>
      <c r="AO90" s="3"/>
      <c r="AP90" s="3"/>
      <c r="AQ90" s="3"/>
      <c r="AR90" s="3" t="s">
        <v>52</v>
      </c>
      <c r="AW90" s="8" t="s">
        <v>2135</v>
      </c>
    </row>
    <row r="91">
      <c r="A91" s="3">
        <v>209.0</v>
      </c>
      <c r="B91" s="3" t="s">
        <v>40</v>
      </c>
      <c r="C91" s="3" t="s">
        <v>586</v>
      </c>
      <c r="D91" s="3">
        <v>2019.0</v>
      </c>
      <c r="E91" s="3" t="s">
        <v>587</v>
      </c>
      <c r="F91" s="3" t="s">
        <v>356</v>
      </c>
      <c r="G91" s="3" t="s">
        <v>2216</v>
      </c>
      <c r="H91" s="3" t="s">
        <v>82</v>
      </c>
      <c r="I91" s="3" t="s">
        <v>2147</v>
      </c>
      <c r="J91" s="3" t="s">
        <v>82</v>
      </c>
      <c r="K91" s="3" t="s">
        <v>2217</v>
      </c>
      <c r="L91" s="3" t="s">
        <v>2218</v>
      </c>
      <c r="M91" s="3" t="s">
        <v>254</v>
      </c>
      <c r="S91" s="9" t="str">
        <f t="array" ref="S91">"[" &amp; TEXTJOIN(", ", TRUE, IF(LEN(T91:AB91), CHAR(34)&amp;T91:AB91&amp;CHAR(34), )) &amp; "]"
</f>
        <v>["Hunting &amp; Collecting Terrestrial Animals", "Roads &amp; railroads"]</v>
      </c>
      <c r="T91" s="3" t="s">
        <v>2138</v>
      </c>
      <c r="U91" s="3"/>
      <c r="V91" s="3"/>
      <c r="W91" s="3" t="s">
        <v>63</v>
      </c>
      <c r="AC91" s="3" t="s">
        <v>61</v>
      </c>
      <c r="AF91" s="3" t="s">
        <v>63</v>
      </c>
      <c r="AH91" s="3" t="s">
        <v>87</v>
      </c>
      <c r="AL91" s="9" t="str">
        <f t="array" ref="AL91">"[" &amp; TEXTJOIN(", ", TRUE, IF(LEN(AM91:AQ91), CHAR(34)&amp;AM91:AQ91&amp;CHAR(34), )) &amp; "]"
</f>
        <v>["Biological resource use", "Transportation &amp; service corridors", "Human intrusions &amp; disturbance"]</v>
      </c>
      <c r="AM91" s="3" t="s">
        <v>52</v>
      </c>
      <c r="AN91" s="3" t="s">
        <v>65</v>
      </c>
      <c r="AO91" s="3" t="s">
        <v>121</v>
      </c>
      <c r="AP91" s="3"/>
      <c r="AQ91" s="3"/>
      <c r="AR91" s="3" t="s">
        <v>52</v>
      </c>
      <c r="AS91" s="3" t="s">
        <v>65</v>
      </c>
      <c r="AT91" s="3" t="s">
        <v>121</v>
      </c>
      <c r="AW91" s="8" t="s">
        <v>2219</v>
      </c>
    </row>
    <row r="92">
      <c r="A92" s="3">
        <v>94.0</v>
      </c>
      <c r="B92" s="3" t="s">
        <v>40</v>
      </c>
      <c r="C92" s="3" t="s">
        <v>354</v>
      </c>
      <c r="D92" s="3">
        <v>2007.0</v>
      </c>
      <c r="E92" s="3" t="s">
        <v>355</v>
      </c>
      <c r="F92" s="3" t="s">
        <v>356</v>
      </c>
      <c r="G92" s="3" t="s">
        <v>2216</v>
      </c>
      <c r="H92" s="3" t="s">
        <v>82</v>
      </c>
      <c r="I92" s="3" t="s">
        <v>2147</v>
      </c>
      <c r="J92" s="3" t="s">
        <v>82</v>
      </c>
      <c r="K92" s="3" t="s">
        <v>2217</v>
      </c>
      <c r="L92" s="3" t="s">
        <v>2218</v>
      </c>
      <c r="M92" s="3" t="s">
        <v>254</v>
      </c>
      <c r="S92" s="9" t="str">
        <f t="array" ref="S92">"[" &amp; TEXTJOIN(", ", TRUE, IF(LEN(T92:AB92), CHAR(34)&amp;T92:AB92&amp;CHAR(34), )) &amp; "]"
</f>
        <v>["Logging &amp; Wood Harvesting", "Renewable energy", "Oil &amp; gas drilling", "Roads &amp; railroads", "Housing &amp; urban areas"]</v>
      </c>
      <c r="T92" s="3" t="s">
        <v>2139</v>
      </c>
      <c r="U92" s="3"/>
      <c r="V92" s="3"/>
      <c r="W92" s="3" t="s">
        <v>234</v>
      </c>
      <c r="X92" s="3" t="s">
        <v>352</v>
      </c>
      <c r="Y92" s="3" t="s">
        <v>63</v>
      </c>
      <c r="AA92" s="3" t="s">
        <v>70</v>
      </c>
      <c r="AC92" s="3" t="s">
        <v>48</v>
      </c>
      <c r="AF92" s="3" t="s">
        <v>234</v>
      </c>
      <c r="AG92" s="3" t="s">
        <v>352</v>
      </c>
      <c r="AH92" s="3" t="s">
        <v>63</v>
      </c>
      <c r="AJ92" s="3" t="s">
        <v>70</v>
      </c>
      <c r="AL92" s="9" t="str">
        <f t="array" ref="AL92">"[" &amp; TEXTJOIN(", ", TRUE, IF(LEN(AM92:AQ92), CHAR(34)&amp;AM92:AQ92&amp;CHAR(34), )) &amp; "]"
</f>
        <v>["Biological resource use", "Energy production &amp; mining", "Transportation &amp; service corridors", "Residential &amp; commercial development"]</v>
      </c>
      <c r="AM92" s="3" t="s">
        <v>52</v>
      </c>
      <c r="AN92" s="3" t="s">
        <v>235</v>
      </c>
      <c r="AO92" s="3" t="s">
        <v>65</v>
      </c>
      <c r="AP92" s="3" t="s">
        <v>71</v>
      </c>
      <c r="AQ92" s="3"/>
      <c r="AR92" s="3" t="s">
        <v>52</v>
      </c>
      <c r="AS92" s="3" t="s">
        <v>235</v>
      </c>
      <c r="AT92" s="3" t="s">
        <v>65</v>
      </c>
      <c r="AU92" s="3" t="s">
        <v>71</v>
      </c>
      <c r="AW92" s="8" t="s">
        <v>2220</v>
      </c>
    </row>
    <row r="93">
      <c r="A93" s="3">
        <v>116.0</v>
      </c>
      <c r="B93" s="3" t="s">
        <v>40</v>
      </c>
      <c r="C93" s="3" t="s">
        <v>404</v>
      </c>
      <c r="D93" s="3">
        <v>2009.0</v>
      </c>
      <c r="E93" s="3" t="s">
        <v>405</v>
      </c>
      <c r="F93" s="3" t="s">
        <v>356</v>
      </c>
      <c r="G93" s="3" t="s">
        <v>2216</v>
      </c>
      <c r="H93" s="3" t="s">
        <v>82</v>
      </c>
      <c r="I93" s="3" t="s">
        <v>2147</v>
      </c>
      <c r="J93" s="3" t="s">
        <v>82</v>
      </c>
      <c r="K93" s="3" t="s">
        <v>2217</v>
      </c>
      <c r="L93" s="3" t="s">
        <v>2221</v>
      </c>
      <c r="M93" s="3" t="s">
        <v>317</v>
      </c>
      <c r="S93" s="9" t="str">
        <f t="array" ref="S93">"[" &amp; TEXTJOIN(", ", TRUE, IF(LEN(T93:AB93), CHAR(34)&amp;T93:AB93&amp;CHAR(34), )) &amp; "]"
</f>
        <v>["Logging &amp; Wood Harvesting", "Problematic native species/diseases"]</v>
      </c>
      <c r="T93" s="3" t="s">
        <v>2139</v>
      </c>
      <c r="U93" s="3"/>
      <c r="V93" s="3"/>
      <c r="W93" s="3" t="s">
        <v>244</v>
      </c>
      <c r="AC93" s="3" t="s">
        <v>48</v>
      </c>
      <c r="AF93" s="3" t="s">
        <v>244</v>
      </c>
      <c r="AL93" s="9" t="str">
        <f t="array" ref="AL93">"[" &amp; TEXTJOIN(", ", TRUE, IF(LEN(AM93:AQ93), CHAR(34)&amp;AM93:AQ93&amp;CHAR(34), )) &amp; "]"
</f>
        <v>["Biological resource use", "Invasive &amp; other problematic species, genes &amp; diseases"]</v>
      </c>
      <c r="AM93" s="3" t="s">
        <v>52</v>
      </c>
      <c r="AN93" s="3" t="s">
        <v>54</v>
      </c>
      <c r="AO93" s="3"/>
      <c r="AP93" s="3"/>
      <c r="AQ93" s="3"/>
      <c r="AR93" s="3" t="s">
        <v>52</v>
      </c>
      <c r="AS93" s="3" t="s">
        <v>54</v>
      </c>
      <c r="AW93" s="8" t="s">
        <v>2222</v>
      </c>
    </row>
    <row r="94" hidden="1">
      <c r="A94" s="3">
        <v>121.0</v>
      </c>
      <c r="B94" s="3" t="s">
        <v>55</v>
      </c>
      <c r="D94" s="3">
        <v>2009.0</v>
      </c>
      <c r="E94" s="3" t="s">
        <v>412</v>
      </c>
      <c r="F94" s="3" t="s">
        <v>356</v>
      </c>
      <c r="G94" s="3"/>
      <c r="H94" s="3" t="s">
        <v>82</v>
      </c>
      <c r="I94" s="3"/>
      <c r="J94" s="3" t="s">
        <v>82</v>
      </c>
      <c r="K94" s="3"/>
      <c r="L94" s="3"/>
      <c r="M94" s="3" t="s">
        <v>317</v>
      </c>
      <c r="S94" s="3"/>
      <c r="T94" s="3"/>
      <c r="U94" s="3"/>
      <c r="V94" s="3"/>
      <c r="W94" s="3"/>
      <c r="X94" s="3"/>
      <c r="AC94" s="3" t="s">
        <v>48</v>
      </c>
      <c r="AF94" s="3" t="s">
        <v>244</v>
      </c>
      <c r="AL94" s="3"/>
      <c r="AM94" s="3"/>
      <c r="AN94" s="3"/>
      <c r="AO94" s="3"/>
      <c r="AP94" s="3"/>
      <c r="AQ94" s="3"/>
      <c r="AR94" s="3" t="s">
        <v>52</v>
      </c>
      <c r="AS94" s="3" t="s">
        <v>54</v>
      </c>
      <c r="AW94" s="8" t="s">
        <v>2135</v>
      </c>
    </row>
    <row r="95">
      <c r="A95" s="3">
        <v>113.0</v>
      </c>
      <c r="B95" s="3" t="s">
        <v>40</v>
      </c>
      <c r="C95" s="3" t="s">
        <v>398</v>
      </c>
      <c r="D95" s="3">
        <v>1995.0</v>
      </c>
      <c r="E95" s="3" t="s">
        <v>399</v>
      </c>
      <c r="F95" s="3" t="s">
        <v>356</v>
      </c>
      <c r="G95" s="3" t="s">
        <v>2216</v>
      </c>
      <c r="H95" s="3" t="s">
        <v>82</v>
      </c>
      <c r="I95" s="3" t="s">
        <v>2147</v>
      </c>
      <c r="J95" s="3" t="s">
        <v>82</v>
      </c>
      <c r="K95" s="3" t="s">
        <v>2217</v>
      </c>
      <c r="L95" s="3" t="s">
        <v>2221</v>
      </c>
      <c r="M95" s="3" t="s">
        <v>317</v>
      </c>
      <c r="S95" s="9" t="str">
        <f t="array" ref="S95">"[" &amp; TEXTJOIN(", ", TRUE, IF(LEN(T95:AB95), CHAR(34)&amp;T95:AB95&amp;CHAR(34), )) &amp; "]"
</f>
        <v>["Logging &amp; Wood Harvesting"]</v>
      </c>
      <c r="T95" s="3" t="s">
        <v>2139</v>
      </c>
      <c r="U95" s="3"/>
      <c r="V95" s="3"/>
      <c r="AC95" s="3" t="s">
        <v>48</v>
      </c>
      <c r="AL95" s="9" t="str">
        <f t="array" ref="AL95">"[" &amp; TEXTJOIN(", ", TRUE, IF(LEN(AM95:AQ95), CHAR(34)&amp;AM95:AQ95&amp;CHAR(34), )) &amp; "]"
</f>
        <v>["Biological resource use", "Invasive &amp; other problematic species, genes &amp; diseases"]</v>
      </c>
      <c r="AM95" s="3" t="s">
        <v>52</v>
      </c>
      <c r="AN95" s="3" t="s">
        <v>54</v>
      </c>
      <c r="AO95" s="3"/>
      <c r="AP95" s="3"/>
      <c r="AQ95" s="3"/>
      <c r="AR95" s="3" t="s">
        <v>52</v>
      </c>
      <c r="AS95" s="3" t="s">
        <v>54</v>
      </c>
      <c r="AW95" s="8" t="s">
        <v>2223</v>
      </c>
    </row>
    <row r="96">
      <c r="A96" s="3">
        <v>227.0</v>
      </c>
      <c r="B96" s="3" t="s">
        <v>40</v>
      </c>
      <c r="C96" s="3" t="s">
        <v>619</v>
      </c>
      <c r="D96" s="3">
        <v>2011.0</v>
      </c>
      <c r="E96" s="3" t="s">
        <v>620</v>
      </c>
      <c r="F96" s="3" t="s">
        <v>356</v>
      </c>
      <c r="G96" s="3" t="s">
        <v>2216</v>
      </c>
      <c r="H96" s="3" t="s">
        <v>82</v>
      </c>
      <c r="I96" s="3" t="s">
        <v>2147</v>
      </c>
      <c r="J96" s="3" t="s">
        <v>82</v>
      </c>
      <c r="K96" s="3" t="s">
        <v>2217</v>
      </c>
      <c r="L96" s="3" t="s">
        <v>2224</v>
      </c>
      <c r="M96" s="3" t="s">
        <v>314</v>
      </c>
      <c r="S96" s="9" t="str">
        <f t="array" ref="S96">"[" &amp; TEXTJOIN(", ", TRUE, IF(LEN(T96:AB96), CHAR(34)&amp;T96:AB96&amp;CHAR(34), )) &amp; "]"
</f>
        <v>["Hunting &amp; Collecting Terrestrial Animals", "Logging &amp; Wood Harvesting", "Roads &amp; railroads"]</v>
      </c>
      <c r="T96" s="3" t="s">
        <v>2138</v>
      </c>
      <c r="U96" s="3" t="s">
        <v>2139</v>
      </c>
      <c r="V96" s="3"/>
      <c r="W96" s="3" t="s">
        <v>63</v>
      </c>
      <c r="AC96" s="3" t="s">
        <v>61</v>
      </c>
      <c r="AD96" s="3" t="s">
        <v>48</v>
      </c>
      <c r="AF96" s="3" t="s">
        <v>63</v>
      </c>
      <c r="AL96" s="9" t="str">
        <f t="array" ref="AL96">"[" &amp; TEXTJOIN(", ", TRUE, IF(LEN(AM96:AQ96), CHAR(34)&amp;AM96:AQ96&amp;CHAR(34), )) &amp; "]"
</f>
        <v>["Biological resource use", "Transportation &amp; service corridors"]</v>
      </c>
      <c r="AM96" s="3" t="s">
        <v>52</v>
      </c>
      <c r="AN96" s="3" t="s">
        <v>65</v>
      </c>
      <c r="AO96" s="3"/>
      <c r="AP96" s="3"/>
      <c r="AQ96" s="3"/>
      <c r="AR96" s="3" t="s">
        <v>52</v>
      </c>
      <c r="AS96" s="3" t="s">
        <v>65</v>
      </c>
      <c r="AW96" s="8" t="s">
        <v>2225</v>
      </c>
    </row>
    <row r="97" hidden="1">
      <c r="A97" s="3">
        <v>185.0</v>
      </c>
      <c r="B97" s="3" t="s">
        <v>106</v>
      </c>
      <c r="D97" s="3">
        <v>1986.0</v>
      </c>
      <c r="E97" s="3" t="s">
        <v>544</v>
      </c>
      <c r="F97" s="3" t="s">
        <v>356</v>
      </c>
      <c r="G97" s="3"/>
      <c r="H97" s="3" t="s">
        <v>82</v>
      </c>
      <c r="I97" s="3"/>
      <c r="K97" s="3"/>
      <c r="L97" s="3"/>
      <c r="M97" s="3" t="s">
        <v>453</v>
      </c>
      <c r="S97" s="3"/>
      <c r="T97" s="3"/>
      <c r="U97" s="3"/>
      <c r="V97" s="3"/>
      <c r="W97" s="3"/>
      <c r="X97" s="3"/>
      <c r="AC97" s="3" t="s">
        <v>267</v>
      </c>
      <c r="AF97" s="3" t="s">
        <v>125</v>
      </c>
      <c r="AL97" s="3"/>
      <c r="AM97" s="3"/>
      <c r="AN97" s="3"/>
      <c r="AO97" s="3"/>
      <c r="AP97" s="3"/>
      <c r="AQ97" s="3"/>
      <c r="AR97" s="3" t="s">
        <v>52</v>
      </c>
      <c r="AS97" s="3" t="s">
        <v>64</v>
      </c>
      <c r="AW97" s="8" t="s">
        <v>2135</v>
      </c>
    </row>
    <row r="98">
      <c r="A98" s="3">
        <v>225.0</v>
      </c>
      <c r="B98" s="3" t="s">
        <v>40</v>
      </c>
      <c r="C98" s="3" t="s">
        <v>615</v>
      </c>
      <c r="D98" s="3">
        <v>2009.0</v>
      </c>
      <c r="E98" s="3" t="s">
        <v>616</v>
      </c>
      <c r="F98" s="3" t="s">
        <v>356</v>
      </c>
      <c r="G98" s="3" t="s">
        <v>2216</v>
      </c>
      <c r="H98" s="3" t="s">
        <v>82</v>
      </c>
      <c r="I98" s="3" t="s">
        <v>2147</v>
      </c>
      <c r="J98" s="3" t="s">
        <v>82</v>
      </c>
      <c r="K98" s="3" t="s">
        <v>2217</v>
      </c>
      <c r="L98" s="3" t="s">
        <v>2221</v>
      </c>
      <c r="M98" s="3" t="s">
        <v>317</v>
      </c>
      <c r="S98" s="9" t="str">
        <f t="array" ref="S98">"[" &amp; TEXTJOIN(", ", TRUE, IF(LEN(T98:AB98), CHAR(34)&amp;T98:AB98&amp;CHAR(34), )) &amp; "]"
</f>
        <v>["Hunting &amp; Collecting Terrestrial Animals", "Roads &amp; railroads"]</v>
      </c>
      <c r="T98" s="3" t="s">
        <v>2138</v>
      </c>
      <c r="U98" s="3"/>
      <c r="V98" s="3"/>
      <c r="W98" s="3" t="s">
        <v>63</v>
      </c>
      <c r="AC98" s="3" t="s">
        <v>61</v>
      </c>
      <c r="AF98" s="3" t="s">
        <v>63</v>
      </c>
      <c r="AL98" s="9" t="str">
        <f t="array" ref="AL98">"[" &amp; TEXTJOIN(", ", TRUE, IF(LEN(AM98:AQ98), CHAR(34)&amp;AM98:AQ98&amp;CHAR(34), )) &amp; "]"
</f>
        <v>["Biological resource use", "Transportation &amp; service corridors"]</v>
      </c>
      <c r="AM98" s="3" t="s">
        <v>52</v>
      </c>
      <c r="AN98" s="3" t="s">
        <v>65</v>
      </c>
      <c r="AO98" s="3"/>
      <c r="AP98" s="3"/>
      <c r="AQ98" s="3"/>
      <c r="AR98" s="3" t="s">
        <v>52</v>
      </c>
      <c r="AS98" s="3" t="s">
        <v>65</v>
      </c>
      <c r="AW98" s="8" t="s">
        <v>2226</v>
      </c>
    </row>
    <row r="99">
      <c r="A99" s="3">
        <v>230.0</v>
      </c>
      <c r="B99" s="3" t="s">
        <v>40</v>
      </c>
      <c r="C99" s="3" t="s">
        <v>625</v>
      </c>
      <c r="D99" s="3">
        <v>2020.0</v>
      </c>
      <c r="E99" s="3" t="s">
        <v>626</v>
      </c>
      <c r="F99" s="3" t="s">
        <v>356</v>
      </c>
      <c r="G99" s="3" t="s">
        <v>2216</v>
      </c>
      <c r="H99" s="3" t="s">
        <v>82</v>
      </c>
      <c r="I99" s="3" t="s">
        <v>2147</v>
      </c>
      <c r="J99" s="3" t="s">
        <v>82</v>
      </c>
      <c r="K99" s="3" t="s">
        <v>2217</v>
      </c>
      <c r="L99" s="3" t="s">
        <v>2218</v>
      </c>
      <c r="M99" s="3" t="s">
        <v>254</v>
      </c>
      <c r="S99" s="9" t="str">
        <f t="array" ref="S99">"[" &amp; TEXTJOIN(", ", TRUE, IF(LEN(T99:AB99), CHAR(34)&amp;T99:AB99&amp;CHAR(34), )) &amp; "]"
</f>
        <v>["Hunting &amp; Collecting Terrestrial Animals", "Roads &amp; railroads"]</v>
      </c>
      <c r="T99" s="3" t="s">
        <v>2138</v>
      </c>
      <c r="U99" s="3"/>
      <c r="V99" s="3"/>
      <c r="W99" s="3" t="s">
        <v>63</v>
      </c>
      <c r="AC99" s="3" t="s">
        <v>61</v>
      </c>
      <c r="AF99" s="3" t="s">
        <v>63</v>
      </c>
      <c r="AL99" s="9" t="str">
        <f t="array" ref="AL99">"[" &amp; TEXTJOIN(", ", TRUE, IF(LEN(AM99:AQ99), CHAR(34)&amp;AM99:AQ99&amp;CHAR(34), )) &amp; "]"
</f>
        <v>["Biological resource use", "Transportation &amp; service corridors"]</v>
      </c>
      <c r="AM99" s="3" t="s">
        <v>52</v>
      </c>
      <c r="AN99" s="3" t="s">
        <v>65</v>
      </c>
      <c r="AO99" s="3"/>
      <c r="AP99" s="3"/>
      <c r="AQ99" s="3"/>
      <c r="AR99" s="3" t="s">
        <v>52</v>
      </c>
      <c r="AS99" s="3" t="s">
        <v>65</v>
      </c>
      <c r="AW99" s="8" t="s">
        <v>2227</v>
      </c>
    </row>
    <row r="100">
      <c r="A100" s="3">
        <v>226.0</v>
      </c>
      <c r="B100" s="3" t="s">
        <v>40</v>
      </c>
      <c r="C100" s="3" t="s">
        <v>617</v>
      </c>
      <c r="D100" s="3">
        <v>2010.0</v>
      </c>
      <c r="E100" s="3" t="s">
        <v>618</v>
      </c>
      <c r="F100" s="3" t="s">
        <v>356</v>
      </c>
      <c r="G100" s="3" t="s">
        <v>2216</v>
      </c>
      <c r="H100" s="3" t="s">
        <v>82</v>
      </c>
      <c r="I100" s="3" t="s">
        <v>2147</v>
      </c>
      <c r="J100" s="3" t="s">
        <v>82</v>
      </c>
      <c r="K100" s="3" t="s">
        <v>2217</v>
      </c>
      <c r="L100" s="3" t="s">
        <v>2218</v>
      </c>
      <c r="M100" s="3" t="s">
        <v>254</v>
      </c>
      <c r="S100" s="9" t="str">
        <f t="array" ref="S100">"[" &amp; TEXTJOIN(", ", TRUE, IF(LEN(T100:AB100), CHAR(34)&amp;T100:AB100&amp;CHAR(34), )) &amp; "]"
</f>
        <v>["Logging &amp; Wood Harvesting", "Roads &amp; railroads"]</v>
      </c>
      <c r="T100" s="3" t="s">
        <v>2139</v>
      </c>
      <c r="U100" s="3"/>
      <c r="V100" s="3"/>
      <c r="W100" s="3" t="s">
        <v>63</v>
      </c>
      <c r="AC100" s="3" t="s">
        <v>48</v>
      </c>
      <c r="AF100" s="3" t="s">
        <v>63</v>
      </c>
      <c r="AL100" s="9" t="str">
        <f t="array" ref="AL100">"[" &amp; TEXTJOIN(", ", TRUE, IF(LEN(AM100:AQ100), CHAR(34)&amp;AM100:AQ100&amp;CHAR(34), )) &amp; "]"
</f>
        <v>["Biological resource use", "Transportation &amp; service corridors"]</v>
      </c>
      <c r="AM100" s="3" t="s">
        <v>52</v>
      </c>
      <c r="AN100" s="3" t="s">
        <v>65</v>
      </c>
      <c r="AO100" s="3"/>
      <c r="AP100" s="3"/>
      <c r="AQ100" s="3"/>
      <c r="AR100" s="3" t="s">
        <v>52</v>
      </c>
      <c r="AS100" s="3" t="s">
        <v>65</v>
      </c>
      <c r="AW100" s="8" t="s">
        <v>2228</v>
      </c>
    </row>
    <row r="101">
      <c r="A101" s="3">
        <v>454.0</v>
      </c>
      <c r="B101" s="3" t="s">
        <v>40</v>
      </c>
      <c r="C101" s="3" t="s">
        <v>1035</v>
      </c>
      <c r="D101" s="3">
        <v>2007.0</v>
      </c>
      <c r="E101" s="3" t="s">
        <v>1036</v>
      </c>
      <c r="F101" s="3" t="s">
        <v>356</v>
      </c>
      <c r="G101" s="3" t="s">
        <v>2216</v>
      </c>
      <c r="H101" s="3" t="s">
        <v>82</v>
      </c>
      <c r="I101" s="3" t="s">
        <v>2147</v>
      </c>
      <c r="J101" s="3" t="s">
        <v>82</v>
      </c>
      <c r="K101" s="3" t="s">
        <v>2217</v>
      </c>
      <c r="L101" s="3" t="s">
        <v>2218</v>
      </c>
      <c r="M101" s="3" t="s">
        <v>254</v>
      </c>
      <c r="S101" s="9" t="str">
        <f t="array" ref="S101">"[" &amp; TEXTJOIN(", ", TRUE, IF(LEN(T101:AB101), CHAR(34)&amp;T101:AB101&amp;CHAR(34), )) &amp; "]"
</f>
        <v>["Recreational activities", "Roads &amp; railroads"]</v>
      </c>
      <c r="T101" s="3" t="s">
        <v>162</v>
      </c>
      <c r="U101" s="3"/>
      <c r="V101" s="3"/>
      <c r="W101" s="3" t="s">
        <v>63</v>
      </c>
      <c r="AC101" s="3" t="s">
        <v>162</v>
      </c>
      <c r="AF101" s="3" t="s">
        <v>63</v>
      </c>
      <c r="AL101" s="9" t="str">
        <f t="array" ref="AL101">"[" &amp; TEXTJOIN(", ", TRUE, IF(LEN(AM101:AQ101), CHAR(34)&amp;AM101:AQ101&amp;CHAR(34), )) &amp; "]"
</f>
        <v>["Human intrusions &amp; disturbance", "Transportation &amp; service corridors"]</v>
      </c>
      <c r="AM101" s="3" t="s">
        <v>121</v>
      </c>
      <c r="AN101" s="3" t="s">
        <v>65</v>
      </c>
      <c r="AO101" s="3"/>
      <c r="AP101" s="3"/>
      <c r="AQ101" s="3"/>
      <c r="AR101" s="3" t="s">
        <v>121</v>
      </c>
      <c r="AS101" s="3" t="s">
        <v>65</v>
      </c>
      <c r="AW101" s="8" t="s">
        <v>2229</v>
      </c>
    </row>
    <row r="102">
      <c r="A102" s="3">
        <v>455.0</v>
      </c>
      <c r="B102" s="3" t="s">
        <v>40</v>
      </c>
      <c r="C102" s="3" t="s">
        <v>1037</v>
      </c>
      <c r="D102" s="3">
        <v>2007.0</v>
      </c>
      <c r="E102" s="3" t="s">
        <v>1038</v>
      </c>
      <c r="F102" s="3" t="s">
        <v>356</v>
      </c>
      <c r="G102" s="3" t="s">
        <v>2216</v>
      </c>
      <c r="H102" s="3" t="s">
        <v>82</v>
      </c>
      <c r="I102" s="3" t="s">
        <v>2147</v>
      </c>
      <c r="J102" s="3" t="s">
        <v>82</v>
      </c>
      <c r="K102" s="3" t="s">
        <v>2217</v>
      </c>
      <c r="L102" s="3" t="s">
        <v>2218</v>
      </c>
      <c r="M102" s="3" t="s">
        <v>254</v>
      </c>
      <c r="S102" s="9" t="str">
        <f t="array" ref="S102">"[" &amp; TEXTJOIN(", ", TRUE, IF(LEN(T102:AB102), CHAR(34)&amp;T102:AB102&amp;CHAR(34), )) &amp; "]"
</f>
        <v>["Recreational activities", "Roads &amp; railroads"]</v>
      </c>
      <c r="T102" s="3" t="s">
        <v>162</v>
      </c>
      <c r="U102" s="3"/>
      <c r="V102" s="3"/>
      <c r="W102" s="3" t="s">
        <v>63</v>
      </c>
      <c r="AC102" s="3" t="s">
        <v>162</v>
      </c>
      <c r="AF102" s="3" t="s">
        <v>63</v>
      </c>
      <c r="AL102" s="9" t="str">
        <f t="array" ref="AL102">"[" &amp; TEXTJOIN(", ", TRUE, IF(LEN(AM102:AQ102), CHAR(34)&amp;AM102:AQ102&amp;CHAR(34), )) &amp; "]"
</f>
        <v>["Human intrusions &amp; disturbance", "Transportation &amp; service corridors"]</v>
      </c>
      <c r="AM102" s="3" t="s">
        <v>121</v>
      </c>
      <c r="AN102" s="3" t="s">
        <v>65</v>
      </c>
      <c r="AO102" s="3"/>
      <c r="AP102" s="3"/>
      <c r="AQ102" s="3"/>
      <c r="AR102" s="3" t="s">
        <v>121</v>
      </c>
      <c r="AS102" s="3" t="s">
        <v>65</v>
      </c>
      <c r="AW102" s="8" t="s">
        <v>2230</v>
      </c>
    </row>
    <row r="103">
      <c r="A103" s="3">
        <v>147.0</v>
      </c>
      <c r="B103" s="3" t="s">
        <v>40</v>
      </c>
      <c r="C103" s="3" t="s">
        <v>466</v>
      </c>
      <c r="D103" s="3">
        <v>2018.0</v>
      </c>
      <c r="E103" s="3" t="s">
        <v>467</v>
      </c>
      <c r="F103" s="3" t="s">
        <v>356</v>
      </c>
      <c r="G103" s="3" t="s">
        <v>2216</v>
      </c>
      <c r="H103" s="3" t="s">
        <v>82</v>
      </c>
      <c r="I103" s="3" t="s">
        <v>2147</v>
      </c>
      <c r="J103" s="3" t="s">
        <v>82</v>
      </c>
      <c r="K103" s="3" t="s">
        <v>2217</v>
      </c>
      <c r="L103" s="3" t="s">
        <v>2224</v>
      </c>
      <c r="M103" s="3" t="s">
        <v>314</v>
      </c>
      <c r="S103" s="9" t="str">
        <f t="array" ref="S103">"[" &amp; TEXTJOIN(", ", TRUE, IF(LEN(T103:AB103), CHAR(34)&amp;T103:AB103&amp;CHAR(34), )) &amp; "]"
</f>
        <v>["Hunting &amp; Collecting Terrestrial Animals", "Logging &amp; Wood Harvesting"]</v>
      </c>
      <c r="T103" s="3" t="s">
        <v>2138</v>
      </c>
      <c r="U103" s="3" t="s">
        <v>2139</v>
      </c>
      <c r="V103" s="3"/>
      <c r="AC103" s="3" t="s">
        <v>61</v>
      </c>
      <c r="AD103" s="3" t="s">
        <v>48</v>
      </c>
      <c r="AL103" s="9" t="str">
        <f t="array" ref="AL103">"[" &amp; TEXTJOIN(", ", TRUE, IF(LEN(AM103:AQ103), CHAR(34)&amp;AM103:AQ103&amp;CHAR(34), )) &amp; "]"
</f>
        <v>["Biological resource use"]</v>
      </c>
      <c r="AM103" s="3" t="s">
        <v>52</v>
      </c>
      <c r="AO103" s="3"/>
      <c r="AP103" s="3"/>
      <c r="AQ103" s="3"/>
      <c r="AR103" s="3" t="s">
        <v>52</v>
      </c>
      <c r="AS103" s="3" t="s">
        <v>78</v>
      </c>
      <c r="AW103" s="8" t="s">
        <v>2231</v>
      </c>
    </row>
    <row r="104">
      <c r="A104" s="3">
        <v>280.0</v>
      </c>
      <c r="B104" s="3" t="s">
        <v>40</v>
      </c>
      <c r="C104" s="3" t="s">
        <v>726</v>
      </c>
      <c r="D104" s="3">
        <v>2004.0</v>
      </c>
      <c r="E104" s="3" t="s">
        <v>727</v>
      </c>
      <c r="F104" s="3" t="s">
        <v>356</v>
      </c>
      <c r="G104" s="3" t="s">
        <v>2216</v>
      </c>
      <c r="H104" s="3" t="s">
        <v>82</v>
      </c>
      <c r="I104" s="3" t="s">
        <v>2147</v>
      </c>
      <c r="J104" s="3" t="s">
        <v>82</v>
      </c>
      <c r="K104" s="3" t="s">
        <v>2217</v>
      </c>
      <c r="L104" s="3" t="s">
        <v>2218</v>
      </c>
      <c r="M104" s="3" t="s">
        <v>254</v>
      </c>
      <c r="S104" s="9" t="str">
        <f t="array" ref="S104">"[" &amp; TEXTJOIN(", ", TRUE, IF(LEN(T104:AB104), CHAR(34)&amp;T104:AB104&amp;CHAR(34), )) &amp; "]"
</f>
        <v>["Hunting &amp; Collecting Terrestrial Animals", "Logging &amp; Wood Harvesting"]</v>
      </c>
      <c r="T104" s="3" t="s">
        <v>2138</v>
      </c>
      <c r="U104" s="3" t="s">
        <v>2139</v>
      </c>
      <c r="V104" s="3"/>
      <c r="AC104" s="3" t="s">
        <v>61</v>
      </c>
      <c r="AD104" s="3" t="s">
        <v>48</v>
      </c>
      <c r="AL104" s="9" t="str">
        <f t="array" ref="AL104">"[" &amp; TEXTJOIN(", ", TRUE, IF(LEN(AM104:AQ104), CHAR(34)&amp;AM104:AQ104&amp;CHAR(34), )) &amp; "]"
</f>
        <v>["Biological resource use"]</v>
      </c>
      <c r="AM104" s="3" t="s">
        <v>52</v>
      </c>
      <c r="AN104" s="3"/>
      <c r="AO104" s="3"/>
      <c r="AP104" s="3"/>
      <c r="AQ104" s="3"/>
      <c r="AR104" s="3" t="s">
        <v>52</v>
      </c>
      <c r="AW104" s="8" t="s">
        <v>2232</v>
      </c>
    </row>
    <row r="105">
      <c r="A105" s="3">
        <v>295.0</v>
      </c>
      <c r="B105" s="3" t="s">
        <v>40</v>
      </c>
      <c r="C105" s="3" t="s">
        <v>756</v>
      </c>
      <c r="D105" s="3">
        <v>2008.0</v>
      </c>
      <c r="E105" s="3" t="s">
        <v>757</v>
      </c>
      <c r="F105" s="3" t="s">
        <v>356</v>
      </c>
      <c r="G105" s="3" t="s">
        <v>2216</v>
      </c>
      <c r="H105" s="3" t="s">
        <v>82</v>
      </c>
      <c r="I105" s="3" t="s">
        <v>2147</v>
      </c>
      <c r="J105" s="3" t="s">
        <v>82</v>
      </c>
      <c r="K105" s="3" t="s">
        <v>2217</v>
      </c>
      <c r="L105" s="3" t="s">
        <v>2224</v>
      </c>
      <c r="M105" s="3" t="s">
        <v>314</v>
      </c>
      <c r="S105" s="9" t="str">
        <f t="array" ref="S105">"[" &amp; TEXTJOIN(", ", TRUE, IF(LEN(T105:AB105), CHAR(34)&amp;T105:AB105&amp;CHAR(34), )) &amp; "]"
</f>
        <v>["Hunting &amp; Collecting Terrestrial Animals", "Logging &amp; Wood Harvesting"]</v>
      </c>
      <c r="T105" s="3" t="s">
        <v>2138</v>
      </c>
      <c r="U105" s="3" t="s">
        <v>2139</v>
      </c>
      <c r="V105" s="3"/>
      <c r="AC105" s="3" t="s">
        <v>61</v>
      </c>
      <c r="AD105" s="3" t="s">
        <v>48</v>
      </c>
      <c r="AL105" s="9" t="str">
        <f t="array" ref="AL105">"[" &amp; TEXTJOIN(", ", TRUE, IF(LEN(AM105:AQ105), CHAR(34)&amp;AM105:AQ105&amp;CHAR(34), )) &amp; "]"
</f>
        <v>["Biological resource use"]</v>
      </c>
      <c r="AM105" s="3" t="s">
        <v>52</v>
      </c>
      <c r="AN105" s="3"/>
      <c r="AO105" s="3"/>
      <c r="AP105" s="3"/>
      <c r="AQ105" s="3"/>
      <c r="AR105" s="3" t="s">
        <v>52</v>
      </c>
      <c r="AW105" s="8" t="s">
        <v>2233</v>
      </c>
    </row>
    <row r="106">
      <c r="A106" s="3">
        <v>146.0</v>
      </c>
      <c r="B106" s="3" t="s">
        <v>40</v>
      </c>
      <c r="C106" s="3" t="s">
        <v>464</v>
      </c>
      <c r="D106" s="3">
        <v>2014.0</v>
      </c>
      <c r="E106" s="3" t="s">
        <v>465</v>
      </c>
      <c r="F106" s="3" t="s">
        <v>356</v>
      </c>
      <c r="G106" s="3" t="s">
        <v>2216</v>
      </c>
      <c r="H106" s="3" t="s">
        <v>82</v>
      </c>
      <c r="I106" s="3" t="s">
        <v>2147</v>
      </c>
      <c r="J106" s="3" t="s">
        <v>82</v>
      </c>
      <c r="K106" s="3" t="s">
        <v>2217</v>
      </c>
      <c r="L106" s="3" t="s">
        <v>2234</v>
      </c>
      <c r="M106" s="3" t="s">
        <v>453</v>
      </c>
      <c r="S106" s="9" t="str">
        <f t="array" ref="S106">"[" &amp; TEXTJOIN(", ", TRUE, IF(LEN(T106:AB106), CHAR(34)&amp;T106:AB106&amp;CHAR(34), )) &amp; "]"
</f>
        <v>["Hunting &amp; Collecting Terrestrial Animals"]</v>
      </c>
      <c r="T106" s="3" t="s">
        <v>2138</v>
      </c>
      <c r="U106" s="3"/>
      <c r="V106" s="3"/>
      <c r="AC106" s="3" t="s">
        <v>61</v>
      </c>
      <c r="AL106" s="9" t="str">
        <f t="array" ref="AL106">"[" &amp; TEXTJOIN(", ", TRUE, IF(LEN(AM106:AQ106), CHAR(34)&amp;AM106:AQ106&amp;CHAR(34), )) &amp; "]"
</f>
        <v>["Biological resource use"]</v>
      </c>
      <c r="AM106" s="3" t="s">
        <v>52</v>
      </c>
      <c r="AO106" s="3"/>
      <c r="AP106" s="3"/>
      <c r="AQ106" s="3"/>
      <c r="AR106" s="3" t="s">
        <v>52</v>
      </c>
      <c r="AS106" s="3" t="s">
        <v>78</v>
      </c>
      <c r="AW106" s="8" t="s">
        <v>2235</v>
      </c>
    </row>
    <row r="107">
      <c r="A107" s="3">
        <v>247.0</v>
      </c>
      <c r="B107" s="3" t="s">
        <v>40</v>
      </c>
      <c r="C107" s="3" t="s">
        <v>661</v>
      </c>
      <c r="D107" s="3">
        <v>1994.0</v>
      </c>
      <c r="E107" s="3" t="s">
        <v>662</v>
      </c>
      <c r="F107" s="3" t="s">
        <v>356</v>
      </c>
      <c r="G107" s="3" t="s">
        <v>2216</v>
      </c>
      <c r="H107" s="3" t="s">
        <v>82</v>
      </c>
      <c r="I107" s="3" t="s">
        <v>2147</v>
      </c>
      <c r="J107" s="3" t="s">
        <v>82</v>
      </c>
      <c r="K107" s="3" t="s">
        <v>2217</v>
      </c>
      <c r="L107" s="3" t="s">
        <v>2221</v>
      </c>
      <c r="M107" s="3" t="s">
        <v>317</v>
      </c>
      <c r="S107" s="9" t="str">
        <f t="array" ref="S107">"[" &amp; TEXTJOIN(", ", TRUE, IF(LEN(T107:AB107), CHAR(34)&amp;T107:AB107&amp;CHAR(34), )) &amp; "]"
</f>
        <v>["Hunting &amp; Collecting Terrestrial Animals"]</v>
      </c>
      <c r="T107" s="3" t="s">
        <v>2138</v>
      </c>
      <c r="U107" s="3"/>
      <c r="V107" s="3"/>
      <c r="AC107" s="3" t="s">
        <v>61</v>
      </c>
      <c r="AL107" s="9" t="str">
        <f t="array" ref="AL107">"[" &amp; TEXTJOIN(", ", TRUE, IF(LEN(AM107:AQ107), CHAR(34)&amp;AM107:AQ107&amp;CHAR(34), )) &amp; "]"
</f>
        <v>["Biological resource use"]</v>
      </c>
      <c r="AM107" s="3" t="s">
        <v>52</v>
      </c>
      <c r="AN107" s="3"/>
      <c r="AO107" s="3"/>
      <c r="AP107" s="3"/>
      <c r="AQ107" s="3"/>
      <c r="AR107" s="3" t="s">
        <v>52</v>
      </c>
      <c r="AW107" s="8" t="s">
        <v>2236</v>
      </c>
    </row>
    <row r="108">
      <c r="A108" s="3">
        <v>254.0</v>
      </c>
      <c r="B108" s="3" t="s">
        <v>40</v>
      </c>
      <c r="C108" s="3" t="s">
        <v>675</v>
      </c>
      <c r="D108" s="3">
        <v>1997.0</v>
      </c>
      <c r="E108" s="3" t="s">
        <v>676</v>
      </c>
      <c r="F108" s="3" t="s">
        <v>356</v>
      </c>
      <c r="G108" s="3" t="s">
        <v>2216</v>
      </c>
      <c r="H108" s="3" t="s">
        <v>82</v>
      </c>
      <c r="I108" s="3" t="s">
        <v>2147</v>
      </c>
      <c r="J108" s="3" t="s">
        <v>82</v>
      </c>
      <c r="K108" s="3" t="s">
        <v>2217</v>
      </c>
      <c r="L108" s="3" t="s">
        <v>2237</v>
      </c>
      <c r="M108" s="3" t="s">
        <v>384</v>
      </c>
      <c r="S108" s="9" t="str">
        <f t="array" ref="S108">"[" &amp; TEXTJOIN(", ", TRUE, IF(LEN(T108:AB108), CHAR(34)&amp;T108:AB108&amp;CHAR(34), )) &amp; "]"
</f>
        <v>["Hunting &amp; Collecting Terrestrial Animals"]</v>
      </c>
      <c r="T108" s="3" t="s">
        <v>2138</v>
      </c>
      <c r="U108" s="3"/>
      <c r="V108" s="3"/>
      <c r="AC108" s="3" t="s">
        <v>61</v>
      </c>
      <c r="AL108" s="9" t="str">
        <f t="array" ref="AL108">"[" &amp; TEXTJOIN(", ", TRUE, IF(LEN(AM108:AQ108), CHAR(34)&amp;AM108:AQ108&amp;CHAR(34), )) &amp; "]"
</f>
        <v>["Biological resource use"]</v>
      </c>
      <c r="AM108" s="3" t="s">
        <v>52</v>
      </c>
      <c r="AN108" s="3"/>
      <c r="AO108" s="3"/>
      <c r="AP108" s="3"/>
      <c r="AQ108" s="3"/>
      <c r="AR108" s="3" t="s">
        <v>52</v>
      </c>
      <c r="AW108" s="8" t="s">
        <v>2238</v>
      </c>
    </row>
    <row r="109">
      <c r="A109" s="3">
        <v>269.0</v>
      </c>
      <c r="B109" s="3" t="s">
        <v>40</v>
      </c>
      <c r="C109" s="3" t="s">
        <v>705</v>
      </c>
      <c r="D109" s="3">
        <v>2000.0</v>
      </c>
      <c r="E109" s="3" t="s">
        <v>706</v>
      </c>
      <c r="F109" s="3" t="s">
        <v>356</v>
      </c>
      <c r="G109" s="3" t="s">
        <v>2216</v>
      </c>
      <c r="H109" s="3" t="s">
        <v>82</v>
      </c>
      <c r="I109" s="3" t="s">
        <v>2147</v>
      </c>
      <c r="J109" s="3" t="s">
        <v>82</v>
      </c>
      <c r="K109" s="3" t="s">
        <v>2217</v>
      </c>
      <c r="L109" s="3" t="s">
        <v>2218</v>
      </c>
      <c r="M109" s="3" t="s">
        <v>254</v>
      </c>
      <c r="S109" s="9" t="str">
        <f t="array" ref="S109">"[" &amp; TEXTJOIN(", ", TRUE, IF(LEN(T109:AB109), CHAR(34)&amp;T109:AB109&amp;CHAR(34), )) &amp; "]"
</f>
        <v>["Hunting &amp; Collecting Terrestrial Animals"]</v>
      </c>
      <c r="T109" s="3" t="s">
        <v>2138</v>
      </c>
      <c r="U109" s="3"/>
      <c r="V109" s="3"/>
      <c r="AC109" s="3" t="s">
        <v>61</v>
      </c>
      <c r="AL109" s="9" t="str">
        <f t="array" ref="AL109">"[" &amp; TEXTJOIN(", ", TRUE, IF(LEN(AM109:AQ109), CHAR(34)&amp;AM109:AQ109&amp;CHAR(34), )) &amp; "]"
</f>
        <v>["Biological resource use"]</v>
      </c>
      <c r="AM109" s="3" t="s">
        <v>52</v>
      </c>
      <c r="AN109" s="3"/>
      <c r="AO109" s="3"/>
      <c r="AP109" s="3"/>
      <c r="AQ109" s="3"/>
      <c r="AR109" s="3" t="s">
        <v>52</v>
      </c>
      <c r="AW109" s="8" t="s">
        <v>2239</v>
      </c>
    </row>
    <row r="110">
      <c r="A110" s="3">
        <v>290.0</v>
      </c>
      <c r="B110" s="3" t="s">
        <v>40</v>
      </c>
      <c r="C110" s="3" t="s">
        <v>746</v>
      </c>
      <c r="D110" s="3">
        <v>2007.0</v>
      </c>
      <c r="E110" s="3" t="s">
        <v>747</v>
      </c>
      <c r="F110" s="3" t="s">
        <v>356</v>
      </c>
      <c r="G110" s="3" t="s">
        <v>2216</v>
      </c>
      <c r="H110" s="3" t="s">
        <v>82</v>
      </c>
      <c r="I110" s="3" t="s">
        <v>2147</v>
      </c>
      <c r="J110" s="3" t="s">
        <v>82</v>
      </c>
      <c r="K110" s="3" t="s">
        <v>2217</v>
      </c>
      <c r="L110" s="3" t="s">
        <v>2218</v>
      </c>
      <c r="M110" s="3" t="s">
        <v>254</v>
      </c>
      <c r="S110" s="9" t="str">
        <f t="array" ref="S110">"[" &amp; TEXTJOIN(", ", TRUE, IF(LEN(T110:AB110), CHAR(34)&amp;T110:AB110&amp;CHAR(34), )) &amp; "]"
</f>
        <v>["Hunting &amp; Collecting Terrestrial Animals"]</v>
      </c>
      <c r="T110" s="3" t="s">
        <v>2138</v>
      </c>
      <c r="U110" s="3"/>
      <c r="V110" s="3"/>
      <c r="AC110" s="3" t="s">
        <v>61</v>
      </c>
      <c r="AL110" s="9" t="str">
        <f t="array" ref="AL110">"[" &amp; TEXTJOIN(", ", TRUE, IF(LEN(AM110:AQ110), CHAR(34)&amp;AM110:AQ110&amp;CHAR(34), )) &amp; "]"
</f>
        <v>["Biological resource use"]</v>
      </c>
      <c r="AM110" s="3" t="s">
        <v>52</v>
      </c>
      <c r="AN110" s="3"/>
      <c r="AO110" s="3"/>
      <c r="AP110" s="3"/>
      <c r="AQ110" s="3"/>
      <c r="AR110" s="3" t="s">
        <v>52</v>
      </c>
      <c r="AW110" s="8" t="s">
        <v>2240</v>
      </c>
    </row>
    <row r="111">
      <c r="A111" s="3">
        <v>338.0</v>
      </c>
      <c r="B111" s="3" t="s">
        <v>40</v>
      </c>
      <c r="C111" s="3" t="s">
        <v>844</v>
      </c>
      <c r="D111" s="3">
        <v>2017.0</v>
      </c>
      <c r="E111" s="3" t="s">
        <v>845</v>
      </c>
      <c r="F111" s="3" t="s">
        <v>356</v>
      </c>
      <c r="G111" s="3" t="s">
        <v>2216</v>
      </c>
      <c r="H111" s="3" t="s">
        <v>82</v>
      </c>
      <c r="I111" s="3" t="s">
        <v>2147</v>
      </c>
      <c r="J111" s="3" t="s">
        <v>82</v>
      </c>
      <c r="K111" s="3" t="s">
        <v>2217</v>
      </c>
      <c r="L111" s="3" t="s">
        <v>2218</v>
      </c>
      <c r="M111" s="3" t="s">
        <v>254</v>
      </c>
      <c r="S111" s="9" t="str">
        <f t="array" ref="S111">"[" &amp; TEXTJOIN(", ", TRUE, IF(LEN(T111:AB111), CHAR(34)&amp;T111:AB111&amp;CHAR(34), )) &amp; "]"
</f>
        <v>["Hunting &amp; Collecting Terrestrial Animals"]</v>
      </c>
      <c r="T111" s="3" t="s">
        <v>2138</v>
      </c>
      <c r="U111" s="3"/>
      <c r="V111" s="3"/>
      <c r="AC111" s="3" t="s">
        <v>61</v>
      </c>
      <c r="AL111" s="9" t="str">
        <f t="array" ref="AL111">"[" &amp; TEXTJOIN(", ", TRUE, IF(LEN(AM111:AQ111), CHAR(34)&amp;AM111:AQ111&amp;CHAR(34), )) &amp; "]"
</f>
        <v>["Biological resource use"]</v>
      </c>
      <c r="AM111" s="3" t="s">
        <v>52</v>
      </c>
      <c r="AN111" s="3"/>
      <c r="AO111" s="3"/>
      <c r="AP111" s="3"/>
      <c r="AQ111" s="3"/>
      <c r="AR111" s="3" t="s">
        <v>52</v>
      </c>
      <c r="AW111" s="8" t="s">
        <v>2241</v>
      </c>
    </row>
    <row r="112">
      <c r="A112" s="3">
        <v>356.0</v>
      </c>
      <c r="B112" s="3" t="s">
        <v>40</v>
      </c>
      <c r="C112" s="3" t="s">
        <v>883</v>
      </c>
      <c r="D112" s="3">
        <v>2020.0</v>
      </c>
      <c r="E112" s="3" t="s">
        <v>884</v>
      </c>
      <c r="F112" s="3" t="s">
        <v>356</v>
      </c>
      <c r="G112" s="3" t="s">
        <v>2216</v>
      </c>
      <c r="H112" s="3" t="s">
        <v>82</v>
      </c>
      <c r="I112" s="3" t="s">
        <v>2147</v>
      </c>
      <c r="J112" s="3" t="s">
        <v>82</v>
      </c>
      <c r="K112" s="3" t="s">
        <v>2217</v>
      </c>
      <c r="L112" s="3" t="s">
        <v>2218</v>
      </c>
      <c r="M112" s="3" t="s">
        <v>254</v>
      </c>
      <c r="S112" s="9" t="str">
        <f t="array" ref="S112">"[" &amp; TEXTJOIN(", ", TRUE, IF(LEN(T112:AB112), CHAR(34)&amp;T112:AB112&amp;CHAR(34), )) &amp; "]"
</f>
        <v>["Hunting &amp; Collecting Terrestrial Animals"]</v>
      </c>
      <c r="T112" s="3" t="s">
        <v>2138</v>
      </c>
      <c r="U112" s="3"/>
      <c r="V112" s="3"/>
      <c r="AC112" s="3" t="s">
        <v>61</v>
      </c>
      <c r="AL112" s="9" t="str">
        <f t="array" ref="AL112">"[" &amp; TEXTJOIN(", ", TRUE, IF(LEN(AM112:AQ112), CHAR(34)&amp;AM112:AQ112&amp;CHAR(34), )) &amp; "]"
</f>
        <v>["Biological resource use"]</v>
      </c>
      <c r="AM112" s="3" t="s">
        <v>52</v>
      </c>
      <c r="AN112" s="3"/>
      <c r="AO112" s="3"/>
      <c r="AP112" s="3"/>
      <c r="AQ112" s="3"/>
      <c r="AR112" s="3" t="s">
        <v>52</v>
      </c>
      <c r="AW112" s="8" t="s">
        <v>2242</v>
      </c>
    </row>
    <row r="113">
      <c r="A113" s="3">
        <v>252.0</v>
      </c>
      <c r="B113" s="3" t="s">
        <v>40</v>
      </c>
      <c r="C113" s="3" t="s">
        <v>671</v>
      </c>
      <c r="D113" s="3">
        <v>1996.0</v>
      </c>
      <c r="E113" s="3" t="s">
        <v>672</v>
      </c>
      <c r="F113" s="3" t="s">
        <v>356</v>
      </c>
      <c r="G113" s="3" t="s">
        <v>2216</v>
      </c>
      <c r="H113" s="3" t="s">
        <v>82</v>
      </c>
      <c r="I113" s="3" t="s">
        <v>2147</v>
      </c>
      <c r="J113" s="3" t="s">
        <v>82</v>
      </c>
      <c r="K113" s="3" t="s">
        <v>2217</v>
      </c>
      <c r="L113" s="3" t="s">
        <v>2221</v>
      </c>
      <c r="M113" s="3" t="s">
        <v>317</v>
      </c>
      <c r="S113" s="9" t="str">
        <f t="array" ref="S113">"[" &amp; TEXTJOIN(", ", TRUE, IF(LEN(T113:AB113), CHAR(34)&amp;T113:AB113&amp;CHAR(34), )) &amp; "]"
</f>
        <v>["Logging &amp; Wood Harvesting"]</v>
      </c>
      <c r="T113" s="3" t="s">
        <v>2139</v>
      </c>
      <c r="U113" s="3"/>
      <c r="V113" s="3"/>
      <c r="AC113" s="3" t="s">
        <v>48</v>
      </c>
      <c r="AL113" s="9" t="str">
        <f t="array" ref="AL113">"[" &amp; TEXTJOIN(", ", TRUE, IF(LEN(AM113:AQ113), CHAR(34)&amp;AM113:AQ113&amp;CHAR(34), )) &amp; "]"
</f>
        <v>["Biological resource use"]</v>
      </c>
      <c r="AM113" s="3" t="s">
        <v>52</v>
      </c>
      <c r="AN113" s="3"/>
      <c r="AO113" s="3"/>
      <c r="AP113" s="3"/>
      <c r="AQ113" s="3"/>
      <c r="AR113" s="3" t="s">
        <v>52</v>
      </c>
      <c r="AW113" s="8" t="s">
        <v>2243</v>
      </c>
    </row>
    <row r="114">
      <c r="A114" s="3">
        <v>266.0</v>
      </c>
      <c r="B114" s="3" t="s">
        <v>40</v>
      </c>
      <c r="C114" s="3" t="s">
        <v>699</v>
      </c>
      <c r="D114" s="3">
        <v>2000.0</v>
      </c>
      <c r="E114" s="3" t="s">
        <v>700</v>
      </c>
      <c r="F114" s="3" t="s">
        <v>356</v>
      </c>
      <c r="G114" s="3" t="s">
        <v>2216</v>
      </c>
      <c r="H114" s="3" t="s">
        <v>82</v>
      </c>
      <c r="I114" s="3" t="s">
        <v>2147</v>
      </c>
      <c r="J114" s="3" t="s">
        <v>82</v>
      </c>
      <c r="K114" s="3" t="s">
        <v>2217</v>
      </c>
      <c r="L114" s="3" t="s">
        <v>2221</v>
      </c>
      <c r="M114" s="3" t="s">
        <v>317</v>
      </c>
      <c r="S114" s="9" t="str">
        <f t="array" ref="S114">"[" &amp; TEXTJOIN(", ", TRUE, IF(LEN(T114:AB114), CHAR(34)&amp;T114:AB114&amp;CHAR(34), )) &amp; "]"
</f>
        <v>["Logging &amp; Wood Harvesting"]</v>
      </c>
      <c r="T114" s="3" t="s">
        <v>2139</v>
      </c>
      <c r="U114" s="3"/>
      <c r="V114" s="3"/>
      <c r="AC114" s="3" t="s">
        <v>48</v>
      </c>
      <c r="AL114" s="9" t="str">
        <f t="array" ref="AL114">"[" &amp; TEXTJOIN(", ", TRUE, IF(LEN(AM114:AQ114), CHAR(34)&amp;AM114:AQ114&amp;CHAR(34), )) &amp; "]"
</f>
        <v>["Biological resource use"]</v>
      </c>
      <c r="AM114" s="3" t="s">
        <v>52</v>
      </c>
      <c r="AN114" s="3"/>
      <c r="AO114" s="3"/>
      <c r="AP114" s="3"/>
      <c r="AQ114" s="3"/>
      <c r="AR114" s="3" t="s">
        <v>52</v>
      </c>
      <c r="AW114" s="8" t="s">
        <v>2244</v>
      </c>
    </row>
    <row r="115">
      <c r="A115" s="3">
        <v>281.0</v>
      </c>
      <c r="B115" s="3" t="s">
        <v>40</v>
      </c>
      <c r="C115" s="3" t="s">
        <v>728</v>
      </c>
      <c r="D115" s="3">
        <v>2004.0</v>
      </c>
      <c r="E115" s="3" t="s">
        <v>729</v>
      </c>
      <c r="F115" s="3" t="s">
        <v>356</v>
      </c>
      <c r="G115" s="3" t="s">
        <v>2216</v>
      </c>
      <c r="H115" s="3" t="s">
        <v>82</v>
      </c>
      <c r="I115" s="3" t="s">
        <v>2147</v>
      </c>
      <c r="J115" s="3" t="s">
        <v>82</v>
      </c>
      <c r="K115" s="3" t="s">
        <v>2217</v>
      </c>
      <c r="L115" s="3" t="s">
        <v>2218</v>
      </c>
      <c r="M115" s="3" t="s">
        <v>254</v>
      </c>
      <c r="S115" s="9" t="str">
        <f t="array" ref="S115">"[" &amp; TEXTJOIN(", ", TRUE, IF(LEN(T115:AB115), CHAR(34)&amp;T115:AB115&amp;CHAR(34), )) &amp; "]"
</f>
        <v>["Logging &amp; Wood Harvesting"]</v>
      </c>
      <c r="T115" s="3" t="s">
        <v>2139</v>
      </c>
      <c r="U115" s="3"/>
      <c r="V115" s="3"/>
      <c r="AC115" s="3" t="s">
        <v>48</v>
      </c>
      <c r="AL115" s="9" t="str">
        <f t="array" ref="AL115">"[" &amp; TEXTJOIN(", ", TRUE, IF(LEN(AM115:AQ115), CHAR(34)&amp;AM115:AQ115&amp;CHAR(34), )) &amp; "]"
</f>
        <v>["Biological resource use"]</v>
      </c>
      <c r="AM115" s="3" t="s">
        <v>52</v>
      </c>
      <c r="AN115" s="3"/>
      <c r="AO115" s="3"/>
      <c r="AP115" s="3"/>
      <c r="AQ115" s="3"/>
      <c r="AR115" s="3" t="s">
        <v>52</v>
      </c>
      <c r="AW115" s="8" t="s">
        <v>2245</v>
      </c>
    </row>
    <row r="116">
      <c r="A116" s="3">
        <v>293.0</v>
      </c>
      <c r="B116" s="3" t="s">
        <v>40</v>
      </c>
      <c r="C116" s="3" t="s">
        <v>752</v>
      </c>
      <c r="D116" s="3">
        <v>2008.0</v>
      </c>
      <c r="E116" s="3" t="s">
        <v>753</v>
      </c>
      <c r="F116" s="3" t="s">
        <v>356</v>
      </c>
      <c r="G116" s="3" t="s">
        <v>2216</v>
      </c>
      <c r="H116" s="3" t="s">
        <v>82</v>
      </c>
      <c r="I116" s="3" t="s">
        <v>2147</v>
      </c>
      <c r="J116" s="3" t="s">
        <v>82</v>
      </c>
      <c r="K116" s="3" t="s">
        <v>2217</v>
      </c>
      <c r="L116" s="3" t="s">
        <v>2221</v>
      </c>
      <c r="M116" s="3" t="s">
        <v>317</v>
      </c>
      <c r="S116" s="9" t="str">
        <f t="array" ref="S116">"[" &amp; TEXTJOIN(", ", TRUE, IF(LEN(T116:AB116), CHAR(34)&amp;T116:AB116&amp;CHAR(34), )) &amp; "]"
</f>
        <v>["Logging &amp; Wood Harvesting"]</v>
      </c>
      <c r="T116" s="3" t="s">
        <v>2139</v>
      </c>
      <c r="U116" s="3"/>
      <c r="V116" s="3"/>
      <c r="AC116" s="3" t="s">
        <v>48</v>
      </c>
      <c r="AL116" s="9" t="str">
        <f t="array" ref="AL116">"[" &amp; TEXTJOIN(", ", TRUE, IF(LEN(AM116:AQ116), CHAR(34)&amp;AM116:AQ116&amp;CHAR(34), )) &amp; "]"
</f>
        <v>["Biological resource use"]</v>
      </c>
      <c r="AM116" s="3" t="s">
        <v>52</v>
      </c>
      <c r="AN116" s="3"/>
      <c r="AO116" s="3"/>
      <c r="AP116" s="3"/>
      <c r="AQ116" s="3"/>
      <c r="AR116" s="3" t="s">
        <v>52</v>
      </c>
      <c r="AW116" s="8" t="s">
        <v>2246</v>
      </c>
    </row>
    <row r="117" hidden="1">
      <c r="A117" s="3">
        <v>358.0</v>
      </c>
      <c r="B117" s="3" t="s">
        <v>106</v>
      </c>
      <c r="D117" s="3">
        <v>1986.0</v>
      </c>
      <c r="E117" s="3" t="s">
        <v>887</v>
      </c>
      <c r="F117" s="3" t="s">
        <v>356</v>
      </c>
      <c r="G117" s="3"/>
      <c r="H117" s="3" t="s">
        <v>82</v>
      </c>
      <c r="I117" s="3"/>
      <c r="K117" s="3"/>
      <c r="L117" s="3"/>
      <c r="M117" s="3" t="s">
        <v>384</v>
      </c>
      <c r="S117" s="3"/>
      <c r="T117" s="3"/>
      <c r="U117" s="3"/>
      <c r="V117" s="3"/>
      <c r="AC117" s="3" t="s">
        <v>61</v>
      </c>
      <c r="AL117" s="3"/>
      <c r="AM117" s="3"/>
      <c r="AN117" s="3"/>
      <c r="AO117" s="3"/>
      <c r="AP117" s="3"/>
      <c r="AQ117" s="3"/>
      <c r="AR117" s="3" t="s">
        <v>52</v>
      </c>
      <c r="AW117" s="8" t="s">
        <v>2135</v>
      </c>
    </row>
    <row r="118">
      <c r="A118" s="3">
        <v>303.0</v>
      </c>
      <c r="B118" s="3" t="s">
        <v>40</v>
      </c>
      <c r="C118" s="3" t="s">
        <v>774</v>
      </c>
      <c r="D118" s="3">
        <v>2010.0</v>
      </c>
      <c r="E118" s="3" t="s">
        <v>775</v>
      </c>
      <c r="F118" s="3" t="s">
        <v>356</v>
      </c>
      <c r="G118" s="3" t="s">
        <v>2216</v>
      </c>
      <c r="H118" s="3" t="s">
        <v>82</v>
      </c>
      <c r="I118" s="3" t="s">
        <v>2147</v>
      </c>
      <c r="J118" s="3" t="s">
        <v>82</v>
      </c>
      <c r="K118" s="3" t="s">
        <v>2217</v>
      </c>
      <c r="L118" s="3" t="s">
        <v>2221</v>
      </c>
      <c r="M118" s="3" t="s">
        <v>317</v>
      </c>
      <c r="S118" s="9" t="str">
        <f t="array" ref="S118">"[" &amp; TEXTJOIN(", ", TRUE, IF(LEN(T118:AB118), CHAR(34)&amp;T118:AB118&amp;CHAR(34), )) &amp; "]"
</f>
        <v>["Logging &amp; Wood Harvesting"]</v>
      </c>
      <c r="T118" s="3" t="s">
        <v>2139</v>
      </c>
      <c r="U118" s="3"/>
      <c r="V118" s="3"/>
      <c r="AC118" s="3" t="s">
        <v>48</v>
      </c>
      <c r="AL118" s="9" t="str">
        <f t="array" ref="AL118">"[" &amp; TEXTJOIN(", ", TRUE, IF(LEN(AM118:AQ118), CHAR(34)&amp;AM118:AQ118&amp;CHAR(34), )) &amp; "]"
</f>
        <v>["Biological resource use"]</v>
      </c>
      <c r="AM118" s="3" t="s">
        <v>52</v>
      </c>
      <c r="AN118" s="3"/>
      <c r="AO118" s="3"/>
      <c r="AP118" s="3"/>
      <c r="AQ118" s="3"/>
      <c r="AR118" s="3" t="s">
        <v>52</v>
      </c>
      <c r="AW118" s="8" t="s">
        <v>2247</v>
      </c>
    </row>
    <row r="119">
      <c r="A119" s="3">
        <v>332.0</v>
      </c>
      <c r="B119" s="3" t="s">
        <v>40</v>
      </c>
      <c r="C119" s="3" t="s">
        <v>832</v>
      </c>
      <c r="D119" s="3">
        <v>2017.0</v>
      </c>
      <c r="E119" s="3" t="s">
        <v>833</v>
      </c>
      <c r="F119" s="3" t="s">
        <v>356</v>
      </c>
      <c r="G119" s="3" t="s">
        <v>2216</v>
      </c>
      <c r="H119" s="3" t="s">
        <v>82</v>
      </c>
      <c r="I119" s="3" t="s">
        <v>2147</v>
      </c>
      <c r="J119" s="3" t="s">
        <v>82</v>
      </c>
      <c r="K119" s="3" t="s">
        <v>2217</v>
      </c>
      <c r="L119" s="3" t="s">
        <v>2221</v>
      </c>
      <c r="M119" s="3" t="s">
        <v>317</v>
      </c>
      <c r="S119" s="9" t="str">
        <f t="array" ref="S119">"[" &amp; TEXTJOIN(", ", TRUE, IF(LEN(T119:AB119), CHAR(34)&amp;T119:AB119&amp;CHAR(34), )) &amp; "]"
</f>
        <v>["Logging &amp; Wood Harvesting"]</v>
      </c>
      <c r="T119" s="3" t="s">
        <v>2139</v>
      </c>
      <c r="U119" s="3"/>
      <c r="V119" s="3"/>
      <c r="AC119" s="3" t="s">
        <v>48</v>
      </c>
      <c r="AL119" s="9" t="str">
        <f t="array" ref="AL119">"[" &amp; TEXTJOIN(", ", TRUE, IF(LEN(AM119:AQ119), CHAR(34)&amp;AM119:AQ119&amp;CHAR(34), )) &amp; "]"
</f>
        <v>["Biological resource use"]</v>
      </c>
      <c r="AM119" s="3" t="s">
        <v>52</v>
      </c>
      <c r="AN119" s="3"/>
      <c r="AO119" s="3"/>
      <c r="AP119" s="3"/>
      <c r="AQ119" s="3"/>
      <c r="AR119" s="3" t="s">
        <v>52</v>
      </c>
      <c r="AW119" s="8" t="s">
        <v>2248</v>
      </c>
    </row>
    <row r="120">
      <c r="A120" s="3">
        <v>431.0</v>
      </c>
      <c r="B120" s="3" t="s">
        <v>40</v>
      </c>
      <c r="C120" s="3" t="s">
        <v>987</v>
      </c>
      <c r="D120" s="3">
        <v>2007.0</v>
      </c>
      <c r="E120" s="3" t="s">
        <v>988</v>
      </c>
      <c r="F120" s="3" t="s">
        <v>356</v>
      </c>
      <c r="G120" s="3" t="s">
        <v>2216</v>
      </c>
      <c r="H120" s="3" t="s">
        <v>82</v>
      </c>
      <c r="I120" s="3" t="s">
        <v>2147</v>
      </c>
      <c r="J120" s="3" t="s">
        <v>82</v>
      </c>
      <c r="K120" s="3" t="s">
        <v>2217</v>
      </c>
      <c r="L120" s="3" t="s">
        <v>2218</v>
      </c>
      <c r="M120" s="3" t="s">
        <v>254</v>
      </c>
      <c r="S120" s="9" t="str">
        <f t="array" ref="S120">"[" &amp; TEXTJOIN(", ", TRUE, IF(LEN(T120:AB120), CHAR(34)&amp;T120:AB120&amp;CHAR(34), )) &amp; "]"
</f>
        <v>["Habitat shifting &amp; alteration"]</v>
      </c>
      <c r="T120" s="3" t="s">
        <v>117</v>
      </c>
      <c r="U120" s="3"/>
      <c r="V120" s="3"/>
      <c r="AC120" s="3" t="s">
        <v>117</v>
      </c>
      <c r="AL120" s="9" t="str">
        <f t="array" ref="AL120">"[" &amp; TEXTJOIN(", ", TRUE, IF(LEN(AM120:AQ120), CHAR(34)&amp;AM120:AQ120&amp;CHAR(34), )) &amp; "]"
</f>
        <v>["Climate change &amp; severe weather"]</v>
      </c>
      <c r="AM120" s="3" t="s">
        <v>118</v>
      </c>
      <c r="AN120" s="3"/>
      <c r="AO120" s="3"/>
      <c r="AP120" s="3"/>
      <c r="AQ120" s="3"/>
      <c r="AR120" s="3" t="s">
        <v>118</v>
      </c>
      <c r="AW120" s="8" t="s">
        <v>2249</v>
      </c>
    </row>
    <row r="121">
      <c r="A121" s="3">
        <v>444.0</v>
      </c>
      <c r="B121" s="3" t="s">
        <v>40</v>
      </c>
      <c r="C121" s="3" t="s">
        <v>659</v>
      </c>
      <c r="D121" s="3">
        <v>2013.0</v>
      </c>
      <c r="E121" s="3" t="s">
        <v>1014</v>
      </c>
      <c r="F121" s="3" t="s">
        <v>356</v>
      </c>
      <c r="G121" s="3" t="s">
        <v>2216</v>
      </c>
      <c r="H121" s="3" t="s">
        <v>82</v>
      </c>
      <c r="I121" s="3" t="s">
        <v>2147</v>
      </c>
      <c r="J121" s="3" t="s">
        <v>82</v>
      </c>
      <c r="K121" s="3" t="s">
        <v>2217</v>
      </c>
      <c r="L121" s="3" t="s">
        <v>2218</v>
      </c>
      <c r="M121" s="3" t="s">
        <v>254</v>
      </c>
      <c r="S121" s="9" t="str">
        <f t="array" ref="S121">"[" &amp; TEXTJOIN(", ", TRUE, IF(LEN(T121:AB121), CHAR(34)&amp;T121:AB121&amp;CHAR(34), )) &amp; "]"
</f>
        <v>["Habitat shifting &amp; alteration"]</v>
      </c>
      <c r="T121" s="3" t="s">
        <v>117</v>
      </c>
      <c r="U121" s="3"/>
      <c r="V121" s="3"/>
      <c r="AC121" s="3" t="s">
        <v>117</v>
      </c>
      <c r="AL121" s="9" t="str">
        <f t="array" ref="AL121">"[" &amp; TEXTJOIN(", ", TRUE, IF(LEN(AM121:AQ121), CHAR(34)&amp;AM121:AQ121&amp;CHAR(34), )) &amp; "]"
</f>
        <v>["Climate change &amp; severe weather"]</v>
      </c>
      <c r="AM121" s="3" t="s">
        <v>1015</v>
      </c>
      <c r="AN121" s="3"/>
      <c r="AO121" s="3"/>
      <c r="AP121" s="3"/>
      <c r="AQ121" s="3"/>
      <c r="AR121" s="3" t="s">
        <v>1015</v>
      </c>
      <c r="AW121" s="8" t="s">
        <v>2250</v>
      </c>
    </row>
    <row r="122">
      <c r="A122" s="3">
        <v>530.0</v>
      </c>
      <c r="B122" s="3" t="s">
        <v>40</v>
      </c>
      <c r="C122" s="3" t="s">
        <v>1183</v>
      </c>
      <c r="D122" s="3">
        <v>2009.0</v>
      </c>
      <c r="E122" s="3" t="s">
        <v>1184</v>
      </c>
      <c r="F122" s="3" t="s">
        <v>356</v>
      </c>
      <c r="G122" s="3" t="s">
        <v>2216</v>
      </c>
      <c r="H122" s="3" t="s">
        <v>82</v>
      </c>
      <c r="I122" s="3" t="s">
        <v>2147</v>
      </c>
      <c r="J122" s="3" t="s">
        <v>82</v>
      </c>
      <c r="K122" s="3" t="s">
        <v>2217</v>
      </c>
      <c r="L122" s="3" t="s">
        <v>2155</v>
      </c>
      <c r="M122" s="3" t="s">
        <v>1001</v>
      </c>
      <c r="S122" s="9" t="str">
        <f t="array" ref="S122">"[" &amp; TEXTJOIN(", ", TRUE, IF(LEN(T122:AB122), CHAR(34)&amp;T122:AB122&amp;CHAR(34), )) &amp; "]"
</f>
        <v>["Invasive non-native/alien species/diseases", "Introduced genetic material"]</v>
      </c>
      <c r="T122" s="3" t="s">
        <v>50</v>
      </c>
      <c r="U122" s="3" t="s">
        <v>77</v>
      </c>
      <c r="V122" s="3"/>
      <c r="AC122" s="3" t="s">
        <v>50</v>
      </c>
      <c r="AD122" s="3" t="s">
        <v>77</v>
      </c>
      <c r="AL122" s="9" t="str">
        <f t="array" ref="AL122">"[" &amp; TEXTJOIN(", ", TRUE, IF(LEN(AM122:AQ122), CHAR(34)&amp;AM122:AQ122&amp;CHAR(34), )) &amp; "]"
</f>
        <v>["Invasive &amp; other problematic species, genes &amp; diseases"]</v>
      </c>
      <c r="AM122" s="3" t="s">
        <v>54</v>
      </c>
      <c r="AN122" s="3"/>
      <c r="AO122" s="3"/>
      <c r="AP122" s="3"/>
      <c r="AQ122" s="3"/>
      <c r="AR122" s="3" t="s">
        <v>54</v>
      </c>
      <c r="AW122" s="8" t="s">
        <v>2251</v>
      </c>
    </row>
    <row r="123">
      <c r="A123" s="3">
        <v>523.0</v>
      </c>
      <c r="B123" s="3" t="s">
        <v>40</v>
      </c>
      <c r="C123" s="3" t="s">
        <v>1169</v>
      </c>
      <c r="D123" s="3">
        <v>2007.0</v>
      </c>
      <c r="E123" s="3" t="s">
        <v>1170</v>
      </c>
      <c r="F123" s="3" t="s">
        <v>356</v>
      </c>
      <c r="G123" s="3" t="s">
        <v>2216</v>
      </c>
      <c r="H123" s="3" t="s">
        <v>82</v>
      </c>
      <c r="I123" s="3" t="s">
        <v>2147</v>
      </c>
      <c r="J123" s="3" t="s">
        <v>82</v>
      </c>
      <c r="K123" s="3" t="s">
        <v>2217</v>
      </c>
      <c r="L123" s="3" t="s">
        <v>2155</v>
      </c>
      <c r="M123" s="3" t="s">
        <v>1001</v>
      </c>
      <c r="S123" s="9" t="str">
        <f t="array" ref="S123">"[" &amp; TEXTJOIN(", ", TRUE, IF(LEN(T123:AB123), CHAR(34)&amp;T123:AB123&amp;CHAR(34), )) &amp; "]"
</f>
        <v>["Invasive non-native/alien species/diseases"]</v>
      </c>
      <c r="T123" s="3" t="s">
        <v>50</v>
      </c>
      <c r="U123" s="3"/>
      <c r="V123" s="3"/>
      <c r="AC123" s="3" t="s">
        <v>50</v>
      </c>
      <c r="AL123" s="9" t="str">
        <f t="array" ref="AL123">"[" &amp; TEXTJOIN(", ", TRUE, IF(LEN(AM123:AQ123), CHAR(34)&amp;AM123:AQ123&amp;CHAR(34), )) &amp; "]"
</f>
        <v>["Invasive &amp; other problematic species, genes &amp; diseases"]</v>
      </c>
      <c r="AM123" s="3" t="s">
        <v>54</v>
      </c>
      <c r="AN123" s="3"/>
      <c r="AO123" s="3"/>
      <c r="AP123" s="3"/>
      <c r="AQ123" s="3"/>
      <c r="AR123" s="3" t="s">
        <v>54</v>
      </c>
      <c r="AW123" s="8" t="s">
        <v>2252</v>
      </c>
    </row>
    <row r="124">
      <c r="A124" s="3">
        <v>588.0</v>
      </c>
      <c r="B124" s="3" t="s">
        <v>40</v>
      </c>
      <c r="C124" s="3" t="s">
        <v>1301</v>
      </c>
      <c r="D124" s="3">
        <v>2017.0</v>
      </c>
      <c r="E124" s="3" t="s">
        <v>1302</v>
      </c>
      <c r="F124" s="3" t="s">
        <v>356</v>
      </c>
      <c r="G124" s="3" t="s">
        <v>2216</v>
      </c>
      <c r="H124" s="3" t="s">
        <v>82</v>
      </c>
      <c r="I124" s="3" t="s">
        <v>2147</v>
      </c>
      <c r="J124" s="3" t="s">
        <v>82</v>
      </c>
      <c r="K124" s="3" t="s">
        <v>2217</v>
      </c>
      <c r="L124" s="3" t="s">
        <v>2155</v>
      </c>
      <c r="M124" s="3" t="s">
        <v>1001</v>
      </c>
      <c r="S124" s="9" t="str">
        <f t="array" ref="S124">"[" &amp; TEXTJOIN(", ", TRUE, IF(LEN(T124:AB124), CHAR(34)&amp;T124:AB124&amp;CHAR(34), )) &amp; "]"
</f>
        <v>["Invasive non-native/alien species/diseases"]</v>
      </c>
      <c r="T124" s="3" t="s">
        <v>50</v>
      </c>
      <c r="U124" s="3"/>
      <c r="V124" s="3"/>
      <c r="AC124" s="3" t="s">
        <v>50</v>
      </c>
      <c r="AL124" s="9" t="str">
        <f t="array" ref="AL124">"[" &amp; TEXTJOIN(", ", TRUE, IF(LEN(AM124:AQ124), CHAR(34)&amp;AM124:AQ124&amp;CHAR(34), )) &amp; "]"
</f>
        <v>["Invasive &amp; other problematic species, genes &amp; diseases"]</v>
      </c>
      <c r="AM124" s="3" t="s">
        <v>54</v>
      </c>
      <c r="AN124" s="3"/>
      <c r="AO124" s="3"/>
      <c r="AP124" s="3"/>
      <c r="AQ124" s="3"/>
      <c r="AR124" s="3" t="s">
        <v>54</v>
      </c>
      <c r="AW124" s="8" t="s">
        <v>2253</v>
      </c>
    </row>
    <row r="125">
      <c r="A125" s="3">
        <v>499.0</v>
      </c>
      <c r="B125" s="3" t="s">
        <v>40</v>
      </c>
      <c r="C125" s="3" t="s">
        <v>1122</v>
      </c>
      <c r="D125" s="3">
        <v>1991.0</v>
      </c>
      <c r="E125" s="3" t="s">
        <v>1123</v>
      </c>
      <c r="F125" s="3" t="s">
        <v>356</v>
      </c>
      <c r="G125" s="3" t="s">
        <v>2216</v>
      </c>
      <c r="H125" s="3" t="s">
        <v>82</v>
      </c>
      <c r="I125" s="3" t="s">
        <v>2147</v>
      </c>
      <c r="J125" s="3" t="s">
        <v>82</v>
      </c>
      <c r="K125" s="3" t="s">
        <v>2217</v>
      </c>
      <c r="L125" s="3" t="s">
        <v>2254</v>
      </c>
      <c r="M125" s="3" t="s">
        <v>180</v>
      </c>
      <c r="N125" s="3" t="s">
        <v>287</v>
      </c>
      <c r="O125" s="3" t="s">
        <v>1001</v>
      </c>
      <c r="S125" s="9" t="str">
        <f t="array" ref="S125">"[" &amp; TEXTJOIN(", ", TRUE, IF(LEN(T125:AB125), CHAR(34)&amp;T125:AB125&amp;CHAR(34), )) &amp; "]"
</f>
        <v>["Problematic native species/diseases"]</v>
      </c>
      <c r="T125" s="3" t="s">
        <v>244</v>
      </c>
      <c r="U125" s="3"/>
      <c r="V125" s="3"/>
      <c r="AC125" s="3" t="s">
        <v>244</v>
      </c>
      <c r="AL125" s="9" t="str">
        <f t="array" ref="AL125">"[" &amp; TEXTJOIN(", ", TRUE, IF(LEN(AM125:AQ125), CHAR(34)&amp;AM125:AQ125&amp;CHAR(34), )) &amp; "]"
</f>
        <v>["Invasive &amp; other problematic species, genes &amp; diseases"]</v>
      </c>
      <c r="AM125" s="3" t="s">
        <v>54</v>
      </c>
      <c r="AN125" s="3"/>
      <c r="AO125" s="3"/>
      <c r="AP125" s="3"/>
      <c r="AQ125" s="3"/>
      <c r="AR125" s="3" t="s">
        <v>54</v>
      </c>
      <c r="AW125" s="8" t="s">
        <v>2255</v>
      </c>
    </row>
    <row r="126">
      <c r="A126" s="3">
        <v>590.0</v>
      </c>
      <c r="B126" s="3" t="s">
        <v>40</v>
      </c>
      <c r="C126" s="3" t="s">
        <v>1305</v>
      </c>
      <c r="D126" s="3">
        <v>2017.0</v>
      </c>
      <c r="E126" s="3" t="s">
        <v>1306</v>
      </c>
      <c r="F126" s="3" t="s">
        <v>356</v>
      </c>
      <c r="G126" s="3" t="s">
        <v>2216</v>
      </c>
      <c r="H126" s="3" t="s">
        <v>82</v>
      </c>
      <c r="I126" s="3" t="s">
        <v>2147</v>
      </c>
      <c r="J126" s="3" t="s">
        <v>82</v>
      </c>
      <c r="K126" s="3" t="s">
        <v>2217</v>
      </c>
      <c r="L126" s="3" t="s">
        <v>2256</v>
      </c>
      <c r="M126" s="3" t="s">
        <v>83</v>
      </c>
      <c r="S126" s="9" t="str">
        <f t="array" ref="S126">"[" &amp; TEXTJOIN(", ", TRUE, IF(LEN(T126:AB126), CHAR(34)&amp;T126:AB126&amp;CHAR(34), )) &amp; "]"
</f>
        <v>["Problematic native species/diseases"]</v>
      </c>
      <c r="T126" s="3" t="s">
        <v>244</v>
      </c>
      <c r="U126" s="3"/>
      <c r="V126" s="3"/>
      <c r="AC126" s="3" t="s">
        <v>244</v>
      </c>
      <c r="AL126" s="9" t="str">
        <f t="array" ref="AL126">"[" &amp; TEXTJOIN(", ", TRUE, IF(LEN(AM126:AQ126), CHAR(34)&amp;AM126:AQ126&amp;CHAR(34), )) &amp; "]"
</f>
        <v>["Invasive &amp; other problematic species, genes &amp; diseases"]</v>
      </c>
      <c r="AM126" s="3" t="s">
        <v>54</v>
      </c>
      <c r="AN126" s="3"/>
      <c r="AO126" s="3"/>
      <c r="AP126" s="3"/>
      <c r="AQ126" s="3"/>
      <c r="AR126" s="3" t="s">
        <v>54</v>
      </c>
      <c r="AW126" s="8" t="s">
        <v>2257</v>
      </c>
    </row>
    <row r="127">
      <c r="A127" s="3">
        <v>572.0</v>
      </c>
      <c r="B127" s="3" t="s">
        <v>40</v>
      </c>
      <c r="C127" s="3" t="s">
        <v>1268</v>
      </c>
      <c r="D127" s="3">
        <v>2015.0</v>
      </c>
      <c r="E127" s="3" t="s">
        <v>1269</v>
      </c>
      <c r="F127" s="3" t="s">
        <v>356</v>
      </c>
      <c r="G127" s="3" t="s">
        <v>2216</v>
      </c>
      <c r="H127" s="3" t="s">
        <v>82</v>
      </c>
      <c r="I127" s="3" t="s">
        <v>2147</v>
      </c>
      <c r="J127" s="3" t="s">
        <v>82</v>
      </c>
      <c r="K127" s="3" t="s">
        <v>2217</v>
      </c>
      <c r="L127" s="3" t="s">
        <v>2218</v>
      </c>
      <c r="M127" s="3" t="s">
        <v>254</v>
      </c>
      <c r="S127" s="9"/>
      <c r="U127" s="3"/>
      <c r="V127" s="3"/>
      <c r="AC127" s="3" t="s">
        <v>1270</v>
      </c>
      <c r="AL127" s="9" t="str">
        <f t="array" ref="AL127">"[" &amp; TEXTJOIN(", ", TRUE, IF(LEN(AM127:AQ127), CHAR(34)&amp;AM127:AQ127&amp;CHAR(34), )) &amp; "]"
</f>
        <v>["Invasive &amp; other problematic species, genes &amp; diseases"]</v>
      </c>
      <c r="AM127" s="3" t="s">
        <v>54</v>
      </c>
      <c r="AN127" s="3"/>
      <c r="AO127" s="3"/>
      <c r="AP127" s="3"/>
      <c r="AQ127" s="3"/>
      <c r="AR127" s="3" t="s">
        <v>54</v>
      </c>
      <c r="AW127" s="8" t="s">
        <v>2258</v>
      </c>
    </row>
    <row r="128">
      <c r="A128" s="3">
        <v>698.0</v>
      </c>
      <c r="B128" s="3" t="s">
        <v>40</v>
      </c>
      <c r="C128" s="3" t="s">
        <v>1508</v>
      </c>
      <c r="D128" s="3">
        <v>2012.0</v>
      </c>
      <c r="E128" s="3" t="s">
        <v>1509</v>
      </c>
      <c r="F128" s="3" t="s">
        <v>356</v>
      </c>
      <c r="G128" s="3" t="s">
        <v>2216</v>
      </c>
      <c r="H128" s="3" t="s">
        <v>82</v>
      </c>
      <c r="I128" s="3" t="s">
        <v>2147</v>
      </c>
      <c r="J128" s="3" t="s">
        <v>82</v>
      </c>
      <c r="K128" s="3" t="s">
        <v>2217</v>
      </c>
      <c r="L128" s="3" t="s">
        <v>2256</v>
      </c>
      <c r="M128" s="3" t="s">
        <v>83</v>
      </c>
      <c r="S128" s="9"/>
      <c r="T128" s="3"/>
      <c r="U128" s="3"/>
      <c r="V128" s="3"/>
      <c r="AL128" s="9" t="str">
        <f t="array" ref="AL128">"[" &amp; TEXTJOIN(", ", TRUE, IF(LEN(AM128:AQ128), CHAR(34)&amp;AM128:AQ128&amp;CHAR(34), )) &amp; "]"
</f>
        <v>[]</v>
      </c>
      <c r="AN128" s="3"/>
      <c r="AO128" s="3"/>
      <c r="AP128" s="3"/>
      <c r="AQ128" s="3"/>
      <c r="AR128" s="3" t="s">
        <v>78</v>
      </c>
      <c r="AW128" s="8" t="s">
        <v>2259</v>
      </c>
    </row>
    <row r="129">
      <c r="A129" s="3">
        <v>871.0</v>
      </c>
      <c r="B129" s="3" t="s">
        <v>40</v>
      </c>
      <c r="C129" s="3" t="s">
        <v>1856</v>
      </c>
      <c r="D129" s="3">
        <v>2017.0</v>
      </c>
      <c r="E129" s="3" t="s">
        <v>1857</v>
      </c>
      <c r="F129" s="3" t="s">
        <v>356</v>
      </c>
      <c r="G129" s="3" t="s">
        <v>2216</v>
      </c>
      <c r="H129" s="3" t="s">
        <v>82</v>
      </c>
      <c r="I129" s="3" t="s">
        <v>2147</v>
      </c>
      <c r="J129" s="3" t="s">
        <v>82</v>
      </c>
      <c r="K129" s="3" t="s">
        <v>2217</v>
      </c>
      <c r="L129" s="3" t="s">
        <v>2260</v>
      </c>
      <c r="M129" s="3" t="s">
        <v>314</v>
      </c>
      <c r="N129" s="3" t="s">
        <v>317</v>
      </c>
      <c r="S129" s="9" t="str">
        <f t="array" ref="S129">"[" &amp; TEXTJOIN(", ", TRUE, IF(LEN(T129:AB129), CHAR(34)&amp;T129:AB129&amp;CHAR(34), )) &amp; "]"
</f>
        <v>["Agricultural &amp; forestry effluents"]</v>
      </c>
      <c r="T129" s="3" t="s">
        <v>62</v>
      </c>
      <c r="U129" s="3"/>
      <c r="V129" s="3"/>
      <c r="AC129" s="3" t="s">
        <v>62</v>
      </c>
      <c r="AL129" s="9" t="str">
        <f t="array" ref="AL129">"[" &amp; TEXTJOIN(", ", TRUE, IF(LEN(AM129:AQ129), CHAR(34)&amp;AM129:AQ129&amp;CHAR(34), )) &amp; "]"
</f>
        <v>["Pollution"]</v>
      </c>
      <c r="AM129" s="3" t="s">
        <v>64</v>
      </c>
      <c r="AN129" s="3"/>
      <c r="AO129" s="3"/>
      <c r="AP129" s="3"/>
      <c r="AQ129" s="3"/>
      <c r="AR129" s="3" t="s">
        <v>64</v>
      </c>
      <c r="AW129" s="8" t="s">
        <v>2261</v>
      </c>
    </row>
    <row r="130">
      <c r="A130" s="3">
        <v>838.0</v>
      </c>
      <c r="B130" s="3" t="s">
        <v>40</v>
      </c>
      <c r="C130" s="3" t="s">
        <v>1790</v>
      </c>
      <c r="D130" s="3">
        <v>2008.0</v>
      </c>
      <c r="E130" s="3" t="s">
        <v>1791</v>
      </c>
      <c r="F130" s="3" t="s">
        <v>356</v>
      </c>
      <c r="G130" s="3" t="s">
        <v>2216</v>
      </c>
      <c r="H130" s="3" t="s">
        <v>82</v>
      </c>
      <c r="I130" s="3" t="s">
        <v>2147</v>
      </c>
      <c r="J130" s="3" t="s">
        <v>82</v>
      </c>
      <c r="K130" s="3" t="s">
        <v>2217</v>
      </c>
      <c r="L130" s="3" t="s">
        <v>2234</v>
      </c>
      <c r="M130" s="3" t="s">
        <v>453</v>
      </c>
      <c r="S130" s="9" t="str">
        <f t="array" ref="S130">"[" &amp; TEXTJOIN(", ", TRUE, IF(LEN(T130:AB130), CHAR(34)&amp;T130:AB130&amp;CHAR(34), )) &amp; "]"
</f>
        <v>["Industrial &amp; military effluents", "Agricultural &amp; forestry effluents"]</v>
      </c>
      <c r="T130" s="3" t="s">
        <v>147</v>
      </c>
      <c r="U130" s="3" t="s">
        <v>62</v>
      </c>
      <c r="V130" s="3"/>
      <c r="AC130" s="3" t="s">
        <v>147</v>
      </c>
      <c r="AD130" s="3" t="s">
        <v>62</v>
      </c>
      <c r="AL130" s="9" t="str">
        <f t="array" ref="AL130">"[" &amp; TEXTJOIN(", ", TRUE, IF(LEN(AM130:AQ130), CHAR(34)&amp;AM130:AQ130&amp;CHAR(34), )) &amp; "]"
</f>
        <v>["Pollution"]</v>
      </c>
      <c r="AM130" s="3" t="s">
        <v>64</v>
      </c>
      <c r="AN130" s="3"/>
      <c r="AO130" s="3"/>
      <c r="AP130" s="3"/>
      <c r="AQ130" s="3"/>
      <c r="AR130" s="3" t="s">
        <v>64</v>
      </c>
      <c r="AW130" s="8" t="s">
        <v>2262</v>
      </c>
    </row>
    <row r="131">
      <c r="A131" s="3">
        <v>842.0</v>
      </c>
      <c r="B131" s="3" t="s">
        <v>40</v>
      </c>
      <c r="C131" s="3" t="s">
        <v>1798</v>
      </c>
      <c r="D131" s="3">
        <v>2010.0</v>
      </c>
      <c r="E131" s="3" t="s">
        <v>1799</v>
      </c>
      <c r="F131" s="3" t="s">
        <v>356</v>
      </c>
      <c r="G131" s="3" t="s">
        <v>2216</v>
      </c>
      <c r="H131" s="3" t="s">
        <v>82</v>
      </c>
      <c r="I131" s="3" t="s">
        <v>2147</v>
      </c>
      <c r="J131" s="3" t="s">
        <v>82</v>
      </c>
      <c r="K131" s="3" t="s">
        <v>2217</v>
      </c>
      <c r="L131" s="3" t="s">
        <v>2234</v>
      </c>
      <c r="M131" s="3" t="s">
        <v>453</v>
      </c>
      <c r="S131" s="9" t="str">
        <f t="array" ref="S131">"[" &amp; TEXTJOIN(", ", TRUE, IF(LEN(T131:AB131), CHAR(34)&amp;T131:AB131&amp;CHAR(34), )) &amp; "]"
</f>
        <v>["Industrial &amp; military effluents", "Agricultural &amp; forestry effluents"]</v>
      </c>
      <c r="T131" s="3" t="s">
        <v>147</v>
      </c>
      <c r="U131" s="3" t="s">
        <v>62</v>
      </c>
      <c r="V131" s="3"/>
      <c r="AC131" s="3" t="s">
        <v>147</v>
      </c>
      <c r="AD131" s="3" t="s">
        <v>62</v>
      </c>
      <c r="AL131" s="9" t="str">
        <f t="array" ref="AL131">"[" &amp; TEXTJOIN(", ", TRUE, IF(LEN(AM131:AQ131), CHAR(34)&amp;AM131:AQ131&amp;CHAR(34), )) &amp; "]"
</f>
        <v>["Pollution"]</v>
      </c>
      <c r="AM131" s="3" t="s">
        <v>64</v>
      </c>
      <c r="AN131" s="3"/>
      <c r="AO131" s="3"/>
      <c r="AP131" s="3"/>
      <c r="AQ131" s="3"/>
      <c r="AR131" s="3" t="s">
        <v>64</v>
      </c>
      <c r="AW131" s="8" t="s">
        <v>2263</v>
      </c>
    </row>
    <row r="132">
      <c r="A132" s="3">
        <v>843.0</v>
      </c>
      <c r="B132" s="3" t="s">
        <v>40</v>
      </c>
      <c r="C132" s="3" t="s">
        <v>1800</v>
      </c>
      <c r="D132" s="3">
        <v>2010.0</v>
      </c>
      <c r="E132" s="3" t="s">
        <v>1801</v>
      </c>
      <c r="F132" s="3" t="s">
        <v>356</v>
      </c>
      <c r="G132" s="3" t="s">
        <v>2216</v>
      </c>
      <c r="H132" s="3" t="s">
        <v>82</v>
      </c>
      <c r="I132" s="3" t="s">
        <v>2147</v>
      </c>
      <c r="J132" s="3" t="s">
        <v>82</v>
      </c>
      <c r="K132" s="3" t="s">
        <v>2217</v>
      </c>
      <c r="L132" s="3" t="s">
        <v>2234</v>
      </c>
      <c r="M132" s="3" t="s">
        <v>453</v>
      </c>
      <c r="S132" s="9" t="str">
        <f t="array" ref="S132">"[" &amp; TEXTJOIN(", ", TRUE, IF(LEN(T132:AB132), CHAR(34)&amp;T132:AB132&amp;CHAR(34), )) &amp; "]"
</f>
        <v>["Industrial &amp; military effluents", "Agricultural &amp; forestry effluents"]</v>
      </c>
      <c r="T132" s="3" t="s">
        <v>147</v>
      </c>
      <c r="U132" s="3" t="s">
        <v>62</v>
      </c>
      <c r="V132" s="3"/>
      <c r="AC132" s="3" t="s">
        <v>147</v>
      </c>
      <c r="AD132" s="3" t="s">
        <v>62</v>
      </c>
      <c r="AL132" s="9" t="str">
        <f t="array" ref="AL132">"[" &amp; TEXTJOIN(", ", TRUE, IF(LEN(AM132:AQ132), CHAR(34)&amp;AM132:AQ132&amp;CHAR(34), )) &amp; "]"
</f>
        <v>["Pollution"]</v>
      </c>
      <c r="AM132" s="3" t="s">
        <v>64</v>
      </c>
      <c r="AN132" s="3"/>
      <c r="AO132" s="3"/>
      <c r="AP132" s="3"/>
      <c r="AQ132" s="3"/>
      <c r="AR132" s="3" t="s">
        <v>64</v>
      </c>
      <c r="AW132" s="8" t="s">
        <v>2264</v>
      </c>
    </row>
    <row r="133">
      <c r="A133" s="3">
        <v>801.0</v>
      </c>
      <c r="B133" s="3" t="s">
        <v>40</v>
      </c>
      <c r="C133" s="3" t="s">
        <v>1715</v>
      </c>
      <c r="D133" s="3">
        <v>1997.0</v>
      </c>
      <c r="E133" s="3" t="s">
        <v>1716</v>
      </c>
      <c r="F133" s="3" t="s">
        <v>356</v>
      </c>
      <c r="G133" s="3" t="s">
        <v>2216</v>
      </c>
      <c r="H133" s="3" t="s">
        <v>82</v>
      </c>
      <c r="I133" s="3" t="s">
        <v>2147</v>
      </c>
      <c r="J133" s="3" t="s">
        <v>82</v>
      </c>
      <c r="K133" s="3" t="s">
        <v>2217</v>
      </c>
      <c r="L133" s="3" t="s">
        <v>2155</v>
      </c>
      <c r="M133" s="3" t="s">
        <v>1001</v>
      </c>
      <c r="S133" s="9" t="str">
        <f t="array" ref="S133">"[" &amp; TEXTJOIN(", ", TRUE, IF(LEN(T133:AB133), CHAR(34)&amp;T133:AB133&amp;CHAR(34), )) &amp; "]"
</f>
        <v>["Industrial &amp; military effluents"]</v>
      </c>
      <c r="T133" s="3" t="s">
        <v>147</v>
      </c>
      <c r="U133" s="3"/>
      <c r="V133" s="3"/>
      <c r="AC133" s="3" t="s">
        <v>147</v>
      </c>
      <c r="AL133" s="9" t="str">
        <f t="array" ref="AL133">"[" &amp; TEXTJOIN(", ", TRUE, IF(LEN(AM133:AQ133), CHAR(34)&amp;AM133:AQ133&amp;CHAR(34), )) &amp; "]"
</f>
        <v>["Pollution"]</v>
      </c>
      <c r="AM133" s="3" t="s">
        <v>64</v>
      </c>
      <c r="AN133" s="3"/>
      <c r="AO133" s="3"/>
      <c r="AP133" s="3"/>
      <c r="AQ133" s="3"/>
      <c r="AR133" s="3" t="s">
        <v>64</v>
      </c>
      <c r="AW133" s="8" t="s">
        <v>2265</v>
      </c>
    </row>
    <row r="134">
      <c r="A134" s="3">
        <v>813.0</v>
      </c>
      <c r="B134" s="3" t="s">
        <v>40</v>
      </c>
      <c r="C134" s="3" t="s">
        <v>1740</v>
      </c>
      <c r="D134" s="3">
        <v>2000.0</v>
      </c>
      <c r="E134" s="3" t="s">
        <v>1741</v>
      </c>
      <c r="F134" s="3" t="s">
        <v>356</v>
      </c>
      <c r="G134" s="3" t="s">
        <v>2216</v>
      </c>
      <c r="H134" s="3" t="s">
        <v>82</v>
      </c>
      <c r="I134" s="3" t="s">
        <v>2147</v>
      </c>
      <c r="J134" s="3" t="s">
        <v>82</v>
      </c>
      <c r="K134" s="3" t="s">
        <v>2217</v>
      </c>
      <c r="L134" s="3" t="s">
        <v>2234</v>
      </c>
      <c r="M134" s="3" t="s">
        <v>453</v>
      </c>
      <c r="S134" s="9" t="str">
        <f t="array" ref="S134">"[" &amp; TEXTJOIN(", ", TRUE, IF(LEN(T134:AB134), CHAR(34)&amp;T134:AB134&amp;CHAR(34), )) &amp; "]"
</f>
        <v>["Industrial &amp; military effluents"]</v>
      </c>
      <c r="T134" s="3" t="s">
        <v>147</v>
      </c>
      <c r="U134" s="3"/>
      <c r="V134" s="3"/>
      <c r="AC134" s="3" t="s">
        <v>147</v>
      </c>
      <c r="AL134" s="9" t="str">
        <f t="array" ref="AL134">"[" &amp; TEXTJOIN(", ", TRUE, IF(LEN(AM134:AQ134), CHAR(34)&amp;AM134:AQ134&amp;CHAR(34), )) &amp; "]"
</f>
        <v>["Pollution"]</v>
      </c>
      <c r="AM134" s="3" t="s">
        <v>64</v>
      </c>
      <c r="AN134" s="3"/>
      <c r="AO134" s="3"/>
      <c r="AP134" s="3"/>
      <c r="AQ134" s="3"/>
      <c r="AR134" s="3" t="s">
        <v>64</v>
      </c>
      <c r="AW134" s="8" t="s">
        <v>2266</v>
      </c>
    </row>
    <row r="135">
      <c r="A135" s="3">
        <v>829.0</v>
      </c>
      <c r="B135" s="3" t="s">
        <v>40</v>
      </c>
      <c r="C135" s="3" t="s">
        <v>1772</v>
      </c>
      <c r="D135" s="3">
        <v>2006.0</v>
      </c>
      <c r="E135" s="3" t="s">
        <v>1773</v>
      </c>
      <c r="F135" s="3" t="s">
        <v>356</v>
      </c>
      <c r="G135" s="3" t="s">
        <v>2216</v>
      </c>
      <c r="H135" s="3" t="s">
        <v>82</v>
      </c>
      <c r="I135" s="3" t="s">
        <v>2147</v>
      </c>
      <c r="J135" s="3" t="s">
        <v>82</v>
      </c>
      <c r="K135" s="3" t="s">
        <v>2217</v>
      </c>
      <c r="L135" s="3" t="s">
        <v>2155</v>
      </c>
      <c r="M135" s="3" t="s">
        <v>1001</v>
      </c>
      <c r="S135" s="9" t="str">
        <f t="array" ref="S135">"[" &amp; TEXTJOIN(", ", TRUE, IF(LEN(T135:AB135), CHAR(34)&amp;T135:AB135&amp;CHAR(34), )) &amp; "]"
</f>
        <v>["Industrial &amp; military effluents"]</v>
      </c>
      <c r="T135" s="3" t="s">
        <v>147</v>
      </c>
      <c r="U135" s="3"/>
      <c r="V135" s="3"/>
      <c r="AC135" s="3" t="s">
        <v>147</v>
      </c>
      <c r="AL135" s="9" t="str">
        <f t="array" ref="AL135">"[" &amp; TEXTJOIN(", ", TRUE, IF(LEN(AM135:AQ135), CHAR(34)&amp;AM135:AQ135&amp;CHAR(34), )) &amp; "]"
</f>
        <v>["Pollution"]</v>
      </c>
      <c r="AM135" s="3" t="s">
        <v>64</v>
      </c>
      <c r="AN135" s="3"/>
      <c r="AO135" s="3"/>
      <c r="AP135" s="3"/>
      <c r="AQ135" s="3"/>
      <c r="AR135" s="3" t="s">
        <v>64</v>
      </c>
      <c r="AW135" s="8" t="s">
        <v>2267</v>
      </c>
    </row>
    <row r="136">
      <c r="A136" s="3">
        <v>846.0</v>
      </c>
      <c r="B136" s="3" t="s">
        <v>40</v>
      </c>
      <c r="C136" s="3" t="s">
        <v>1806</v>
      </c>
      <c r="D136" s="3">
        <v>2011.0</v>
      </c>
      <c r="E136" s="3" t="s">
        <v>1807</v>
      </c>
      <c r="F136" s="3" t="s">
        <v>356</v>
      </c>
      <c r="G136" s="3" t="s">
        <v>2216</v>
      </c>
      <c r="H136" s="3" t="s">
        <v>82</v>
      </c>
      <c r="I136" s="3" t="s">
        <v>2147</v>
      </c>
      <c r="J136" s="3" t="s">
        <v>82</v>
      </c>
      <c r="K136" s="3" t="s">
        <v>2217</v>
      </c>
      <c r="L136" s="3" t="s">
        <v>2237</v>
      </c>
      <c r="M136" s="3" t="s">
        <v>384</v>
      </c>
      <c r="S136" s="9" t="str">
        <f t="array" ref="S136">"[" &amp; TEXTJOIN(", ", TRUE, IF(LEN(T136:AB136), CHAR(34)&amp;T136:AB136&amp;CHAR(34), )) &amp; "]"
</f>
        <v>["Industrial &amp; military effluents"]</v>
      </c>
      <c r="T136" s="3" t="s">
        <v>147</v>
      </c>
      <c r="U136" s="3"/>
      <c r="V136" s="3"/>
      <c r="AC136" s="3" t="s">
        <v>147</v>
      </c>
      <c r="AL136" s="9" t="str">
        <f t="array" ref="AL136">"[" &amp; TEXTJOIN(", ", TRUE, IF(LEN(AM136:AQ136), CHAR(34)&amp;AM136:AQ136&amp;CHAR(34), )) &amp; "]"
</f>
        <v>["Pollution"]</v>
      </c>
      <c r="AM136" s="3" t="s">
        <v>64</v>
      </c>
      <c r="AN136" s="3"/>
      <c r="AO136" s="3"/>
      <c r="AP136" s="3"/>
      <c r="AQ136" s="3"/>
      <c r="AR136" s="3" t="s">
        <v>64</v>
      </c>
      <c r="AW136" s="8" t="s">
        <v>2268</v>
      </c>
    </row>
    <row r="137">
      <c r="A137" s="3">
        <v>849.0</v>
      </c>
      <c r="B137" s="3" t="s">
        <v>40</v>
      </c>
      <c r="C137" s="3" t="s">
        <v>1812</v>
      </c>
      <c r="D137" s="3">
        <v>2011.0</v>
      </c>
      <c r="E137" s="3" t="s">
        <v>1813</v>
      </c>
      <c r="F137" s="3" t="s">
        <v>356</v>
      </c>
      <c r="G137" s="3" t="s">
        <v>2216</v>
      </c>
      <c r="H137" s="3" t="s">
        <v>82</v>
      </c>
      <c r="I137" s="3" t="s">
        <v>2147</v>
      </c>
      <c r="J137" s="3" t="s">
        <v>82</v>
      </c>
      <c r="K137" s="3" t="s">
        <v>2217</v>
      </c>
      <c r="L137" s="3" t="s">
        <v>2234</v>
      </c>
      <c r="M137" s="3" t="s">
        <v>453</v>
      </c>
      <c r="S137" s="9" t="str">
        <f t="array" ref="S137">"[" &amp; TEXTJOIN(", ", TRUE, IF(LEN(T137:AB137), CHAR(34)&amp;T137:AB137&amp;CHAR(34), )) &amp; "]"
</f>
        <v>["Industrial &amp; military effluents"]</v>
      </c>
      <c r="T137" s="3" t="s">
        <v>147</v>
      </c>
      <c r="U137" s="3"/>
      <c r="V137" s="3"/>
      <c r="AC137" s="3" t="s">
        <v>147</v>
      </c>
      <c r="AL137" s="9" t="str">
        <f t="array" ref="AL137">"[" &amp; TEXTJOIN(", ", TRUE, IF(LEN(AM137:AQ137), CHAR(34)&amp;AM137:AQ137&amp;CHAR(34), )) &amp; "]"
</f>
        <v>["Pollution"]</v>
      </c>
      <c r="AM137" s="3" t="s">
        <v>64</v>
      </c>
      <c r="AN137" s="3"/>
      <c r="AO137" s="3"/>
      <c r="AP137" s="3"/>
      <c r="AQ137" s="3"/>
      <c r="AR137" s="3" t="s">
        <v>64</v>
      </c>
      <c r="AW137" s="8" t="s">
        <v>2269</v>
      </c>
    </row>
    <row r="138">
      <c r="A138" s="3">
        <v>876.0</v>
      </c>
      <c r="B138" s="3" t="s">
        <v>40</v>
      </c>
      <c r="C138" s="3" t="s">
        <v>1866</v>
      </c>
      <c r="D138" s="3">
        <v>2018.0</v>
      </c>
      <c r="E138" s="3" t="s">
        <v>1867</v>
      </c>
      <c r="F138" s="3" t="s">
        <v>356</v>
      </c>
      <c r="G138" s="3" t="s">
        <v>2216</v>
      </c>
      <c r="H138" s="3" t="s">
        <v>82</v>
      </c>
      <c r="I138" s="3" t="s">
        <v>2147</v>
      </c>
      <c r="J138" s="3" t="s">
        <v>82</v>
      </c>
      <c r="K138" s="3" t="s">
        <v>2217</v>
      </c>
      <c r="L138" s="3" t="s">
        <v>2234</v>
      </c>
      <c r="M138" s="3" t="s">
        <v>453</v>
      </c>
      <c r="S138" s="9" t="str">
        <f t="array" ref="S138">"[" &amp; TEXTJOIN(", ", TRUE, IF(LEN(T138:AB138), CHAR(34)&amp;T138:AB138&amp;CHAR(34), )) &amp; "]"
</f>
        <v>["Industrial &amp; military effluents"]</v>
      </c>
      <c r="T138" s="3" t="s">
        <v>147</v>
      </c>
      <c r="U138" s="3"/>
      <c r="V138" s="3"/>
      <c r="AC138" s="3" t="s">
        <v>147</v>
      </c>
      <c r="AL138" s="9" t="str">
        <f t="array" ref="AL138">"[" &amp; TEXTJOIN(", ", TRUE, IF(LEN(AM138:AQ138), CHAR(34)&amp;AM138:AQ138&amp;CHAR(34), )) &amp; "]"
</f>
        <v>["Pollution"]</v>
      </c>
      <c r="AM138" s="3" t="s">
        <v>64</v>
      </c>
      <c r="AN138" s="3"/>
      <c r="AO138" s="3"/>
      <c r="AP138" s="3"/>
      <c r="AQ138" s="3"/>
      <c r="AR138" s="3" t="s">
        <v>64</v>
      </c>
      <c r="AW138" s="8" t="s">
        <v>2270</v>
      </c>
    </row>
    <row r="139" hidden="1">
      <c r="A139" s="3">
        <v>877.0</v>
      </c>
      <c r="B139" s="3" t="s">
        <v>40</v>
      </c>
      <c r="C139" s="3" t="s">
        <v>1868</v>
      </c>
      <c r="D139" s="3">
        <v>2018.0</v>
      </c>
      <c r="E139" s="3" t="s">
        <v>2271</v>
      </c>
      <c r="F139" s="3" t="s">
        <v>356</v>
      </c>
      <c r="G139" s="3"/>
      <c r="H139" s="3" t="s">
        <v>82</v>
      </c>
      <c r="I139" s="3"/>
      <c r="J139" s="3" t="s">
        <v>82</v>
      </c>
      <c r="K139" s="3"/>
      <c r="L139" s="3"/>
      <c r="M139" s="3" t="s">
        <v>453</v>
      </c>
      <c r="S139" s="3"/>
      <c r="T139" s="3"/>
      <c r="U139" s="3"/>
      <c r="V139" s="3"/>
      <c r="AC139" s="3" t="s">
        <v>147</v>
      </c>
      <c r="AD139" s="3" t="s">
        <v>62</v>
      </c>
      <c r="AL139" s="3"/>
      <c r="AM139" s="3"/>
      <c r="AN139" s="3"/>
      <c r="AO139" s="3"/>
      <c r="AP139" s="3"/>
      <c r="AQ139" s="3"/>
      <c r="AR139" s="3" t="s">
        <v>64</v>
      </c>
    </row>
    <row r="140" hidden="1">
      <c r="A140" s="3">
        <v>886.0</v>
      </c>
      <c r="B140" s="3" t="s">
        <v>106</v>
      </c>
      <c r="D140" s="3">
        <v>1987.0</v>
      </c>
      <c r="E140" s="3" t="s">
        <v>1888</v>
      </c>
      <c r="F140" s="3" t="s">
        <v>356</v>
      </c>
      <c r="G140" s="3"/>
      <c r="H140" s="3" t="s">
        <v>82</v>
      </c>
      <c r="I140" s="3"/>
      <c r="K140" s="3"/>
      <c r="L140" s="3"/>
      <c r="M140" s="3" t="s">
        <v>453</v>
      </c>
      <c r="S140" s="3"/>
      <c r="T140" s="3"/>
      <c r="U140" s="3"/>
      <c r="V140" s="3"/>
      <c r="AC140" s="3" t="s">
        <v>125</v>
      </c>
      <c r="AL140" s="3"/>
      <c r="AM140" s="3"/>
      <c r="AN140" s="3"/>
      <c r="AO140" s="3"/>
      <c r="AP140" s="3"/>
      <c r="AQ140" s="3"/>
      <c r="AR140" s="3" t="s">
        <v>64</v>
      </c>
    </row>
    <row r="141" hidden="1">
      <c r="A141" s="3">
        <v>907.0</v>
      </c>
      <c r="B141" s="3" t="s">
        <v>106</v>
      </c>
      <c r="C141" s="3" t="s">
        <v>1921</v>
      </c>
      <c r="D141" s="3">
        <v>1999.0</v>
      </c>
      <c r="E141" s="3" t="s">
        <v>1922</v>
      </c>
      <c r="F141" s="3" t="s">
        <v>356</v>
      </c>
      <c r="G141" s="3"/>
      <c r="H141" s="3" t="s">
        <v>82</v>
      </c>
      <c r="I141" s="3"/>
      <c r="K141" s="3"/>
      <c r="L141" s="3"/>
      <c r="M141" s="3" t="s">
        <v>453</v>
      </c>
      <c r="S141" s="3"/>
      <c r="T141" s="3"/>
      <c r="U141" s="3"/>
      <c r="V141" s="3"/>
      <c r="AC141" s="3" t="s">
        <v>62</v>
      </c>
      <c r="AL141" s="3"/>
      <c r="AM141" s="3"/>
      <c r="AN141" s="3"/>
      <c r="AO141" s="3"/>
      <c r="AP141" s="3"/>
      <c r="AQ141" s="3"/>
      <c r="AR141" s="3" t="s">
        <v>64</v>
      </c>
    </row>
    <row r="142" hidden="1">
      <c r="A142" s="3">
        <v>919.0</v>
      </c>
      <c r="B142" s="3" t="s">
        <v>40</v>
      </c>
      <c r="C142" s="3" t="s">
        <v>1940</v>
      </c>
      <c r="D142" s="3">
        <v>2020.0</v>
      </c>
      <c r="E142" s="6" t="s">
        <v>1941</v>
      </c>
      <c r="F142" s="3" t="s">
        <v>356</v>
      </c>
      <c r="G142" s="3"/>
      <c r="H142" s="3" t="s">
        <v>82</v>
      </c>
      <c r="I142" s="3"/>
      <c r="J142" s="3" t="s">
        <v>82</v>
      </c>
      <c r="K142" s="3"/>
      <c r="L142" s="3"/>
      <c r="M142" s="3" t="s">
        <v>254</v>
      </c>
      <c r="S142" s="3"/>
      <c r="T142" s="3"/>
      <c r="U142" s="3"/>
      <c r="V142" s="3"/>
      <c r="W142" s="3"/>
      <c r="X142" s="3"/>
      <c r="Y142" s="3"/>
      <c r="Z142" s="3"/>
      <c r="AA142" s="3"/>
      <c r="AB142" s="3"/>
      <c r="AC142" s="3" t="s">
        <v>1942</v>
      </c>
      <c r="AF142" s="3" t="s">
        <v>61</v>
      </c>
      <c r="AH142" s="3" t="s">
        <v>162</v>
      </c>
      <c r="AJ142" s="3" t="s">
        <v>250</v>
      </c>
      <c r="AL142" s="3"/>
      <c r="AM142" s="3"/>
      <c r="AN142" s="3"/>
      <c r="AO142" s="3"/>
      <c r="AP142" s="3"/>
      <c r="AQ142" s="3"/>
      <c r="AR142" s="3" t="s">
        <v>71</v>
      </c>
      <c r="AS142" s="3" t="s">
        <v>52</v>
      </c>
      <c r="AT142" s="3" t="s">
        <v>121</v>
      </c>
      <c r="AU142" s="3" t="s">
        <v>53</v>
      </c>
    </row>
    <row r="143" hidden="1">
      <c r="A143" s="3">
        <v>923.0</v>
      </c>
      <c r="B143" s="3" t="s">
        <v>40</v>
      </c>
      <c r="C143" s="3" t="s">
        <v>1949</v>
      </c>
      <c r="D143" s="3">
        <v>2018.0</v>
      </c>
      <c r="E143" s="3" t="s">
        <v>1950</v>
      </c>
      <c r="F143" s="3" t="s">
        <v>356</v>
      </c>
      <c r="G143" s="3"/>
      <c r="H143" s="3" t="s">
        <v>82</v>
      </c>
      <c r="I143" s="3"/>
      <c r="J143" s="3" t="s">
        <v>82</v>
      </c>
      <c r="K143" s="3"/>
      <c r="L143" s="3"/>
      <c r="M143" s="3" t="s">
        <v>254</v>
      </c>
      <c r="S143" s="3"/>
      <c r="T143" s="3"/>
      <c r="U143" s="3"/>
      <c r="V143" s="3"/>
      <c r="W143" s="3"/>
      <c r="X143" s="3"/>
      <c r="AC143" s="3" t="s">
        <v>87</v>
      </c>
      <c r="AF143" s="3" t="s">
        <v>117</v>
      </c>
      <c r="AL143" s="3"/>
      <c r="AM143" s="3"/>
      <c r="AN143" s="3"/>
      <c r="AO143" s="3"/>
      <c r="AP143" s="3"/>
      <c r="AQ143" s="3"/>
      <c r="AR143" s="3" t="s">
        <v>71</v>
      </c>
      <c r="AS143" s="3" t="s">
        <v>1015</v>
      </c>
    </row>
    <row r="144" hidden="1">
      <c r="A144" s="3">
        <v>924.0</v>
      </c>
      <c r="B144" s="3" t="s">
        <v>40</v>
      </c>
      <c r="C144" s="3" t="s">
        <v>1951</v>
      </c>
      <c r="D144" s="3">
        <v>2013.0</v>
      </c>
      <c r="E144" s="3" t="s">
        <v>1952</v>
      </c>
      <c r="F144" s="3" t="s">
        <v>356</v>
      </c>
      <c r="G144" s="3"/>
      <c r="H144" s="3" t="s">
        <v>82</v>
      </c>
      <c r="I144" s="3"/>
      <c r="J144" s="3" t="s">
        <v>82</v>
      </c>
      <c r="K144" s="3"/>
      <c r="L144" s="3"/>
      <c r="M144" s="3" t="s">
        <v>254</v>
      </c>
      <c r="S144" s="3"/>
      <c r="T144" s="3"/>
      <c r="U144" s="3"/>
      <c r="V144" s="3"/>
      <c r="W144" s="3"/>
      <c r="X144" s="3"/>
      <c r="Y144" s="3"/>
      <c r="Z144" s="3"/>
      <c r="AC144" s="3" t="s">
        <v>87</v>
      </c>
      <c r="AF144" s="3" t="s">
        <v>352</v>
      </c>
      <c r="AH144" s="3" t="s">
        <v>48</v>
      </c>
      <c r="AL144" s="3"/>
      <c r="AM144" s="3"/>
      <c r="AN144" s="3"/>
      <c r="AO144" s="3"/>
      <c r="AP144" s="3"/>
      <c r="AQ144" s="3"/>
      <c r="AR144" s="3" t="s">
        <v>71</v>
      </c>
      <c r="AS144" s="3" t="s">
        <v>235</v>
      </c>
      <c r="AT144" s="3" t="s">
        <v>52</v>
      </c>
    </row>
    <row r="145" hidden="1">
      <c r="A145" s="3">
        <v>925.0</v>
      </c>
      <c r="B145" s="3" t="s">
        <v>40</v>
      </c>
      <c r="C145" s="3" t="s">
        <v>1953</v>
      </c>
      <c r="D145" s="3">
        <v>2005.0</v>
      </c>
      <c r="E145" s="3" t="s">
        <v>1954</v>
      </c>
      <c r="F145" s="3" t="s">
        <v>356</v>
      </c>
      <c r="G145" s="3"/>
      <c r="H145" s="3" t="s">
        <v>82</v>
      </c>
      <c r="I145" s="3"/>
      <c r="J145" s="3" t="s">
        <v>82</v>
      </c>
      <c r="K145" s="3"/>
      <c r="L145" s="3"/>
      <c r="M145" s="3" t="s">
        <v>254</v>
      </c>
      <c r="S145" s="3"/>
      <c r="T145" s="3"/>
      <c r="U145" s="3"/>
      <c r="V145" s="3"/>
      <c r="W145" s="3"/>
      <c r="X145" s="3"/>
      <c r="Y145" s="3"/>
      <c r="Z145" s="3"/>
      <c r="AC145" s="3" t="s">
        <v>87</v>
      </c>
      <c r="AF145" s="3" t="s">
        <v>352</v>
      </c>
      <c r="AH145" s="3" t="s">
        <v>162</v>
      </c>
      <c r="AL145" s="3"/>
      <c r="AM145" s="3"/>
      <c r="AN145" s="3"/>
      <c r="AO145" s="3"/>
      <c r="AP145" s="3"/>
      <c r="AQ145" s="3"/>
      <c r="AR145" s="3" t="s">
        <v>71</v>
      </c>
      <c r="AS145" s="3" t="s">
        <v>235</v>
      </c>
      <c r="AT145" s="3" t="s">
        <v>121</v>
      </c>
    </row>
    <row r="146" hidden="1">
      <c r="A146" s="3">
        <v>926.0</v>
      </c>
      <c r="B146" s="3" t="s">
        <v>40</v>
      </c>
      <c r="C146" s="3" t="s">
        <v>1955</v>
      </c>
      <c r="D146" s="3">
        <v>2016.0</v>
      </c>
      <c r="E146" s="3" t="s">
        <v>1956</v>
      </c>
      <c r="F146" s="3" t="s">
        <v>356</v>
      </c>
      <c r="G146" s="3"/>
      <c r="H146" s="3" t="s">
        <v>82</v>
      </c>
      <c r="I146" s="3"/>
      <c r="J146" s="3" t="s">
        <v>82</v>
      </c>
      <c r="K146" s="3"/>
      <c r="L146" s="3"/>
      <c r="M146" s="3" t="s">
        <v>254</v>
      </c>
      <c r="S146" s="3"/>
      <c r="T146" s="3"/>
      <c r="U146" s="3"/>
      <c r="V146" s="3"/>
      <c r="W146" s="3"/>
      <c r="X146" s="3"/>
      <c r="Y146" s="3"/>
      <c r="Z146" s="3"/>
      <c r="AA146" s="3"/>
      <c r="AB146" s="3"/>
      <c r="AC146" s="3" t="s">
        <v>1942</v>
      </c>
      <c r="AF146" s="3" t="s">
        <v>352</v>
      </c>
      <c r="AH146" s="3" t="s">
        <v>63</v>
      </c>
      <c r="AJ146" s="3" t="s">
        <v>48</v>
      </c>
      <c r="AL146" s="3"/>
      <c r="AM146" s="3"/>
      <c r="AN146" s="3"/>
      <c r="AO146" s="3"/>
      <c r="AP146" s="3"/>
      <c r="AQ146" s="3"/>
      <c r="AR146" s="3" t="s">
        <v>71</v>
      </c>
      <c r="AS146" s="3" t="s">
        <v>235</v>
      </c>
      <c r="AT146" s="3" t="s">
        <v>65</v>
      </c>
      <c r="AU146" s="3" t="s">
        <v>52</v>
      </c>
    </row>
    <row r="147" hidden="1">
      <c r="A147" s="3">
        <v>928.0</v>
      </c>
      <c r="B147" s="3" t="s">
        <v>40</v>
      </c>
      <c r="C147" s="3" t="s">
        <v>1959</v>
      </c>
      <c r="D147" s="3">
        <v>2019.0</v>
      </c>
      <c r="E147" s="3" t="s">
        <v>1960</v>
      </c>
      <c r="F147" s="3" t="s">
        <v>356</v>
      </c>
      <c r="G147" s="3"/>
      <c r="H147" s="3" t="s">
        <v>82</v>
      </c>
      <c r="I147" s="3"/>
      <c r="J147" s="3" t="s">
        <v>82</v>
      </c>
      <c r="K147" s="3"/>
      <c r="L147" s="3"/>
      <c r="M147" s="3" t="s">
        <v>254</v>
      </c>
      <c r="N147" s="3" t="s">
        <v>317</v>
      </c>
      <c r="S147" s="3"/>
      <c r="T147" s="3"/>
      <c r="U147" s="3"/>
      <c r="V147" s="3"/>
      <c r="W147" s="3"/>
      <c r="X147" s="3"/>
      <c r="Y147" s="3"/>
      <c r="Z147" s="3"/>
      <c r="AC147" s="3" t="s">
        <v>147</v>
      </c>
      <c r="AF147" s="3" t="s">
        <v>87</v>
      </c>
      <c r="AH147" s="3" t="s">
        <v>63</v>
      </c>
      <c r="AL147" s="3"/>
      <c r="AM147" s="3"/>
      <c r="AN147" s="3"/>
      <c r="AO147" s="3"/>
      <c r="AP147" s="3"/>
      <c r="AQ147" s="3"/>
      <c r="AR147" s="3" t="s">
        <v>71</v>
      </c>
      <c r="AS147" s="3" t="s">
        <v>121</v>
      </c>
      <c r="AT147" s="3" t="s">
        <v>65</v>
      </c>
    </row>
    <row r="148" hidden="1">
      <c r="A148" s="3">
        <v>935.0</v>
      </c>
      <c r="B148" s="3" t="s">
        <v>40</v>
      </c>
      <c r="C148" s="3" t="s">
        <v>1974</v>
      </c>
      <c r="D148" s="3">
        <v>2017.0</v>
      </c>
      <c r="E148" s="3" t="s">
        <v>1975</v>
      </c>
      <c r="F148" s="3" t="s">
        <v>356</v>
      </c>
      <c r="G148" s="3"/>
      <c r="H148" s="3" t="s">
        <v>82</v>
      </c>
      <c r="I148" s="3"/>
      <c r="J148" s="3" t="s">
        <v>82</v>
      </c>
      <c r="K148" s="3"/>
      <c r="L148" s="3"/>
      <c r="M148" s="3" t="s">
        <v>254</v>
      </c>
      <c r="S148" s="3"/>
      <c r="T148" s="3"/>
      <c r="U148" s="3"/>
      <c r="V148" s="3"/>
      <c r="W148" s="3"/>
      <c r="X148" s="3"/>
      <c r="Y148" s="3"/>
      <c r="Z148" s="3"/>
      <c r="AC148" s="3" t="s">
        <v>1942</v>
      </c>
      <c r="AF148" s="3" t="s">
        <v>63</v>
      </c>
      <c r="AH148" s="3" t="s">
        <v>48</v>
      </c>
      <c r="AL148" s="3"/>
      <c r="AM148" s="3"/>
      <c r="AN148" s="3"/>
      <c r="AO148" s="3"/>
      <c r="AP148" s="3"/>
      <c r="AQ148" s="3"/>
      <c r="AR148" s="3" t="s">
        <v>71</v>
      </c>
      <c r="AS148" s="3" t="s">
        <v>65</v>
      </c>
      <c r="AT148" s="3" t="s">
        <v>52</v>
      </c>
    </row>
    <row r="149" hidden="1">
      <c r="A149" s="3">
        <v>951.0</v>
      </c>
      <c r="B149" s="3" t="s">
        <v>40</v>
      </c>
      <c r="C149" s="3" t="s">
        <v>2009</v>
      </c>
      <c r="D149" s="3">
        <v>2002.0</v>
      </c>
      <c r="E149" s="3" t="s">
        <v>2010</v>
      </c>
      <c r="F149" s="3" t="s">
        <v>356</v>
      </c>
      <c r="G149" s="3"/>
      <c r="H149" s="3" t="s">
        <v>82</v>
      </c>
      <c r="I149" s="3"/>
      <c r="J149" s="3" t="s">
        <v>82</v>
      </c>
      <c r="K149" s="3"/>
      <c r="L149" s="3"/>
      <c r="M149" s="3" t="s">
        <v>83</v>
      </c>
      <c r="S149" s="3"/>
      <c r="T149" s="3"/>
      <c r="U149" s="3"/>
      <c r="V149" s="3"/>
      <c r="AC149" s="3" t="s">
        <v>63</v>
      </c>
      <c r="AL149" s="3"/>
      <c r="AM149" s="3"/>
      <c r="AN149" s="3"/>
      <c r="AO149" s="3"/>
      <c r="AP149" s="3"/>
      <c r="AQ149" s="3"/>
      <c r="AR149" s="3" t="s">
        <v>65</v>
      </c>
      <c r="AS149" s="3" t="s">
        <v>52</v>
      </c>
      <c r="AT149" s="3" t="s">
        <v>78</v>
      </c>
    </row>
    <row r="150" hidden="1">
      <c r="A150" s="3">
        <v>976.0</v>
      </c>
      <c r="B150" s="3" t="s">
        <v>40</v>
      </c>
      <c r="C150" s="3" t="s">
        <v>2059</v>
      </c>
      <c r="D150" s="3">
        <v>2008.0</v>
      </c>
      <c r="E150" s="3" t="s">
        <v>2060</v>
      </c>
      <c r="F150" s="3" t="s">
        <v>356</v>
      </c>
      <c r="G150" s="3"/>
      <c r="H150" s="3" t="s">
        <v>82</v>
      </c>
      <c r="I150" s="3"/>
      <c r="J150" s="3" t="s">
        <v>82</v>
      </c>
      <c r="K150" s="3"/>
      <c r="L150" s="3"/>
      <c r="M150" s="3" t="s">
        <v>83</v>
      </c>
      <c r="S150" s="3"/>
      <c r="T150" s="3"/>
      <c r="U150" s="3"/>
      <c r="V150" s="3"/>
      <c r="AC150" s="3" t="s">
        <v>63</v>
      </c>
      <c r="AL150" s="3"/>
      <c r="AM150" s="3"/>
      <c r="AN150" s="3"/>
      <c r="AO150" s="3"/>
      <c r="AP150" s="3"/>
      <c r="AQ150" s="3"/>
      <c r="AR150" s="3" t="s">
        <v>65</v>
      </c>
    </row>
    <row r="151" hidden="1">
      <c r="A151" s="3">
        <v>977.0</v>
      </c>
      <c r="B151" s="3" t="s">
        <v>40</v>
      </c>
      <c r="C151" s="3" t="s">
        <v>2059</v>
      </c>
      <c r="D151" s="3">
        <v>2009.0</v>
      </c>
      <c r="E151" s="3" t="s">
        <v>2061</v>
      </c>
      <c r="F151" s="3" t="s">
        <v>356</v>
      </c>
      <c r="G151" s="3"/>
      <c r="H151" s="3" t="s">
        <v>82</v>
      </c>
      <c r="I151" s="3"/>
      <c r="J151" s="3" t="s">
        <v>82</v>
      </c>
      <c r="K151" s="3"/>
      <c r="L151" s="3"/>
      <c r="M151" s="3" t="s">
        <v>83</v>
      </c>
      <c r="S151" s="3"/>
      <c r="T151" s="3"/>
      <c r="U151" s="3"/>
      <c r="V151" s="3"/>
      <c r="AC151" s="3" t="s">
        <v>63</v>
      </c>
      <c r="AL151" s="3"/>
      <c r="AM151" s="3"/>
      <c r="AN151" s="3"/>
      <c r="AO151" s="3"/>
      <c r="AP151" s="3"/>
      <c r="AQ151" s="3"/>
      <c r="AR151" s="3" t="s">
        <v>65</v>
      </c>
    </row>
    <row r="152" hidden="1">
      <c r="A152" s="3">
        <v>980.0</v>
      </c>
      <c r="B152" s="3" t="s">
        <v>40</v>
      </c>
      <c r="C152" s="3" t="s">
        <v>2066</v>
      </c>
      <c r="D152" s="3">
        <v>2010.0</v>
      </c>
      <c r="E152" s="3" t="s">
        <v>2067</v>
      </c>
      <c r="F152" s="3" t="s">
        <v>356</v>
      </c>
      <c r="G152" s="3"/>
      <c r="H152" s="3" t="s">
        <v>82</v>
      </c>
      <c r="I152" s="3"/>
      <c r="J152" s="3" t="s">
        <v>82</v>
      </c>
      <c r="K152" s="3"/>
      <c r="L152" s="3"/>
      <c r="M152" s="3" t="s">
        <v>254</v>
      </c>
      <c r="S152" s="3"/>
      <c r="T152" s="3"/>
      <c r="U152" s="3"/>
      <c r="V152" s="3"/>
      <c r="AC152" s="3" t="s">
        <v>63</v>
      </c>
      <c r="AL152" s="3"/>
      <c r="AM152" s="3"/>
      <c r="AN152" s="3"/>
      <c r="AO152" s="3"/>
      <c r="AP152" s="3"/>
      <c r="AQ152" s="3"/>
      <c r="AR152" s="3" t="s">
        <v>65</v>
      </c>
    </row>
    <row r="153" hidden="1">
      <c r="A153" s="3">
        <v>989.0</v>
      </c>
      <c r="B153" s="3" t="s">
        <v>40</v>
      </c>
      <c r="C153" s="3" t="s">
        <v>2085</v>
      </c>
      <c r="D153" s="3">
        <v>2017.0</v>
      </c>
      <c r="E153" s="3" t="s">
        <v>2086</v>
      </c>
      <c r="F153" s="3" t="s">
        <v>356</v>
      </c>
      <c r="G153" s="3"/>
      <c r="H153" s="3" t="s">
        <v>82</v>
      </c>
      <c r="I153" s="3"/>
      <c r="J153" s="3" t="s">
        <v>82</v>
      </c>
      <c r="K153" s="3"/>
      <c r="L153" s="3"/>
      <c r="M153" s="3" t="s">
        <v>83</v>
      </c>
      <c r="S153" s="3"/>
      <c r="T153" s="3"/>
      <c r="U153" s="3"/>
      <c r="V153" s="3"/>
      <c r="AC153" s="3" t="s">
        <v>63</v>
      </c>
      <c r="AL153" s="3"/>
      <c r="AM153" s="3"/>
      <c r="AN153" s="3"/>
      <c r="AO153" s="3"/>
      <c r="AP153" s="3"/>
      <c r="AQ153" s="3"/>
      <c r="AR153" s="3" t="s">
        <v>65</v>
      </c>
    </row>
    <row r="154" hidden="1">
      <c r="A154" s="3">
        <v>990.0</v>
      </c>
      <c r="B154" s="3" t="s">
        <v>40</v>
      </c>
      <c r="C154" s="3" t="s">
        <v>2087</v>
      </c>
      <c r="D154" s="3">
        <v>2018.0</v>
      </c>
      <c r="E154" s="3" t="s">
        <v>2088</v>
      </c>
      <c r="F154" s="3" t="s">
        <v>356</v>
      </c>
      <c r="G154" s="3"/>
      <c r="H154" s="3" t="s">
        <v>82</v>
      </c>
      <c r="I154" s="3"/>
      <c r="J154" s="3" t="s">
        <v>82</v>
      </c>
      <c r="K154" s="3"/>
      <c r="L154" s="3"/>
      <c r="M154" s="3" t="s">
        <v>254</v>
      </c>
      <c r="S154" s="3"/>
      <c r="T154" s="3"/>
      <c r="U154" s="3"/>
      <c r="V154" s="3"/>
      <c r="AC154" s="3" t="s">
        <v>63</v>
      </c>
      <c r="AL154" s="3"/>
      <c r="AM154" s="3"/>
      <c r="AN154" s="3"/>
      <c r="AO154" s="3"/>
      <c r="AP154" s="3"/>
      <c r="AQ154" s="3"/>
      <c r="AR154" s="3" t="s">
        <v>65</v>
      </c>
    </row>
    <row r="155" hidden="1">
      <c r="A155" s="3">
        <v>992.0</v>
      </c>
      <c r="B155" s="3" t="s">
        <v>40</v>
      </c>
      <c r="C155" s="3" t="s">
        <v>2091</v>
      </c>
      <c r="D155" s="3">
        <v>2019.0</v>
      </c>
      <c r="E155" s="3" t="s">
        <v>2092</v>
      </c>
      <c r="F155" s="3" t="s">
        <v>356</v>
      </c>
      <c r="G155" s="3"/>
      <c r="H155" s="3" t="s">
        <v>82</v>
      </c>
      <c r="I155" s="3"/>
      <c r="J155" s="3" t="s">
        <v>82</v>
      </c>
      <c r="K155" s="3"/>
      <c r="L155" s="3"/>
      <c r="M155" s="3" t="s">
        <v>317</v>
      </c>
      <c r="N155" s="3" t="s">
        <v>388</v>
      </c>
      <c r="O155" s="3" t="s">
        <v>180</v>
      </c>
      <c r="S155" s="3"/>
      <c r="T155" s="3"/>
      <c r="U155" s="3"/>
      <c r="V155" s="3"/>
      <c r="AC155" s="3" t="s">
        <v>63</v>
      </c>
      <c r="AL155" s="3"/>
      <c r="AM155" s="3"/>
      <c r="AN155" s="3"/>
      <c r="AO155" s="3"/>
      <c r="AP155" s="3"/>
      <c r="AQ155" s="3"/>
      <c r="AR155" s="3" t="s">
        <v>65</v>
      </c>
    </row>
    <row r="156" hidden="1">
      <c r="A156" s="3">
        <v>994.0</v>
      </c>
      <c r="B156" s="3" t="s">
        <v>40</v>
      </c>
      <c r="C156" s="3" t="s">
        <v>2095</v>
      </c>
      <c r="D156" s="3">
        <v>2019.0</v>
      </c>
      <c r="E156" s="3" t="s">
        <v>2096</v>
      </c>
      <c r="F156" s="3" t="s">
        <v>356</v>
      </c>
      <c r="G156" s="3"/>
      <c r="H156" s="3" t="s">
        <v>82</v>
      </c>
      <c r="I156" s="3"/>
      <c r="J156" s="3" t="s">
        <v>82</v>
      </c>
      <c r="K156" s="3"/>
      <c r="L156" s="3"/>
      <c r="M156" s="3" t="s">
        <v>254</v>
      </c>
      <c r="S156" s="3"/>
      <c r="T156" s="3"/>
      <c r="U156" s="3"/>
      <c r="V156" s="3"/>
      <c r="AC156" s="3" t="s">
        <v>63</v>
      </c>
      <c r="AL156" s="3"/>
      <c r="AM156" s="3"/>
      <c r="AN156" s="3"/>
      <c r="AO156" s="3"/>
      <c r="AP156" s="3"/>
      <c r="AQ156" s="3"/>
      <c r="AR156" s="3" t="s">
        <v>65</v>
      </c>
    </row>
    <row r="157">
      <c r="A157" s="3">
        <v>626.0</v>
      </c>
      <c r="B157" s="3" t="s">
        <v>40</v>
      </c>
      <c r="C157" s="3" t="s">
        <v>1369</v>
      </c>
      <c r="D157" s="3">
        <v>2008.0</v>
      </c>
      <c r="E157" s="3" t="s">
        <v>1370</v>
      </c>
      <c r="F157" s="3" t="s">
        <v>137</v>
      </c>
      <c r="G157" s="3" t="s">
        <v>2272</v>
      </c>
      <c r="H157" s="3" t="s">
        <v>44</v>
      </c>
      <c r="I157" s="3" t="s">
        <v>2147</v>
      </c>
      <c r="J157" s="3" t="s">
        <v>45</v>
      </c>
      <c r="L157" s="3" t="s">
        <v>2148</v>
      </c>
      <c r="M157" s="3" t="s">
        <v>138</v>
      </c>
      <c r="S157" s="9" t="str">
        <f t="array" ref="S157">"[" &amp; TEXTJOIN(", ", TRUE, IF(LEN(T157:AB157), CHAR(34)&amp;T157:AB157&amp;CHAR(34), )) &amp; "]"
</f>
        <v>["Hunting &amp; collecting terrestrial animals"]</v>
      </c>
      <c r="U157" s="3"/>
      <c r="V157" s="3"/>
      <c r="W157" s="3" t="s">
        <v>2178</v>
      </c>
      <c r="AC157" s="3" t="s">
        <v>134</v>
      </c>
      <c r="AF157" s="3" t="s">
        <v>61</v>
      </c>
      <c r="AL157" s="9" t="str">
        <f t="array" ref="AL157">"[" &amp; TEXTJOIN(", ", TRUE, IF(LEN(AM157:AQ157), CHAR(34)&amp;AM157:AQ157&amp;CHAR(34), )) &amp; "]"
</f>
        <v>["Natural system modifications", "Biological resource use"]</v>
      </c>
      <c r="AM157" s="3" t="s">
        <v>53</v>
      </c>
      <c r="AN157" s="3" t="s">
        <v>52</v>
      </c>
      <c r="AO157" s="3"/>
      <c r="AP157" s="3"/>
      <c r="AQ157" s="3"/>
      <c r="AR157" s="3" t="s">
        <v>53</v>
      </c>
      <c r="AS157" s="3" t="s">
        <v>52</v>
      </c>
      <c r="AW157" s="8" t="s">
        <v>2273</v>
      </c>
    </row>
    <row r="158">
      <c r="A158" s="3">
        <v>17.0</v>
      </c>
      <c r="B158" s="3" t="s">
        <v>40</v>
      </c>
      <c r="C158" s="3" t="s">
        <v>135</v>
      </c>
      <c r="D158" s="3">
        <v>2007.0</v>
      </c>
      <c r="E158" s="3" t="s">
        <v>136</v>
      </c>
      <c r="F158" s="3" t="s">
        <v>137</v>
      </c>
      <c r="G158" s="3" t="s">
        <v>2272</v>
      </c>
      <c r="H158" s="3" t="s">
        <v>44</v>
      </c>
      <c r="I158" s="3" t="s">
        <v>2147</v>
      </c>
      <c r="J158" s="3" t="s">
        <v>45</v>
      </c>
      <c r="L158" s="3" t="s">
        <v>2148</v>
      </c>
      <c r="M158" s="3" t="s">
        <v>138</v>
      </c>
      <c r="S158" s="9" t="str">
        <f t="array" ref="S158">"[" &amp; TEXTJOIN(", ", TRUE, IF(LEN(T158:AB158), CHAR(34)&amp;T158:AB158&amp;CHAR(34), )) &amp; "]"
</f>
        <v>["Livestock farming &amp; ranching", "Dams &amp; water management/use"]</v>
      </c>
      <c r="T158" s="3" t="s">
        <v>47</v>
      </c>
      <c r="U158" s="3"/>
      <c r="V158" s="3"/>
      <c r="W158" s="3" t="s">
        <v>49</v>
      </c>
      <c r="AC158" s="3" t="s">
        <v>47</v>
      </c>
      <c r="AF158" s="3" t="s">
        <v>49</v>
      </c>
      <c r="AL158" s="9" t="str">
        <f t="array" ref="AL158">"[" &amp; TEXTJOIN(", ", TRUE, IF(LEN(AM158:AQ158), CHAR(34)&amp;AM158:AQ158&amp;CHAR(34), )) &amp; "]"
</f>
        <v>["Agriculture &amp; aquaculture", "Natural system modifications"]</v>
      </c>
      <c r="AM158" s="3" t="s">
        <v>51</v>
      </c>
      <c r="AN158" s="3" t="s">
        <v>53</v>
      </c>
      <c r="AO158" s="3"/>
      <c r="AP158" s="3"/>
      <c r="AQ158" s="3"/>
      <c r="AR158" s="3" t="s">
        <v>51</v>
      </c>
      <c r="AS158" s="3" t="s">
        <v>53</v>
      </c>
      <c r="AW158" s="8" t="s">
        <v>2274</v>
      </c>
    </row>
    <row r="159">
      <c r="A159" s="3">
        <v>184.0</v>
      </c>
      <c r="B159" s="3" t="s">
        <v>40</v>
      </c>
      <c r="C159" s="3" t="s">
        <v>542</v>
      </c>
      <c r="D159" s="3">
        <v>2019.0</v>
      </c>
      <c r="E159" s="3" t="s">
        <v>543</v>
      </c>
      <c r="F159" s="3" t="s">
        <v>137</v>
      </c>
      <c r="G159" s="3" t="s">
        <v>2272</v>
      </c>
      <c r="H159" s="3" t="s">
        <v>44</v>
      </c>
      <c r="I159" s="3" t="s">
        <v>2147</v>
      </c>
      <c r="J159" s="3" t="s">
        <v>45</v>
      </c>
      <c r="L159" s="3" t="s">
        <v>2275</v>
      </c>
      <c r="M159" s="3" t="s">
        <v>461</v>
      </c>
      <c r="S159" s="9" t="str">
        <f t="array" ref="S159">"[" &amp; TEXTJOIN(", ", TRUE, IF(LEN(T159:AB159), CHAR(34)&amp;T159:AB159&amp;CHAR(34), )) &amp; "]"
</f>
        <v>["Hunting &amp; Collecting Terrestrial Animals"]</v>
      </c>
      <c r="T159" s="3" t="s">
        <v>2138</v>
      </c>
      <c r="U159" s="3"/>
      <c r="V159" s="3"/>
      <c r="AC159" s="3" t="s">
        <v>61</v>
      </c>
      <c r="AF159" s="3" t="s">
        <v>87</v>
      </c>
      <c r="AL159" s="9" t="str">
        <f t="array" ref="AL159">"[" &amp; TEXTJOIN(", ", TRUE, IF(LEN(AM159:AQ159), CHAR(34)&amp;AM159:AQ159&amp;CHAR(34), )) &amp; "]"
</f>
        <v>["Biological resource use", "Pollution"]</v>
      </c>
      <c r="AM159" s="3" t="s">
        <v>52</v>
      </c>
      <c r="AN159" s="3" t="s">
        <v>64</v>
      </c>
      <c r="AO159" s="3"/>
      <c r="AP159" s="3"/>
      <c r="AQ159" s="3"/>
      <c r="AR159" s="3" t="s">
        <v>52</v>
      </c>
      <c r="AS159" s="3" t="s">
        <v>64</v>
      </c>
      <c r="AW159" s="8" t="s">
        <v>2276</v>
      </c>
    </row>
    <row r="160">
      <c r="A160" s="3">
        <v>144.0</v>
      </c>
      <c r="B160" s="3" t="s">
        <v>40</v>
      </c>
      <c r="C160" s="3" t="s">
        <v>459</v>
      </c>
      <c r="D160" s="3">
        <v>2012.0</v>
      </c>
      <c r="E160" s="3" t="s">
        <v>460</v>
      </c>
      <c r="F160" s="3" t="s">
        <v>137</v>
      </c>
      <c r="G160" s="3" t="s">
        <v>2272</v>
      </c>
      <c r="H160" s="3" t="s">
        <v>44</v>
      </c>
      <c r="I160" s="3" t="s">
        <v>2147</v>
      </c>
      <c r="J160" s="3" t="s">
        <v>45</v>
      </c>
      <c r="L160" s="3" t="s">
        <v>2275</v>
      </c>
      <c r="M160" s="3" t="s">
        <v>461</v>
      </c>
      <c r="S160" s="9" t="str">
        <f t="array" ref="S160">"[" &amp; TEXTJOIN(", ", TRUE, IF(LEN(T160:AB160), CHAR(34)&amp;T160:AB160&amp;CHAR(34), )) &amp; "]"
</f>
        <v>["Fishing &amp; Harvesting Aquatic Resources", "Invasive non-native/alien species/diseases"]</v>
      </c>
      <c r="T160" s="3" t="s">
        <v>2164</v>
      </c>
      <c r="U160" s="3"/>
      <c r="V160" s="3"/>
      <c r="W160" s="3" t="s">
        <v>50</v>
      </c>
      <c r="AC160" s="3" t="s">
        <v>247</v>
      </c>
      <c r="AF160" s="3" t="s">
        <v>50</v>
      </c>
      <c r="AL160" s="9" t="str">
        <f t="array" ref="AL160">"[" &amp; TEXTJOIN(", ", TRUE, IF(LEN(AM160:AQ160), CHAR(34)&amp;AM160:AQ160&amp;CHAR(34), )) &amp; "]"
</f>
        <v>["Biological resource use"]</v>
      </c>
      <c r="AM160" s="3" t="s">
        <v>52</v>
      </c>
      <c r="AO160" s="3"/>
      <c r="AP160" s="3"/>
      <c r="AQ160" s="3"/>
      <c r="AR160" s="3" t="s">
        <v>52</v>
      </c>
      <c r="AS160" s="3" t="s">
        <v>78</v>
      </c>
      <c r="AW160" s="8" t="s">
        <v>2277</v>
      </c>
    </row>
    <row r="161">
      <c r="A161" s="3">
        <v>331.0</v>
      </c>
      <c r="B161" s="3" t="s">
        <v>40</v>
      </c>
      <c r="C161" s="3" t="s">
        <v>830</v>
      </c>
      <c r="D161" s="3">
        <v>2016.0</v>
      </c>
      <c r="E161" s="3" t="s">
        <v>831</v>
      </c>
      <c r="F161" s="3" t="s">
        <v>137</v>
      </c>
      <c r="G161" s="3" t="s">
        <v>2272</v>
      </c>
      <c r="H161" s="3" t="s">
        <v>44</v>
      </c>
      <c r="I161" s="3" t="s">
        <v>2147</v>
      </c>
      <c r="J161" s="3" t="s">
        <v>45</v>
      </c>
      <c r="L161" s="3" t="s">
        <v>2275</v>
      </c>
      <c r="M161" s="3" t="s">
        <v>461</v>
      </c>
      <c r="S161" s="9" t="str">
        <f t="array" ref="S161">"[" &amp; TEXTJOIN(", ", TRUE, IF(LEN(T161:AB161), CHAR(34)&amp;T161:AB161&amp;CHAR(34), )) &amp; "]"
</f>
        <v>["Hunting &amp; Collecting Terrestrial Animals"]</v>
      </c>
      <c r="T161" s="3" t="s">
        <v>2138</v>
      </c>
      <c r="U161" s="3"/>
      <c r="V161" s="3"/>
      <c r="AC161" s="3" t="s">
        <v>61</v>
      </c>
      <c r="AL161" s="9" t="str">
        <f t="array" ref="AL161">"[" &amp; TEXTJOIN(", ", TRUE, IF(LEN(AM161:AQ161), CHAR(34)&amp;AM161:AQ161&amp;CHAR(34), )) &amp; "]"
</f>
        <v>["Biological resource use"]</v>
      </c>
      <c r="AM161" s="3" t="s">
        <v>52</v>
      </c>
      <c r="AN161" s="3"/>
      <c r="AO161" s="3"/>
      <c r="AP161" s="3"/>
      <c r="AQ161" s="3"/>
      <c r="AR161" s="3" t="s">
        <v>52</v>
      </c>
      <c r="AW161" s="8" t="s">
        <v>2278</v>
      </c>
    </row>
    <row r="162">
      <c r="A162" s="3">
        <v>568.0</v>
      </c>
      <c r="B162" s="3" t="s">
        <v>40</v>
      </c>
      <c r="C162" s="3" t="s">
        <v>1260</v>
      </c>
      <c r="D162" s="3">
        <v>2014.0</v>
      </c>
      <c r="E162" s="3" t="s">
        <v>1261</v>
      </c>
      <c r="F162" s="3" t="s">
        <v>137</v>
      </c>
      <c r="G162" s="3" t="s">
        <v>2272</v>
      </c>
      <c r="H162" s="3" t="s">
        <v>44</v>
      </c>
      <c r="I162" s="3" t="s">
        <v>2147</v>
      </c>
      <c r="J162" s="3" t="s">
        <v>45</v>
      </c>
      <c r="L162" s="3" t="s">
        <v>2148</v>
      </c>
      <c r="M162" s="3" t="s">
        <v>138</v>
      </c>
      <c r="S162" s="9" t="str">
        <f t="array" ref="S162">"[" &amp; TEXTJOIN(", ", TRUE, IF(LEN(T162:AB162), CHAR(34)&amp;T162:AB162&amp;CHAR(34), )) &amp; "]"
</f>
        <v>["Viral/prion-induced diseases"]</v>
      </c>
      <c r="T162" s="3" t="s">
        <v>385</v>
      </c>
      <c r="U162" s="3"/>
      <c r="V162" s="3"/>
      <c r="AC162" s="3" t="s">
        <v>385</v>
      </c>
      <c r="AL162" s="9" t="str">
        <f t="array" ref="AL162">"[" &amp; TEXTJOIN(", ", TRUE, IF(LEN(AM162:AQ162), CHAR(34)&amp;AM162:AQ162&amp;CHAR(34), )) &amp; "]"
</f>
        <v>["Invasive &amp; other problematic species, genes &amp; diseases"]</v>
      </c>
      <c r="AM162" s="3" t="s">
        <v>54</v>
      </c>
      <c r="AN162" s="3"/>
      <c r="AO162" s="3"/>
      <c r="AP162" s="3"/>
      <c r="AQ162" s="3"/>
      <c r="AR162" s="3" t="s">
        <v>54</v>
      </c>
      <c r="AW162" s="8" t="s">
        <v>2279</v>
      </c>
    </row>
    <row r="163">
      <c r="A163" s="3">
        <v>597.0</v>
      </c>
      <c r="B163" s="3" t="s">
        <v>40</v>
      </c>
      <c r="C163" s="3" t="s">
        <v>1319</v>
      </c>
      <c r="D163" s="3">
        <v>2018.0</v>
      </c>
      <c r="E163" s="3" t="s">
        <v>1320</v>
      </c>
      <c r="F163" s="3" t="s">
        <v>137</v>
      </c>
      <c r="G163" s="3" t="s">
        <v>2272</v>
      </c>
      <c r="H163" s="3" t="s">
        <v>44</v>
      </c>
      <c r="I163" s="3" t="s">
        <v>2147</v>
      </c>
      <c r="J163" s="3" t="s">
        <v>45</v>
      </c>
      <c r="L163" s="3" t="s">
        <v>2148</v>
      </c>
      <c r="M163" s="3" t="s">
        <v>138</v>
      </c>
      <c r="S163" s="9" t="str">
        <f t="array" ref="S163">"[" &amp; TEXTJOIN(", ", TRUE, IF(LEN(T163:AB163), CHAR(34)&amp;T163:AB163&amp;CHAR(34), )) &amp; "]"
</f>
        <v>["Viral/prion-induced diseases"]</v>
      </c>
      <c r="T163" s="3" t="s">
        <v>385</v>
      </c>
      <c r="U163" s="3"/>
      <c r="V163" s="3"/>
      <c r="AC163" s="3" t="s">
        <v>385</v>
      </c>
      <c r="AL163" s="9" t="str">
        <f t="array" ref="AL163">"[" &amp; TEXTJOIN(", ", TRUE, IF(LEN(AM163:AQ163), CHAR(34)&amp;AM163:AQ163&amp;CHAR(34), )) &amp; "]"
</f>
        <v>["Invasive &amp; other problematic species, genes &amp; diseases"]</v>
      </c>
      <c r="AM163" s="3" t="s">
        <v>54</v>
      </c>
      <c r="AN163" s="3"/>
      <c r="AO163" s="3"/>
      <c r="AP163" s="3"/>
      <c r="AQ163" s="3"/>
      <c r="AR163" s="3" t="s">
        <v>54</v>
      </c>
      <c r="AW163" s="8" t="s">
        <v>2280</v>
      </c>
    </row>
    <row r="164">
      <c r="A164" s="3">
        <v>643.0</v>
      </c>
      <c r="B164" s="3" t="s">
        <v>40</v>
      </c>
      <c r="C164" s="3" t="s">
        <v>1400</v>
      </c>
      <c r="D164" s="3">
        <v>2003.0</v>
      </c>
      <c r="E164" s="3" t="s">
        <v>1401</v>
      </c>
      <c r="F164" s="3" t="s">
        <v>137</v>
      </c>
      <c r="G164" s="3" t="s">
        <v>2272</v>
      </c>
      <c r="H164" s="3" t="s">
        <v>44</v>
      </c>
      <c r="I164" s="3" t="s">
        <v>2147</v>
      </c>
      <c r="J164" s="3" t="s">
        <v>45</v>
      </c>
      <c r="L164" s="3" t="s">
        <v>2148</v>
      </c>
      <c r="M164" s="3" t="s">
        <v>138</v>
      </c>
      <c r="S164" s="9"/>
      <c r="U164" s="3"/>
      <c r="V164" s="3"/>
      <c r="AC164" s="3" t="s">
        <v>134</v>
      </c>
      <c r="AL164" s="9" t="str">
        <f t="array" ref="AL164">"[" &amp; TEXTJOIN(", ", TRUE, IF(LEN(AM164:AQ164), CHAR(34)&amp;AM164:AQ164&amp;CHAR(34), )) &amp; "]"
</f>
        <v>["Natural system modifications"]</v>
      </c>
      <c r="AM164" s="3" t="s">
        <v>53</v>
      </c>
      <c r="AN164" s="3"/>
      <c r="AO164" s="3"/>
      <c r="AP164" s="3"/>
      <c r="AQ164" s="3"/>
      <c r="AR164" s="3" t="s">
        <v>53</v>
      </c>
      <c r="AW164" s="8" t="s">
        <v>2281</v>
      </c>
    </row>
    <row r="165" hidden="1">
      <c r="A165" s="3">
        <v>978.0</v>
      </c>
      <c r="B165" s="3" t="s">
        <v>40</v>
      </c>
      <c r="C165" s="3" t="s">
        <v>2062</v>
      </c>
      <c r="D165" s="3">
        <v>2009.0</v>
      </c>
      <c r="E165" s="3" t="s">
        <v>2063</v>
      </c>
      <c r="F165" s="3" t="s">
        <v>137</v>
      </c>
      <c r="G165" s="3"/>
      <c r="H165" s="3" t="s">
        <v>44</v>
      </c>
      <c r="I165" s="3"/>
      <c r="J165" s="3" t="s">
        <v>45</v>
      </c>
      <c r="K165" s="3"/>
      <c r="L165" s="3"/>
      <c r="M165" s="3" t="s">
        <v>138</v>
      </c>
      <c r="S165" s="3"/>
      <c r="T165" s="3"/>
      <c r="U165" s="3"/>
      <c r="V165" s="3"/>
      <c r="AC165" s="3" t="s">
        <v>63</v>
      </c>
      <c r="AL165" s="3"/>
      <c r="AM165" s="3"/>
      <c r="AN165" s="3"/>
      <c r="AO165" s="3"/>
      <c r="AP165" s="3"/>
      <c r="AQ165" s="3"/>
      <c r="AR165" s="3" t="s">
        <v>65</v>
      </c>
    </row>
    <row r="166">
      <c r="A166" s="3">
        <v>82.0</v>
      </c>
      <c r="B166" s="3" t="s">
        <v>40</v>
      </c>
      <c r="C166" s="3" t="s">
        <v>324</v>
      </c>
      <c r="D166" s="3">
        <v>2017.0</v>
      </c>
      <c r="E166" s="3" t="s">
        <v>325</v>
      </c>
      <c r="F166" s="3" t="s">
        <v>100</v>
      </c>
      <c r="G166" s="3" t="s">
        <v>2282</v>
      </c>
      <c r="H166" s="3" t="s">
        <v>101</v>
      </c>
      <c r="I166" s="3" t="s">
        <v>2283</v>
      </c>
      <c r="J166" s="3" t="s">
        <v>102</v>
      </c>
      <c r="L166" s="3" t="s">
        <v>2284</v>
      </c>
      <c r="M166" s="3" t="s">
        <v>104</v>
      </c>
      <c r="S166" s="9" t="str">
        <f t="array" ref="S166">"[" &amp; TEXTJOIN(", ", TRUE, IF(LEN(T166:AB166), CHAR(34)&amp;T166:AB166&amp;CHAR(34), )) &amp; "]"
</f>
        <v>["Hunting &amp; Collecting Terrestrial Animals", "Habitat shifting &amp; alteration", "Housing &amp; urban areas"]</v>
      </c>
      <c r="T166" s="3" t="s">
        <v>2138</v>
      </c>
      <c r="U166" s="3"/>
      <c r="V166" s="3"/>
      <c r="W166" s="3" t="s">
        <v>117</v>
      </c>
      <c r="Y166" s="3" t="s">
        <v>70</v>
      </c>
      <c r="AC166" s="3" t="s">
        <v>61</v>
      </c>
      <c r="AF166" s="3" t="s">
        <v>117</v>
      </c>
      <c r="AH166" s="3" t="s">
        <v>70</v>
      </c>
      <c r="AL166" s="9" t="str">
        <f t="array" ref="AL166">"[" &amp; TEXTJOIN(", ", TRUE, IF(LEN(AM166:AQ166), CHAR(34)&amp;AM166:AQ166&amp;CHAR(34), )) &amp; "]"
</f>
        <v>["Biological resource use", "Climate change &amp; severe weather", "Residential &amp; commercial development"]</v>
      </c>
      <c r="AM166" s="3" t="s">
        <v>52</v>
      </c>
      <c r="AN166" s="3" t="s">
        <v>118</v>
      </c>
      <c r="AO166" s="3" t="s">
        <v>71</v>
      </c>
      <c r="AP166" s="3"/>
      <c r="AQ166" s="3"/>
      <c r="AR166" s="3" t="s">
        <v>52</v>
      </c>
      <c r="AS166" s="3" t="s">
        <v>118</v>
      </c>
      <c r="AT166" s="3" t="s">
        <v>71</v>
      </c>
      <c r="AW166" s="8" t="s">
        <v>2285</v>
      </c>
    </row>
    <row r="167">
      <c r="A167" s="3">
        <v>204.0</v>
      </c>
      <c r="B167" s="3" t="s">
        <v>40</v>
      </c>
      <c r="C167" s="3" t="s">
        <v>576</v>
      </c>
      <c r="D167" s="3">
        <v>2007.0</v>
      </c>
      <c r="E167" s="3" t="s">
        <v>577</v>
      </c>
      <c r="F167" s="3" t="s">
        <v>100</v>
      </c>
      <c r="G167" s="3" t="s">
        <v>2282</v>
      </c>
      <c r="H167" s="3" t="s">
        <v>101</v>
      </c>
      <c r="I167" s="3" t="s">
        <v>2283</v>
      </c>
      <c r="J167" s="3" t="s">
        <v>102</v>
      </c>
      <c r="L167" s="3" t="s">
        <v>2218</v>
      </c>
      <c r="M167" s="3" t="s">
        <v>254</v>
      </c>
      <c r="S167" s="9" t="str">
        <f t="array" ref="S167">"[" &amp; TEXTJOIN(", ", TRUE, IF(LEN(T167:AB167), CHAR(34)&amp;T167:AB167&amp;CHAR(34), )) &amp; "]"
</f>
        <v>["Logging &amp; Wood Harvesting", "Hunting &amp; Collecting Terrestrial Animals", "Housing &amp; urban areas", "Roads &amp; railroads", "Fire &amp; fire suppression"]</v>
      </c>
      <c r="T167" s="3" t="s">
        <v>2139</v>
      </c>
      <c r="U167" s="3" t="s">
        <v>2138</v>
      </c>
      <c r="V167" s="3"/>
      <c r="W167" s="3" t="s">
        <v>70</v>
      </c>
      <c r="Y167" s="3" t="s">
        <v>63</v>
      </c>
      <c r="AA167" s="3" t="s">
        <v>250</v>
      </c>
      <c r="AC167" s="3" t="s">
        <v>48</v>
      </c>
      <c r="AD167" s="3" t="s">
        <v>61</v>
      </c>
      <c r="AF167" s="3" t="s">
        <v>70</v>
      </c>
      <c r="AH167" s="3" t="s">
        <v>63</v>
      </c>
      <c r="AJ167" s="3" t="s">
        <v>250</v>
      </c>
      <c r="AL167" s="9" t="str">
        <f t="array" ref="AL167">"[" &amp; TEXTJOIN(", ", TRUE, IF(LEN(AM167:AQ167), CHAR(34)&amp;AM167:AQ167&amp;CHAR(34), )) &amp; "]"
</f>
        <v>["Biological resource use", "Residential &amp; commercial development", "Transportation &amp; service corridors", "Natural system modifications"]</v>
      </c>
      <c r="AM167" s="3" t="s">
        <v>52</v>
      </c>
      <c r="AN167" s="3" t="s">
        <v>71</v>
      </c>
      <c r="AO167" s="3" t="s">
        <v>65</v>
      </c>
      <c r="AP167" s="3" t="s">
        <v>53</v>
      </c>
      <c r="AQ167" s="3"/>
      <c r="AR167" s="3" t="s">
        <v>52</v>
      </c>
      <c r="AS167" s="3" t="s">
        <v>71</v>
      </c>
      <c r="AT167" s="3" t="s">
        <v>65</v>
      </c>
      <c r="AU167" s="3" t="s">
        <v>53</v>
      </c>
      <c r="AW167" s="8" t="s">
        <v>2286</v>
      </c>
    </row>
    <row r="168">
      <c r="A168" s="3">
        <v>71.0</v>
      </c>
      <c r="B168" s="3" t="s">
        <v>40</v>
      </c>
      <c r="C168" s="3" t="s">
        <v>291</v>
      </c>
      <c r="D168" s="3">
        <v>2010.0</v>
      </c>
      <c r="E168" s="3" t="s">
        <v>292</v>
      </c>
      <c r="F168" s="3" t="s">
        <v>100</v>
      </c>
      <c r="G168" s="3" t="s">
        <v>2282</v>
      </c>
      <c r="H168" s="3" t="s">
        <v>101</v>
      </c>
      <c r="I168" s="3" t="s">
        <v>2283</v>
      </c>
      <c r="J168" s="3" t="s">
        <v>102</v>
      </c>
      <c r="L168" s="3" t="s">
        <v>2287</v>
      </c>
      <c r="M168" s="3" t="s">
        <v>69</v>
      </c>
      <c r="N168" s="3" t="s">
        <v>96</v>
      </c>
      <c r="O168" s="3" t="s">
        <v>285</v>
      </c>
      <c r="S168" s="9" t="str">
        <f t="array" ref="S168">"[" &amp; TEXTJOIN(", ", TRUE, IF(LEN(T168:AB168), CHAR(34)&amp;T168:AB168&amp;CHAR(34), )) &amp; "]"
</f>
        <v>["Hunting &amp; Collecting Terrestrial Animals", "Logging &amp; Wood Harvesting", "Wood &amp; pulp plantations"]</v>
      </c>
      <c r="T168" s="3" t="s">
        <v>2138</v>
      </c>
      <c r="U168" s="3" t="s">
        <v>2139</v>
      </c>
      <c r="V168" s="3"/>
      <c r="W168" s="3" t="s">
        <v>97</v>
      </c>
      <c r="AC168" s="3" t="s">
        <v>61</v>
      </c>
      <c r="AD168" s="3" t="s">
        <v>48</v>
      </c>
      <c r="AF168" s="3" t="s">
        <v>97</v>
      </c>
      <c r="AL168" s="9" t="str">
        <f t="array" ref="AL168">"[" &amp; TEXTJOIN(", ", TRUE, IF(LEN(AM168:AQ168), CHAR(34)&amp;AM168:AQ168&amp;CHAR(34), )) &amp; "]"
</f>
        <v>["Biological resource use", "Agriculture &amp; aquaculture"]</v>
      </c>
      <c r="AM168" s="3" t="s">
        <v>52</v>
      </c>
      <c r="AN168" s="3" t="s">
        <v>51</v>
      </c>
      <c r="AO168" s="3"/>
      <c r="AP168" s="3"/>
      <c r="AQ168" s="3"/>
      <c r="AR168" s="3" t="s">
        <v>52</v>
      </c>
      <c r="AS168" s="3" t="s">
        <v>51</v>
      </c>
      <c r="AW168" s="8" t="s">
        <v>2288</v>
      </c>
    </row>
    <row r="169">
      <c r="A169" s="3">
        <v>9.0</v>
      </c>
      <c r="B169" s="3" t="s">
        <v>40</v>
      </c>
      <c r="C169" s="3" t="s">
        <v>98</v>
      </c>
      <c r="D169" s="3">
        <v>2011.0</v>
      </c>
      <c r="E169" s="3" t="s">
        <v>99</v>
      </c>
      <c r="F169" s="3" t="s">
        <v>100</v>
      </c>
      <c r="G169" s="3" t="s">
        <v>2282</v>
      </c>
      <c r="H169" s="3" t="s">
        <v>101</v>
      </c>
      <c r="I169" s="3" t="s">
        <v>2283</v>
      </c>
      <c r="J169" s="3" t="s">
        <v>102</v>
      </c>
      <c r="L169" s="3" t="s">
        <v>2289</v>
      </c>
      <c r="M169" s="3" t="s">
        <v>103</v>
      </c>
      <c r="N169" s="3" t="s">
        <v>104</v>
      </c>
      <c r="O169" s="3" t="s">
        <v>105</v>
      </c>
      <c r="S169" s="9" t="str">
        <f t="array" ref="S169">"[" &amp; TEXTJOIN(", ", TRUE, IF(LEN(T169:AB169), CHAR(34)&amp;T169:AB169&amp;CHAR(34), )) &amp; "]"
</f>
        <v>["Wood &amp; pulp plantations", "Logging &amp; wood harvesting"]</v>
      </c>
      <c r="T169" s="3" t="s">
        <v>97</v>
      </c>
      <c r="U169" s="3"/>
      <c r="V169" s="3"/>
      <c r="W169" s="3" t="s">
        <v>2188</v>
      </c>
      <c r="AC169" s="3" t="s">
        <v>97</v>
      </c>
      <c r="AF169" s="3" t="s">
        <v>48</v>
      </c>
      <c r="AL169" s="9" t="str">
        <f t="array" ref="AL169">"[" &amp; TEXTJOIN(", ", TRUE, IF(LEN(AM169:AQ169), CHAR(34)&amp;AM169:AQ169&amp;CHAR(34), )) &amp; "]"
</f>
        <v>["Agriculture &amp; aquaculture", "Biological resource use"]</v>
      </c>
      <c r="AM169" s="3" t="s">
        <v>51</v>
      </c>
      <c r="AN169" s="3" t="s">
        <v>52</v>
      </c>
      <c r="AO169" s="3"/>
      <c r="AP169" s="3"/>
      <c r="AQ169" s="3"/>
      <c r="AR169" s="3" t="s">
        <v>51</v>
      </c>
      <c r="AS169" s="3" t="s">
        <v>52</v>
      </c>
      <c r="AW169" s="8" t="s">
        <v>2290</v>
      </c>
    </row>
    <row r="170" hidden="1">
      <c r="A170" s="3">
        <v>200.0</v>
      </c>
      <c r="B170" s="3" t="s">
        <v>72</v>
      </c>
      <c r="C170" s="3" t="s">
        <v>568</v>
      </c>
      <c r="D170" s="3">
        <v>2001.0</v>
      </c>
      <c r="E170" s="3" t="s">
        <v>569</v>
      </c>
      <c r="F170" s="3" t="s">
        <v>100</v>
      </c>
      <c r="G170" s="3"/>
      <c r="H170" s="3" t="s">
        <v>101</v>
      </c>
      <c r="I170" s="3"/>
      <c r="J170" s="3" t="s">
        <v>102</v>
      </c>
      <c r="K170" s="3"/>
      <c r="L170" s="3"/>
      <c r="M170" s="3" t="s">
        <v>254</v>
      </c>
      <c r="S170" s="3"/>
      <c r="T170" s="3"/>
      <c r="U170" s="3"/>
      <c r="V170" s="3"/>
      <c r="W170" s="3"/>
      <c r="X170" s="3"/>
      <c r="Y170" s="3"/>
      <c r="Z170" s="3"/>
      <c r="AC170" s="3" t="s">
        <v>61</v>
      </c>
      <c r="AF170" s="3" t="s">
        <v>87</v>
      </c>
      <c r="AH170" s="3" t="s">
        <v>87</v>
      </c>
      <c r="AL170" s="3"/>
      <c r="AM170" s="3"/>
      <c r="AN170" s="3"/>
      <c r="AO170" s="3"/>
      <c r="AP170" s="3"/>
      <c r="AQ170" s="3"/>
      <c r="AR170" s="3" t="s">
        <v>52</v>
      </c>
      <c r="AS170" s="3" t="s">
        <v>71</v>
      </c>
      <c r="AT170" s="3" t="s">
        <v>51</v>
      </c>
      <c r="AW170" s="8" t="s">
        <v>2135</v>
      </c>
    </row>
    <row r="171">
      <c r="A171" s="3">
        <v>326.0</v>
      </c>
      <c r="B171" s="3" t="s">
        <v>40</v>
      </c>
      <c r="C171" s="3" t="s">
        <v>820</v>
      </c>
      <c r="D171" s="3">
        <v>2015.0</v>
      </c>
      <c r="E171" s="3" t="s">
        <v>821</v>
      </c>
      <c r="F171" s="3" t="s">
        <v>100</v>
      </c>
      <c r="G171" s="3" t="s">
        <v>2282</v>
      </c>
      <c r="H171" s="3" t="s">
        <v>101</v>
      </c>
      <c r="I171" s="3" t="s">
        <v>2283</v>
      </c>
      <c r="J171" s="3" t="s">
        <v>102</v>
      </c>
      <c r="L171" s="3" t="s">
        <v>2291</v>
      </c>
      <c r="M171" s="3" t="s">
        <v>768</v>
      </c>
      <c r="S171" s="9" t="str">
        <f t="array" ref="S171">"[" &amp; TEXTJOIN(", ", TRUE, IF(LEN(T171:AB171), CHAR(34)&amp;T171:AB171&amp;CHAR(34), )) &amp; "]"
</f>
        <v>["Hunting &amp; Collecting Terrestrial Animals"]</v>
      </c>
      <c r="T171" s="3" t="s">
        <v>2138</v>
      </c>
      <c r="U171" s="3"/>
      <c r="V171" s="3"/>
      <c r="AC171" s="3" t="s">
        <v>61</v>
      </c>
      <c r="AL171" s="9" t="str">
        <f t="array" ref="AL171">"[" &amp; TEXTJOIN(", ", TRUE, IF(LEN(AM171:AQ171), CHAR(34)&amp;AM171:AQ171&amp;CHAR(34), )) &amp; "]"
</f>
        <v>["Biological resource use"]</v>
      </c>
      <c r="AM171" s="3" t="s">
        <v>52</v>
      </c>
      <c r="AN171" s="3"/>
      <c r="AO171" s="3"/>
      <c r="AP171" s="3"/>
      <c r="AQ171" s="3"/>
      <c r="AR171" s="3" t="s">
        <v>52</v>
      </c>
      <c r="AW171" s="8" t="s">
        <v>2292</v>
      </c>
    </row>
    <row r="172">
      <c r="A172" s="3">
        <v>335.0</v>
      </c>
      <c r="B172" s="3" t="s">
        <v>40</v>
      </c>
      <c r="C172" s="3" t="s">
        <v>838</v>
      </c>
      <c r="D172" s="3">
        <v>2017.0</v>
      </c>
      <c r="E172" s="3" t="s">
        <v>839</v>
      </c>
      <c r="F172" s="3" t="s">
        <v>100</v>
      </c>
      <c r="G172" s="3" t="s">
        <v>2282</v>
      </c>
      <c r="H172" s="3" t="s">
        <v>101</v>
      </c>
      <c r="I172" s="3" t="s">
        <v>2283</v>
      </c>
      <c r="J172" s="3" t="s">
        <v>102</v>
      </c>
      <c r="L172" s="3" t="s">
        <v>2284</v>
      </c>
      <c r="M172" s="3" t="s">
        <v>104</v>
      </c>
      <c r="S172" s="9" t="str">
        <f t="array" ref="S172">"[" &amp; TEXTJOIN(", ", TRUE, IF(LEN(T172:AB172), CHAR(34)&amp;T172:AB172&amp;CHAR(34), )) &amp; "]"
</f>
        <v>["Hunting &amp; Collecting Terrestrial Animals"]</v>
      </c>
      <c r="T172" s="3" t="s">
        <v>2138</v>
      </c>
      <c r="U172" s="3"/>
      <c r="V172" s="3"/>
      <c r="AC172" s="3" t="s">
        <v>61</v>
      </c>
      <c r="AL172" s="9" t="str">
        <f t="array" ref="AL172">"[" &amp; TEXTJOIN(", ", TRUE, IF(LEN(AM172:AQ172), CHAR(34)&amp;AM172:AQ172&amp;CHAR(34), )) &amp; "]"
</f>
        <v>["Biological resource use"]</v>
      </c>
      <c r="AM172" s="3" t="s">
        <v>52</v>
      </c>
      <c r="AN172" s="3"/>
      <c r="AO172" s="3"/>
      <c r="AP172" s="3"/>
      <c r="AQ172" s="3"/>
      <c r="AR172" s="3" t="s">
        <v>52</v>
      </c>
      <c r="AW172" s="8" t="s">
        <v>2293</v>
      </c>
    </row>
    <row r="173">
      <c r="A173" s="3">
        <v>336.0</v>
      </c>
      <c r="B173" s="3" t="s">
        <v>40</v>
      </c>
      <c r="C173" s="3" t="s">
        <v>840</v>
      </c>
      <c r="D173" s="3">
        <v>2017.0</v>
      </c>
      <c r="E173" s="3" t="s">
        <v>841</v>
      </c>
      <c r="F173" s="3" t="s">
        <v>100</v>
      </c>
      <c r="G173" s="3" t="s">
        <v>2282</v>
      </c>
      <c r="H173" s="3" t="s">
        <v>101</v>
      </c>
      <c r="I173" s="3" t="s">
        <v>2283</v>
      </c>
      <c r="J173" s="3" t="s">
        <v>102</v>
      </c>
      <c r="L173" s="3" t="s">
        <v>2284</v>
      </c>
      <c r="M173" s="3" t="s">
        <v>104</v>
      </c>
      <c r="S173" s="9" t="str">
        <f t="array" ref="S173">"[" &amp; TEXTJOIN(", ", TRUE, IF(LEN(T173:AB173), CHAR(34)&amp;T173:AB173&amp;CHAR(34), )) &amp; "]"
</f>
        <v>["Hunting &amp; Collecting Terrestrial Animals"]</v>
      </c>
      <c r="T173" s="3" t="s">
        <v>2138</v>
      </c>
      <c r="U173" s="3"/>
      <c r="V173" s="3"/>
      <c r="AC173" s="3" t="s">
        <v>61</v>
      </c>
      <c r="AL173" s="9" t="str">
        <f t="array" ref="AL173">"[" &amp; TEXTJOIN(", ", TRUE, IF(LEN(AM173:AQ173), CHAR(34)&amp;AM173:AQ173&amp;CHAR(34), )) &amp; "]"
</f>
        <v>["Biological resource use"]</v>
      </c>
      <c r="AM173" s="3" t="s">
        <v>52</v>
      </c>
      <c r="AN173" s="3"/>
      <c r="AO173" s="3"/>
      <c r="AP173" s="3"/>
      <c r="AQ173" s="3"/>
      <c r="AR173" s="3" t="s">
        <v>52</v>
      </c>
      <c r="AW173" s="8" t="s">
        <v>2294</v>
      </c>
    </row>
    <row r="174">
      <c r="A174" s="3">
        <v>343.0</v>
      </c>
      <c r="B174" s="3" t="s">
        <v>40</v>
      </c>
      <c r="C174" s="3" t="s">
        <v>854</v>
      </c>
      <c r="D174" s="3">
        <v>2018.0</v>
      </c>
      <c r="E174" s="3" t="s">
        <v>855</v>
      </c>
      <c r="F174" s="3" t="s">
        <v>100</v>
      </c>
      <c r="G174" s="3" t="s">
        <v>2282</v>
      </c>
      <c r="H174" s="3" t="s">
        <v>101</v>
      </c>
      <c r="I174" s="3" t="s">
        <v>2283</v>
      </c>
      <c r="J174" s="3" t="s">
        <v>102</v>
      </c>
      <c r="L174" s="3" t="s">
        <v>2295</v>
      </c>
      <c r="M174" s="3" t="s">
        <v>205</v>
      </c>
      <c r="N174" s="3" t="s">
        <v>155</v>
      </c>
      <c r="O174" s="3" t="s">
        <v>110</v>
      </c>
      <c r="S174" s="9" t="str">
        <f t="array" ref="S174">"[" &amp; TEXTJOIN(", ", TRUE, IF(LEN(T174:AB174), CHAR(34)&amp;T174:AB174&amp;CHAR(34), )) &amp; "]"
</f>
        <v>["Hunting &amp; Collecting Terrestrial Animals"]</v>
      </c>
      <c r="T174" s="3" t="s">
        <v>2138</v>
      </c>
      <c r="U174" s="3"/>
      <c r="V174" s="3"/>
      <c r="AC174" s="3" t="s">
        <v>61</v>
      </c>
      <c r="AL174" s="9" t="str">
        <f t="array" ref="AL174">"[" &amp; TEXTJOIN(", ", TRUE, IF(LEN(AM174:AQ174), CHAR(34)&amp;AM174:AQ174&amp;CHAR(34), )) &amp; "]"
</f>
        <v>["Biological resource use"]</v>
      </c>
      <c r="AM174" s="3" t="s">
        <v>52</v>
      </c>
      <c r="AN174" s="3"/>
      <c r="AO174" s="3"/>
      <c r="AP174" s="3"/>
      <c r="AQ174" s="3"/>
      <c r="AR174" s="3" t="s">
        <v>52</v>
      </c>
      <c r="AW174" s="8" t="s">
        <v>2296</v>
      </c>
    </row>
    <row r="175">
      <c r="A175" s="3">
        <v>347.0</v>
      </c>
      <c r="B175" s="3" t="s">
        <v>40</v>
      </c>
      <c r="C175" s="3" t="s">
        <v>862</v>
      </c>
      <c r="D175" s="3">
        <v>2018.0</v>
      </c>
      <c r="E175" s="3" t="s">
        <v>863</v>
      </c>
      <c r="F175" s="3" t="s">
        <v>100</v>
      </c>
      <c r="G175" s="3" t="s">
        <v>2282</v>
      </c>
      <c r="H175" s="3" t="s">
        <v>101</v>
      </c>
      <c r="I175" s="3" t="s">
        <v>2283</v>
      </c>
      <c r="J175" s="3" t="s">
        <v>102</v>
      </c>
      <c r="L175" s="3" t="s">
        <v>2297</v>
      </c>
      <c r="M175" s="3" t="s">
        <v>110</v>
      </c>
      <c r="N175" s="3" t="s">
        <v>155</v>
      </c>
      <c r="O175" s="3" t="s">
        <v>205</v>
      </c>
      <c r="S175" s="9" t="str">
        <f t="array" ref="S175">"[" &amp; TEXTJOIN(", ", TRUE, IF(LEN(T175:AB175), CHAR(34)&amp;T175:AB175&amp;CHAR(34), )) &amp; "]"
</f>
        <v>["Hunting &amp; Collecting Terrestrial Animals"]</v>
      </c>
      <c r="T175" s="3" t="s">
        <v>2138</v>
      </c>
      <c r="U175" s="3"/>
      <c r="V175" s="3"/>
      <c r="AC175" s="3" t="s">
        <v>61</v>
      </c>
      <c r="AL175" s="9" t="str">
        <f t="array" ref="AL175">"[" &amp; TEXTJOIN(", ", TRUE, IF(LEN(AM175:AQ175), CHAR(34)&amp;AM175:AQ175&amp;CHAR(34), )) &amp; "]"
</f>
        <v>["Biological resource use"]</v>
      </c>
      <c r="AM175" s="3" t="s">
        <v>52</v>
      </c>
      <c r="AN175" s="3"/>
      <c r="AO175" s="3"/>
      <c r="AP175" s="3"/>
      <c r="AQ175" s="3"/>
      <c r="AR175" s="3" t="s">
        <v>52</v>
      </c>
      <c r="AW175" s="8" t="s">
        <v>2298</v>
      </c>
    </row>
    <row r="176">
      <c r="A176" s="3">
        <v>52.0</v>
      </c>
      <c r="B176" s="3" t="s">
        <v>40</v>
      </c>
      <c r="C176" s="3" t="s">
        <v>236</v>
      </c>
      <c r="D176" s="3">
        <v>2015.0</v>
      </c>
      <c r="E176" s="3" t="s">
        <v>237</v>
      </c>
      <c r="F176" s="3" t="s">
        <v>220</v>
      </c>
      <c r="G176" s="3" t="s">
        <v>2299</v>
      </c>
      <c r="H176" s="3" t="s">
        <v>44</v>
      </c>
      <c r="I176" s="3" t="s">
        <v>2147</v>
      </c>
      <c r="J176" s="3" t="s">
        <v>45</v>
      </c>
      <c r="L176" s="3" t="s">
        <v>2186</v>
      </c>
      <c r="M176" s="3" t="s">
        <v>46</v>
      </c>
      <c r="S176" s="9" t="str">
        <f t="array" ref="S176">"[" &amp; TEXTJOIN(", ", TRUE, IF(LEN(T176:AB176), CHAR(34)&amp;T176:AB176&amp;CHAR(34), )) &amp; "]"
</f>
        <v>["Hunting &amp; Collecting Terrestrial Animals", "Livestock farming &amp; ranching", "Mining &amp; quarrying"]</v>
      </c>
      <c r="T176" s="3" t="s">
        <v>2138</v>
      </c>
      <c r="U176" s="3"/>
      <c r="V176" s="3"/>
      <c r="W176" s="3" t="s">
        <v>47</v>
      </c>
      <c r="Y176" s="3" t="s">
        <v>238</v>
      </c>
      <c r="AC176" s="3" t="s">
        <v>61</v>
      </c>
      <c r="AF176" s="3" t="s">
        <v>47</v>
      </c>
      <c r="AH176" s="3" t="s">
        <v>238</v>
      </c>
      <c r="AL176" s="9" t="str">
        <f t="array" ref="AL176">"[" &amp; TEXTJOIN(", ", TRUE, IF(LEN(AM176:AQ176), CHAR(34)&amp;AM176:AQ176&amp;CHAR(34), )) &amp; "]"
</f>
        <v>["Biological resource use", "Agriculture &amp; aquaculture", "Energy production &amp; mining"]</v>
      </c>
      <c r="AM176" s="3" t="s">
        <v>52</v>
      </c>
      <c r="AN176" s="3" t="s">
        <v>51</v>
      </c>
      <c r="AO176" s="3" t="s">
        <v>235</v>
      </c>
      <c r="AP176" s="3"/>
      <c r="AQ176" s="3"/>
      <c r="AR176" s="3" t="s">
        <v>52</v>
      </c>
      <c r="AS176" s="3" t="s">
        <v>51</v>
      </c>
      <c r="AT176" s="3" t="s">
        <v>235</v>
      </c>
      <c r="AW176" s="8" t="s">
        <v>2300</v>
      </c>
    </row>
    <row r="177" hidden="1">
      <c r="A177" s="3">
        <v>953.0</v>
      </c>
      <c r="B177" s="3" t="s">
        <v>40</v>
      </c>
      <c r="C177" s="3" t="s">
        <v>2013</v>
      </c>
      <c r="D177" s="3">
        <v>2017.0</v>
      </c>
      <c r="E177" s="3" t="s">
        <v>2014</v>
      </c>
      <c r="F177" s="3" t="s">
        <v>100</v>
      </c>
      <c r="G177" s="3"/>
      <c r="H177" s="3" t="s">
        <v>101</v>
      </c>
      <c r="I177" s="3"/>
      <c r="J177" s="3" t="s">
        <v>102</v>
      </c>
      <c r="K177" s="3"/>
      <c r="L177" s="3"/>
      <c r="M177" s="3" t="s">
        <v>254</v>
      </c>
      <c r="S177" s="3"/>
      <c r="T177" s="3"/>
      <c r="U177" s="3"/>
      <c r="V177" s="3"/>
      <c r="W177" s="3"/>
      <c r="X177" s="3"/>
      <c r="Y177" s="3"/>
      <c r="Z177" s="3"/>
      <c r="AC177" s="3" t="s">
        <v>63</v>
      </c>
      <c r="AF177" s="3" t="s">
        <v>61</v>
      </c>
      <c r="AG177" s="3" t="s">
        <v>48</v>
      </c>
      <c r="AH177" s="3" t="s">
        <v>70</v>
      </c>
      <c r="AL177" s="3"/>
      <c r="AM177" s="3"/>
      <c r="AN177" s="3"/>
      <c r="AO177" s="3"/>
      <c r="AP177" s="3"/>
      <c r="AQ177" s="3"/>
      <c r="AR177" s="3" t="s">
        <v>65</v>
      </c>
      <c r="AS177" s="3" t="s">
        <v>52</v>
      </c>
      <c r="AT177" s="3" t="s">
        <v>71</v>
      </c>
    </row>
    <row r="178" hidden="1">
      <c r="A178" s="3">
        <v>46.0</v>
      </c>
      <c r="B178" s="3" t="s">
        <v>106</v>
      </c>
      <c r="C178" s="3" t="s">
        <v>218</v>
      </c>
      <c r="D178" s="3">
        <v>1999.0</v>
      </c>
      <c r="E178" s="3" t="s">
        <v>219</v>
      </c>
      <c r="F178" s="3" t="s">
        <v>220</v>
      </c>
      <c r="G178" s="3"/>
      <c r="H178" s="3" t="s">
        <v>44</v>
      </c>
      <c r="I178" s="3"/>
      <c r="K178" s="3"/>
      <c r="L178" s="3"/>
      <c r="M178" s="3" t="s">
        <v>46</v>
      </c>
      <c r="S178" s="3"/>
      <c r="T178" s="3"/>
      <c r="U178" s="3"/>
      <c r="V178" s="3"/>
      <c r="AC178" s="3" t="s">
        <v>111</v>
      </c>
      <c r="AL178" s="3"/>
      <c r="AM178" s="3"/>
      <c r="AN178" s="3"/>
      <c r="AO178" s="3"/>
      <c r="AP178" s="3"/>
      <c r="AQ178" s="3"/>
      <c r="AR178" s="3" t="s">
        <v>51</v>
      </c>
      <c r="AW178" s="8" t="s">
        <v>2135</v>
      </c>
    </row>
    <row r="179">
      <c r="A179" s="3">
        <v>655.0</v>
      </c>
      <c r="B179" s="3" t="s">
        <v>40</v>
      </c>
      <c r="C179" s="3" t="s">
        <v>1423</v>
      </c>
      <c r="D179" s="3">
        <v>2017.0</v>
      </c>
      <c r="E179" s="3" t="s">
        <v>1424</v>
      </c>
      <c r="F179" s="3" t="s">
        <v>892</v>
      </c>
      <c r="G179" s="3" t="s">
        <v>2301</v>
      </c>
      <c r="H179" s="3" t="s">
        <v>44</v>
      </c>
      <c r="I179" s="3" t="s">
        <v>2147</v>
      </c>
      <c r="J179" s="3" t="s">
        <v>45</v>
      </c>
      <c r="L179" s="3" t="s">
        <v>2157</v>
      </c>
      <c r="M179" s="3" t="s">
        <v>485</v>
      </c>
      <c r="S179" s="9" t="str">
        <f t="array" ref="S179">"[" &amp; TEXTJOIN(", ", TRUE, IF(LEN(T179:AB179), CHAR(34)&amp;T179:AB179&amp;CHAR(34), )) &amp; "]"
</f>
        <v>["Dams &amp; water management/use"]</v>
      </c>
      <c r="T179" s="3" t="s">
        <v>49</v>
      </c>
      <c r="U179" s="3"/>
      <c r="V179" s="3"/>
      <c r="AC179" s="3" t="s">
        <v>49</v>
      </c>
      <c r="AL179" s="9" t="str">
        <f t="array" ref="AL179">"[" &amp; TEXTJOIN(", ", TRUE, IF(LEN(AM179:AQ179), CHAR(34)&amp;AM179:AQ179&amp;CHAR(34), )) &amp; "]"
</f>
        <v>["Natural system modifications"]</v>
      </c>
      <c r="AM179" s="3" t="s">
        <v>53</v>
      </c>
      <c r="AN179" s="3"/>
      <c r="AO179" s="3"/>
      <c r="AP179" s="3"/>
      <c r="AQ179" s="3"/>
      <c r="AR179" s="3" t="s">
        <v>53</v>
      </c>
      <c r="AW179" s="8" t="s">
        <v>2302</v>
      </c>
    </row>
    <row r="180" hidden="1">
      <c r="A180" s="3">
        <v>100.0</v>
      </c>
      <c r="B180" s="3" t="s">
        <v>106</v>
      </c>
      <c r="C180" s="3" t="s">
        <v>367</v>
      </c>
      <c r="D180" s="3">
        <v>2011.0</v>
      </c>
      <c r="E180" s="3" t="s">
        <v>2303</v>
      </c>
      <c r="F180" s="3" t="s">
        <v>220</v>
      </c>
      <c r="G180" s="3"/>
      <c r="H180" s="3" t="s">
        <v>44</v>
      </c>
      <c r="I180" s="3"/>
      <c r="K180" s="3"/>
      <c r="L180" s="3"/>
      <c r="M180" s="3" t="s">
        <v>46</v>
      </c>
      <c r="S180" s="3"/>
      <c r="T180" s="3"/>
      <c r="U180" s="3"/>
      <c r="V180" s="3"/>
      <c r="W180" s="3"/>
      <c r="X180" s="3"/>
      <c r="Y180" s="3"/>
      <c r="Z180" s="3"/>
      <c r="AC180" s="3" t="s">
        <v>61</v>
      </c>
      <c r="AF180" s="3" t="s">
        <v>162</v>
      </c>
      <c r="AH180" s="3" t="s">
        <v>147</v>
      </c>
      <c r="AK180" s="3" t="s">
        <v>111</v>
      </c>
      <c r="AL180" s="3"/>
      <c r="AM180" s="3"/>
      <c r="AN180" s="3"/>
      <c r="AO180" s="3"/>
      <c r="AP180" s="3"/>
      <c r="AQ180" s="3"/>
      <c r="AR180" s="3" t="s">
        <v>52</v>
      </c>
      <c r="AS180" s="3" t="s">
        <v>121</v>
      </c>
      <c r="AT180" s="3" t="s">
        <v>64</v>
      </c>
      <c r="AV180" s="3" t="s">
        <v>51</v>
      </c>
      <c r="AW180" s="8" t="s">
        <v>2135</v>
      </c>
    </row>
    <row r="181" hidden="1">
      <c r="A181" s="3">
        <v>365.0</v>
      </c>
      <c r="B181" s="3" t="s">
        <v>106</v>
      </c>
      <c r="C181" s="3" t="s">
        <v>902</v>
      </c>
      <c r="D181" s="3">
        <v>1999.0</v>
      </c>
      <c r="E181" s="3" t="s">
        <v>903</v>
      </c>
      <c r="F181" s="3" t="s">
        <v>220</v>
      </c>
      <c r="G181" s="3"/>
      <c r="H181" s="3" t="s">
        <v>44</v>
      </c>
      <c r="I181" s="3"/>
      <c r="K181" s="3"/>
      <c r="L181" s="3"/>
      <c r="M181" s="3" t="s">
        <v>46</v>
      </c>
      <c r="S181" s="3"/>
      <c r="T181" s="3"/>
      <c r="U181" s="3"/>
      <c r="V181" s="3"/>
      <c r="AC181" s="3" t="s">
        <v>61</v>
      </c>
      <c r="AL181" s="3"/>
      <c r="AM181" s="3"/>
      <c r="AN181" s="3"/>
      <c r="AO181" s="3"/>
      <c r="AP181" s="3"/>
      <c r="AQ181" s="3"/>
      <c r="AR181" s="3" t="s">
        <v>52</v>
      </c>
      <c r="AW181" s="8" t="s">
        <v>2135</v>
      </c>
    </row>
    <row r="182" hidden="1">
      <c r="A182" s="3">
        <v>370.0</v>
      </c>
      <c r="B182" s="3" t="s">
        <v>106</v>
      </c>
      <c r="D182" s="3">
        <v>2002.0</v>
      </c>
      <c r="E182" s="3" t="s">
        <v>909</v>
      </c>
      <c r="F182" s="3" t="s">
        <v>220</v>
      </c>
      <c r="G182" s="3"/>
      <c r="H182" s="3" t="s">
        <v>44</v>
      </c>
      <c r="I182" s="3"/>
      <c r="K182" s="3"/>
      <c r="L182" s="3"/>
      <c r="M182" s="3" t="s">
        <v>46</v>
      </c>
      <c r="S182" s="3"/>
      <c r="T182" s="3"/>
      <c r="U182" s="3"/>
      <c r="V182" s="3"/>
      <c r="AC182" s="3" t="s">
        <v>247</v>
      </c>
      <c r="AD182" s="3" t="s">
        <v>61</v>
      </c>
      <c r="AL182" s="3"/>
      <c r="AM182" s="3"/>
      <c r="AN182" s="3"/>
      <c r="AO182" s="3"/>
      <c r="AP182" s="3"/>
      <c r="AQ182" s="3"/>
      <c r="AR182" s="3" t="s">
        <v>52</v>
      </c>
      <c r="AW182" s="8" t="s">
        <v>2135</v>
      </c>
    </row>
    <row r="183" hidden="1">
      <c r="A183" s="3">
        <v>400.0</v>
      </c>
      <c r="B183" s="3" t="s">
        <v>55</v>
      </c>
      <c r="D183" s="3">
        <v>2011.0</v>
      </c>
      <c r="E183" s="3" t="s">
        <v>949</v>
      </c>
      <c r="F183" s="3" t="s">
        <v>220</v>
      </c>
      <c r="G183" s="3"/>
      <c r="H183" s="3" t="s">
        <v>44</v>
      </c>
      <c r="I183" s="3"/>
      <c r="J183" s="3" t="s">
        <v>45</v>
      </c>
      <c r="K183" s="3"/>
      <c r="L183" s="3"/>
      <c r="M183" s="3" t="s">
        <v>208</v>
      </c>
      <c r="N183" s="3" t="s">
        <v>445</v>
      </c>
      <c r="S183" s="3"/>
      <c r="T183" s="3"/>
      <c r="U183" s="3"/>
      <c r="V183" s="3"/>
      <c r="AC183" s="3" t="s">
        <v>61</v>
      </c>
      <c r="AL183" s="3"/>
      <c r="AM183" s="3"/>
      <c r="AN183" s="3"/>
      <c r="AO183" s="3"/>
      <c r="AP183" s="3"/>
      <c r="AQ183" s="3"/>
      <c r="AR183" s="3" t="s">
        <v>52</v>
      </c>
      <c r="AW183" s="8" t="s">
        <v>2135</v>
      </c>
    </row>
    <row r="184" hidden="1">
      <c r="A184" s="3">
        <v>419.0</v>
      </c>
      <c r="B184" s="3" t="s">
        <v>106</v>
      </c>
      <c r="D184" s="3">
        <v>2018.0</v>
      </c>
      <c r="E184" s="3" t="s">
        <v>972</v>
      </c>
      <c r="F184" s="3" t="s">
        <v>220</v>
      </c>
      <c r="G184" s="3"/>
      <c r="H184" s="3" t="s">
        <v>44</v>
      </c>
      <c r="I184" s="3"/>
      <c r="K184" s="3"/>
      <c r="L184" s="3"/>
      <c r="M184" s="3" t="s">
        <v>485</v>
      </c>
      <c r="S184" s="3"/>
      <c r="T184" s="3"/>
      <c r="U184" s="3"/>
      <c r="V184" s="3"/>
      <c r="AC184" s="3" t="s">
        <v>61</v>
      </c>
      <c r="AL184" s="3"/>
      <c r="AM184" s="3"/>
      <c r="AN184" s="3"/>
      <c r="AO184" s="3"/>
      <c r="AP184" s="3"/>
      <c r="AQ184" s="3"/>
      <c r="AR184" s="3" t="s">
        <v>52</v>
      </c>
      <c r="AW184" s="8" t="s">
        <v>2135</v>
      </c>
    </row>
    <row r="185" hidden="1">
      <c r="A185" s="3">
        <v>63.0</v>
      </c>
      <c r="B185" s="3" t="s">
        <v>55</v>
      </c>
      <c r="D185" s="3">
        <v>2009.0</v>
      </c>
      <c r="E185" s="3" t="s">
        <v>268</v>
      </c>
      <c r="F185" s="3" t="s">
        <v>269</v>
      </c>
      <c r="G185" s="3"/>
      <c r="H185" s="3" t="s">
        <v>44</v>
      </c>
      <c r="I185" s="3"/>
      <c r="J185" s="3" t="s">
        <v>45</v>
      </c>
      <c r="K185" s="3"/>
      <c r="L185" s="3"/>
      <c r="M185" s="3" t="s">
        <v>270</v>
      </c>
      <c r="S185" s="3"/>
      <c r="T185" s="3"/>
      <c r="U185" s="3"/>
      <c r="V185" s="3"/>
      <c r="W185" s="3"/>
      <c r="X185" s="3"/>
      <c r="Y185" s="3"/>
      <c r="Z185" s="3"/>
      <c r="AA185" s="3"/>
      <c r="AB185" s="3"/>
      <c r="AC185" s="3" t="s">
        <v>61</v>
      </c>
      <c r="AF185" s="3" t="s">
        <v>47</v>
      </c>
      <c r="AH185" s="3" t="s">
        <v>70</v>
      </c>
      <c r="AJ185" s="3" t="s">
        <v>147</v>
      </c>
      <c r="AK185" s="3" t="s">
        <v>238</v>
      </c>
      <c r="AL185" s="3"/>
      <c r="AM185" s="3"/>
      <c r="AN185" s="3"/>
      <c r="AO185" s="3"/>
      <c r="AP185" s="3"/>
      <c r="AQ185" s="3"/>
      <c r="AR185" s="3" t="s">
        <v>52</v>
      </c>
      <c r="AS185" s="3" t="s">
        <v>51</v>
      </c>
      <c r="AT185" s="3" t="s">
        <v>71</v>
      </c>
      <c r="AU185" s="3" t="s">
        <v>64</v>
      </c>
      <c r="AV185" s="3" t="s">
        <v>235</v>
      </c>
      <c r="AW185" s="8" t="s">
        <v>2135</v>
      </c>
    </row>
    <row r="186" hidden="1">
      <c r="A186" s="3">
        <v>152.0</v>
      </c>
      <c r="B186" s="3" t="s">
        <v>55</v>
      </c>
      <c r="D186" s="3">
        <v>2009.0</v>
      </c>
      <c r="E186" s="3" t="s">
        <v>476</v>
      </c>
      <c r="F186" s="3" t="s">
        <v>269</v>
      </c>
      <c r="G186" s="3"/>
      <c r="H186" s="3" t="s">
        <v>44</v>
      </c>
      <c r="I186" s="3"/>
      <c r="J186" s="3" t="s">
        <v>45</v>
      </c>
      <c r="K186" s="3"/>
      <c r="L186" s="3"/>
      <c r="M186" s="3" t="s">
        <v>270</v>
      </c>
      <c r="S186" s="3"/>
      <c r="T186" s="3"/>
      <c r="U186" s="3"/>
      <c r="V186" s="3"/>
      <c r="W186" s="3"/>
      <c r="X186" s="3"/>
      <c r="Y186" s="3"/>
      <c r="Z186" s="3"/>
      <c r="AA186" s="3"/>
      <c r="AB186" s="3"/>
      <c r="AC186" s="3" t="s">
        <v>61</v>
      </c>
      <c r="AF186" s="3" t="s">
        <v>147</v>
      </c>
      <c r="AH186" s="3" t="s">
        <v>47</v>
      </c>
      <c r="AJ186" s="3" t="s">
        <v>70</v>
      </c>
      <c r="AL186" s="3"/>
      <c r="AM186" s="3"/>
      <c r="AN186" s="3"/>
      <c r="AO186" s="3"/>
      <c r="AP186" s="3"/>
      <c r="AQ186" s="3"/>
      <c r="AR186" s="3" t="s">
        <v>52</v>
      </c>
      <c r="AS186" s="3" t="s">
        <v>64</v>
      </c>
      <c r="AT186" s="3" t="s">
        <v>51</v>
      </c>
      <c r="AU186" s="3" t="s">
        <v>71</v>
      </c>
      <c r="AW186" s="8" t="s">
        <v>2135</v>
      </c>
    </row>
    <row r="187" hidden="1">
      <c r="A187" s="3">
        <v>360.0</v>
      </c>
      <c r="B187" s="3" t="s">
        <v>106</v>
      </c>
      <c r="C187" s="3" t="s">
        <v>890</v>
      </c>
      <c r="D187" s="3">
        <v>1992.0</v>
      </c>
      <c r="E187" s="3" t="s">
        <v>891</v>
      </c>
      <c r="F187" s="3" t="s">
        <v>892</v>
      </c>
      <c r="G187" s="3"/>
      <c r="H187" s="3" t="s">
        <v>44</v>
      </c>
      <c r="I187" s="3"/>
      <c r="K187" s="3"/>
      <c r="L187" s="3"/>
      <c r="M187" s="3" t="s">
        <v>485</v>
      </c>
      <c r="S187" s="3"/>
      <c r="T187" s="3"/>
      <c r="U187" s="3"/>
      <c r="V187" s="3"/>
      <c r="AC187" s="3" t="s">
        <v>48</v>
      </c>
      <c r="AL187" s="3"/>
      <c r="AM187" s="3"/>
      <c r="AN187" s="3"/>
      <c r="AO187" s="3"/>
      <c r="AP187" s="3"/>
      <c r="AQ187" s="3"/>
      <c r="AR187" s="3" t="s">
        <v>52</v>
      </c>
      <c r="AW187" s="8" t="s">
        <v>2135</v>
      </c>
    </row>
    <row r="188">
      <c r="A188" s="3">
        <v>20.0</v>
      </c>
      <c r="B188" s="3" t="s">
        <v>40</v>
      </c>
      <c r="C188" s="3" t="s">
        <v>148</v>
      </c>
      <c r="D188" s="3">
        <v>2012.0</v>
      </c>
      <c r="E188" s="3" t="s">
        <v>149</v>
      </c>
      <c r="F188" s="3" t="s">
        <v>150</v>
      </c>
      <c r="G188" s="3" t="s">
        <v>2304</v>
      </c>
      <c r="H188" s="3" t="s">
        <v>58</v>
      </c>
      <c r="I188" s="3" t="s">
        <v>2142</v>
      </c>
      <c r="J188" s="3" t="s">
        <v>58</v>
      </c>
      <c r="L188" s="3" t="s">
        <v>2143</v>
      </c>
      <c r="M188" s="3" t="s">
        <v>110</v>
      </c>
      <c r="S188" s="9" t="str">
        <f t="array" ref="S188">"[" &amp; TEXTJOIN(", ", TRUE, IF(LEN(T188:AB188), CHAR(34)&amp;T188:AB188&amp;CHAR(34), )) &amp; "]"
</f>
        <v>["Industrial &amp; military effluents", "Agricultural &amp; forestry effluents"]</v>
      </c>
      <c r="U188" s="3"/>
      <c r="V188" s="3"/>
      <c r="W188" s="3" t="s">
        <v>147</v>
      </c>
      <c r="X188" s="3" t="s">
        <v>62</v>
      </c>
      <c r="AC188" s="3" t="s">
        <v>143</v>
      </c>
      <c r="AF188" s="3" t="s">
        <v>147</v>
      </c>
      <c r="AG188" s="3" t="s">
        <v>62</v>
      </c>
      <c r="AL188" s="9" t="str">
        <f t="array" ref="AL188">"[" &amp; TEXTJOIN(", ", TRUE, IF(LEN(AM188:AQ188), CHAR(34)&amp;AM188:AQ188&amp;CHAR(34), )) &amp; "]"
</f>
        <v>["Agriculture &amp; aquaculture", "Pollution"]</v>
      </c>
      <c r="AM188" s="3" t="s">
        <v>51</v>
      </c>
      <c r="AN188" s="3" t="s">
        <v>64</v>
      </c>
      <c r="AO188" s="3"/>
      <c r="AP188" s="3"/>
      <c r="AQ188" s="3"/>
      <c r="AR188" s="3" t="s">
        <v>51</v>
      </c>
      <c r="AS188" s="3" t="s">
        <v>64</v>
      </c>
      <c r="AW188" s="8" t="s">
        <v>2305</v>
      </c>
    </row>
    <row r="189" hidden="1">
      <c r="A189" s="3">
        <v>48.0</v>
      </c>
      <c r="B189" s="3" t="s">
        <v>55</v>
      </c>
      <c r="D189" s="3">
        <v>1990.0</v>
      </c>
      <c r="E189" s="3" t="s">
        <v>223</v>
      </c>
      <c r="F189" s="3" t="s">
        <v>224</v>
      </c>
      <c r="G189" s="3"/>
      <c r="H189" s="3" t="s">
        <v>91</v>
      </c>
      <c r="I189" s="3"/>
      <c r="J189" s="3" t="s">
        <v>91</v>
      </c>
      <c r="K189" s="3"/>
      <c r="L189" s="3"/>
      <c r="M189" s="3" t="s">
        <v>225</v>
      </c>
      <c r="S189" s="3"/>
      <c r="T189" s="3"/>
      <c r="U189" s="3"/>
      <c r="V189" s="3"/>
      <c r="AC189" s="3" t="s">
        <v>97</v>
      </c>
      <c r="AD189" s="3" t="s">
        <v>47</v>
      </c>
      <c r="AL189" s="3"/>
      <c r="AM189" s="3"/>
      <c r="AN189" s="3"/>
      <c r="AO189" s="3"/>
      <c r="AP189" s="3"/>
      <c r="AQ189" s="3"/>
      <c r="AR189" s="3" t="s">
        <v>51</v>
      </c>
      <c r="AW189" s="8" t="s">
        <v>2135</v>
      </c>
    </row>
    <row r="190">
      <c r="A190" s="3">
        <v>36.0</v>
      </c>
      <c r="B190" s="3" t="s">
        <v>40</v>
      </c>
      <c r="C190" s="3" t="s">
        <v>193</v>
      </c>
      <c r="D190" s="3">
        <v>2011.0</v>
      </c>
      <c r="E190" s="3" t="s">
        <v>194</v>
      </c>
      <c r="F190" s="3" t="s">
        <v>150</v>
      </c>
      <c r="G190" s="3" t="s">
        <v>2304</v>
      </c>
      <c r="H190" s="3" t="s">
        <v>58</v>
      </c>
      <c r="I190" s="3" t="s">
        <v>2142</v>
      </c>
      <c r="J190" s="3" t="s">
        <v>58</v>
      </c>
      <c r="L190" s="3" t="s">
        <v>2143</v>
      </c>
      <c r="M190" s="3" t="s">
        <v>110</v>
      </c>
      <c r="S190" s="9" t="str">
        <f t="array" ref="S190">"[" &amp; TEXTJOIN(", ", TRUE, IF(LEN(T190:AB190), CHAR(34)&amp;T190:AB190&amp;CHAR(34), )) &amp; "]"
</f>
        <v>["Marine &amp; freshwater aquaculture"]</v>
      </c>
      <c r="T190" s="3" t="s">
        <v>111</v>
      </c>
      <c r="U190" s="3"/>
      <c r="V190" s="3"/>
      <c r="AC190" s="3" t="s">
        <v>111</v>
      </c>
      <c r="AL190" s="9" t="str">
        <f t="array" ref="AL190">"[" &amp; TEXTJOIN(", ", TRUE, IF(LEN(AM190:AQ190), CHAR(34)&amp;AM190:AQ190&amp;CHAR(34), )) &amp; "]"
</f>
        <v>["Agriculture &amp; aquaculture"]</v>
      </c>
      <c r="AM190" s="3" t="s">
        <v>51</v>
      </c>
      <c r="AN190" s="3"/>
      <c r="AO190" s="3"/>
      <c r="AP190" s="3"/>
      <c r="AQ190" s="3"/>
      <c r="AR190" s="3" t="s">
        <v>51</v>
      </c>
      <c r="AW190" s="8" t="s">
        <v>2306</v>
      </c>
    </row>
    <row r="191">
      <c r="A191" s="3">
        <v>32.0</v>
      </c>
      <c r="B191" s="3" t="s">
        <v>40</v>
      </c>
      <c r="C191" s="3" t="s">
        <v>182</v>
      </c>
      <c r="D191" s="3">
        <v>2008.0</v>
      </c>
      <c r="E191" s="3" t="s">
        <v>183</v>
      </c>
      <c r="F191" s="3" t="s">
        <v>184</v>
      </c>
      <c r="G191" s="3" t="s">
        <v>2307</v>
      </c>
      <c r="H191" s="3" t="s">
        <v>58</v>
      </c>
      <c r="I191" s="3" t="s">
        <v>2142</v>
      </c>
      <c r="J191" s="3" t="s">
        <v>58</v>
      </c>
      <c r="L191" s="3" t="s">
        <v>2166</v>
      </c>
      <c r="M191" s="3" t="s">
        <v>96</v>
      </c>
      <c r="S191" s="9" t="str">
        <f t="array" ref="S191">"[" &amp; TEXTJOIN(", ", TRUE, IF(LEN(T191:AB191), CHAR(34)&amp;T191:AB191&amp;CHAR(34), )) &amp; "]"
</f>
        <v>["Annual &amp; perennial non-timber crops"]</v>
      </c>
      <c r="T191" s="3" t="s">
        <v>60</v>
      </c>
      <c r="U191" s="3"/>
      <c r="V191" s="3"/>
      <c r="AC191" s="3" t="s">
        <v>60</v>
      </c>
      <c r="AL191" s="9" t="str">
        <f t="array" ref="AL191">"[" &amp; TEXTJOIN(", ", TRUE, IF(LEN(AM191:AQ191), CHAR(34)&amp;AM191:AQ191&amp;CHAR(34), )) &amp; "]"
</f>
        <v>["Agriculture &amp; aquaculture"]</v>
      </c>
      <c r="AM191" s="3" t="s">
        <v>51</v>
      </c>
      <c r="AN191" s="3"/>
      <c r="AO191" s="3"/>
      <c r="AP191" s="3"/>
      <c r="AQ191" s="3"/>
      <c r="AR191" s="3" t="s">
        <v>51</v>
      </c>
      <c r="AW191" s="8" t="s">
        <v>2308</v>
      </c>
    </row>
    <row r="192" hidden="1">
      <c r="A192" s="3">
        <v>724.0</v>
      </c>
      <c r="B192" s="3" t="s">
        <v>106</v>
      </c>
      <c r="C192" s="3" t="s">
        <v>1561</v>
      </c>
      <c r="D192" s="3">
        <v>1993.0</v>
      </c>
      <c r="E192" s="3" t="s">
        <v>1562</v>
      </c>
      <c r="F192" s="3" t="s">
        <v>150</v>
      </c>
      <c r="G192" s="3"/>
      <c r="H192" s="3" t="s">
        <v>58</v>
      </c>
      <c r="I192" s="3"/>
      <c r="K192" s="3"/>
      <c r="L192" s="3"/>
      <c r="M192" s="3" t="s">
        <v>110</v>
      </c>
      <c r="S192" s="3"/>
      <c r="T192" s="3"/>
      <c r="U192" s="3"/>
      <c r="V192" s="3"/>
      <c r="W192" s="3"/>
      <c r="X192" s="3"/>
      <c r="Y192" s="3"/>
      <c r="Z192" s="3"/>
      <c r="AC192" s="3" t="s">
        <v>62</v>
      </c>
      <c r="AD192" s="3" t="s">
        <v>1563</v>
      </c>
      <c r="AF192" s="3" t="s">
        <v>61</v>
      </c>
      <c r="AH192" s="3" t="s">
        <v>87</v>
      </c>
      <c r="AL192" s="3"/>
      <c r="AM192" s="3"/>
      <c r="AN192" s="3"/>
      <c r="AO192" s="3"/>
      <c r="AP192" s="3"/>
      <c r="AQ192" s="3"/>
      <c r="AR192" s="3" t="s">
        <v>64</v>
      </c>
      <c r="AS192" s="3" t="s">
        <v>52</v>
      </c>
      <c r="AT192" s="3" t="s">
        <v>121</v>
      </c>
      <c r="AW192" s="8" t="s">
        <v>2135</v>
      </c>
    </row>
    <row r="193" hidden="1">
      <c r="A193" s="3">
        <v>904.0</v>
      </c>
      <c r="B193" s="3" t="s">
        <v>106</v>
      </c>
      <c r="C193" s="3" t="s">
        <v>900</v>
      </c>
      <c r="D193" s="3">
        <v>1993.0</v>
      </c>
      <c r="E193" s="3" t="s">
        <v>1917</v>
      </c>
      <c r="F193" s="3" t="s">
        <v>150</v>
      </c>
      <c r="G193" s="3"/>
      <c r="H193" s="3" t="s">
        <v>58</v>
      </c>
      <c r="I193" s="3"/>
      <c r="K193" s="3"/>
      <c r="L193" s="3"/>
      <c r="M193" s="3" t="s">
        <v>110</v>
      </c>
      <c r="S193" s="3"/>
      <c r="T193" s="3"/>
      <c r="U193" s="3"/>
      <c r="V193" s="3"/>
      <c r="AC193" s="3" t="s">
        <v>62</v>
      </c>
      <c r="AL193" s="3"/>
      <c r="AM193" s="3"/>
      <c r="AN193" s="3"/>
      <c r="AO193" s="3"/>
      <c r="AP193" s="3"/>
      <c r="AQ193" s="3"/>
      <c r="AR193" s="3" t="s">
        <v>64</v>
      </c>
    </row>
    <row r="194" hidden="1">
      <c r="A194" s="3">
        <v>909.0</v>
      </c>
      <c r="B194" s="3" t="s">
        <v>106</v>
      </c>
      <c r="C194" s="3" t="s">
        <v>1924</v>
      </c>
      <c r="D194" s="3">
        <v>2010.0</v>
      </c>
      <c r="E194" s="3" t="s">
        <v>1925</v>
      </c>
      <c r="F194" s="3" t="s">
        <v>150</v>
      </c>
      <c r="G194" s="3"/>
      <c r="H194" s="3" t="s">
        <v>58</v>
      </c>
      <c r="I194" s="3"/>
      <c r="K194" s="3"/>
      <c r="L194" s="3"/>
      <c r="M194" s="3" t="s">
        <v>110</v>
      </c>
      <c r="S194" s="3"/>
      <c r="T194" s="3"/>
      <c r="U194" s="3"/>
      <c r="V194" s="3"/>
      <c r="AC194" s="3" t="s">
        <v>1670</v>
      </c>
      <c r="AL194" s="3"/>
      <c r="AM194" s="3"/>
      <c r="AN194" s="3"/>
      <c r="AO194" s="3"/>
      <c r="AP194" s="3"/>
      <c r="AQ194" s="3"/>
      <c r="AR194" s="3" t="s">
        <v>64</v>
      </c>
    </row>
    <row r="195">
      <c r="A195" s="3">
        <v>315.0</v>
      </c>
      <c r="B195" s="3" t="s">
        <v>40</v>
      </c>
      <c r="C195" s="3" t="s">
        <v>798</v>
      </c>
      <c r="D195" s="3">
        <v>2012.0</v>
      </c>
      <c r="E195" s="3" t="s">
        <v>799</v>
      </c>
      <c r="F195" s="3" t="s">
        <v>184</v>
      </c>
      <c r="G195" s="3" t="s">
        <v>2307</v>
      </c>
      <c r="H195" s="3" t="s">
        <v>58</v>
      </c>
      <c r="I195" s="3" t="s">
        <v>2142</v>
      </c>
      <c r="J195" s="3" t="s">
        <v>58</v>
      </c>
      <c r="L195" s="3" t="s">
        <v>2309</v>
      </c>
      <c r="M195" s="3" t="s">
        <v>110</v>
      </c>
      <c r="N195" s="3" t="s">
        <v>69</v>
      </c>
      <c r="S195" s="9" t="str">
        <f t="array" ref="S195">"[" &amp; TEXTJOIN(", ", TRUE, IF(LEN(T195:AB195), CHAR(34)&amp;T195:AB195&amp;CHAR(34), )) &amp; "]"
</f>
        <v>["Hunting &amp; Collecting Terrestrial Animals"]</v>
      </c>
      <c r="T195" s="3" t="s">
        <v>2138</v>
      </c>
      <c r="U195" s="3"/>
      <c r="V195" s="3"/>
      <c r="AC195" s="3" t="s">
        <v>61</v>
      </c>
      <c r="AL195" s="9" t="str">
        <f t="array" ref="AL195">"[" &amp; TEXTJOIN(", ", TRUE, IF(LEN(AM195:AQ195), CHAR(34)&amp;AM195:AQ195&amp;CHAR(34), )) &amp; "]"
</f>
        <v>["Biological resource use"]</v>
      </c>
      <c r="AM195" s="3" t="s">
        <v>52</v>
      </c>
      <c r="AN195" s="3"/>
      <c r="AO195" s="3"/>
      <c r="AP195" s="3"/>
      <c r="AQ195" s="3"/>
      <c r="AR195" s="3" t="s">
        <v>52</v>
      </c>
      <c r="AW195" s="8" t="s">
        <v>2310</v>
      </c>
    </row>
    <row r="196">
      <c r="A196" s="3">
        <v>514.0</v>
      </c>
      <c r="B196" s="3" t="s">
        <v>40</v>
      </c>
      <c r="C196" s="3" t="s">
        <v>1151</v>
      </c>
      <c r="D196" s="3">
        <v>2004.0</v>
      </c>
      <c r="E196" s="3" t="s">
        <v>1152</v>
      </c>
      <c r="F196" s="3" t="s">
        <v>184</v>
      </c>
      <c r="G196" s="3" t="s">
        <v>2307</v>
      </c>
      <c r="H196" s="3" t="s">
        <v>58</v>
      </c>
      <c r="I196" s="3" t="s">
        <v>2142</v>
      </c>
      <c r="J196" s="3" t="s">
        <v>58</v>
      </c>
      <c r="L196" s="3" t="s">
        <v>2311</v>
      </c>
      <c r="M196" s="3" t="s">
        <v>69</v>
      </c>
      <c r="S196" s="9" t="str">
        <f t="array" ref="S196">"[" &amp; TEXTJOIN(", ", TRUE, IF(LEN(T196:AB196), CHAR(34)&amp;T196:AB196&amp;CHAR(34), )) &amp; "]"
</f>
        <v>["Viral/prion-induced diseases"]</v>
      </c>
      <c r="T196" s="3" t="s">
        <v>385</v>
      </c>
      <c r="U196" s="3"/>
      <c r="V196" s="3"/>
      <c r="AC196" s="3" t="s">
        <v>385</v>
      </c>
      <c r="AL196" s="9" t="str">
        <f t="array" ref="AL196">"[" &amp; TEXTJOIN(", ", TRUE, IF(LEN(AM196:AQ196), CHAR(34)&amp;AM196:AQ196&amp;CHAR(34), )) &amp; "]"
</f>
        <v>["Invasive &amp; other problematic species, genes &amp; diseases"]</v>
      </c>
      <c r="AM196" s="3" t="s">
        <v>54</v>
      </c>
      <c r="AN196" s="3"/>
      <c r="AO196" s="3"/>
      <c r="AP196" s="3"/>
      <c r="AQ196" s="3"/>
      <c r="AR196" s="3" t="s">
        <v>54</v>
      </c>
      <c r="AW196" s="8" t="s">
        <v>2312</v>
      </c>
    </row>
    <row r="197">
      <c r="A197" s="3">
        <v>791.0</v>
      </c>
      <c r="B197" s="3" t="s">
        <v>40</v>
      </c>
      <c r="C197" s="3" t="s">
        <v>1691</v>
      </c>
      <c r="D197" s="3">
        <v>1993.0</v>
      </c>
      <c r="E197" s="3" t="s">
        <v>1697</v>
      </c>
      <c r="F197" s="3" t="s">
        <v>184</v>
      </c>
      <c r="G197" s="3" t="s">
        <v>2307</v>
      </c>
      <c r="H197" s="3" t="s">
        <v>58</v>
      </c>
      <c r="I197" s="3" t="s">
        <v>2142</v>
      </c>
      <c r="J197" s="3" t="s">
        <v>58</v>
      </c>
      <c r="L197" s="3" t="s">
        <v>2143</v>
      </c>
      <c r="M197" s="3" t="s">
        <v>110</v>
      </c>
      <c r="S197" s="9" t="str">
        <f t="array" ref="S197">"[" &amp; TEXTJOIN(", ", TRUE, IF(LEN(T197:AB197), CHAR(34)&amp;T197:AB197&amp;CHAR(34), )) &amp; "]"
</f>
        <v>["Agricultural &amp; forestry effluents", "Industrial &amp; military effluents"]</v>
      </c>
      <c r="T197" s="3" t="s">
        <v>62</v>
      </c>
      <c r="U197" s="3" t="s">
        <v>147</v>
      </c>
      <c r="V197" s="3"/>
      <c r="AC197" s="3" t="s">
        <v>62</v>
      </c>
      <c r="AD197" s="3" t="s">
        <v>147</v>
      </c>
      <c r="AL197" s="9" t="str">
        <f t="array" ref="AL197">"[" &amp; TEXTJOIN(", ", TRUE, IF(LEN(AM197:AQ197), CHAR(34)&amp;AM197:AQ197&amp;CHAR(34), )) &amp; "]"
</f>
        <v>["Pollution"]</v>
      </c>
      <c r="AM197" s="3" t="s">
        <v>64</v>
      </c>
      <c r="AN197" s="3"/>
      <c r="AO197" s="3"/>
      <c r="AP197" s="3"/>
      <c r="AQ197" s="3"/>
      <c r="AR197" s="3" t="s">
        <v>64</v>
      </c>
      <c r="AW197" s="8" t="s">
        <v>2313</v>
      </c>
    </row>
    <row r="198">
      <c r="A198" s="3">
        <v>872.0</v>
      </c>
      <c r="B198" s="3" t="s">
        <v>40</v>
      </c>
      <c r="C198" s="3" t="s">
        <v>1858</v>
      </c>
      <c r="D198" s="3">
        <v>2018.0</v>
      </c>
      <c r="E198" s="3" t="s">
        <v>1859</v>
      </c>
      <c r="F198" s="3" t="s">
        <v>184</v>
      </c>
      <c r="G198" s="3" t="s">
        <v>2307</v>
      </c>
      <c r="H198" s="3" t="s">
        <v>58</v>
      </c>
      <c r="I198" s="3" t="s">
        <v>2142</v>
      </c>
      <c r="J198" s="3" t="s">
        <v>58</v>
      </c>
      <c r="L198" s="3" t="s">
        <v>2314</v>
      </c>
      <c r="M198" s="3" t="s">
        <v>285</v>
      </c>
      <c r="N198" s="3" t="s">
        <v>76</v>
      </c>
      <c r="S198" s="9" t="str">
        <f t="array" ref="S198">"[" &amp; TEXTJOIN(", ", TRUE, IF(LEN(T198:AB198), CHAR(34)&amp;T198:AB198&amp;CHAR(34), )) &amp; "]"
</f>
        <v>["Agricultural &amp; forestry effluents"]</v>
      </c>
      <c r="T198" s="3" t="s">
        <v>62</v>
      </c>
      <c r="U198" s="3"/>
      <c r="V198" s="3"/>
      <c r="AC198" s="3" t="s">
        <v>62</v>
      </c>
      <c r="AL198" s="9" t="str">
        <f t="array" ref="AL198">"[" &amp; TEXTJOIN(", ", TRUE, IF(LEN(AM198:AQ198), CHAR(34)&amp;AM198:AQ198&amp;CHAR(34), )) &amp; "]"
</f>
        <v>["Pollution"]</v>
      </c>
      <c r="AM198" s="3" t="s">
        <v>64</v>
      </c>
      <c r="AN198" s="3"/>
      <c r="AO198" s="3"/>
      <c r="AP198" s="3"/>
      <c r="AQ198" s="3"/>
      <c r="AR198" s="3" t="s">
        <v>64</v>
      </c>
      <c r="AW198" s="8" t="s">
        <v>2315</v>
      </c>
    </row>
    <row r="199">
      <c r="A199" s="3">
        <v>788.0</v>
      </c>
      <c r="B199" s="3" t="s">
        <v>40</v>
      </c>
      <c r="C199" s="3" t="s">
        <v>1691</v>
      </c>
      <c r="D199" s="3">
        <v>1992.0</v>
      </c>
      <c r="E199" s="3" t="s">
        <v>1692</v>
      </c>
      <c r="F199" s="3" t="s">
        <v>184</v>
      </c>
      <c r="G199" s="3" t="s">
        <v>2307</v>
      </c>
      <c r="H199" s="3" t="s">
        <v>58</v>
      </c>
      <c r="I199" s="3" t="s">
        <v>2142</v>
      </c>
      <c r="J199" s="3" t="s">
        <v>58</v>
      </c>
      <c r="L199" s="3" t="s">
        <v>2143</v>
      </c>
      <c r="M199" s="3" t="s">
        <v>110</v>
      </c>
      <c r="S199" s="9" t="str">
        <f t="array" ref="S199">"[" &amp; TEXTJOIN(", ", TRUE, IF(LEN(T199:AB199), CHAR(34)&amp;T199:AB199&amp;CHAR(34), )) &amp; "]"
</f>
        <v>["Industrial &amp; military effluents"]</v>
      </c>
      <c r="T199" s="3" t="s">
        <v>147</v>
      </c>
      <c r="U199" s="3"/>
      <c r="V199" s="3"/>
      <c r="AC199" s="3" t="s">
        <v>147</v>
      </c>
      <c r="AL199" s="9" t="str">
        <f t="array" ref="AL199">"[" &amp; TEXTJOIN(", ", TRUE, IF(LEN(AM199:AQ199), CHAR(34)&amp;AM199:AQ199&amp;CHAR(34), )) &amp; "]"
</f>
        <v>["Pollution"]</v>
      </c>
      <c r="AM199" s="3" t="s">
        <v>64</v>
      </c>
      <c r="AN199" s="3"/>
      <c r="AO199" s="3"/>
      <c r="AP199" s="3"/>
      <c r="AQ199" s="3"/>
      <c r="AR199" s="3" t="s">
        <v>64</v>
      </c>
      <c r="AW199" s="8" t="s">
        <v>2316</v>
      </c>
    </row>
    <row r="200">
      <c r="A200" s="3">
        <v>808.0</v>
      </c>
      <c r="B200" s="3" t="s">
        <v>40</v>
      </c>
      <c r="C200" s="3" t="s">
        <v>1730</v>
      </c>
      <c r="D200" s="3">
        <v>1998.0</v>
      </c>
      <c r="E200" s="3" t="s">
        <v>1731</v>
      </c>
      <c r="F200" s="3" t="s">
        <v>184</v>
      </c>
      <c r="G200" s="3" t="s">
        <v>2307</v>
      </c>
      <c r="H200" s="3" t="s">
        <v>58</v>
      </c>
      <c r="I200" s="3" t="s">
        <v>2142</v>
      </c>
      <c r="J200" s="3" t="s">
        <v>58</v>
      </c>
      <c r="L200" s="3" t="s">
        <v>2143</v>
      </c>
      <c r="M200" s="3" t="s">
        <v>110</v>
      </c>
      <c r="S200" s="9" t="str">
        <f t="array" ref="S200">"[" &amp; TEXTJOIN(", ", TRUE, IF(LEN(T200:AB200), CHAR(34)&amp;T200:AB200&amp;CHAR(34), )) &amp; "]"
</f>
        <v>["Industrial &amp; military effluents"]</v>
      </c>
      <c r="T200" s="3" t="s">
        <v>147</v>
      </c>
      <c r="U200" s="3"/>
      <c r="V200" s="3"/>
      <c r="AC200" s="3" t="s">
        <v>147</v>
      </c>
      <c r="AL200" s="9" t="str">
        <f t="array" ref="AL200">"[" &amp; TEXTJOIN(", ", TRUE, IF(LEN(AM200:AQ200), CHAR(34)&amp;AM200:AQ200&amp;CHAR(34), )) &amp; "]"
</f>
        <v>["Pollution"]</v>
      </c>
      <c r="AM200" s="3" t="s">
        <v>64</v>
      </c>
      <c r="AN200" s="3"/>
      <c r="AO200" s="3"/>
      <c r="AP200" s="3"/>
      <c r="AQ200" s="3"/>
      <c r="AR200" s="3" t="s">
        <v>64</v>
      </c>
      <c r="AW200" s="8" t="s">
        <v>2317</v>
      </c>
    </row>
    <row r="201">
      <c r="A201" s="3">
        <v>8.0</v>
      </c>
      <c r="B201" s="3" t="s">
        <v>40</v>
      </c>
      <c r="C201" s="3" t="s">
        <v>93</v>
      </c>
      <c r="D201" s="3">
        <v>1998.0</v>
      </c>
      <c r="E201" s="3" t="s">
        <v>94</v>
      </c>
      <c r="F201" s="3" t="s">
        <v>95</v>
      </c>
      <c r="G201" s="3" t="s">
        <v>2318</v>
      </c>
      <c r="H201" s="3" t="s">
        <v>58</v>
      </c>
      <c r="I201" s="3" t="s">
        <v>2142</v>
      </c>
      <c r="J201" s="3" t="s">
        <v>58</v>
      </c>
      <c r="L201" s="3" t="s">
        <v>2166</v>
      </c>
      <c r="M201" s="3" t="s">
        <v>96</v>
      </c>
      <c r="S201" s="9" t="str">
        <f t="array" ref="S201">"[" &amp; TEXTJOIN(", ", TRUE, IF(LEN(T201:AB201), CHAR(34)&amp;T201:AB201&amp;CHAR(34), )) &amp; "]"
</f>
        <v>["Wood &amp; pulp plantations", "Logging &amp; wood harvesting"]</v>
      </c>
      <c r="T201" s="3" t="s">
        <v>97</v>
      </c>
      <c r="U201" s="3"/>
      <c r="V201" s="3"/>
      <c r="W201" s="3" t="s">
        <v>2188</v>
      </c>
      <c r="AC201" s="3" t="s">
        <v>97</v>
      </c>
      <c r="AF201" s="3" t="s">
        <v>48</v>
      </c>
      <c r="AL201" s="9" t="str">
        <f t="array" ref="AL201">"[" &amp; TEXTJOIN(", ", TRUE, IF(LEN(AM201:AQ201), CHAR(34)&amp;AM201:AQ201&amp;CHAR(34), )) &amp; "]"
</f>
        <v>["Agriculture &amp; aquaculture", "Biological resource use"]</v>
      </c>
      <c r="AM201" s="3" t="s">
        <v>51</v>
      </c>
      <c r="AN201" s="3" t="s">
        <v>52</v>
      </c>
      <c r="AO201" s="3"/>
      <c r="AP201" s="3"/>
      <c r="AQ201" s="3"/>
      <c r="AR201" s="3" t="s">
        <v>51</v>
      </c>
      <c r="AS201" s="3" t="s">
        <v>52</v>
      </c>
      <c r="AW201" s="8" t="s">
        <v>2319</v>
      </c>
    </row>
    <row r="202" hidden="1">
      <c r="A202" s="3">
        <v>998.0</v>
      </c>
      <c r="B202" s="3" t="s">
        <v>106</v>
      </c>
      <c r="C202" s="3" t="s">
        <v>2102</v>
      </c>
      <c r="D202" s="3">
        <v>1999.0</v>
      </c>
      <c r="E202" s="3" t="s">
        <v>2103</v>
      </c>
      <c r="F202" s="3" t="s">
        <v>184</v>
      </c>
      <c r="G202" s="3"/>
      <c r="H202" s="3" t="s">
        <v>58</v>
      </c>
      <c r="I202" s="3"/>
      <c r="K202" s="3"/>
      <c r="L202" s="3"/>
      <c r="M202" s="3" t="s">
        <v>110</v>
      </c>
      <c r="S202" s="3"/>
      <c r="T202" s="3"/>
      <c r="U202" s="3"/>
      <c r="V202" s="3"/>
      <c r="AC202" s="3" t="s">
        <v>63</v>
      </c>
      <c r="AL202" s="3"/>
      <c r="AM202" s="3"/>
      <c r="AN202" s="3"/>
      <c r="AO202" s="3"/>
      <c r="AP202" s="3"/>
      <c r="AQ202" s="3"/>
      <c r="AR202" s="3" t="s">
        <v>65</v>
      </c>
    </row>
    <row r="203" hidden="1">
      <c r="A203" s="3">
        <v>24.0</v>
      </c>
      <c r="B203" s="3" t="s">
        <v>106</v>
      </c>
      <c r="C203" s="3" t="s">
        <v>159</v>
      </c>
      <c r="D203" s="3">
        <v>1996.0</v>
      </c>
      <c r="E203" s="3" t="s">
        <v>160</v>
      </c>
      <c r="F203" s="3" t="s">
        <v>161</v>
      </c>
      <c r="G203" s="3"/>
      <c r="H203" s="3" t="s">
        <v>58</v>
      </c>
      <c r="I203" s="3"/>
      <c r="K203" s="3"/>
      <c r="L203" s="3"/>
      <c r="M203" s="3" t="s">
        <v>110</v>
      </c>
      <c r="S203" s="3"/>
      <c r="T203" s="3"/>
      <c r="U203" s="3"/>
      <c r="V203" s="3"/>
      <c r="W203" s="3"/>
      <c r="X203" s="3"/>
      <c r="Y203" s="3"/>
      <c r="Z203" s="3"/>
      <c r="AC203" s="3" t="s">
        <v>111</v>
      </c>
      <c r="AF203" s="3" t="s">
        <v>63</v>
      </c>
      <c r="AH203" s="3" t="s">
        <v>162</v>
      </c>
      <c r="AL203" s="3"/>
      <c r="AM203" s="3"/>
      <c r="AN203" s="3"/>
      <c r="AO203" s="3"/>
      <c r="AP203" s="3"/>
      <c r="AQ203" s="3"/>
      <c r="AR203" s="3" t="s">
        <v>51</v>
      </c>
      <c r="AS203" s="3" t="s">
        <v>65</v>
      </c>
      <c r="AT203" s="3" t="s">
        <v>121</v>
      </c>
      <c r="AW203" s="8" t="s">
        <v>2135</v>
      </c>
    </row>
    <row r="204" hidden="1">
      <c r="A204" s="3">
        <v>412.0</v>
      </c>
      <c r="B204" s="3" t="s">
        <v>106</v>
      </c>
      <c r="D204" s="3">
        <v>2017.0</v>
      </c>
      <c r="E204" s="3" t="s">
        <v>965</v>
      </c>
      <c r="F204" s="3" t="s">
        <v>102</v>
      </c>
      <c r="H204" s="3" t="s">
        <v>101</v>
      </c>
      <c r="I204" s="3"/>
      <c r="K204" s="3"/>
      <c r="L204" s="3"/>
      <c r="M204" s="3" t="s">
        <v>205</v>
      </c>
      <c r="S204" s="3"/>
      <c r="T204" s="3"/>
      <c r="U204" s="3"/>
      <c r="V204" s="3"/>
      <c r="AC204" s="3" t="s">
        <v>247</v>
      </c>
      <c r="AL204" s="3"/>
      <c r="AM204" s="3"/>
      <c r="AN204" s="3"/>
      <c r="AO204" s="3"/>
      <c r="AP204" s="3"/>
      <c r="AQ204" s="3"/>
      <c r="AR204" s="3" t="s">
        <v>52</v>
      </c>
      <c r="AW204" s="8" t="s">
        <v>2135</v>
      </c>
    </row>
    <row r="205" hidden="1">
      <c r="A205" s="3">
        <v>236.0</v>
      </c>
      <c r="B205" s="3" t="s">
        <v>106</v>
      </c>
      <c r="C205" s="3" t="s">
        <v>636</v>
      </c>
      <c r="D205" s="3">
        <v>1997.0</v>
      </c>
      <c r="E205" s="3" t="s">
        <v>637</v>
      </c>
      <c r="F205" s="3" t="s">
        <v>638</v>
      </c>
      <c r="G205" s="3"/>
      <c r="H205" s="3" t="s">
        <v>44</v>
      </c>
      <c r="I205" s="3"/>
      <c r="K205" s="3"/>
      <c r="L205" s="3"/>
      <c r="M205" s="3" t="s">
        <v>46</v>
      </c>
      <c r="S205" s="3"/>
      <c r="T205" s="3"/>
      <c r="U205" s="3"/>
      <c r="V205" s="3"/>
      <c r="AC205" s="3" t="s">
        <v>61</v>
      </c>
      <c r="AL205" s="3"/>
      <c r="AM205" s="3"/>
      <c r="AN205" s="3"/>
      <c r="AO205" s="3"/>
      <c r="AP205" s="3"/>
      <c r="AQ205" s="3"/>
      <c r="AR205" s="3" t="s">
        <v>52</v>
      </c>
      <c r="AS205" s="3" t="s">
        <v>143</v>
      </c>
      <c r="AW205" s="8" t="s">
        <v>2135</v>
      </c>
    </row>
    <row r="206" hidden="1">
      <c r="A206" s="3">
        <v>912.0</v>
      </c>
      <c r="B206" s="3" t="s">
        <v>55</v>
      </c>
      <c r="D206" s="3">
        <v>1990.0</v>
      </c>
      <c r="E206" s="3" t="s">
        <v>1930</v>
      </c>
      <c r="F206" s="3" t="s">
        <v>638</v>
      </c>
      <c r="G206" s="3"/>
      <c r="H206" s="3" t="s">
        <v>44</v>
      </c>
      <c r="I206" s="3"/>
      <c r="J206" s="3" t="s">
        <v>45</v>
      </c>
      <c r="K206" s="3"/>
      <c r="L206" s="3"/>
      <c r="M206" s="3" t="s">
        <v>270</v>
      </c>
      <c r="S206" s="3"/>
      <c r="T206" s="3"/>
      <c r="U206" s="3"/>
      <c r="V206" s="3"/>
      <c r="AC206" s="3" t="s">
        <v>147</v>
      </c>
      <c r="AL206" s="3"/>
      <c r="AM206" s="3"/>
      <c r="AN206" s="3"/>
      <c r="AO206" s="3"/>
      <c r="AP206" s="3"/>
      <c r="AQ206" s="3"/>
      <c r="AR206" s="3" t="s">
        <v>64</v>
      </c>
    </row>
    <row r="207" hidden="1">
      <c r="A207" s="3">
        <v>410.0</v>
      </c>
      <c r="B207" s="3" t="s">
        <v>106</v>
      </c>
      <c r="D207" s="3">
        <v>2016.0</v>
      </c>
      <c r="E207" s="3" t="s">
        <v>962</v>
      </c>
      <c r="F207" s="3" t="s">
        <v>963</v>
      </c>
      <c r="G207" s="3"/>
      <c r="H207" s="3" t="s">
        <v>91</v>
      </c>
      <c r="I207" s="3"/>
      <c r="K207" s="3"/>
      <c r="L207" s="3"/>
      <c r="M207" s="3" t="s">
        <v>290</v>
      </c>
      <c r="S207" s="3"/>
      <c r="T207" s="3"/>
      <c r="U207" s="3"/>
      <c r="V207" s="3"/>
      <c r="AC207" s="3" t="s">
        <v>267</v>
      </c>
      <c r="AL207" s="3"/>
      <c r="AM207" s="3"/>
      <c r="AN207" s="3"/>
      <c r="AO207" s="3"/>
      <c r="AP207" s="3"/>
      <c r="AQ207" s="3"/>
      <c r="AR207" s="3" t="s">
        <v>52</v>
      </c>
      <c r="AW207" s="8" t="s">
        <v>2135</v>
      </c>
    </row>
    <row r="208" hidden="1">
      <c r="A208" s="3">
        <v>2.0</v>
      </c>
      <c r="B208" s="3" t="s">
        <v>55</v>
      </c>
      <c r="D208" s="3">
        <v>1999.0</v>
      </c>
      <c r="E208" s="3" t="s">
        <v>56</v>
      </c>
      <c r="F208" s="3" t="s">
        <v>57</v>
      </c>
      <c r="H208" s="3" t="s">
        <v>58</v>
      </c>
      <c r="I208" s="3"/>
      <c r="J208" s="3" t="s">
        <v>58</v>
      </c>
      <c r="K208" s="3"/>
      <c r="L208" s="3"/>
      <c r="M208" s="3" t="s">
        <v>59</v>
      </c>
      <c r="S208" s="3"/>
      <c r="T208" s="3"/>
      <c r="U208" s="3"/>
      <c r="V208" s="3"/>
      <c r="W208" s="3"/>
      <c r="X208" s="3"/>
      <c r="Y208" s="3"/>
      <c r="Z208" s="3"/>
      <c r="AA208" s="3"/>
      <c r="AB208" s="3"/>
      <c r="AC208" s="3" t="s">
        <v>60</v>
      </c>
      <c r="AD208" s="3" t="s">
        <v>47</v>
      </c>
      <c r="AF208" s="3" t="s">
        <v>61</v>
      </c>
      <c r="AH208" s="3" t="s">
        <v>62</v>
      </c>
      <c r="AJ208" s="3" t="s">
        <v>63</v>
      </c>
      <c r="AL208" s="3"/>
      <c r="AM208" s="3"/>
      <c r="AN208" s="3"/>
      <c r="AO208" s="3"/>
      <c r="AP208" s="3"/>
      <c r="AQ208" s="3"/>
      <c r="AR208" s="3" t="s">
        <v>51</v>
      </c>
      <c r="AS208" s="3" t="s">
        <v>52</v>
      </c>
      <c r="AT208" s="3" t="s">
        <v>64</v>
      </c>
      <c r="AU208" s="3" t="s">
        <v>65</v>
      </c>
    </row>
    <row r="209">
      <c r="A209" s="3">
        <v>750.0</v>
      </c>
      <c r="B209" s="3" t="s">
        <v>40</v>
      </c>
      <c r="C209" s="3" t="s">
        <v>396</v>
      </c>
      <c r="D209" s="3">
        <v>1996.0</v>
      </c>
      <c r="E209" s="3" t="s">
        <v>1616</v>
      </c>
      <c r="F209" s="3" t="s">
        <v>95</v>
      </c>
      <c r="G209" s="3" t="s">
        <v>2318</v>
      </c>
      <c r="H209" s="3" t="s">
        <v>58</v>
      </c>
      <c r="I209" s="3" t="s">
        <v>2142</v>
      </c>
      <c r="J209" s="3" t="s">
        <v>58</v>
      </c>
      <c r="L209" s="3" t="s">
        <v>2320</v>
      </c>
      <c r="M209" s="3" t="s">
        <v>110</v>
      </c>
      <c r="N209" s="3" t="s">
        <v>1001</v>
      </c>
      <c r="S209" s="9" t="str">
        <f t="array" ref="S209">"[" &amp; TEXTJOIN(", ", TRUE, IF(LEN(T209:AB209), CHAR(34)&amp;T209:AB209&amp;CHAR(34), )) &amp; "]"
</f>
        <v>["Agricultural &amp; forestry effluents", "Industrial &amp; military effluents"]</v>
      </c>
      <c r="T209" s="3" t="s">
        <v>62</v>
      </c>
      <c r="U209" s="3" t="s">
        <v>147</v>
      </c>
      <c r="V209" s="3"/>
      <c r="AC209" s="3" t="s">
        <v>62</v>
      </c>
      <c r="AD209" s="3" t="s">
        <v>147</v>
      </c>
      <c r="AF209" s="3" t="s">
        <v>87</v>
      </c>
      <c r="AL209" s="9" t="str">
        <f t="array" ref="AL209">"[" &amp; TEXTJOIN(", ", TRUE, IF(LEN(AM209:AQ209), CHAR(34)&amp;AM209:AQ209&amp;CHAR(34), )) &amp; "]"
</f>
        <v>["Pollution", "Human intrusions &amp; disturbance"]</v>
      </c>
      <c r="AM209" s="3" t="s">
        <v>64</v>
      </c>
      <c r="AN209" s="3" t="s">
        <v>121</v>
      </c>
      <c r="AO209" s="3"/>
      <c r="AP209" s="3"/>
      <c r="AQ209" s="3"/>
      <c r="AR209" s="3" t="s">
        <v>64</v>
      </c>
      <c r="AS209" s="3" t="s">
        <v>121</v>
      </c>
      <c r="AW209" s="8" t="s">
        <v>2321</v>
      </c>
    </row>
    <row r="210">
      <c r="A210" s="3">
        <v>112.0</v>
      </c>
      <c r="B210" s="3" t="s">
        <v>40</v>
      </c>
      <c r="C210" s="3" t="s">
        <v>396</v>
      </c>
      <c r="D210" s="3">
        <v>1995.0</v>
      </c>
      <c r="E210" s="3" t="s">
        <v>397</v>
      </c>
      <c r="F210" s="3" t="s">
        <v>95</v>
      </c>
      <c r="G210" s="3" t="s">
        <v>2318</v>
      </c>
      <c r="H210" s="3" t="s">
        <v>58</v>
      </c>
      <c r="I210" s="3" t="s">
        <v>2142</v>
      </c>
      <c r="J210" s="3" t="s">
        <v>58</v>
      </c>
      <c r="L210" s="3" t="s">
        <v>2311</v>
      </c>
      <c r="M210" s="3" t="s">
        <v>69</v>
      </c>
      <c r="S210" s="9" t="str">
        <f t="array" ref="S210">"[" &amp; TEXTJOIN(", ", TRUE, IF(LEN(T210:AB210), CHAR(34)&amp;T210:AB210&amp;CHAR(34), )) &amp; "]"
</f>
        <v>["Hunting &amp; Collecting Terrestrial Animals", "Problematic native species/diseases"]</v>
      </c>
      <c r="T210" s="3" t="s">
        <v>2138</v>
      </c>
      <c r="U210" s="3"/>
      <c r="V210" s="3"/>
      <c r="W210" s="3" t="s">
        <v>244</v>
      </c>
      <c r="AC210" s="3" t="s">
        <v>61</v>
      </c>
      <c r="AF210" s="3" t="s">
        <v>244</v>
      </c>
      <c r="AL210" s="9" t="str">
        <f t="array" ref="AL210">"[" &amp; TEXTJOIN(", ", TRUE, IF(LEN(AM210:AQ210), CHAR(34)&amp;AM210:AQ210&amp;CHAR(34), )) &amp; "]"
</f>
        <v>["Biological resource use", "Invasive &amp; other problematic species, genes &amp; diseases"]</v>
      </c>
      <c r="AM210" s="3" t="s">
        <v>52</v>
      </c>
      <c r="AN210" s="3" t="s">
        <v>54</v>
      </c>
      <c r="AO210" s="3"/>
      <c r="AP210" s="3"/>
      <c r="AQ210" s="3"/>
      <c r="AR210" s="3" t="s">
        <v>52</v>
      </c>
      <c r="AS210" s="3" t="s">
        <v>54</v>
      </c>
      <c r="AW210" s="8" t="s">
        <v>2322</v>
      </c>
    </row>
    <row r="211">
      <c r="A211" s="3">
        <v>261.0</v>
      </c>
      <c r="B211" s="3" t="s">
        <v>40</v>
      </c>
      <c r="C211" s="3" t="s">
        <v>689</v>
      </c>
      <c r="D211" s="3">
        <v>1999.0</v>
      </c>
      <c r="E211" s="3" t="s">
        <v>690</v>
      </c>
      <c r="F211" s="3" t="s">
        <v>95</v>
      </c>
      <c r="G211" s="3" t="s">
        <v>2318</v>
      </c>
      <c r="H211" s="3" t="s">
        <v>58</v>
      </c>
      <c r="I211" s="3" t="s">
        <v>2142</v>
      </c>
      <c r="J211" s="3" t="s">
        <v>58</v>
      </c>
      <c r="L211" s="3" t="s">
        <v>2166</v>
      </c>
      <c r="M211" s="3" t="s">
        <v>96</v>
      </c>
      <c r="S211" s="9" t="str">
        <f t="array" ref="S211">"[" &amp; TEXTJOIN(", ", TRUE, IF(LEN(T211:AB211), CHAR(34)&amp;T211:AB211&amp;CHAR(34), )) &amp; "]"
</f>
        <v>["Hunting &amp; Collecting Terrestrial Animals"]</v>
      </c>
      <c r="T211" s="3" t="s">
        <v>2138</v>
      </c>
      <c r="U211" s="3"/>
      <c r="V211" s="3"/>
      <c r="AC211" s="3" t="s">
        <v>61</v>
      </c>
      <c r="AL211" s="9" t="str">
        <f t="array" ref="AL211">"[" &amp; TEXTJOIN(", ", TRUE, IF(LEN(AM211:AQ211), CHAR(34)&amp;AM211:AQ211&amp;CHAR(34), )) &amp; "]"
</f>
        <v>["Biological resource use"]</v>
      </c>
      <c r="AM211" s="3" t="s">
        <v>52</v>
      </c>
      <c r="AN211" s="3"/>
      <c r="AO211" s="3"/>
      <c r="AP211" s="3"/>
      <c r="AQ211" s="3"/>
      <c r="AR211" s="3" t="s">
        <v>52</v>
      </c>
      <c r="AW211" s="8" t="s">
        <v>2323</v>
      </c>
    </row>
    <row r="212">
      <c r="A212" s="3">
        <v>357.0</v>
      </c>
      <c r="B212" s="3" t="s">
        <v>40</v>
      </c>
      <c r="C212" s="3" t="s">
        <v>885</v>
      </c>
      <c r="D212" s="3">
        <v>2020.0</v>
      </c>
      <c r="E212" s="3" t="s">
        <v>886</v>
      </c>
      <c r="F212" s="3" t="s">
        <v>95</v>
      </c>
      <c r="G212" s="3" t="s">
        <v>2318</v>
      </c>
      <c r="H212" s="3" t="s">
        <v>58</v>
      </c>
      <c r="I212" s="3" t="s">
        <v>2142</v>
      </c>
      <c r="J212" s="3" t="s">
        <v>58</v>
      </c>
      <c r="L212" s="3" t="s">
        <v>2218</v>
      </c>
      <c r="M212" s="3" t="s">
        <v>254</v>
      </c>
      <c r="S212" s="9" t="str">
        <f t="array" ref="S212">"[" &amp; TEXTJOIN(", ", TRUE, IF(LEN(T212:AB212), CHAR(34)&amp;T212:AB212&amp;CHAR(34), )) &amp; "]"
</f>
        <v>["Hunting &amp; Collecting Terrestrial Animals"]</v>
      </c>
      <c r="T212" s="3" t="s">
        <v>2138</v>
      </c>
      <c r="U212" s="3"/>
      <c r="V212" s="3"/>
      <c r="AC212" s="3" t="s">
        <v>61</v>
      </c>
      <c r="AL212" s="9" t="str">
        <f t="array" ref="AL212">"[" &amp; TEXTJOIN(", ", TRUE, IF(LEN(AM212:AQ212), CHAR(34)&amp;AM212:AQ212&amp;CHAR(34), )) &amp; "]"
</f>
        <v>["Biological resource use"]</v>
      </c>
      <c r="AM212" s="3" t="s">
        <v>52</v>
      </c>
      <c r="AN212" s="3"/>
      <c r="AO212" s="3"/>
      <c r="AP212" s="3"/>
      <c r="AQ212" s="3"/>
      <c r="AR212" s="3" t="s">
        <v>52</v>
      </c>
      <c r="AW212" s="8" t="s">
        <v>2324</v>
      </c>
    </row>
    <row r="213" hidden="1">
      <c r="A213" s="3">
        <v>44.0</v>
      </c>
      <c r="B213" s="3" t="s">
        <v>106</v>
      </c>
      <c r="C213" s="3" t="s">
        <v>214</v>
      </c>
      <c r="D213" s="3">
        <v>1996.0</v>
      </c>
      <c r="E213" s="3" t="s">
        <v>215</v>
      </c>
      <c r="F213" s="3" t="s">
        <v>57</v>
      </c>
      <c r="H213" s="3" t="s">
        <v>58</v>
      </c>
      <c r="I213" s="3"/>
      <c r="K213" s="3"/>
      <c r="L213" s="3"/>
      <c r="M213" s="3" t="s">
        <v>110</v>
      </c>
      <c r="S213" s="3"/>
      <c r="T213" s="3"/>
      <c r="U213" s="3"/>
      <c r="V213" s="3"/>
      <c r="AC213" s="3" t="s">
        <v>111</v>
      </c>
      <c r="AL213" s="3"/>
      <c r="AM213" s="3"/>
      <c r="AN213" s="3"/>
      <c r="AO213" s="3"/>
      <c r="AP213" s="3"/>
      <c r="AQ213" s="3"/>
      <c r="AR213" s="3" t="s">
        <v>51</v>
      </c>
      <c r="AW213" s="8" t="s">
        <v>2135</v>
      </c>
    </row>
    <row r="214" hidden="1">
      <c r="A214" s="3">
        <v>45.0</v>
      </c>
      <c r="B214" s="3" t="s">
        <v>106</v>
      </c>
      <c r="C214" s="3" t="s">
        <v>216</v>
      </c>
      <c r="D214" s="3">
        <v>1999.0</v>
      </c>
      <c r="E214" s="3" t="s">
        <v>217</v>
      </c>
      <c r="F214" s="3" t="s">
        <v>57</v>
      </c>
      <c r="H214" s="3" t="s">
        <v>58</v>
      </c>
      <c r="I214" s="3"/>
      <c r="K214" s="3"/>
      <c r="L214" s="3"/>
      <c r="M214" s="3" t="s">
        <v>110</v>
      </c>
      <c r="S214" s="3"/>
      <c r="T214" s="3"/>
      <c r="U214" s="3"/>
      <c r="V214" s="3"/>
      <c r="AC214" s="3" t="s">
        <v>111</v>
      </c>
      <c r="AL214" s="3"/>
      <c r="AM214" s="3"/>
      <c r="AN214" s="3"/>
      <c r="AO214" s="3"/>
      <c r="AP214" s="3"/>
      <c r="AQ214" s="3"/>
      <c r="AR214" s="3" t="s">
        <v>51</v>
      </c>
      <c r="AW214" s="8" t="s">
        <v>2135</v>
      </c>
    </row>
    <row r="215">
      <c r="A215" s="3">
        <v>772.0</v>
      </c>
      <c r="B215" s="3" t="s">
        <v>40</v>
      </c>
      <c r="C215" s="3" t="s">
        <v>1658</v>
      </c>
      <c r="D215" s="3">
        <v>2016.0</v>
      </c>
      <c r="E215" s="3" t="s">
        <v>1659</v>
      </c>
      <c r="F215" s="3" t="s">
        <v>187</v>
      </c>
      <c r="G215" s="3" t="s">
        <v>2325</v>
      </c>
      <c r="H215" s="3" t="s">
        <v>58</v>
      </c>
      <c r="I215" s="3" t="s">
        <v>2142</v>
      </c>
      <c r="J215" s="3" t="s">
        <v>58</v>
      </c>
      <c r="L215" s="3" t="s">
        <v>2143</v>
      </c>
      <c r="M215" s="3" t="s">
        <v>110</v>
      </c>
      <c r="S215" s="9" t="str">
        <f t="array" ref="S215">"[" &amp; TEXTJOIN(", ", TRUE, IF(LEN(T215:AB215), CHAR(34)&amp;T215:AB215&amp;CHAR(34), )) &amp; "]"
</f>
        <v>["Roads &amp; railroads", "Hunting &amp; collecting terrestrial animals"]</v>
      </c>
      <c r="U215" s="3"/>
      <c r="V215" s="3"/>
      <c r="W215" s="3" t="s">
        <v>63</v>
      </c>
      <c r="AA215" s="3" t="s">
        <v>2178</v>
      </c>
      <c r="AC215" s="3" t="s">
        <v>87</v>
      </c>
      <c r="AF215" s="3" t="s">
        <v>63</v>
      </c>
      <c r="AH215" s="3" t="s">
        <v>143</v>
      </c>
      <c r="AJ215" s="3" t="s">
        <v>61</v>
      </c>
      <c r="AL215" s="9" t="str">
        <f t="array" ref="AL215">"[" &amp; TEXTJOIN(", ", TRUE, IF(LEN(AM215:AQ215), CHAR(34)&amp;AM215:AQ215&amp;CHAR(34), )) &amp; "]"
</f>
        <v>["Pollution", "Transportation &amp; service corridors", "Natural system modifications", "Biological resource use"]</v>
      </c>
      <c r="AM215" s="3" t="s">
        <v>64</v>
      </c>
      <c r="AN215" s="3" t="s">
        <v>65</v>
      </c>
      <c r="AO215" s="3" t="s">
        <v>53</v>
      </c>
      <c r="AP215" s="3" t="s">
        <v>52</v>
      </c>
      <c r="AQ215" s="3"/>
      <c r="AR215" s="3" t="s">
        <v>64</v>
      </c>
      <c r="AS215" s="3" t="s">
        <v>65</v>
      </c>
      <c r="AT215" s="3" t="s">
        <v>53</v>
      </c>
      <c r="AU215" s="3" t="s">
        <v>52</v>
      </c>
      <c r="AW215" s="8" t="s">
        <v>2326</v>
      </c>
    </row>
    <row r="216" hidden="1">
      <c r="A216" s="3">
        <v>110.0</v>
      </c>
      <c r="B216" s="3" t="s">
        <v>55</v>
      </c>
      <c r="D216" s="3">
        <v>1991.0</v>
      </c>
      <c r="E216" s="3" t="s">
        <v>393</v>
      </c>
      <c r="F216" s="3" t="s">
        <v>57</v>
      </c>
      <c r="H216" s="3" t="s">
        <v>58</v>
      </c>
      <c r="I216" s="3"/>
      <c r="J216" s="3" t="s">
        <v>58</v>
      </c>
      <c r="K216" s="3"/>
      <c r="L216" s="3"/>
      <c r="M216" s="3" t="s">
        <v>69</v>
      </c>
      <c r="S216" s="3"/>
      <c r="T216" s="3"/>
      <c r="U216" s="3"/>
      <c r="V216" s="3"/>
      <c r="W216" s="3"/>
      <c r="X216" s="3"/>
      <c r="Y216" s="3"/>
      <c r="Z216" s="3"/>
      <c r="AC216" s="3" t="s">
        <v>61</v>
      </c>
      <c r="AF216" s="3" t="s">
        <v>244</v>
      </c>
      <c r="AH216" s="3" t="s">
        <v>63</v>
      </c>
      <c r="AL216" s="3"/>
      <c r="AM216" s="3"/>
      <c r="AN216" s="3"/>
      <c r="AO216" s="3"/>
      <c r="AP216" s="3"/>
      <c r="AQ216" s="3"/>
      <c r="AR216" s="3" t="s">
        <v>52</v>
      </c>
      <c r="AS216" s="3" t="s">
        <v>54</v>
      </c>
      <c r="AT216" s="3" t="s">
        <v>65</v>
      </c>
      <c r="AW216" s="8" t="s">
        <v>2135</v>
      </c>
    </row>
    <row r="217" hidden="1">
      <c r="A217" s="3">
        <v>120.0</v>
      </c>
      <c r="B217" s="3" t="s">
        <v>55</v>
      </c>
      <c r="D217" s="3">
        <v>1999.0</v>
      </c>
      <c r="E217" s="3" t="s">
        <v>411</v>
      </c>
      <c r="F217" s="3" t="s">
        <v>57</v>
      </c>
      <c r="H217" s="3" t="s">
        <v>58</v>
      </c>
      <c r="I217" s="3"/>
      <c r="J217" s="3" t="s">
        <v>58</v>
      </c>
      <c r="K217" s="3"/>
      <c r="L217" s="3"/>
      <c r="M217" s="3" t="s">
        <v>286</v>
      </c>
      <c r="S217" s="3"/>
      <c r="T217" s="3"/>
      <c r="U217" s="3"/>
      <c r="V217" s="3"/>
      <c r="W217" s="3"/>
      <c r="X217" s="3"/>
      <c r="AC217" s="3" t="s">
        <v>61</v>
      </c>
      <c r="AF217" s="3" t="s">
        <v>50</v>
      </c>
      <c r="AL217" s="3"/>
      <c r="AM217" s="3"/>
      <c r="AN217" s="3"/>
      <c r="AO217" s="3"/>
      <c r="AP217" s="3"/>
      <c r="AQ217" s="3"/>
      <c r="AR217" s="3" t="s">
        <v>52</v>
      </c>
      <c r="AS217" s="3" t="s">
        <v>54</v>
      </c>
      <c r="AW217" s="8" t="s">
        <v>2135</v>
      </c>
    </row>
    <row r="218">
      <c r="A218" s="3">
        <v>131.0</v>
      </c>
      <c r="B218" s="3" t="s">
        <v>40</v>
      </c>
      <c r="C218" s="3" t="s">
        <v>429</v>
      </c>
      <c r="D218" s="3">
        <v>1993.0</v>
      </c>
      <c r="E218" s="3" t="s">
        <v>430</v>
      </c>
      <c r="F218" s="3" t="s">
        <v>187</v>
      </c>
      <c r="G218" s="3" t="s">
        <v>2325</v>
      </c>
      <c r="H218" s="3" t="s">
        <v>58</v>
      </c>
      <c r="I218" s="3" t="s">
        <v>2142</v>
      </c>
      <c r="J218" s="3" t="s">
        <v>58</v>
      </c>
      <c r="L218" s="3" t="s">
        <v>2143</v>
      </c>
      <c r="M218" s="3" t="s">
        <v>110</v>
      </c>
      <c r="S218" s="9" t="str">
        <f t="array" ref="S218">"[" &amp; TEXTJOIN(", ", TRUE, IF(LEN(T218:AB218), CHAR(34)&amp;T218:AB218&amp;CHAR(34), )) &amp; "]"
</f>
        <v>["Fishing &amp; Harvesting Aquatic Resources"]</v>
      </c>
      <c r="T218" s="3" t="s">
        <v>2164</v>
      </c>
      <c r="U218" s="3"/>
      <c r="V218" s="3"/>
      <c r="AC218" s="3" t="s">
        <v>247</v>
      </c>
      <c r="AF218" s="3" t="s">
        <v>134</v>
      </c>
      <c r="AL218" s="9" t="str">
        <f t="array" ref="AL218">"[" &amp; TEXTJOIN(", ", TRUE, IF(LEN(AM218:AQ218), CHAR(34)&amp;AM218:AQ218&amp;CHAR(34), )) &amp; "]"
</f>
        <v>["Biological resource use", "Natural system modifications"]</v>
      </c>
      <c r="AM218" s="3" t="s">
        <v>52</v>
      </c>
      <c r="AN218" s="3" t="s">
        <v>53</v>
      </c>
      <c r="AO218" s="3"/>
      <c r="AP218" s="3"/>
      <c r="AQ218" s="3"/>
      <c r="AR218" s="3" t="s">
        <v>52</v>
      </c>
      <c r="AS218" s="3" t="s">
        <v>53</v>
      </c>
      <c r="AW218" s="8" t="s">
        <v>2327</v>
      </c>
    </row>
    <row r="219">
      <c r="A219" s="3">
        <v>760.0</v>
      </c>
      <c r="B219" s="3" t="s">
        <v>40</v>
      </c>
      <c r="C219" s="3" t="s">
        <v>1634</v>
      </c>
      <c r="D219" s="3">
        <v>1996.0</v>
      </c>
      <c r="E219" s="3" t="s">
        <v>1635</v>
      </c>
      <c r="F219" s="3" t="s">
        <v>187</v>
      </c>
      <c r="G219" s="3" t="s">
        <v>2325</v>
      </c>
      <c r="H219" s="3" t="s">
        <v>58</v>
      </c>
      <c r="I219" s="3" t="s">
        <v>2142</v>
      </c>
      <c r="J219" s="3" t="s">
        <v>58</v>
      </c>
      <c r="L219" s="3" t="s">
        <v>2143</v>
      </c>
      <c r="M219" s="3" t="s">
        <v>110</v>
      </c>
      <c r="S219" s="9" t="str">
        <f t="array" ref="S219">"[" &amp; TEXTJOIN(", ", TRUE, IF(LEN(T219:AB219), CHAR(34)&amp;T219:AB219&amp;CHAR(34), )) &amp; "]"
</f>
        <v>["Agricultural &amp; forestry effluents", "Industrial &amp; military effluents"]</v>
      </c>
      <c r="T219" s="3" t="s">
        <v>62</v>
      </c>
      <c r="U219" s="3" t="s">
        <v>147</v>
      </c>
      <c r="V219" s="3"/>
      <c r="AC219" s="3" t="s">
        <v>62</v>
      </c>
      <c r="AD219" s="3" t="s">
        <v>147</v>
      </c>
      <c r="AF219" s="3" t="s">
        <v>134</v>
      </c>
      <c r="AL219" s="9" t="str">
        <f t="array" ref="AL219">"[" &amp; TEXTJOIN(", ", TRUE, IF(LEN(AM219:AQ219), CHAR(34)&amp;AM219:AQ219&amp;CHAR(34), )) &amp; "]"
</f>
        <v>["Pollution", "Natural system modifications"]</v>
      </c>
      <c r="AM219" s="3" t="s">
        <v>64</v>
      </c>
      <c r="AN219" s="3" t="s">
        <v>53</v>
      </c>
      <c r="AO219" s="3"/>
      <c r="AP219" s="3"/>
      <c r="AQ219" s="3"/>
      <c r="AR219" s="3" t="s">
        <v>64</v>
      </c>
      <c r="AS219" s="3" t="s">
        <v>53</v>
      </c>
      <c r="AW219" s="8" t="s">
        <v>2328</v>
      </c>
    </row>
    <row r="220">
      <c r="A220" s="3">
        <v>228.0</v>
      </c>
      <c r="B220" s="3" t="s">
        <v>40</v>
      </c>
      <c r="C220" s="3" t="s">
        <v>621</v>
      </c>
      <c r="D220" s="3">
        <v>2015.0</v>
      </c>
      <c r="E220" s="3" t="s">
        <v>622</v>
      </c>
      <c r="F220" s="3" t="s">
        <v>187</v>
      </c>
      <c r="G220" s="3" t="s">
        <v>2325</v>
      </c>
      <c r="H220" s="3" t="s">
        <v>58</v>
      </c>
      <c r="I220" s="3" t="s">
        <v>2142</v>
      </c>
      <c r="J220" s="3" t="s">
        <v>58</v>
      </c>
      <c r="L220" s="3" t="s">
        <v>2329</v>
      </c>
      <c r="M220" s="3" t="s">
        <v>96</v>
      </c>
      <c r="N220" s="3" t="s">
        <v>285</v>
      </c>
      <c r="S220" s="9" t="str">
        <f t="array" ref="S220">"[" &amp; TEXTJOIN(", ", TRUE, IF(LEN(T220:AB220), CHAR(34)&amp;T220:AB220&amp;CHAR(34), )) &amp; "]"
</f>
        <v>["Hunting &amp; Collecting Terrestrial Animals", "Roads &amp; railroads"]</v>
      </c>
      <c r="T220" s="3" t="s">
        <v>2138</v>
      </c>
      <c r="U220" s="3"/>
      <c r="V220" s="3"/>
      <c r="W220" s="3" t="s">
        <v>63</v>
      </c>
      <c r="AC220" s="3" t="s">
        <v>61</v>
      </c>
      <c r="AF220" s="3" t="s">
        <v>63</v>
      </c>
      <c r="AL220" s="9" t="str">
        <f t="array" ref="AL220">"[" &amp; TEXTJOIN(", ", TRUE, IF(LEN(AM220:AQ220), CHAR(34)&amp;AM220:AQ220&amp;CHAR(34), )) &amp; "]"
</f>
        <v>["Biological resource use", "Transportation &amp; service corridors"]</v>
      </c>
      <c r="AM220" s="3" t="s">
        <v>52</v>
      </c>
      <c r="AN220" s="3" t="s">
        <v>65</v>
      </c>
      <c r="AO220" s="3"/>
      <c r="AP220" s="3"/>
      <c r="AQ220" s="3"/>
      <c r="AR220" s="3" t="s">
        <v>52</v>
      </c>
      <c r="AS220" s="3" t="s">
        <v>65</v>
      </c>
      <c r="AW220" s="8" t="s">
        <v>2330</v>
      </c>
    </row>
    <row r="221" hidden="1">
      <c r="A221" s="3">
        <v>130.0</v>
      </c>
      <c r="B221" s="3" t="s">
        <v>55</v>
      </c>
      <c r="D221" s="3">
        <v>1993.0</v>
      </c>
      <c r="E221" s="3" t="s">
        <v>428</v>
      </c>
      <c r="F221" s="3" t="s">
        <v>57</v>
      </c>
      <c r="H221" s="3" t="s">
        <v>58</v>
      </c>
      <c r="I221" s="3"/>
      <c r="J221" s="3" t="s">
        <v>58</v>
      </c>
      <c r="K221" s="3"/>
      <c r="L221" s="3"/>
      <c r="M221" s="3" t="s">
        <v>69</v>
      </c>
      <c r="S221" s="3"/>
      <c r="T221" s="3"/>
      <c r="U221" s="3"/>
      <c r="V221" s="3"/>
      <c r="W221" s="3"/>
      <c r="X221" s="3"/>
      <c r="Y221" s="3"/>
      <c r="Z221" s="3"/>
      <c r="AC221" s="3" t="s">
        <v>61</v>
      </c>
      <c r="AF221" s="3" t="s">
        <v>134</v>
      </c>
      <c r="AH221" s="3" t="s">
        <v>63</v>
      </c>
      <c r="AL221" s="3"/>
      <c r="AM221" s="3"/>
      <c r="AN221" s="3"/>
      <c r="AO221" s="3"/>
      <c r="AP221" s="3"/>
      <c r="AQ221" s="3"/>
      <c r="AR221" s="3" t="s">
        <v>52</v>
      </c>
      <c r="AS221" s="3" t="s">
        <v>53</v>
      </c>
      <c r="AT221" s="3" t="s">
        <v>65</v>
      </c>
      <c r="AW221" s="8" t="s">
        <v>2135</v>
      </c>
    </row>
    <row r="222">
      <c r="A222" s="3">
        <v>33.0</v>
      </c>
      <c r="B222" s="3" t="s">
        <v>40</v>
      </c>
      <c r="C222" s="3" t="s">
        <v>185</v>
      </c>
      <c r="D222" s="3">
        <v>2008.0</v>
      </c>
      <c r="E222" s="3" t="s">
        <v>186</v>
      </c>
      <c r="F222" s="3" t="s">
        <v>187</v>
      </c>
      <c r="G222" s="3" t="s">
        <v>2325</v>
      </c>
      <c r="H222" s="3" t="s">
        <v>58</v>
      </c>
      <c r="I222" s="3" t="s">
        <v>2142</v>
      </c>
      <c r="J222" s="3" t="s">
        <v>58</v>
      </c>
      <c r="L222" s="3" t="s">
        <v>2166</v>
      </c>
      <c r="M222" s="3" t="s">
        <v>96</v>
      </c>
      <c r="S222" s="9" t="str">
        <f t="array" ref="S222">"[" &amp; TEXTJOIN(", ", TRUE, IF(LEN(T222:AB222), CHAR(34)&amp;T222:AB222&amp;CHAR(34), )) &amp; "]"
</f>
        <v>["Annual &amp; perennial non-timber crops", "Livestock farming &amp; ranching"]</v>
      </c>
      <c r="T222" s="3" t="s">
        <v>60</v>
      </c>
      <c r="U222" s="3" t="s">
        <v>47</v>
      </c>
      <c r="V222" s="3"/>
      <c r="AC222" s="3" t="s">
        <v>60</v>
      </c>
      <c r="AD222" s="3" t="s">
        <v>47</v>
      </c>
      <c r="AL222" s="9" t="str">
        <f t="array" ref="AL222">"[" &amp; TEXTJOIN(", ", TRUE, IF(LEN(AM222:AQ222), CHAR(34)&amp;AM222:AQ222&amp;CHAR(34), )) &amp; "]"
</f>
        <v>["Agriculture &amp; aquaculture"]</v>
      </c>
      <c r="AM222" s="3" t="s">
        <v>51</v>
      </c>
      <c r="AN222" s="3"/>
      <c r="AO222" s="3"/>
      <c r="AP222" s="3"/>
      <c r="AQ222" s="3"/>
      <c r="AR222" s="3" t="s">
        <v>51</v>
      </c>
      <c r="AW222" s="8" t="s">
        <v>2331</v>
      </c>
    </row>
    <row r="223">
      <c r="A223" s="3">
        <v>37.0</v>
      </c>
      <c r="B223" s="3" t="s">
        <v>40</v>
      </c>
      <c r="C223" s="3" t="s">
        <v>195</v>
      </c>
      <c r="D223" s="3">
        <v>2012.0</v>
      </c>
      <c r="E223" s="3" t="s">
        <v>196</v>
      </c>
      <c r="F223" s="3" t="s">
        <v>187</v>
      </c>
      <c r="G223" s="3" t="s">
        <v>2325</v>
      </c>
      <c r="H223" s="3" t="s">
        <v>58</v>
      </c>
      <c r="I223" s="3" t="s">
        <v>2142</v>
      </c>
      <c r="J223" s="3" t="s">
        <v>58</v>
      </c>
      <c r="L223" s="3" t="s">
        <v>2166</v>
      </c>
      <c r="M223" s="3" t="s">
        <v>96</v>
      </c>
      <c r="S223" s="9" t="str">
        <f t="array" ref="S223">"[" &amp; TEXTJOIN(", ", TRUE, IF(LEN(T223:AB223), CHAR(34)&amp;T223:AB223&amp;CHAR(34), )) &amp; "]"
</f>
        <v>["Annual &amp; perennial non-timber crops", "Livestock farming &amp; ranching"]</v>
      </c>
      <c r="T223" s="3" t="s">
        <v>60</v>
      </c>
      <c r="U223" s="3" t="s">
        <v>47</v>
      </c>
      <c r="V223" s="3"/>
      <c r="AC223" s="3" t="s">
        <v>60</v>
      </c>
      <c r="AD223" s="3" t="s">
        <v>47</v>
      </c>
      <c r="AL223" s="9" t="str">
        <f t="array" ref="AL223">"[" &amp; TEXTJOIN(", ", TRUE, IF(LEN(AM223:AQ223), CHAR(34)&amp;AM223:AQ223&amp;CHAR(34), )) &amp; "]"
</f>
        <v>["Agriculture &amp; aquaculture"]</v>
      </c>
      <c r="AM223" s="3" t="s">
        <v>51</v>
      </c>
      <c r="AN223" s="3"/>
      <c r="AO223" s="3"/>
      <c r="AP223" s="3"/>
      <c r="AQ223" s="3"/>
      <c r="AR223" s="3" t="s">
        <v>51</v>
      </c>
      <c r="AW223" s="8" t="s">
        <v>2332</v>
      </c>
    </row>
    <row r="224">
      <c r="A224" s="3">
        <v>503.0</v>
      </c>
      <c r="B224" s="3" t="s">
        <v>40</v>
      </c>
      <c r="C224" s="3" t="s">
        <v>429</v>
      </c>
      <c r="D224" s="3">
        <v>1999.0</v>
      </c>
      <c r="E224" s="3" t="s">
        <v>1130</v>
      </c>
      <c r="F224" s="3" t="s">
        <v>187</v>
      </c>
      <c r="G224" s="3" t="s">
        <v>2325</v>
      </c>
      <c r="H224" s="3" t="s">
        <v>58</v>
      </c>
      <c r="I224" s="3" t="s">
        <v>2142</v>
      </c>
      <c r="J224" s="3" t="s">
        <v>58</v>
      </c>
      <c r="L224" s="3" t="s">
        <v>2168</v>
      </c>
      <c r="M224" s="3" t="s">
        <v>286</v>
      </c>
      <c r="S224" s="9" t="str">
        <f t="array" ref="S224">"[" &amp; TEXTJOIN(", ", TRUE, IF(LEN(T224:AB224), CHAR(34)&amp;T224:AB224&amp;CHAR(34), )) &amp; "]"
</f>
        <v>["Invasive non-native/alien species/diseases"]</v>
      </c>
      <c r="T224" s="3" t="s">
        <v>50</v>
      </c>
      <c r="U224" s="3"/>
      <c r="V224" s="3"/>
      <c r="AC224" s="3" t="s">
        <v>50</v>
      </c>
      <c r="AL224" s="9" t="str">
        <f t="array" ref="AL224">"[" &amp; TEXTJOIN(", ", TRUE, IF(LEN(AM224:AQ224), CHAR(34)&amp;AM224:AQ224&amp;CHAR(34), )) &amp; "]"
</f>
        <v>["Invasive &amp; other problematic species, genes &amp; diseases"]</v>
      </c>
      <c r="AM224" s="3" t="s">
        <v>54</v>
      </c>
      <c r="AN224" s="3"/>
      <c r="AO224" s="3"/>
      <c r="AP224" s="3"/>
      <c r="AQ224" s="3"/>
      <c r="AR224" s="3" t="s">
        <v>54</v>
      </c>
      <c r="AW224" s="8" t="s">
        <v>2333</v>
      </c>
    </row>
    <row r="225">
      <c r="A225" s="3">
        <v>527.0</v>
      </c>
      <c r="B225" s="3" t="s">
        <v>40</v>
      </c>
      <c r="C225" s="3" t="s">
        <v>1177</v>
      </c>
      <c r="D225" s="3">
        <v>2008.0</v>
      </c>
      <c r="E225" s="3" t="s">
        <v>1178</v>
      </c>
      <c r="F225" s="3" t="s">
        <v>187</v>
      </c>
      <c r="G225" s="3" t="s">
        <v>2325</v>
      </c>
      <c r="H225" s="3" t="s">
        <v>58</v>
      </c>
      <c r="I225" s="3" t="s">
        <v>2142</v>
      </c>
      <c r="J225" s="3" t="s">
        <v>58</v>
      </c>
      <c r="L225" s="3" t="s">
        <v>2334</v>
      </c>
      <c r="M225" s="3" t="s">
        <v>286</v>
      </c>
      <c r="N225" s="3" t="s">
        <v>76</v>
      </c>
      <c r="S225" s="9" t="str">
        <f t="array" ref="S225">"[" &amp; TEXTJOIN(", ", TRUE, IF(LEN(T225:AB225), CHAR(34)&amp;T225:AB225&amp;CHAR(34), )) &amp; "]"
</f>
        <v>["Problematic native species/diseases"]</v>
      </c>
      <c r="T225" s="3" t="s">
        <v>244</v>
      </c>
      <c r="U225" s="3"/>
      <c r="V225" s="3"/>
      <c r="AC225" s="3" t="s">
        <v>244</v>
      </c>
      <c r="AL225" s="9" t="str">
        <f t="array" ref="AL225">"[" &amp; TEXTJOIN(", ", TRUE, IF(LEN(AM225:AQ225), CHAR(34)&amp;AM225:AQ225&amp;CHAR(34), )) &amp; "]"
</f>
        <v>["Invasive &amp; other problematic species, genes &amp; diseases"]</v>
      </c>
      <c r="AM225" s="3" t="s">
        <v>54</v>
      </c>
      <c r="AN225" s="3"/>
      <c r="AO225" s="3"/>
      <c r="AP225" s="3"/>
      <c r="AQ225" s="3"/>
      <c r="AR225" s="3" t="s">
        <v>54</v>
      </c>
      <c r="AW225" s="8" t="s">
        <v>2335</v>
      </c>
    </row>
    <row r="226">
      <c r="A226" s="3">
        <v>540.0</v>
      </c>
      <c r="B226" s="3" t="s">
        <v>40</v>
      </c>
      <c r="C226" s="3" t="s">
        <v>1203</v>
      </c>
      <c r="D226" s="3">
        <v>2010.0</v>
      </c>
      <c r="E226" s="3" t="s">
        <v>1204</v>
      </c>
      <c r="F226" s="3" t="s">
        <v>187</v>
      </c>
      <c r="G226" s="3" t="s">
        <v>2325</v>
      </c>
      <c r="H226" s="3" t="s">
        <v>58</v>
      </c>
      <c r="I226" s="3" t="s">
        <v>2142</v>
      </c>
      <c r="J226" s="3" t="s">
        <v>58</v>
      </c>
      <c r="L226" s="3" t="s">
        <v>2168</v>
      </c>
      <c r="M226" s="3" t="s">
        <v>286</v>
      </c>
      <c r="S226" s="9" t="str">
        <f t="array" ref="S226">"[" &amp; TEXTJOIN(", ", TRUE, IF(LEN(T226:AB226), CHAR(34)&amp;T226:AB226&amp;CHAR(34), )) &amp; "]"
</f>
        <v>["Problematic native species/diseases"]</v>
      </c>
      <c r="T226" s="3" t="s">
        <v>244</v>
      </c>
      <c r="U226" s="3"/>
      <c r="V226" s="3"/>
      <c r="AC226" s="3" t="s">
        <v>244</v>
      </c>
      <c r="AL226" s="9" t="str">
        <f t="array" ref="AL226">"[" &amp; TEXTJOIN(", ", TRUE, IF(LEN(AM226:AQ226), CHAR(34)&amp;AM226:AQ226&amp;CHAR(34), )) &amp; "]"
</f>
        <v>["Invasive &amp; other problematic species, genes &amp; diseases"]</v>
      </c>
      <c r="AM226" s="3" t="s">
        <v>54</v>
      </c>
      <c r="AN226" s="3"/>
      <c r="AO226" s="3"/>
      <c r="AP226" s="3"/>
      <c r="AQ226" s="3"/>
      <c r="AR226" s="3" t="s">
        <v>54</v>
      </c>
      <c r="AW226" s="8" t="s">
        <v>2336</v>
      </c>
    </row>
    <row r="227">
      <c r="A227" s="3">
        <v>515.0</v>
      </c>
      <c r="B227" s="3" t="s">
        <v>40</v>
      </c>
      <c r="C227" s="3" t="s">
        <v>1153</v>
      </c>
      <c r="D227" s="3">
        <v>2004.0</v>
      </c>
      <c r="E227" s="3" t="s">
        <v>1154</v>
      </c>
      <c r="F227" s="3" t="s">
        <v>187</v>
      </c>
      <c r="G227" s="3" t="s">
        <v>2325</v>
      </c>
      <c r="H227" s="3" t="s">
        <v>58</v>
      </c>
      <c r="I227" s="3" t="s">
        <v>2142</v>
      </c>
      <c r="J227" s="3" t="s">
        <v>58</v>
      </c>
      <c r="L227" s="3" t="s">
        <v>2168</v>
      </c>
      <c r="M227" s="3" t="s">
        <v>286</v>
      </c>
      <c r="S227" s="9" t="str">
        <f t="array" ref="S227">"[" &amp; TEXTJOIN(", ", TRUE, IF(LEN(T227:AB227), CHAR(34)&amp;T227:AB227&amp;CHAR(34), )) &amp; "]"
</f>
        <v>["Viral/prion-induced diseases"]</v>
      </c>
      <c r="T227" s="3" t="s">
        <v>385</v>
      </c>
      <c r="U227" s="3"/>
      <c r="V227" s="3"/>
      <c r="AC227" s="3" t="s">
        <v>385</v>
      </c>
      <c r="AL227" s="9" t="str">
        <f t="array" ref="AL227">"[" &amp; TEXTJOIN(", ", TRUE, IF(LEN(AM227:AQ227), CHAR(34)&amp;AM227:AQ227&amp;CHAR(34), )) &amp; "]"
</f>
        <v>["Invasive &amp; other problematic species, genes &amp; diseases"]</v>
      </c>
      <c r="AM227" s="3" t="s">
        <v>54</v>
      </c>
      <c r="AN227" s="3"/>
      <c r="AO227" s="3"/>
      <c r="AP227" s="3"/>
      <c r="AQ227" s="3"/>
      <c r="AR227" s="3" t="s">
        <v>54</v>
      </c>
      <c r="AW227" s="8" t="s">
        <v>2337</v>
      </c>
    </row>
    <row r="228">
      <c r="A228" s="3">
        <v>528.0</v>
      </c>
      <c r="B228" s="3" t="s">
        <v>40</v>
      </c>
      <c r="C228" s="3" t="s">
        <v>1179</v>
      </c>
      <c r="D228" s="3">
        <v>2008.0</v>
      </c>
      <c r="E228" s="3" t="s">
        <v>1180</v>
      </c>
      <c r="F228" s="3" t="s">
        <v>187</v>
      </c>
      <c r="G228" s="3" t="s">
        <v>2325</v>
      </c>
      <c r="H228" s="3" t="s">
        <v>58</v>
      </c>
      <c r="I228" s="3" t="s">
        <v>2142</v>
      </c>
      <c r="J228" s="3" t="s">
        <v>58</v>
      </c>
      <c r="L228" s="3" t="s">
        <v>2168</v>
      </c>
      <c r="M228" s="3" t="s">
        <v>286</v>
      </c>
      <c r="S228" s="9" t="str">
        <f t="array" ref="S228">"[" &amp; TEXTJOIN(", ", TRUE, IF(LEN(T228:AB228), CHAR(34)&amp;T228:AB228&amp;CHAR(34), )) &amp; "]"
</f>
        <v>["Viral/prion-induced diseases"]</v>
      </c>
      <c r="T228" s="3" t="s">
        <v>385</v>
      </c>
      <c r="U228" s="3"/>
      <c r="V228" s="3"/>
      <c r="AC228" s="3" t="s">
        <v>385</v>
      </c>
      <c r="AL228" s="9" t="str">
        <f t="array" ref="AL228">"[" &amp; TEXTJOIN(", ", TRUE, IF(LEN(AM228:AQ228), CHAR(34)&amp;AM228:AQ228&amp;CHAR(34), )) &amp; "]"
</f>
        <v>["Invasive &amp; other problematic species, genes &amp; diseases"]</v>
      </c>
      <c r="AM228" s="3" t="s">
        <v>54</v>
      </c>
      <c r="AN228" s="3"/>
      <c r="AO228" s="3"/>
      <c r="AP228" s="3"/>
      <c r="AQ228" s="3"/>
      <c r="AR228" s="3" t="s">
        <v>54</v>
      </c>
      <c r="AW228" s="8" t="s">
        <v>2338</v>
      </c>
    </row>
    <row r="229">
      <c r="A229" s="3">
        <v>644.0</v>
      </c>
      <c r="B229" s="3" t="s">
        <v>40</v>
      </c>
      <c r="C229" s="3" t="s">
        <v>1402</v>
      </c>
      <c r="D229" s="3">
        <v>2007.0</v>
      </c>
      <c r="E229" s="3" t="s">
        <v>1403</v>
      </c>
      <c r="F229" s="3" t="s">
        <v>187</v>
      </c>
      <c r="G229" s="3" t="s">
        <v>2325</v>
      </c>
      <c r="H229" s="3" t="s">
        <v>58</v>
      </c>
      <c r="I229" s="3" t="s">
        <v>2142</v>
      </c>
      <c r="J229" s="3" t="s">
        <v>58</v>
      </c>
      <c r="L229" s="3" t="s">
        <v>2334</v>
      </c>
      <c r="M229" s="3" t="s">
        <v>286</v>
      </c>
      <c r="N229" s="3" t="s">
        <v>76</v>
      </c>
      <c r="S229" s="9" t="str">
        <f t="array" ref="S229">"[" &amp; TEXTJOIN(", ", TRUE, IF(LEN(T229:AB229), CHAR(34)&amp;T229:AB229&amp;CHAR(34), )) &amp; "]"
</f>
        <v>["Dams &amp; water management/use"]</v>
      </c>
      <c r="T229" s="3" t="s">
        <v>49</v>
      </c>
      <c r="U229" s="3"/>
      <c r="V229" s="3"/>
      <c r="AC229" s="3" t="s">
        <v>49</v>
      </c>
      <c r="AL229" s="9" t="str">
        <f t="array" ref="AL229">"[" &amp; TEXTJOIN(", ", TRUE, IF(LEN(AM229:AQ229), CHAR(34)&amp;AM229:AQ229&amp;CHAR(34), )) &amp; "]"
</f>
        <v>["Natural system modifications"]</v>
      </c>
      <c r="AM229" s="3" t="s">
        <v>53</v>
      </c>
      <c r="AN229" s="3"/>
      <c r="AO229" s="3"/>
      <c r="AP229" s="3"/>
      <c r="AQ229" s="3"/>
      <c r="AR229" s="3" t="s">
        <v>53</v>
      </c>
      <c r="AW229" s="8" t="s">
        <v>2339</v>
      </c>
    </row>
    <row r="230">
      <c r="A230" s="3">
        <v>686.0</v>
      </c>
      <c r="B230" s="3" t="s">
        <v>40</v>
      </c>
      <c r="C230" s="3" t="s">
        <v>429</v>
      </c>
      <c r="D230" s="3">
        <v>2006.0</v>
      </c>
      <c r="E230" s="3" t="s">
        <v>1485</v>
      </c>
      <c r="F230" s="3" t="s">
        <v>187</v>
      </c>
      <c r="G230" s="3" t="s">
        <v>2325</v>
      </c>
      <c r="H230" s="3" t="s">
        <v>58</v>
      </c>
      <c r="I230" s="3" t="s">
        <v>2142</v>
      </c>
      <c r="J230" s="3" t="s">
        <v>58</v>
      </c>
      <c r="L230" s="3" t="s">
        <v>2340</v>
      </c>
      <c r="M230" s="3" t="s">
        <v>76</v>
      </c>
      <c r="S230" s="9"/>
      <c r="T230" s="3"/>
      <c r="U230" s="3"/>
      <c r="V230" s="3"/>
      <c r="AL230" s="9" t="str">
        <f t="array" ref="AL230">"[" &amp; TEXTJOIN(", ", TRUE, IF(LEN(AM230:AQ230), CHAR(34)&amp;AM230:AQ230&amp;CHAR(34), )) &amp; "]"
</f>
        <v>[]</v>
      </c>
      <c r="AN230" s="3"/>
      <c r="AO230" s="3"/>
      <c r="AP230" s="3"/>
      <c r="AQ230" s="3"/>
      <c r="AR230" s="3" t="s">
        <v>78</v>
      </c>
      <c r="AW230" s="8" t="s">
        <v>2341</v>
      </c>
    </row>
    <row r="231">
      <c r="A231" s="3">
        <v>834.0</v>
      </c>
      <c r="B231" s="3" t="s">
        <v>40</v>
      </c>
      <c r="C231" s="3" t="s">
        <v>1782</v>
      </c>
      <c r="D231" s="3">
        <v>2007.0</v>
      </c>
      <c r="E231" s="3" t="s">
        <v>1783</v>
      </c>
      <c r="F231" s="3" t="s">
        <v>187</v>
      </c>
      <c r="G231" s="3" t="s">
        <v>2325</v>
      </c>
      <c r="H231" s="3" t="s">
        <v>58</v>
      </c>
      <c r="I231" s="3" t="s">
        <v>2142</v>
      </c>
      <c r="J231" s="3" t="s">
        <v>58</v>
      </c>
      <c r="L231" s="3" t="s">
        <v>2143</v>
      </c>
      <c r="M231" s="3" t="s">
        <v>110</v>
      </c>
      <c r="S231" s="9" t="str">
        <f t="array" ref="S231">"[" &amp; TEXTJOIN(", ", TRUE, IF(LEN(T231:AB231), CHAR(34)&amp;T231:AB231&amp;CHAR(34), )) &amp; "]"
</f>
        <v>["Agricultural &amp; forestry effluents", "Industrial &amp; military effluents"]</v>
      </c>
      <c r="T231" s="3" t="s">
        <v>62</v>
      </c>
      <c r="U231" s="3" t="s">
        <v>147</v>
      </c>
      <c r="V231" s="3"/>
      <c r="AC231" s="3" t="s">
        <v>62</v>
      </c>
      <c r="AD231" s="3" t="s">
        <v>147</v>
      </c>
      <c r="AL231" s="9" t="str">
        <f t="array" ref="AL231">"[" &amp; TEXTJOIN(", ", TRUE, IF(LEN(AM231:AQ231), CHAR(34)&amp;AM231:AQ231&amp;CHAR(34), )) &amp; "]"
</f>
        <v>["Pollution"]</v>
      </c>
      <c r="AM231" s="3" t="s">
        <v>64</v>
      </c>
      <c r="AN231" s="3"/>
      <c r="AO231" s="3"/>
      <c r="AP231" s="3"/>
      <c r="AQ231" s="3"/>
      <c r="AR231" s="3" t="s">
        <v>64</v>
      </c>
      <c r="AW231" s="8" t="s">
        <v>2342</v>
      </c>
    </row>
    <row r="232">
      <c r="A232" s="3">
        <v>826.0</v>
      </c>
      <c r="B232" s="3" t="s">
        <v>40</v>
      </c>
      <c r="C232" s="3" t="s">
        <v>1766</v>
      </c>
      <c r="D232" s="3">
        <v>2004.0</v>
      </c>
      <c r="E232" s="3" t="s">
        <v>1767</v>
      </c>
      <c r="F232" s="3" t="s">
        <v>187</v>
      </c>
      <c r="G232" s="3" t="s">
        <v>2325</v>
      </c>
      <c r="H232" s="3" t="s">
        <v>58</v>
      </c>
      <c r="I232" s="3" t="s">
        <v>2142</v>
      </c>
      <c r="J232" s="3" t="s">
        <v>58</v>
      </c>
      <c r="L232" s="3" t="s">
        <v>2168</v>
      </c>
      <c r="M232" s="3" t="s">
        <v>286</v>
      </c>
      <c r="S232" s="9" t="str">
        <f t="array" ref="S232">"[" &amp; TEXTJOIN(", ", TRUE, IF(LEN(T232:AB232), CHAR(34)&amp;T232:AB232&amp;CHAR(34), )) &amp; "]"
</f>
        <v>["Agricultural &amp; forestry effluents"]</v>
      </c>
      <c r="T232" s="3" t="s">
        <v>62</v>
      </c>
      <c r="U232" s="3"/>
      <c r="V232" s="3"/>
      <c r="AC232" s="3" t="s">
        <v>62</v>
      </c>
      <c r="AL232" s="9" t="str">
        <f t="array" ref="AL232">"[" &amp; TEXTJOIN(", ", TRUE, IF(LEN(AM232:AQ232), CHAR(34)&amp;AM232:AQ232&amp;CHAR(34), )) &amp; "]"
</f>
        <v>["Pollution"]</v>
      </c>
      <c r="AM232" s="3" t="s">
        <v>64</v>
      </c>
      <c r="AN232" s="3"/>
      <c r="AO232" s="3"/>
      <c r="AP232" s="3"/>
      <c r="AQ232" s="3"/>
      <c r="AR232" s="3" t="s">
        <v>64</v>
      </c>
      <c r="AW232" s="8" t="s">
        <v>2343</v>
      </c>
    </row>
    <row r="233">
      <c r="A233" s="3">
        <v>844.0</v>
      </c>
      <c r="B233" s="3" t="s">
        <v>40</v>
      </c>
      <c r="C233" s="3" t="s">
        <v>1802</v>
      </c>
      <c r="D233" s="3">
        <v>2010.0</v>
      </c>
      <c r="E233" s="3" t="s">
        <v>1803</v>
      </c>
      <c r="F233" s="3" t="s">
        <v>187</v>
      </c>
      <c r="G233" s="3" t="s">
        <v>2325</v>
      </c>
      <c r="H233" s="3" t="s">
        <v>58</v>
      </c>
      <c r="I233" s="3" t="s">
        <v>2142</v>
      </c>
      <c r="J233" s="3" t="s">
        <v>58</v>
      </c>
      <c r="L233" s="3" t="s">
        <v>2143</v>
      </c>
      <c r="M233" s="3" t="s">
        <v>110</v>
      </c>
      <c r="S233" s="9" t="str">
        <f t="array" ref="S233">"[" &amp; TEXTJOIN(", ", TRUE, IF(LEN(T233:AB233), CHAR(34)&amp;T233:AB233&amp;CHAR(34), )) &amp; "]"
</f>
        <v>["Industrial &amp; military effluents", "Agricultural &amp; forestry effluents"]</v>
      </c>
      <c r="T233" s="3" t="s">
        <v>147</v>
      </c>
      <c r="U233" s="3" t="s">
        <v>62</v>
      </c>
      <c r="V233" s="3"/>
      <c r="AC233" s="3" t="s">
        <v>147</v>
      </c>
      <c r="AD233" s="3" t="s">
        <v>62</v>
      </c>
      <c r="AL233" s="9" t="str">
        <f t="array" ref="AL233">"[" &amp; TEXTJOIN(", ", TRUE, IF(LEN(AM233:AQ233), CHAR(34)&amp;AM233:AQ233&amp;CHAR(34), )) &amp; "]"
</f>
        <v>["Pollution"]</v>
      </c>
      <c r="AM233" s="3" t="s">
        <v>64</v>
      </c>
      <c r="AN233" s="3"/>
      <c r="AO233" s="3"/>
      <c r="AP233" s="3"/>
      <c r="AQ233" s="3"/>
      <c r="AR233" s="3" t="s">
        <v>64</v>
      </c>
      <c r="AW233" s="8" t="s">
        <v>2344</v>
      </c>
    </row>
    <row r="234">
      <c r="A234" s="3">
        <v>770.0</v>
      </c>
      <c r="B234" s="3" t="s">
        <v>40</v>
      </c>
      <c r="C234" s="3" t="s">
        <v>1654</v>
      </c>
      <c r="D234" s="3">
        <v>2011.0</v>
      </c>
      <c r="E234" s="3" t="s">
        <v>1655</v>
      </c>
      <c r="F234" s="3" t="s">
        <v>515</v>
      </c>
      <c r="G234" s="3" t="s">
        <v>2345</v>
      </c>
      <c r="H234" s="3" t="s">
        <v>58</v>
      </c>
      <c r="I234" s="3" t="s">
        <v>2142</v>
      </c>
      <c r="J234" s="3" t="s">
        <v>58</v>
      </c>
      <c r="L234" s="3" t="s">
        <v>2143</v>
      </c>
      <c r="M234" s="3" t="s">
        <v>110</v>
      </c>
      <c r="S234" s="9" t="str">
        <f t="array" ref="S234">"[" &amp; TEXTJOIN(", ", TRUE, IF(LEN(T234:AB234), CHAR(34)&amp;T234:AB234&amp;CHAR(34), )) &amp; "]"
</f>
        <v>["Roads &amp; railroads", "Marine &amp; freshwater aquaculture", "Hunting &amp; collecting terrestrial animals"]</v>
      </c>
      <c r="U234" s="3"/>
      <c r="V234" s="3"/>
      <c r="W234" s="3" t="s">
        <v>63</v>
      </c>
      <c r="Y234" s="3" t="s">
        <v>111</v>
      </c>
      <c r="AA234" s="3" t="s">
        <v>2178</v>
      </c>
      <c r="AC234" s="3" t="s">
        <v>87</v>
      </c>
      <c r="AF234" s="3" t="s">
        <v>63</v>
      </c>
      <c r="AH234" s="3" t="s">
        <v>111</v>
      </c>
      <c r="AJ234" s="3" t="s">
        <v>61</v>
      </c>
      <c r="AL234" s="9" t="str">
        <f t="array" ref="AL234">"[" &amp; TEXTJOIN(", ", TRUE, IF(LEN(AM234:AQ234), CHAR(34)&amp;AM234:AQ234&amp;CHAR(34), )) &amp; "]"
</f>
        <v>["Pollution", "Transportation &amp; service corridors", "Agriculture &amp; aquaculture", "Biological resource use"]</v>
      </c>
      <c r="AM234" s="3" t="s">
        <v>64</v>
      </c>
      <c r="AN234" s="3" t="s">
        <v>65</v>
      </c>
      <c r="AO234" s="3" t="s">
        <v>51</v>
      </c>
      <c r="AP234" s="3" t="s">
        <v>52</v>
      </c>
      <c r="AQ234" s="3"/>
      <c r="AR234" s="3" t="s">
        <v>64</v>
      </c>
      <c r="AS234" s="3" t="s">
        <v>65</v>
      </c>
      <c r="AT234" s="3" t="s">
        <v>51</v>
      </c>
      <c r="AU234" s="3" t="s">
        <v>52</v>
      </c>
      <c r="AW234" s="8" t="s">
        <v>2346</v>
      </c>
    </row>
    <row r="235">
      <c r="A235" s="3">
        <v>171.0</v>
      </c>
      <c r="B235" s="3" t="s">
        <v>40</v>
      </c>
      <c r="C235" s="3" t="s">
        <v>513</v>
      </c>
      <c r="D235" s="3">
        <v>2017.0</v>
      </c>
      <c r="E235" s="3" t="s">
        <v>514</v>
      </c>
      <c r="F235" s="3" t="s">
        <v>515</v>
      </c>
      <c r="G235" s="3" t="s">
        <v>2345</v>
      </c>
      <c r="H235" s="3" t="s">
        <v>58</v>
      </c>
      <c r="I235" s="3" t="s">
        <v>2142</v>
      </c>
      <c r="J235" s="3" t="s">
        <v>58</v>
      </c>
      <c r="L235" s="3" t="s">
        <v>2143</v>
      </c>
      <c r="M235" s="3" t="s">
        <v>110</v>
      </c>
      <c r="S235" s="9" t="str">
        <f t="array" ref="S235">"[" &amp; TEXTJOIN(", ", TRUE, IF(LEN(T235:AB235), CHAR(34)&amp;T235:AB235&amp;CHAR(34), )) &amp; "]"
</f>
        <v>["Hunting &amp; Collecting Terrestrial Animals"]</v>
      </c>
      <c r="T235" s="3" t="s">
        <v>2138</v>
      </c>
      <c r="U235" s="3"/>
      <c r="V235" s="3"/>
      <c r="AC235" s="3" t="s">
        <v>61</v>
      </c>
      <c r="AF235" s="3" t="s">
        <v>87</v>
      </c>
      <c r="AH235" s="3" t="s">
        <v>516</v>
      </c>
      <c r="AL235" s="9" t="str">
        <f t="array" ref="AL235">"[" &amp; TEXTJOIN(", ", TRUE, IF(LEN(AM235:AQ235), CHAR(34)&amp;AM235:AQ235&amp;CHAR(34), )) &amp; "]"
</f>
        <v>["Biological resource use", "Pollution", "Natural system modifications"]</v>
      </c>
      <c r="AM235" s="3" t="s">
        <v>52</v>
      </c>
      <c r="AN235" s="3" t="s">
        <v>64</v>
      </c>
      <c r="AO235" s="3" t="s">
        <v>53</v>
      </c>
      <c r="AP235" s="3"/>
      <c r="AQ235" s="3"/>
      <c r="AR235" s="3" t="s">
        <v>52</v>
      </c>
      <c r="AS235" s="3" t="s">
        <v>64</v>
      </c>
      <c r="AT235" s="3" t="s">
        <v>53</v>
      </c>
      <c r="AW235" s="8" t="s">
        <v>2347</v>
      </c>
    </row>
    <row r="236">
      <c r="A236" s="3">
        <v>265.0</v>
      </c>
      <c r="B236" s="3" t="s">
        <v>40</v>
      </c>
      <c r="C236" s="3" t="s">
        <v>697</v>
      </c>
      <c r="D236" s="3">
        <v>1999.0</v>
      </c>
      <c r="E236" s="3" t="s">
        <v>698</v>
      </c>
      <c r="F236" s="3" t="s">
        <v>515</v>
      </c>
      <c r="G236" s="3" t="s">
        <v>2345</v>
      </c>
      <c r="H236" s="3" t="s">
        <v>58</v>
      </c>
      <c r="I236" s="3" t="s">
        <v>2142</v>
      </c>
      <c r="J236" s="3" t="s">
        <v>58</v>
      </c>
      <c r="L236" s="3" t="s">
        <v>2143</v>
      </c>
      <c r="M236" s="3" t="s">
        <v>110</v>
      </c>
      <c r="S236" s="9" t="str">
        <f t="array" ref="S236">"[" &amp; TEXTJOIN(", ", TRUE, IF(LEN(T236:AB236), CHAR(34)&amp;T236:AB236&amp;CHAR(34), )) &amp; "]"
</f>
        <v>["Hunting &amp; Collecting Terrestrial Animals"]</v>
      </c>
      <c r="T236" s="3" t="s">
        <v>2138</v>
      </c>
      <c r="U236" s="3"/>
      <c r="V236" s="3"/>
      <c r="AC236" s="3" t="s">
        <v>61</v>
      </c>
      <c r="AL236" s="9" t="str">
        <f t="array" ref="AL236">"[" &amp; TEXTJOIN(", ", TRUE, IF(LEN(AM236:AQ236), CHAR(34)&amp;AM236:AQ236&amp;CHAR(34), )) &amp; "]"
</f>
        <v>["Biological resource use"]</v>
      </c>
      <c r="AM236" s="3" t="s">
        <v>52</v>
      </c>
      <c r="AN236" s="3"/>
      <c r="AO236" s="3"/>
      <c r="AP236" s="3"/>
      <c r="AQ236" s="3"/>
      <c r="AR236" s="3" t="s">
        <v>52</v>
      </c>
      <c r="AW236" s="8" t="s">
        <v>2348</v>
      </c>
    </row>
    <row r="237">
      <c r="A237" s="3">
        <v>582.0</v>
      </c>
      <c r="B237" s="3" t="s">
        <v>40</v>
      </c>
      <c r="C237" s="3" t="s">
        <v>1289</v>
      </c>
      <c r="D237" s="3">
        <v>2017.0</v>
      </c>
      <c r="E237" s="3" t="s">
        <v>1290</v>
      </c>
      <c r="F237" s="3" t="s">
        <v>515</v>
      </c>
      <c r="G237" s="3" t="s">
        <v>2345</v>
      </c>
      <c r="H237" s="3" t="s">
        <v>58</v>
      </c>
      <c r="I237" s="3" t="s">
        <v>2142</v>
      </c>
      <c r="J237" s="3" t="s">
        <v>58</v>
      </c>
      <c r="L237" s="3" t="s">
        <v>2180</v>
      </c>
      <c r="M237" s="3" t="s">
        <v>285</v>
      </c>
      <c r="S237" s="9" t="str">
        <f t="array" ref="S237">"[" &amp; TEXTJOIN(", ", TRUE, IF(LEN(T237:AB237), CHAR(34)&amp;T237:AB237&amp;CHAR(34), )) &amp; "]"
</f>
        <v>["Problematic native species/diseases"]</v>
      </c>
      <c r="T237" s="3" t="s">
        <v>244</v>
      </c>
      <c r="U237" s="3"/>
      <c r="V237" s="3"/>
      <c r="AC237" s="3" t="s">
        <v>244</v>
      </c>
      <c r="AL237" s="9" t="str">
        <f t="array" ref="AL237">"[" &amp; TEXTJOIN(", ", TRUE, IF(LEN(AM237:AQ237), CHAR(34)&amp;AM237:AQ237&amp;CHAR(34), )) &amp; "]"
</f>
        <v>["Invasive &amp; other problematic species, genes &amp; diseases"]</v>
      </c>
      <c r="AM237" s="3" t="s">
        <v>54</v>
      </c>
      <c r="AN237" s="3"/>
      <c r="AO237" s="3"/>
      <c r="AP237" s="3"/>
      <c r="AQ237" s="3"/>
      <c r="AR237" s="3" t="s">
        <v>54</v>
      </c>
      <c r="AW237" s="8" t="s">
        <v>2349</v>
      </c>
    </row>
    <row r="238">
      <c r="A238" s="3">
        <v>748.0</v>
      </c>
      <c r="B238" s="3" t="s">
        <v>40</v>
      </c>
      <c r="C238" s="3" t="s">
        <v>1612</v>
      </c>
      <c r="D238" s="3">
        <v>2019.0</v>
      </c>
      <c r="E238" s="3" t="s">
        <v>1613</v>
      </c>
      <c r="F238" s="3" t="s">
        <v>526</v>
      </c>
      <c r="G238" s="3" t="s">
        <v>2350</v>
      </c>
      <c r="H238" s="3" t="s">
        <v>58</v>
      </c>
      <c r="I238" s="3" t="s">
        <v>2142</v>
      </c>
      <c r="J238" s="3" t="s">
        <v>58</v>
      </c>
      <c r="L238" s="3" t="s">
        <v>2143</v>
      </c>
      <c r="M238" s="3" t="s">
        <v>110</v>
      </c>
      <c r="S238" s="9" t="str">
        <f t="array" ref="S238">"[" &amp; TEXTJOIN(", ", TRUE, IF(LEN(T238:AB238), CHAR(34)&amp;T238:AB238&amp;CHAR(34), )) &amp; "]"
</f>
        <v>["Hunting &amp; collecting terrestrial animals", "Dams &amp; water management/use"]</v>
      </c>
      <c r="U238" s="3"/>
      <c r="V238" s="3"/>
      <c r="Y238" s="3" t="s">
        <v>2178</v>
      </c>
      <c r="AA238" s="3" t="s">
        <v>49</v>
      </c>
      <c r="AC238" s="3" t="s">
        <v>87</v>
      </c>
      <c r="AF238" s="3" t="s">
        <v>87</v>
      </c>
      <c r="AH238" s="3" t="s">
        <v>61</v>
      </c>
      <c r="AJ238" s="3" t="s">
        <v>49</v>
      </c>
      <c r="AL238" s="9" t="str">
        <f t="array" ref="AL238">"[" &amp; TEXTJOIN(", ", TRUE, IF(LEN(AM238:AQ238), CHAR(34)&amp;AM238:AQ238&amp;CHAR(34), )) &amp; "]"
</f>
        <v>["Pollution", "Human intrusions &amp; disturbance", "Biological resource use", "Natural system modifications"]</v>
      </c>
      <c r="AM238" s="3" t="s">
        <v>64</v>
      </c>
      <c r="AN238" s="3" t="s">
        <v>121</v>
      </c>
      <c r="AO238" s="3" t="s">
        <v>52</v>
      </c>
      <c r="AP238" s="3" t="s">
        <v>53</v>
      </c>
      <c r="AQ238" s="3"/>
      <c r="AR238" s="3" t="s">
        <v>64</v>
      </c>
      <c r="AS238" s="3" t="s">
        <v>121</v>
      </c>
      <c r="AT238" s="3" t="s">
        <v>52</v>
      </c>
      <c r="AU238" s="3" t="s">
        <v>53</v>
      </c>
      <c r="AW238" s="8" t="s">
        <v>2351</v>
      </c>
    </row>
    <row r="239">
      <c r="A239" s="3">
        <v>166.0</v>
      </c>
      <c r="B239" s="3" t="s">
        <v>40</v>
      </c>
      <c r="C239" s="3" t="s">
        <v>502</v>
      </c>
      <c r="D239" s="3">
        <v>2015.0</v>
      </c>
      <c r="E239" s="3" t="s">
        <v>503</v>
      </c>
      <c r="F239" s="3" t="s">
        <v>504</v>
      </c>
      <c r="G239" s="3" t="s">
        <v>2352</v>
      </c>
      <c r="H239" s="3" t="s">
        <v>58</v>
      </c>
      <c r="I239" s="3" t="s">
        <v>2142</v>
      </c>
      <c r="J239" s="3" t="s">
        <v>58</v>
      </c>
      <c r="L239" s="3" t="s">
        <v>2143</v>
      </c>
      <c r="M239" s="3" t="s">
        <v>110</v>
      </c>
      <c r="S239" s="9" t="str">
        <f t="array" ref="S239">"[" &amp; TEXTJOIN(", ", TRUE, IF(LEN(T239:AB239), CHAR(34)&amp;T239:AB239&amp;CHAR(34), )) &amp; "]"
</f>
        <v>["Hunting &amp; Collecting Terrestrial Animals", "Industrial &amp; military effluents", "Roads &amp; railroads"]</v>
      </c>
      <c r="T239" s="3" t="s">
        <v>2138</v>
      </c>
      <c r="U239" s="3"/>
      <c r="V239" s="3"/>
      <c r="W239" s="3" t="s">
        <v>147</v>
      </c>
      <c r="AA239" s="3" t="s">
        <v>63</v>
      </c>
      <c r="AC239" s="3" t="s">
        <v>61</v>
      </c>
      <c r="AF239" s="3" t="s">
        <v>147</v>
      </c>
      <c r="AH239" s="3" t="s">
        <v>143</v>
      </c>
      <c r="AJ239" s="3" t="s">
        <v>63</v>
      </c>
      <c r="AL239" s="9" t="str">
        <f t="array" ref="AL239">"[" &amp; TEXTJOIN(", ", TRUE, IF(LEN(AM239:AQ239), CHAR(34)&amp;AM239:AQ239&amp;CHAR(34), )) &amp; "]"
</f>
        <v>["Biological resource use", "Pollution", "Natural system modifications", "Transportation &amp; service corridors"]</v>
      </c>
      <c r="AM239" s="3" t="s">
        <v>52</v>
      </c>
      <c r="AN239" s="3" t="s">
        <v>64</v>
      </c>
      <c r="AO239" s="3" t="s">
        <v>53</v>
      </c>
      <c r="AP239" s="3" t="s">
        <v>65</v>
      </c>
      <c r="AQ239" s="3"/>
      <c r="AR239" s="3" t="s">
        <v>52</v>
      </c>
      <c r="AS239" s="3" t="s">
        <v>64</v>
      </c>
      <c r="AT239" s="3" t="s">
        <v>53</v>
      </c>
      <c r="AU239" s="3" t="s">
        <v>65</v>
      </c>
      <c r="AW239" s="8" t="s">
        <v>2353</v>
      </c>
    </row>
    <row r="240">
      <c r="A240" s="3">
        <v>538.0</v>
      </c>
      <c r="B240" s="3" t="s">
        <v>40</v>
      </c>
      <c r="C240" s="3" t="s">
        <v>1199</v>
      </c>
      <c r="D240" s="3">
        <v>2010.0</v>
      </c>
      <c r="E240" s="3" t="s">
        <v>1200</v>
      </c>
      <c r="F240" s="3" t="s">
        <v>504</v>
      </c>
      <c r="G240" s="3" t="s">
        <v>2352</v>
      </c>
      <c r="H240" s="3" t="s">
        <v>58</v>
      </c>
      <c r="I240" s="3" t="s">
        <v>2142</v>
      </c>
      <c r="J240" s="3" t="s">
        <v>58</v>
      </c>
      <c r="L240" s="3" t="s">
        <v>2311</v>
      </c>
      <c r="M240" s="3" t="s">
        <v>69</v>
      </c>
      <c r="S240" s="9" t="str">
        <f t="array" ref="S240">"[" &amp; TEXTJOIN(", ", TRUE, IF(LEN(T240:AB240), CHAR(34)&amp;T240:AB240&amp;CHAR(34), )) &amp; "]"
</f>
        <v>["Viral/prion-induced diseases"]</v>
      </c>
      <c r="T240" s="3" t="s">
        <v>385</v>
      </c>
      <c r="U240" s="3"/>
      <c r="V240" s="3"/>
      <c r="AC240" s="3" t="s">
        <v>385</v>
      </c>
      <c r="AL240" s="9" t="str">
        <f t="array" ref="AL240">"[" &amp; TEXTJOIN(", ", TRUE, IF(LEN(AM240:AQ240), CHAR(34)&amp;AM240:AQ240&amp;CHAR(34), )) &amp; "]"
</f>
        <v>["Invasive &amp; other problematic species, genes &amp; diseases"]</v>
      </c>
      <c r="AM240" s="3" t="s">
        <v>54</v>
      </c>
      <c r="AN240" s="3"/>
      <c r="AO240" s="3"/>
      <c r="AP240" s="3"/>
      <c r="AQ240" s="3"/>
      <c r="AR240" s="3" t="s">
        <v>54</v>
      </c>
      <c r="AW240" s="8" t="s">
        <v>2354</v>
      </c>
    </row>
    <row r="241">
      <c r="A241" s="3">
        <v>839.0</v>
      </c>
      <c r="B241" s="3" t="s">
        <v>40</v>
      </c>
      <c r="C241" s="3" t="s">
        <v>1792</v>
      </c>
      <c r="D241" s="3">
        <v>2009.0</v>
      </c>
      <c r="E241" s="3" t="s">
        <v>1793</v>
      </c>
      <c r="F241" s="3" t="s">
        <v>504</v>
      </c>
      <c r="G241" s="3" t="s">
        <v>2352</v>
      </c>
      <c r="H241" s="3" t="s">
        <v>58</v>
      </c>
      <c r="I241" s="3" t="s">
        <v>2142</v>
      </c>
      <c r="J241" s="3" t="s">
        <v>58</v>
      </c>
      <c r="L241" s="3" t="s">
        <v>2143</v>
      </c>
      <c r="M241" s="3" t="s">
        <v>110</v>
      </c>
      <c r="S241" s="9" t="str">
        <f t="array" ref="S241">"[" &amp; TEXTJOIN(", ", TRUE, IF(LEN(T241:AB241), CHAR(34)&amp;T241:AB241&amp;CHAR(34), )) &amp; "]"
</f>
        <v>["Industrial &amp; military effluents"]</v>
      </c>
      <c r="T241" s="3" t="s">
        <v>147</v>
      </c>
      <c r="U241" s="3"/>
      <c r="V241" s="3"/>
      <c r="AC241" s="3" t="s">
        <v>147</v>
      </c>
      <c r="AL241" s="9" t="str">
        <f t="array" ref="AL241">"[" &amp; TEXTJOIN(", ", TRUE, IF(LEN(AM241:AQ241), CHAR(34)&amp;AM241:AQ241&amp;CHAR(34), )) &amp; "]"
</f>
        <v>["Pollution"]</v>
      </c>
      <c r="AM241" s="3" t="s">
        <v>64</v>
      </c>
      <c r="AN241" s="3"/>
      <c r="AO241" s="3"/>
      <c r="AP241" s="3"/>
      <c r="AQ241" s="3"/>
      <c r="AR241" s="3" t="s">
        <v>64</v>
      </c>
      <c r="AW241" s="8" t="s">
        <v>2355</v>
      </c>
    </row>
    <row r="242">
      <c r="A242" s="3">
        <v>89.0</v>
      </c>
      <c r="B242" s="3" t="s">
        <v>40</v>
      </c>
      <c r="C242" s="3" t="s">
        <v>342</v>
      </c>
      <c r="D242" s="3">
        <v>2012.0</v>
      </c>
      <c r="E242" s="3" t="s">
        <v>343</v>
      </c>
      <c r="F242" s="3" t="s">
        <v>123</v>
      </c>
      <c r="G242" s="3" t="s">
        <v>2356</v>
      </c>
      <c r="H242" s="3" t="s">
        <v>124</v>
      </c>
      <c r="I242" s="3" t="s">
        <v>2283</v>
      </c>
      <c r="J242" s="3" t="s">
        <v>124</v>
      </c>
      <c r="K242" s="3" t="s">
        <v>2357</v>
      </c>
      <c r="L242" s="3" t="s">
        <v>2358</v>
      </c>
      <c r="M242" s="3" t="s">
        <v>205</v>
      </c>
      <c r="S242" s="9" t="str">
        <f t="array" ref="S242">"[" &amp; TEXTJOIN(", ", TRUE, IF(LEN(T242:AB242), CHAR(34)&amp;T242:AB242&amp;CHAR(34), )) &amp; "]"
</f>
        <v>["Hunting &amp; Collecting Terrestrial Animals", "Mining &amp; quarrying", "Marine &amp; freshwater aquaculture"]</v>
      </c>
      <c r="T242" s="3" t="s">
        <v>2138</v>
      </c>
      <c r="U242" s="3"/>
      <c r="V242" s="3"/>
      <c r="W242" s="3" t="s">
        <v>238</v>
      </c>
      <c r="X242" s="3" t="s">
        <v>111</v>
      </c>
      <c r="AC242" s="3" t="s">
        <v>61</v>
      </c>
      <c r="AF242" s="3" t="s">
        <v>238</v>
      </c>
      <c r="AG242" s="3" t="s">
        <v>111</v>
      </c>
      <c r="AH242" s="3" t="s">
        <v>87</v>
      </c>
      <c r="AL242" s="9" t="str">
        <f t="array" ref="AL242">"[" &amp; TEXTJOIN(", ", TRUE, IF(LEN(AM242:AQ242), CHAR(34)&amp;AM242:AQ242&amp;CHAR(34), )) &amp; "]"
</f>
        <v>["Biological resource use", "Energy production &amp; mining", "Agriculture &amp; aquaculture"]</v>
      </c>
      <c r="AM242" s="3" t="s">
        <v>52</v>
      </c>
      <c r="AN242" s="3" t="s">
        <v>235</v>
      </c>
      <c r="AO242" s="3" t="s">
        <v>51</v>
      </c>
      <c r="AP242" s="3"/>
      <c r="AQ242" s="3"/>
      <c r="AR242" s="3" t="s">
        <v>52</v>
      </c>
      <c r="AS242" s="3" t="s">
        <v>235</v>
      </c>
      <c r="AT242" s="3" t="s">
        <v>51</v>
      </c>
      <c r="AW242" s="8" t="s">
        <v>2359</v>
      </c>
    </row>
    <row r="243" hidden="1">
      <c r="A243" s="3">
        <v>612.0</v>
      </c>
      <c r="B243" s="3" t="s">
        <v>55</v>
      </c>
      <c r="D243" s="3">
        <v>1993.0</v>
      </c>
      <c r="E243" s="3" t="s">
        <v>1347</v>
      </c>
      <c r="F243" s="3" t="s">
        <v>57</v>
      </c>
      <c r="H243" s="3" t="s">
        <v>58</v>
      </c>
      <c r="I243" s="3"/>
      <c r="J243" s="3" t="s">
        <v>58</v>
      </c>
      <c r="K243" s="3"/>
      <c r="L243" s="3"/>
      <c r="M243" s="3" t="s">
        <v>286</v>
      </c>
      <c r="S243" s="3"/>
      <c r="T243" s="3"/>
      <c r="U243" s="3"/>
      <c r="V243" s="3"/>
      <c r="AC243" s="3" t="s">
        <v>50</v>
      </c>
      <c r="AL243" s="3"/>
      <c r="AM243" s="3"/>
      <c r="AN243" s="3"/>
      <c r="AO243" s="3"/>
      <c r="AP243" s="3"/>
      <c r="AQ243" s="3"/>
      <c r="AR243" s="3" t="s">
        <v>54</v>
      </c>
      <c r="AW243" s="8" t="s">
        <v>2135</v>
      </c>
    </row>
    <row r="244">
      <c r="A244" s="3">
        <v>123.0</v>
      </c>
      <c r="B244" s="3" t="s">
        <v>40</v>
      </c>
      <c r="C244" s="3" t="s">
        <v>415</v>
      </c>
      <c r="D244" s="3">
        <v>2020.0</v>
      </c>
      <c r="E244" s="3" t="s">
        <v>416</v>
      </c>
      <c r="F244" s="3" t="s">
        <v>123</v>
      </c>
      <c r="G244" s="3" t="s">
        <v>2356</v>
      </c>
      <c r="H244" s="3" t="s">
        <v>124</v>
      </c>
      <c r="I244" s="3" t="s">
        <v>2283</v>
      </c>
      <c r="J244" s="3" t="s">
        <v>124</v>
      </c>
      <c r="K244" s="3" t="s">
        <v>2357</v>
      </c>
      <c r="L244" s="3" t="s">
        <v>2297</v>
      </c>
      <c r="M244" s="3" t="s">
        <v>110</v>
      </c>
      <c r="N244" s="3" t="s">
        <v>155</v>
      </c>
      <c r="O244" s="3" t="s">
        <v>205</v>
      </c>
      <c r="S244" s="9" t="str">
        <f t="array" ref="S244">"[" &amp; TEXTJOIN(", ", TRUE, IF(LEN(T244:AB244), CHAR(34)&amp;T244:AB244&amp;CHAR(34), )) &amp; "]"
</f>
        <v>["Hunting &amp; Collecting Terrestrial Animals", "Fishing &amp; Harvesting Aquatic Resources", "Dams &amp; water management/use", "Mining &amp; quarrying", "Habitat shifting &amp; alteration"]</v>
      </c>
      <c r="T244" s="3" t="s">
        <v>2138</v>
      </c>
      <c r="U244" s="3" t="s">
        <v>2164</v>
      </c>
      <c r="V244" s="3"/>
      <c r="W244" s="3" t="s">
        <v>49</v>
      </c>
      <c r="Y244" s="3" t="s">
        <v>238</v>
      </c>
      <c r="AA244" s="3" t="s">
        <v>117</v>
      </c>
      <c r="AC244" s="3" t="s">
        <v>61</v>
      </c>
      <c r="AD244" s="3" t="s">
        <v>247</v>
      </c>
      <c r="AF244" s="3" t="s">
        <v>49</v>
      </c>
      <c r="AH244" s="3" t="s">
        <v>238</v>
      </c>
      <c r="AJ244" s="3" t="s">
        <v>117</v>
      </c>
      <c r="AL244" s="9" t="str">
        <f t="array" ref="AL244">"[" &amp; TEXTJOIN(", ", TRUE, IF(LEN(AM244:AQ244), CHAR(34)&amp;AM244:AQ244&amp;CHAR(34), )) &amp; "]"
</f>
        <v>["Biological resource use", "Natural system modifications", "Energy production &amp; mining", "Climate change &amp; severe weather"]</v>
      </c>
      <c r="AM244" s="3" t="s">
        <v>52</v>
      </c>
      <c r="AN244" s="3" t="s">
        <v>53</v>
      </c>
      <c r="AO244" s="3" t="s">
        <v>235</v>
      </c>
      <c r="AP244" s="3" t="s">
        <v>118</v>
      </c>
      <c r="AQ244" s="3"/>
      <c r="AR244" s="3" t="s">
        <v>52</v>
      </c>
      <c r="AS244" s="3" t="s">
        <v>53</v>
      </c>
      <c r="AT244" s="3" t="s">
        <v>235</v>
      </c>
      <c r="AU244" s="3" t="s">
        <v>118</v>
      </c>
      <c r="AW244" s="8" t="s">
        <v>2360</v>
      </c>
    </row>
    <row r="245" hidden="1">
      <c r="A245" s="3">
        <v>635.0</v>
      </c>
      <c r="B245" s="3" t="s">
        <v>55</v>
      </c>
      <c r="D245" s="3">
        <v>1992.0</v>
      </c>
      <c r="E245" s="3" t="s">
        <v>1386</v>
      </c>
      <c r="F245" s="3" t="s">
        <v>57</v>
      </c>
      <c r="H245" s="3" t="s">
        <v>58</v>
      </c>
      <c r="I245" s="3"/>
      <c r="J245" s="3" t="s">
        <v>58</v>
      </c>
      <c r="K245" s="3"/>
      <c r="L245" s="3"/>
      <c r="M245" s="3" t="s">
        <v>286</v>
      </c>
      <c r="S245" s="3"/>
      <c r="T245" s="3"/>
      <c r="U245" s="3"/>
      <c r="V245" s="3"/>
      <c r="W245" s="3"/>
      <c r="X245" s="3"/>
      <c r="AC245" s="3" t="s">
        <v>49</v>
      </c>
      <c r="AF245" s="3" t="s">
        <v>50</v>
      </c>
      <c r="AL245" s="3"/>
      <c r="AM245" s="3"/>
      <c r="AN245" s="3"/>
      <c r="AO245" s="3"/>
      <c r="AP245" s="3"/>
      <c r="AQ245" s="3"/>
      <c r="AR245" s="3" t="s">
        <v>53</v>
      </c>
      <c r="AS245" s="3" t="s">
        <v>54</v>
      </c>
      <c r="AW245" s="8" t="s">
        <v>2135</v>
      </c>
    </row>
    <row r="246">
      <c r="A246" s="3">
        <v>56.0</v>
      </c>
      <c r="B246" s="3" t="s">
        <v>40</v>
      </c>
      <c r="C246" s="3" t="s">
        <v>245</v>
      </c>
      <c r="D246" s="3">
        <v>2012.0</v>
      </c>
      <c r="E246" s="3" t="s">
        <v>246</v>
      </c>
      <c r="F246" s="3" t="s">
        <v>123</v>
      </c>
      <c r="G246" s="3" t="s">
        <v>2356</v>
      </c>
      <c r="H246" s="3" t="s">
        <v>124</v>
      </c>
      <c r="I246" s="3" t="s">
        <v>2283</v>
      </c>
      <c r="J246" s="3" t="s">
        <v>124</v>
      </c>
      <c r="K246" s="3" t="s">
        <v>2357</v>
      </c>
      <c r="L246" s="3" t="s">
        <v>2361</v>
      </c>
      <c r="M246" s="3" t="s">
        <v>155</v>
      </c>
      <c r="S246" s="9" t="str">
        <f t="array" ref="S246">"[" &amp; TEXTJOIN(", ", TRUE, IF(LEN(T246:AB246), CHAR(34)&amp;T246:AB246&amp;CHAR(34), )) &amp; "]"
</f>
        <v>["Fishing &amp; Harvesting Aquatic Resources", "Livestock farming &amp; ranching", "Dams &amp; water management/use"]</v>
      </c>
      <c r="T246" s="3" t="s">
        <v>2164</v>
      </c>
      <c r="U246" s="3"/>
      <c r="V246" s="3"/>
      <c r="W246" s="3" t="s">
        <v>47</v>
      </c>
      <c r="Y246" s="3" t="s">
        <v>49</v>
      </c>
      <c r="AC246" s="3" t="s">
        <v>247</v>
      </c>
      <c r="AF246" s="3" t="s">
        <v>47</v>
      </c>
      <c r="AH246" s="3" t="s">
        <v>49</v>
      </c>
      <c r="AL246" s="9" t="str">
        <f t="array" ref="AL246">"[" &amp; TEXTJOIN(", ", TRUE, IF(LEN(AM246:AQ246), CHAR(34)&amp;AM246:AQ246&amp;CHAR(34), )) &amp; "]"
</f>
        <v>["Biological resource use", "Agriculture &amp; aquaculture", "Natural system modifications"]</v>
      </c>
      <c r="AM246" s="3" t="s">
        <v>52</v>
      </c>
      <c r="AN246" s="3" t="s">
        <v>51</v>
      </c>
      <c r="AO246" s="3" t="s">
        <v>53</v>
      </c>
      <c r="AP246" s="3"/>
      <c r="AQ246" s="3"/>
      <c r="AR246" s="3" t="s">
        <v>52</v>
      </c>
      <c r="AS246" s="3" t="s">
        <v>51</v>
      </c>
      <c r="AT246" s="3" t="s">
        <v>53</v>
      </c>
      <c r="AW246" s="8" t="s">
        <v>2362</v>
      </c>
    </row>
    <row r="247">
      <c r="A247" s="3">
        <v>22.0</v>
      </c>
      <c r="B247" s="3" t="s">
        <v>40</v>
      </c>
      <c r="C247" s="3" t="s">
        <v>153</v>
      </c>
      <c r="D247" s="3">
        <v>2014.0</v>
      </c>
      <c r="E247" s="3" t="s">
        <v>154</v>
      </c>
      <c r="F247" s="3" t="s">
        <v>123</v>
      </c>
      <c r="G247" s="3" t="s">
        <v>2356</v>
      </c>
      <c r="H247" s="3" t="s">
        <v>124</v>
      </c>
      <c r="I247" s="3" t="s">
        <v>2283</v>
      </c>
      <c r="J247" s="3" t="s">
        <v>124</v>
      </c>
      <c r="K247" s="3" t="s">
        <v>2357</v>
      </c>
      <c r="L247" s="3" t="s">
        <v>2361</v>
      </c>
      <c r="M247" s="3" t="s">
        <v>155</v>
      </c>
      <c r="S247" s="9" t="str">
        <f t="array" ref="S247">"[" &amp; TEXTJOIN(", ", TRUE, IF(LEN(T247:AB247), CHAR(34)&amp;T247:AB247&amp;CHAR(34), )) &amp; "]"
</f>
        <v>["Annual &amp; perennial non-timber crops", "Livestock farming &amp; ranching", "Housing &amp; urban areas", "Dams &amp; water management/use"]</v>
      </c>
      <c r="T247" s="3" t="s">
        <v>60</v>
      </c>
      <c r="U247" s="3" t="s">
        <v>47</v>
      </c>
      <c r="V247" s="3"/>
      <c r="W247" s="3" t="s">
        <v>70</v>
      </c>
      <c r="Y247" s="3" t="s">
        <v>49</v>
      </c>
      <c r="AC247" s="3" t="s">
        <v>60</v>
      </c>
      <c r="AD247" s="3" t="s">
        <v>47</v>
      </c>
      <c r="AF247" s="3" t="s">
        <v>70</v>
      </c>
      <c r="AH247" s="3" t="s">
        <v>49</v>
      </c>
      <c r="AL247" s="9" t="str">
        <f t="array" ref="AL247">"[" &amp; TEXTJOIN(", ", TRUE, IF(LEN(AM247:AQ247), CHAR(34)&amp;AM247:AQ247&amp;CHAR(34), )) &amp; "]"
</f>
        <v>["Agriculture &amp; aquaculture", "Residential &amp; commercial development", "Natural system modifications"]</v>
      </c>
      <c r="AM247" s="3" t="s">
        <v>51</v>
      </c>
      <c r="AN247" s="3" t="s">
        <v>71</v>
      </c>
      <c r="AO247" s="3" t="s">
        <v>53</v>
      </c>
      <c r="AP247" s="3"/>
      <c r="AQ247" s="3"/>
      <c r="AR247" s="3" t="s">
        <v>51</v>
      </c>
      <c r="AS247" s="3" t="s">
        <v>71</v>
      </c>
      <c r="AT247" s="3" t="s">
        <v>53</v>
      </c>
      <c r="AW247" s="8" t="s">
        <v>2363</v>
      </c>
    </row>
    <row r="248">
      <c r="A248" s="3">
        <v>458.0</v>
      </c>
      <c r="B248" s="3" t="s">
        <v>40</v>
      </c>
      <c r="C248" s="3" t="s">
        <v>1044</v>
      </c>
      <c r="D248" s="3">
        <v>2006.0</v>
      </c>
      <c r="E248" s="3" t="s">
        <v>1045</v>
      </c>
      <c r="F248" s="3" t="s">
        <v>123</v>
      </c>
      <c r="G248" s="3" t="s">
        <v>2356</v>
      </c>
      <c r="H248" s="3" t="s">
        <v>124</v>
      </c>
      <c r="I248" s="3" t="s">
        <v>2283</v>
      </c>
      <c r="J248" s="3" t="s">
        <v>124</v>
      </c>
      <c r="K248" s="3" t="s">
        <v>2357</v>
      </c>
      <c r="L248" s="3" t="s">
        <v>2361</v>
      </c>
      <c r="M248" s="3" t="s">
        <v>155</v>
      </c>
      <c r="S248" s="9" t="str">
        <f t="array" ref="S248">"[" &amp; TEXTJOIN(", ", TRUE, IF(LEN(T248:AB248), CHAR(34)&amp;T248:AB248&amp;CHAR(34), )) &amp; "]"
</f>
        <v>["Work &amp; other activities"]</v>
      </c>
      <c r="T248" s="3" t="s">
        <v>260</v>
      </c>
      <c r="U248" s="3"/>
      <c r="V248" s="3"/>
      <c r="AC248" s="3" t="s">
        <v>260</v>
      </c>
      <c r="AL248" s="9" t="str">
        <f t="array" ref="AL248">"[" &amp; TEXTJOIN(", ", TRUE, IF(LEN(AM248:AQ248), CHAR(34)&amp;AM248:AQ248&amp;CHAR(34), )) &amp; "]"
</f>
        <v>["Human intrusions &amp; disturbance"]</v>
      </c>
      <c r="AM248" s="3" t="s">
        <v>121</v>
      </c>
      <c r="AN248" s="3"/>
      <c r="AO248" s="3"/>
      <c r="AP248" s="3"/>
      <c r="AQ248" s="3"/>
      <c r="AR248" s="3" t="s">
        <v>121</v>
      </c>
      <c r="AW248" s="8" t="s">
        <v>2364</v>
      </c>
    </row>
    <row r="249">
      <c r="A249" s="3">
        <v>40.0</v>
      </c>
      <c r="B249" s="3" t="s">
        <v>40</v>
      </c>
      <c r="C249" s="3" t="s">
        <v>202</v>
      </c>
      <c r="D249" s="3">
        <v>2017.0</v>
      </c>
      <c r="E249" s="3" t="s">
        <v>203</v>
      </c>
      <c r="F249" s="3" t="s">
        <v>204</v>
      </c>
      <c r="G249" s="3" t="s">
        <v>2365</v>
      </c>
      <c r="H249" s="3" t="s">
        <v>101</v>
      </c>
      <c r="I249" s="3" t="s">
        <v>2283</v>
      </c>
      <c r="J249" s="3" t="s">
        <v>102</v>
      </c>
      <c r="L249" s="3" t="s">
        <v>2358</v>
      </c>
      <c r="M249" s="3" t="s">
        <v>205</v>
      </c>
      <c r="S249" s="9" t="str">
        <f t="array" ref="S249">"[" &amp; TEXTJOIN(", ", TRUE, IF(LEN(T249:AB249), CHAR(34)&amp;T249:AB249&amp;CHAR(34), )) &amp; "]"
</f>
        <v>["Marine &amp; freshwater aquaculture"]</v>
      </c>
      <c r="T249" s="3" t="s">
        <v>111</v>
      </c>
      <c r="U249" s="3"/>
      <c r="V249" s="3"/>
      <c r="AC249" s="3" t="s">
        <v>111</v>
      </c>
      <c r="AL249" s="9" t="str">
        <f t="array" ref="AL249">"[" &amp; TEXTJOIN(", ", TRUE, IF(LEN(AM249:AQ249), CHAR(34)&amp;AM249:AQ249&amp;CHAR(34), )) &amp; "]"
</f>
        <v>["Agriculture &amp; aquaculture"]</v>
      </c>
      <c r="AM249" s="3" t="s">
        <v>51</v>
      </c>
      <c r="AN249" s="3"/>
      <c r="AO249" s="3"/>
      <c r="AP249" s="3"/>
      <c r="AQ249" s="3"/>
      <c r="AR249" s="3" t="s">
        <v>51</v>
      </c>
      <c r="AW249" s="8" t="s">
        <v>2366</v>
      </c>
    </row>
    <row r="250">
      <c r="A250" s="3">
        <v>18.0</v>
      </c>
      <c r="B250" s="3" t="s">
        <v>40</v>
      </c>
      <c r="C250" s="3" t="s">
        <v>139</v>
      </c>
      <c r="D250" s="3">
        <v>2009.0</v>
      </c>
      <c r="E250" s="3" t="s">
        <v>140</v>
      </c>
      <c r="F250" s="3" t="s">
        <v>141</v>
      </c>
      <c r="G250" s="3" t="s">
        <v>2367</v>
      </c>
      <c r="H250" s="3" t="s">
        <v>142</v>
      </c>
      <c r="J250" s="3" t="s">
        <v>142</v>
      </c>
      <c r="L250" s="3" t="s">
        <v>2143</v>
      </c>
      <c r="M250" s="3" t="s">
        <v>110</v>
      </c>
      <c r="S250" s="9" t="str">
        <f t="array" ref="S250">"[" &amp; TEXTJOIN(", ", TRUE, IF(LEN(T250:AB250), CHAR(34)&amp;T250:AB250&amp;CHAR(34), )) &amp; "]"
</f>
        <v>["Hunting &amp; collecting terrestrial animals"]</v>
      </c>
      <c r="U250" s="3"/>
      <c r="V250" s="3"/>
      <c r="Y250" s="3" t="s">
        <v>2178</v>
      </c>
      <c r="AC250" s="3" t="s">
        <v>87</v>
      </c>
      <c r="AF250" s="3" t="s">
        <v>87</v>
      </c>
      <c r="AH250" s="3" t="s">
        <v>61</v>
      </c>
      <c r="AJ250" s="3" t="s">
        <v>143</v>
      </c>
      <c r="AL250" s="9" t="str">
        <f t="array" ref="AL250">"[" &amp; TEXTJOIN(", ", TRUE, IF(LEN(AM250:AQ250), CHAR(34)&amp;AM250:AQ250&amp;CHAR(34), )) &amp; "]"
</f>
        <v>["Agriculture &amp; aquaculture", "Pollution", "Biological resource use", "Natural system modifications"]</v>
      </c>
      <c r="AM250" s="3" t="s">
        <v>51</v>
      </c>
      <c r="AN250" s="3" t="s">
        <v>64</v>
      </c>
      <c r="AO250" s="3" t="s">
        <v>52</v>
      </c>
      <c r="AP250" s="3" t="s">
        <v>53</v>
      </c>
      <c r="AQ250" s="3"/>
      <c r="AR250" s="3" t="s">
        <v>51</v>
      </c>
      <c r="AS250" s="3" t="s">
        <v>64</v>
      </c>
      <c r="AT250" s="3" t="s">
        <v>52</v>
      </c>
      <c r="AU250" s="3" t="s">
        <v>53</v>
      </c>
      <c r="AW250" s="8" t="s">
        <v>2368</v>
      </c>
    </row>
    <row r="251">
      <c r="A251" s="3">
        <v>623.0</v>
      </c>
      <c r="B251" s="3" t="s">
        <v>40</v>
      </c>
      <c r="C251" s="3" t="s">
        <v>1363</v>
      </c>
      <c r="D251" s="3">
        <v>2010.0</v>
      </c>
      <c r="E251" s="3" t="s">
        <v>1364</v>
      </c>
      <c r="F251" s="3" t="s">
        <v>141</v>
      </c>
      <c r="G251" s="3" t="s">
        <v>2367</v>
      </c>
      <c r="H251" s="3" t="s">
        <v>142</v>
      </c>
      <c r="J251" s="3" t="s">
        <v>142</v>
      </c>
      <c r="L251" s="3" t="s">
        <v>2369</v>
      </c>
      <c r="M251" s="3" t="s">
        <v>110</v>
      </c>
      <c r="N251" s="3" t="s">
        <v>155</v>
      </c>
      <c r="S251" s="9" t="str">
        <f t="array" ref="S251">"[" &amp; TEXTJOIN(", ", TRUE, IF(LEN(T251:AB251), CHAR(34)&amp;T251:AB251&amp;CHAR(34), )) &amp; "]"
</f>
        <v>["Dams &amp; water management/use", "Hunting &amp; collecting terrestrial animals"]</v>
      </c>
      <c r="T251" s="3" t="s">
        <v>49</v>
      </c>
      <c r="V251" s="3"/>
      <c r="AA251" s="3" t="s">
        <v>2178</v>
      </c>
      <c r="AC251" s="3" t="s">
        <v>49</v>
      </c>
      <c r="AD251" s="3" t="s">
        <v>134</v>
      </c>
      <c r="AF251" s="3" t="s">
        <v>143</v>
      </c>
      <c r="AH251" s="3" t="s">
        <v>87</v>
      </c>
      <c r="AJ251" s="3" t="s">
        <v>61</v>
      </c>
      <c r="AL251" s="9" t="str">
        <f t="array" ref="AL251">"[" &amp; TEXTJOIN(", ", TRUE, IF(LEN(AM251:AQ251), CHAR(34)&amp;AM251:AQ251&amp;CHAR(34), )) &amp; "]"
</f>
        <v>["Natural system modifications", "Agriculture &amp; aquaculture", "Pollution", "Biological resource use"]</v>
      </c>
      <c r="AM251" s="3" t="s">
        <v>53</v>
      </c>
      <c r="AN251" s="3" t="s">
        <v>51</v>
      </c>
      <c r="AO251" s="3" t="s">
        <v>64</v>
      </c>
      <c r="AP251" s="3" t="s">
        <v>52</v>
      </c>
      <c r="AQ251" s="3"/>
      <c r="AR251" s="3" t="s">
        <v>53</v>
      </c>
      <c r="AS251" s="3" t="s">
        <v>51</v>
      </c>
      <c r="AT251" s="3" t="s">
        <v>64</v>
      </c>
      <c r="AU251" s="3" t="s">
        <v>52</v>
      </c>
      <c r="AW251" s="8" t="s">
        <v>2370</v>
      </c>
    </row>
    <row r="252">
      <c r="A252" s="3">
        <v>91.0</v>
      </c>
      <c r="B252" s="3" t="s">
        <v>40</v>
      </c>
      <c r="C252" s="3" t="s">
        <v>347</v>
      </c>
      <c r="D252" s="3">
        <v>2012.0</v>
      </c>
      <c r="E252" s="3" t="s">
        <v>348</v>
      </c>
      <c r="F252" s="3" t="s">
        <v>233</v>
      </c>
      <c r="G252" s="3" t="s">
        <v>2371</v>
      </c>
      <c r="H252" s="3" t="s">
        <v>142</v>
      </c>
      <c r="J252" s="3" t="s">
        <v>142</v>
      </c>
      <c r="L252" s="3" t="s">
        <v>2361</v>
      </c>
      <c r="M252" s="3" t="s">
        <v>155</v>
      </c>
      <c r="S252" s="9" t="str">
        <f t="array" ref="S252">"[" &amp; TEXTJOIN(", ", TRUE, IF(LEN(T252:AB252), CHAR(34)&amp;T252:AB252&amp;CHAR(34), )) &amp; "]"
</f>
        <v>["Hunting &amp; Collecting Terrestrial Animals", "Renewable energy", "Agricultural &amp; forestry effluents"]</v>
      </c>
      <c r="T252" s="3" t="s">
        <v>2138</v>
      </c>
      <c r="U252" s="3"/>
      <c r="V252" s="3"/>
      <c r="W252" s="3" t="s">
        <v>234</v>
      </c>
      <c r="Y252" s="3" t="s">
        <v>62</v>
      </c>
      <c r="AC252" s="3" t="s">
        <v>61</v>
      </c>
      <c r="AF252" s="3" t="s">
        <v>234</v>
      </c>
      <c r="AH252" s="3" t="s">
        <v>62</v>
      </c>
      <c r="AJ252" s="3" t="s">
        <v>349</v>
      </c>
      <c r="AL252" s="9" t="str">
        <f t="array" ref="AL252">"[" &amp; TEXTJOIN(", ", TRUE, IF(LEN(AM252:AQ252), CHAR(34)&amp;AM252:AQ252&amp;CHAR(34), )) &amp; "]"
</f>
        <v>["Biological resource use", "Energy production &amp; mining", "Pollution", "Agriculture &amp; aquaculture"]</v>
      </c>
      <c r="AM252" s="3" t="s">
        <v>52</v>
      </c>
      <c r="AN252" s="3" t="s">
        <v>235</v>
      </c>
      <c r="AO252" s="3" t="s">
        <v>64</v>
      </c>
      <c r="AP252" s="3" t="s">
        <v>51</v>
      </c>
      <c r="AQ252" s="3"/>
      <c r="AR252" s="3" t="s">
        <v>52</v>
      </c>
      <c r="AS252" s="3" t="s">
        <v>235</v>
      </c>
      <c r="AT252" s="3" t="s">
        <v>64</v>
      </c>
      <c r="AU252" s="3" t="s">
        <v>51</v>
      </c>
      <c r="AW252" s="8" t="s">
        <v>2372</v>
      </c>
    </row>
    <row r="253">
      <c r="A253" s="3">
        <v>763.0</v>
      </c>
      <c r="B253" s="3" t="s">
        <v>40</v>
      </c>
      <c r="C253" s="3" t="s">
        <v>1640</v>
      </c>
      <c r="D253" s="3">
        <v>2013.0</v>
      </c>
      <c r="E253" s="3" t="s">
        <v>1641</v>
      </c>
      <c r="F253" s="3" t="s">
        <v>458</v>
      </c>
      <c r="G253" s="3" t="s">
        <v>2373</v>
      </c>
      <c r="H253" s="3" t="s">
        <v>58</v>
      </c>
      <c r="I253" s="3" t="s">
        <v>2142</v>
      </c>
      <c r="J253" s="3" t="s">
        <v>58</v>
      </c>
      <c r="L253" s="3" t="s">
        <v>2143</v>
      </c>
      <c r="M253" s="3" t="s">
        <v>110</v>
      </c>
      <c r="S253" s="9" t="str">
        <f t="array" ref="S253">"[" &amp; TEXTJOIN(", ", TRUE, IF(LEN(T253:AB253), CHAR(34)&amp;T253:AB253&amp;CHAR(34), )) &amp; "]"
</f>
        <v>["Industrial &amp; military effluents"]</v>
      </c>
      <c r="T253" s="3" t="s">
        <v>147</v>
      </c>
      <c r="U253" s="3"/>
      <c r="V253" s="3"/>
      <c r="AC253" s="3" t="s">
        <v>147</v>
      </c>
      <c r="AF253" s="3" t="s">
        <v>134</v>
      </c>
      <c r="AL253" s="9" t="str">
        <f t="array" ref="AL253">"[" &amp; TEXTJOIN(", ", TRUE, IF(LEN(AM253:AQ253), CHAR(34)&amp;AM253:AQ253&amp;CHAR(34), )) &amp; "]"
</f>
        <v>["Pollution", "Natural system modifications"]</v>
      </c>
      <c r="AM253" s="3" t="s">
        <v>64</v>
      </c>
      <c r="AN253" s="3" t="s">
        <v>53</v>
      </c>
      <c r="AO253" s="3"/>
      <c r="AP253" s="3"/>
      <c r="AQ253" s="3"/>
      <c r="AR253" s="3" t="s">
        <v>64</v>
      </c>
      <c r="AS253" s="3" t="s">
        <v>53</v>
      </c>
      <c r="AW253" s="8" t="s">
        <v>2374</v>
      </c>
    </row>
    <row r="254" hidden="1">
      <c r="A254" s="3">
        <v>714.0</v>
      </c>
      <c r="B254" s="3" t="s">
        <v>55</v>
      </c>
      <c r="D254" s="3">
        <v>1991.0</v>
      </c>
      <c r="E254" s="3" t="s">
        <v>1540</v>
      </c>
      <c r="F254" s="3" t="s">
        <v>57</v>
      </c>
      <c r="H254" s="3" t="s">
        <v>58</v>
      </c>
      <c r="I254" s="3"/>
      <c r="J254" s="3" t="s">
        <v>58</v>
      </c>
      <c r="K254" s="3"/>
      <c r="L254" s="3"/>
      <c r="M254" s="3" t="s">
        <v>285</v>
      </c>
      <c r="AL254" s="3"/>
      <c r="AM254" s="3"/>
      <c r="AN254" s="3"/>
      <c r="AO254" s="3"/>
      <c r="AP254" s="3"/>
      <c r="AQ254" s="3"/>
      <c r="AR254" s="3" t="s">
        <v>78</v>
      </c>
      <c r="AW254" s="8" t="s">
        <v>2135</v>
      </c>
    </row>
    <row r="255">
      <c r="A255" s="3">
        <v>317.0</v>
      </c>
      <c r="B255" s="3" t="s">
        <v>40</v>
      </c>
      <c r="C255" s="3" t="s">
        <v>802</v>
      </c>
      <c r="D255" s="3">
        <v>2013.0</v>
      </c>
      <c r="E255" s="3" t="s">
        <v>803</v>
      </c>
      <c r="F255" s="3" t="s">
        <v>458</v>
      </c>
      <c r="G255" s="3" t="s">
        <v>2373</v>
      </c>
      <c r="H255" s="3" t="s">
        <v>58</v>
      </c>
      <c r="I255" s="3" t="s">
        <v>2142</v>
      </c>
      <c r="J255" s="3" t="s">
        <v>58</v>
      </c>
      <c r="L255" s="3" t="s">
        <v>2311</v>
      </c>
      <c r="M255" s="3" t="s">
        <v>69</v>
      </c>
      <c r="S255" s="9" t="str">
        <f t="array" ref="S255">"[" &amp; TEXTJOIN(", ", TRUE, IF(LEN(T255:AB255), CHAR(34)&amp;T255:AB255&amp;CHAR(34), )) &amp; "]"
</f>
        <v>["Hunting &amp; Collecting Terrestrial Animals"]</v>
      </c>
      <c r="T255" s="3" t="s">
        <v>2138</v>
      </c>
      <c r="U255" s="3"/>
      <c r="V255" s="3"/>
      <c r="AC255" s="3" t="s">
        <v>61</v>
      </c>
      <c r="AL255" s="9" t="str">
        <f t="array" ref="AL255">"[" &amp; TEXTJOIN(", ", TRUE, IF(LEN(AM255:AQ255), CHAR(34)&amp;AM255:AQ255&amp;CHAR(34), )) &amp; "]"
</f>
        <v>["Biological resource use"]</v>
      </c>
      <c r="AM255" s="3" t="s">
        <v>52</v>
      </c>
      <c r="AN255" s="3"/>
      <c r="AO255" s="3"/>
      <c r="AP255" s="3"/>
      <c r="AQ255" s="3"/>
      <c r="AR255" s="3" t="s">
        <v>52</v>
      </c>
      <c r="AW255" s="8" t="s">
        <v>2375</v>
      </c>
    </row>
    <row r="256">
      <c r="A256" s="3">
        <v>143.0</v>
      </c>
      <c r="B256" s="3" t="s">
        <v>40</v>
      </c>
      <c r="C256" s="3" t="s">
        <v>456</v>
      </c>
      <c r="D256" s="3">
        <v>2012.0</v>
      </c>
      <c r="E256" s="3" t="s">
        <v>457</v>
      </c>
      <c r="F256" s="3" t="s">
        <v>458</v>
      </c>
      <c r="G256" s="3" t="s">
        <v>2373</v>
      </c>
      <c r="H256" s="3" t="s">
        <v>58</v>
      </c>
      <c r="I256" s="3" t="s">
        <v>2142</v>
      </c>
      <c r="J256" s="3" t="s">
        <v>58</v>
      </c>
      <c r="L256" s="3" t="s">
        <v>2166</v>
      </c>
      <c r="M256" s="3" t="s">
        <v>96</v>
      </c>
      <c r="S256" s="9" t="str">
        <f t="array" ref="S256">"[" &amp; TEXTJOIN(", ", TRUE, IF(LEN(T256:AB256), CHAR(34)&amp;T256:AB256&amp;CHAR(34), )) &amp; "]"
</f>
        <v>["Logging &amp; Wood Harvesting"]</v>
      </c>
      <c r="T256" s="3" t="s">
        <v>2139</v>
      </c>
      <c r="U256" s="3"/>
      <c r="V256" s="3"/>
      <c r="AC256" s="3" t="s">
        <v>48</v>
      </c>
      <c r="AL256" s="9" t="str">
        <f t="array" ref="AL256">"[" &amp; TEXTJOIN(", ", TRUE, IF(LEN(AM256:AQ256), CHAR(34)&amp;AM256:AQ256&amp;CHAR(34), )) &amp; "]"
</f>
        <v>["Biological resource use"]</v>
      </c>
      <c r="AM256" s="3" t="s">
        <v>52</v>
      </c>
      <c r="AO256" s="3"/>
      <c r="AP256" s="3"/>
      <c r="AQ256" s="3"/>
      <c r="AR256" s="3" t="s">
        <v>52</v>
      </c>
      <c r="AS256" s="3" t="s">
        <v>78</v>
      </c>
      <c r="AW256" s="8" t="s">
        <v>2376</v>
      </c>
    </row>
    <row r="257">
      <c r="A257" s="3">
        <v>165.0</v>
      </c>
      <c r="B257" s="3" t="s">
        <v>40</v>
      </c>
      <c r="C257" s="3" t="s">
        <v>500</v>
      </c>
      <c r="D257" s="3">
        <v>2013.0</v>
      </c>
      <c r="E257" s="3" t="s">
        <v>501</v>
      </c>
      <c r="F257" s="3" t="s">
        <v>473</v>
      </c>
      <c r="G257" s="3" t="s">
        <v>2377</v>
      </c>
      <c r="H257" s="3" t="s">
        <v>142</v>
      </c>
      <c r="J257" s="3" t="s">
        <v>142</v>
      </c>
      <c r="L257" s="3" t="s">
        <v>2143</v>
      </c>
      <c r="M257" s="3" t="s">
        <v>110</v>
      </c>
      <c r="S257" s="9" t="str">
        <f t="array" ref="S257">"[" &amp; TEXTJOIN(", ", TRUE, IF(LEN(T257:AB257), CHAR(34)&amp;T257:AB257&amp;CHAR(34), )) &amp; "]"
</f>
        <v>["Hunting &amp; Collecting Terrestrial Animals", "Dams &amp; water management/use", "Roads &amp; railroads"]</v>
      </c>
      <c r="T257" s="3" t="s">
        <v>2138</v>
      </c>
      <c r="U257" s="3"/>
      <c r="V257" s="3"/>
      <c r="Y257" s="3" t="s">
        <v>49</v>
      </c>
      <c r="AA257" s="3" t="s">
        <v>63</v>
      </c>
      <c r="AC257" s="3" t="s">
        <v>61</v>
      </c>
      <c r="AF257" s="3" t="s">
        <v>87</v>
      </c>
      <c r="AH257" s="3" t="s">
        <v>49</v>
      </c>
      <c r="AJ257" s="3" t="s">
        <v>63</v>
      </c>
      <c r="AL257" s="9" t="str">
        <f t="array" ref="AL257">"[" &amp; TEXTJOIN(", ", TRUE, IF(LEN(AM257:AQ257), CHAR(34)&amp;AM257:AQ257&amp;CHAR(34), )) &amp; "]"
</f>
        <v>["Biological resource use", "Pollution", "Natural system modifications", "Transportation &amp; service corridors"]</v>
      </c>
      <c r="AM257" s="3" t="s">
        <v>52</v>
      </c>
      <c r="AN257" s="3" t="s">
        <v>64</v>
      </c>
      <c r="AO257" s="3" t="s">
        <v>53</v>
      </c>
      <c r="AP257" s="3" t="s">
        <v>65</v>
      </c>
      <c r="AQ257" s="3"/>
      <c r="AR257" s="3" t="s">
        <v>52</v>
      </c>
      <c r="AS257" s="3" t="s">
        <v>64</v>
      </c>
      <c r="AT257" s="3" t="s">
        <v>53</v>
      </c>
      <c r="AU257" s="3" t="s">
        <v>65</v>
      </c>
      <c r="AW257" s="8" t="s">
        <v>2378</v>
      </c>
    </row>
    <row r="258">
      <c r="A258" s="3">
        <v>717.0</v>
      </c>
      <c r="B258" s="3" t="s">
        <v>40</v>
      </c>
      <c r="C258" s="3" t="s">
        <v>1545</v>
      </c>
      <c r="D258" s="3">
        <v>1983.0</v>
      </c>
      <c r="E258" s="3" t="s">
        <v>1546</v>
      </c>
      <c r="F258" s="3" t="s">
        <v>201</v>
      </c>
      <c r="G258" s="3" t="s">
        <v>2379</v>
      </c>
      <c r="H258" s="3" t="s">
        <v>58</v>
      </c>
      <c r="I258" s="3" t="s">
        <v>2142</v>
      </c>
      <c r="J258" s="3" t="s">
        <v>58</v>
      </c>
      <c r="L258" s="3" t="s">
        <v>2143</v>
      </c>
      <c r="M258" s="3" t="s">
        <v>110</v>
      </c>
      <c r="S258" s="9" t="str">
        <f t="array" ref="S258">"[" &amp; TEXTJOIN(", ", TRUE, IF(LEN(T258:AB258), CHAR(34)&amp;T258:AB258&amp;CHAR(34), )) &amp; "]"
</f>
        <v>["Agricultural &amp; forestry effluents", "Industrial &amp; military effluents", "Marine &amp; freshwater aquaculture"]</v>
      </c>
      <c r="T258" s="3" t="s">
        <v>62</v>
      </c>
      <c r="U258" s="3" t="s">
        <v>147</v>
      </c>
      <c r="V258" s="3"/>
      <c r="W258" s="3" t="s">
        <v>111</v>
      </c>
      <c r="AC258" s="3" t="s">
        <v>62</v>
      </c>
      <c r="AD258" s="3" t="s">
        <v>147</v>
      </c>
      <c r="AF258" s="3" t="s">
        <v>111</v>
      </c>
      <c r="AH258" s="3" t="s">
        <v>1547</v>
      </c>
      <c r="AJ258" s="3" t="s">
        <v>134</v>
      </c>
      <c r="AL258" s="9" t="str">
        <f t="array" ref="AL258">"[" &amp; TEXTJOIN(", ", TRUE, IF(LEN(AM258:AQ258), CHAR(34)&amp;AM258:AQ258&amp;CHAR(34), )) &amp; "]"
</f>
        <v>["Pollution", "Agriculture &amp; aquaculture", "Human intrusions &amp; disturbance", "Natural system modifications"]</v>
      </c>
      <c r="AM258" s="3" t="s">
        <v>64</v>
      </c>
      <c r="AN258" s="3" t="s">
        <v>51</v>
      </c>
      <c r="AO258" s="3" t="s">
        <v>121</v>
      </c>
      <c r="AP258" s="3" t="s">
        <v>53</v>
      </c>
      <c r="AQ258" s="3"/>
      <c r="AR258" s="3" t="s">
        <v>64</v>
      </c>
      <c r="AS258" s="3" t="s">
        <v>51</v>
      </c>
      <c r="AT258" s="3" t="s">
        <v>121</v>
      </c>
      <c r="AU258" s="3" t="s">
        <v>53</v>
      </c>
      <c r="AW258" s="8" t="s">
        <v>2380</v>
      </c>
    </row>
    <row r="259">
      <c r="A259" s="3">
        <v>729.0</v>
      </c>
      <c r="B259" s="3" t="s">
        <v>40</v>
      </c>
      <c r="C259" s="3" t="s">
        <v>1574</v>
      </c>
      <c r="D259" s="3">
        <v>2010.0</v>
      </c>
      <c r="E259" s="3" t="s">
        <v>1575</v>
      </c>
      <c r="F259" s="3" t="s">
        <v>201</v>
      </c>
      <c r="G259" s="3" t="s">
        <v>2379</v>
      </c>
      <c r="H259" s="3" t="s">
        <v>58</v>
      </c>
      <c r="I259" s="3" t="s">
        <v>2142</v>
      </c>
      <c r="J259" s="3" t="s">
        <v>58</v>
      </c>
      <c r="L259" s="3" t="s">
        <v>2143</v>
      </c>
      <c r="M259" s="3" t="s">
        <v>110</v>
      </c>
      <c r="S259" s="9" t="str">
        <f t="array" ref="S259">"[" &amp; TEXTJOIN(", ", TRUE, IF(LEN(T259:AB259), CHAR(34)&amp;T259:AB259&amp;CHAR(34), )) &amp; "]"
</f>
        <v>["Hunting &amp; collecting terrestrial animals"]</v>
      </c>
      <c r="U259" s="3"/>
      <c r="V259" s="3"/>
      <c r="W259" s="3" t="s">
        <v>2178</v>
      </c>
      <c r="AC259" s="3" t="s">
        <v>87</v>
      </c>
      <c r="AF259" s="3" t="s">
        <v>61</v>
      </c>
      <c r="AH259" s="3" t="s">
        <v>143</v>
      </c>
      <c r="AL259" s="9" t="str">
        <f t="array" ref="AL259">"[" &amp; TEXTJOIN(", ", TRUE, IF(LEN(AM259:AQ259), CHAR(34)&amp;AM259:AQ259&amp;CHAR(34), )) &amp; "]"
</f>
        <v>["Pollution", "Biological resource use", "Natural system modifications"]</v>
      </c>
      <c r="AM259" s="3" t="s">
        <v>64</v>
      </c>
      <c r="AN259" s="3" t="s">
        <v>52</v>
      </c>
      <c r="AO259" s="3" t="s">
        <v>53</v>
      </c>
      <c r="AP259" s="3"/>
      <c r="AQ259" s="3"/>
      <c r="AR259" s="3" t="s">
        <v>64</v>
      </c>
      <c r="AS259" s="3" t="s">
        <v>52</v>
      </c>
      <c r="AT259" s="3" t="s">
        <v>53</v>
      </c>
      <c r="AW259" s="8" t="s">
        <v>2381</v>
      </c>
    </row>
    <row r="260">
      <c r="A260" s="3">
        <v>170.0</v>
      </c>
      <c r="B260" s="3" t="s">
        <v>40</v>
      </c>
      <c r="C260" s="3" t="s">
        <v>511</v>
      </c>
      <c r="D260" s="3">
        <v>2014.0</v>
      </c>
      <c r="E260" s="3" t="s">
        <v>512</v>
      </c>
      <c r="F260" s="3" t="s">
        <v>201</v>
      </c>
      <c r="G260" s="3" t="s">
        <v>2379</v>
      </c>
      <c r="H260" s="3" t="s">
        <v>58</v>
      </c>
      <c r="I260" s="3" t="s">
        <v>2142</v>
      </c>
      <c r="J260" s="3" t="s">
        <v>58</v>
      </c>
      <c r="L260" s="3" t="s">
        <v>2143</v>
      </c>
      <c r="M260" s="3" t="s">
        <v>110</v>
      </c>
      <c r="S260" s="9" t="str">
        <f t="array" ref="S260">"[" &amp; TEXTJOIN(", ", TRUE, IF(LEN(T260:AB260), CHAR(34)&amp;T260:AB260&amp;CHAR(34), )) &amp; "]"
</f>
        <v>["Hunting &amp; Collecting Terrestrial Animals"]</v>
      </c>
      <c r="T260" s="3" t="s">
        <v>2138</v>
      </c>
      <c r="U260" s="3"/>
      <c r="V260" s="3"/>
      <c r="AC260" s="3" t="s">
        <v>61</v>
      </c>
      <c r="AF260" s="3" t="s">
        <v>87</v>
      </c>
      <c r="AH260" s="3" t="s">
        <v>143</v>
      </c>
      <c r="AL260" s="9" t="str">
        <f t="array" ref="AL260">"[" &amp; TEXTJOIN(", ", TRUE, IF(LEN(AM260:AQ260), CHAR(34)&amp;AM260:AQ260&amp;CHAR(34), )) &amp; "]"
</f>
        <v>["Biological resource use", "Pollution", "Natural system modifications"]</v>
      </c>
      <c r="AM260" s="3" t="s">
        <v>52</v>
      </c>
      <c r="AN260" s="3" t="s">
        <v>64</v>
      </c>
      <c r="AO260" s="3" t="s">
        <v>53</v>
      </c>
      <c r="AP260" s="3"/>
      <c r="AQ260" s="3"/>
      <c r="AR260" s="3" t="s">
        <v>52</v>
      </c>
      <c r="AS260" s="3" t="s">
        <v>64</v>
      </c>
      <c r="AT260" s="3" t="s">
        <v>53</v>
      </c>
      <c r="AW260" s="8" t="s">
        <v>2382</v>
      </c>
    </row>
    <row r="261">
      <c r="A261" s="3">
        <v>127.0</v>
      </c>
      <c r="B261" s="3" t="s">
        <v>40</v>
      </c>
      <c r="C261" s="3" t="s">
        <v>423</v>
      </c>
      <c r="D261" s="3">
        <v>2018.0</v>
      </c>
      <c r="E261" s="6" t="s">
        <v>424</v>
      </c>
      <c r="F261" s="3" t="s">
        <v>201</v>
      </c>
      <c r="G261" s="3" t="s">
        <v>2379</v>
      </c>
      <c r="H261" s="3" t="s">
        <v>58</v>
      </c>
      <c r="I261" s="3" t="s">
        <v>2142</v>
      </c>
      <c r="J261" s="3" t="s">
        <v>58</v>
      </c>
      <c r="L261" s="3" t="s">
        <v>2143</v>
      </c>
      <c r="M261" s="3" t="s">
        <v>110</v>
      </c>
      <c r="S261" s="9" t="str">
        <f t="array" ref="S261">"[" &amp; TEXTJOIN(", ", TRUE, IF(LEN(T261:AB261), CHAR(34)&amp;T261:AB261&amp;CHAR(34), )) &amp; "]"
</f>
        <v>["Hunting &amp; Collecting Terrestrial Animals"]</v>
      </c>
      <c r="T261" s="3" t="s">
        <v>2138</v>
      </c>
      <c r="U261" s="3"/>
      <c r="V261" s="3"/>
      <c r="AC261" s="3" t="s">
        <v>61</v>
      </c>
      <c r="AF261" s="3" t="s">
        <v>143</v>
      </c>
      <c r="AH261" s="3" t="s">
        <v>87</v>
      </c>
      <c r="AL261" s="9" t="str">
        <f t="array" ref="AL261">"[" &amp; TEXTJOIN(", ", TRUE, IF(LEN(AM261:AQ261), CHAR(34)&amp;AM261:AQ261&amp;CHAR(34), )) &amp; "]"
</f>
        <v>["Biological resource use", "Natural system modifications", "Pollution"]</v>
      </c>
      <c r="AM261" s="3" t="s">
        <v>52</v>
      </c>
      <c r="AN261" s="3" t="s">
        <v>53</v>
      </c>
      <c r="AO261" s="3" t="s">
        <v>64</v>
      </c>
      <c r="AP261" s="3"/>
      <c r="AQ261" s="3"/>
      <c r="AR261" s="3" t="s">
        <v>52</v>
      </c>
      <c r="AS261" s="3" t="s">
        <v>53</v>
      </c>
      <c r="AT261" s="3" t="s">
        <v>64</v>
      </c>
      <c r="AW261" s="8" t="s">
        <v>2383</v>
      </c>
    </row>
    <row r="262">
      <c r="A262" s="3">
        <v>736.0</v>
      </c>
      <c r="B262" s="3" t="s">
        <v>40</v>
      </c>
      <c r="C262" s="3" t="s">
        <v>1588</v>
      </c>
      <c r="D262" s="3">
        <v>2008.0</v>
      </c>
      <c r="E262" s="3" t="s">
        <v>1589</v>
      </c>
      <c r="F262" s="3" t="s">
        <v>201</v>
      </c>
      <c r="G262" s="3" t="s">
        <v>2379</v>
      </c>
      <c r="H262" s="3" t="s">
        <v>58</v>
      </c>
      <c r="I262" s="3" t="s">
        <v>2142</v>
      </c>
      <c r="J262" s="3" t="s">
        <v>58</v>
      </c>
      <c r="L262" s="3" t="s">
        <v>2143</v>
      </c>
      <c r="M262" s="3" t="s">
        <v>110</v>
      </c>
      <c r="S262" s="9" t="str">
        <f t="array" ref="S262">"[" &amp; TEXTJOIN(", ", TRUE, IF(LEN(T262:AB262), CHAR(34)&amp;T262:AB262&amp;CHAR(34), )) &amp; "]"
</f>
        <v>["Agricultural &amp; forestry effluents", "Hunting &amp; collecting terrestrial animals", "Roads &amp; railroads"]</v>
      </c>
      <c r="T262" s="3" t="s">
        <v>62</v>
      </c>
      <c r="U262" s="3"/>
      <c r="V262" s="3"/>
      <c r="W262" s="3" t="s">
        <v>2178</v>
      </c>
      <c r="Y262" s="3" t="s">
        <v>63</v>
      </c>
      <c r="AC262" s="3" t="s">
        <v>62</v>
      </c>
      <c r="AF262" s="3" t="s">
        <v>61</v>
      </c>
      <c r="AH262" s="3" t="s">
        <v>63</v>
      </c>
      <c r="AJ262" s="3" t="s">
        <v>143</v>
      </c>
      <c r="AL262" s="9" t="str">
        <f t="array" ref="AL262">"[" &amp; TEXTJOIN(", ", TRUE, IF(LEN(AM262:AQ262), CHAR(34)&amp;AM262:AQ262&amp;CHAR(34), )) &amp; "]"
</f>
        <v>["Pollution", "Biological resource use", "Transportation &amp; service corridors", "Natural system modifications"]</v>
      </c>
      <c r="AM262" s="3" t="s">
        <v>64</v>
      </c>
      <c r="AN262" s="3" t="s">
        <v>52</v>
      </c>
      <c r="AO262" s="3" t="s">
        <v>65</v>
      </c>
      <c r="AP262" s="3" t="s">
        <v>53</v>
      </c>
      <c r="AQ262" s="3"/>
      <c r="AR262" s="3" t="s">
        <v>64</v>
      </c>
      <c r="AS262" s="3" t="s">
        <v>52</v>
      </c>
      <c r="AT262" s="3" t="s">
        <v>65</v>
      </c>
      <c r="AU262" s="3" t="s">
        <v>53</v>
      </c>
      <c r="AW262" s="8" t="s">
        <v>2384</v>
      </c>
    </row>
    <row r="263" hidden="1">
      <c r="A263" s="3">
        <v>906.0</v>
      </c>
      <c r="B263" s="3" t="s">
        <v>106</v>
      </c>
      <c r="C263" s="3" t="s">
        <v>1911</v>
      </c>
      <c r="D263" s="3">
        <v>1997.0</v>
      </c>
      <c r="E263" s="3" t="s">
        <v>1920</v>
      </c>
      <c r="F263" s="3" t="s">
        <v>57</v>
      </c>
      <c r="H263" s="3" t="s">
        <v>58</v>
      </c>
      <c r="I263" s="3"/>
      <c r="K263" s="3"/>
      <c r="L263" s="3"/>
      <c r="M263" s="3" t="s">
        <v>110</v>
      </c>
      <c r="S263" s="3"/>
      <c r="T263" s="3"/>
      <c r="U263" s="3"/>
      <c r="V263" s="3"/>
      <c r="AC263" s="3" t="s">
        <v>62</v>
      </c>
      <c r="AL263" s="3"/>
      <c r="AM263" s="3"/>
      <c r="AN263" s="3"/>
      <c r="AO263" s="3"/>
      <c r="AP263" s="3"/>
      <c r="AQ263" s="3"/>
      <c r="AR263" s="3" t="s">
        <v>64</v>
      </c>
    </row>
    <row r="264" hidden="1">
      <c r="A264" s="3">
        <v>913.0</v>
      </c>
      <c r="B264" s="3" t="s">
        <v>55</v>
      </c>
      <c r="D264" s="3">
        <v>1991.0</v>
      </c>
      <c r="E264" s="3" t="s">
        <v>1931</v>
      </c>
      <c r="F264" s="3" t="s">
        <v>57</v>
      </c>
      <c r="H264" s="3" t="s">
        <v>58</v>
      </c>
      <c r="I264" s="3"/>
      <c r="J264" s="3" t="s">
        <v>58</v>
      </c>
      <c r="K264" s="3"/>
      <c r="L264" s="3"/>
      <c r="M264" s="3" t="s">
        <v>110</v>
      </c>
      <c r="N264" s="3" t="s">
        <v>69</v>
      </c>
      <c r="S264" s="3"/>
      <c r="T264" s="3"/>
      <c r="U264" s="3"/>
      <c r="V264" s="3"/>
      <c r="AC264" s="3" t="s">
        <v>62</v>
      </c>
      <c r="AD264" s="3" t="s">
        <v>147</v>
      </c>
      <c r="AL264" s="3"/>
      <c r="AM264" s="3"/>
      <c r="AN264" s="3"/>
      <c r="AO264" s="3"/>
      <c r="AP264" s="3"/>
      <c r="AQ264" s="3"/>
      <c r="AR264" s="3" t="s">
        <v>64</v>
      </c>
    </row>
    <row r="265" hidden="1">
      <c r="A265" s="3">
        <v>936.0</v>
      </c>
      <c r="B265" s="3" t="s">
        <v>40</v>
      </c>
      <c r="C265" s="3" t="s">
        <v>1976</v>
      </c>
      <c r="D265" s="3">
        <v>2002.0</v>
      </c>
      <c r="E265" s="3" t="s">
        <v>1977</v>
      </c>
      <c r="F265" s="3" t="s">
        <v>57</v>
      </c>
      <c r="H265" s="3" t="s">
        <v>58</v>
      </c>
      <c r="I265" s="3"/>
      <c r="J265" s="3" t="s">
        <v>58</v>
      </c>
      <c r="K265" s="3"/>
      <c r="L265" s="3"/>
      <c r="M265" s="3" t="s">
        <v>110</v>
      </c>
      <c r="S265" s="3"/>
      <c r="T265" s="3"/>
      <c r="U265" s="3"/>
      <c r="V265" s="3"/>
      <c r="W265" s="3"/>
      <c r="X265" s="3"/>
      <c r="AC265" s="3" t="s">
        <v>87</v>
      </c>
      <c r="AF265" s="3" t="s">
        <v>63</v>
      </c>
      <c r="AL265" s="3"/>
      <c r="AM265" s="3"/>
      <c r="AN265" s="3"/>
      <c r="AO265" s="3"/>
      <c r="AP265" s="3"/>
      <c r="AQ265" s="3"/>
      <c r="AR265" s="3" t="s">
        <v>71</v>
      </c>
      <c r="AS265" s="3" t="s">
        <v>65</v>
      </c>
    </row>
    <row r="266" hidden="1">
      <c r="A266" s="3">
        <v>955.0</v>
      </c>
      <c r="B266" s="3" t="s">
        <v>40</v>
      </c>
      <c r="C266" s="3" t="s">
        <v>2017</v>
      </c>
      <c r="D266" s="3">
        <v>2020.0</v>
      </c>
      <c r="E266" s="3" t="s">
        <v>2018</v>
      </c>
      <c r="F266" s="3" t="s">
        <v>57</v>
      </c>
      <c r="H266" s="3" t="s">
        <v>58</v>
      </c>
      <c r="I266" s="3"/>
      <c r="J266" s="3" t="s">
        <v>58</v>
      </c>
      <c r="K266" s="3"/>
      <c r="L266" s="3"/>
      <c r="M266" s="3" t="s">
        <v>110</v>
      </c>
      <c r="S266" s="3"/>
      <c r="T266" s="3"/>
      <c r="U266" s="3"/>
      <c r="V266" s="3"/>
      <c r="W266" s="3"/>
      <c r="X266" s="3"/>
      <c r="AC266" s="3" t="s">
        <v>63</v>
      </c>
      <c r="AF266" s="3" t="s">
        <v>61</v>
      </c>
      <c r="AL266" s="3"/>
      <c r="AM266" s="3"/>
      <c r="AN266" s="3"/>
      <c r="AO266" s="3"/>
      <c r="AP266" s="3"/>
      <c r="AQ266" s="3"/>
      <c r="AR266" s="3" t="s">
        <v>65</v>
      </c>
      <c r="AS266" s="3" t="s">
        <v>52</v>
      </c>
    </row>
    <row r="267" hidden="1">
      <c r="A267" s="3">
        <v>984.0</v>
      </c>
      <c r="B267" s="3" t="s">
        <v>40</v>
      </c>
      <c r="C267" s="3" t="s">
        <v>2074</v>
      </c>
      <c r="D267" s="3">
        <v>2012.0</v>
      </c>
      <c r="E267" s="3" t="s">
        <v>2075</v>
      </c>
      <c r="F267" s="3" t="s">
        <v>57</v>
      </c>
      <c r="H267" s="3" t="s">
        <v>58</v>
      </c>
      <c r="I267" s="3"/>
      <c r="J267" s="3" t="s">
        <v>58</v>
      </c>
      <c r="K267" s="3"/>
      <c r="L267" s="3"/>
      <c r="M267" s="3" t="s">
        <v>76</v>
      </c>
      <c r="S267" s="3"/>
      <c r="T267" s="3"/>
      <c r="U267" s="3"/>
      <c r="V267" s="3"/>
      <c r="AC267" s="3" t="s">
        <v>63</v>
      </c>
      <c r="AL267" s="3"/>
      <c r="AM267" s="3"/>
      <c r="AN267" s="3"/>
      <c r="AO267" s="3"/>
      <c r="AP267" s="3"/>
      <c r="AQ267" s="3"/>
      <c r="AR267" s="3" t="s">
        <v>65</v>
      </c>
    </row>
    <row r="268" hidden="1">
      <c r="A268" s="3">
        <v>999.0</v>
      </c>
      <c r="B268" s="3" t="s">
        <v>106</v>
      </c>
      <c r="D268" s="3">
        <v>2002.0</v>
      </c>
      <c r="E268" s="3" t="s">
        <v>2104</v>
      </c>
      <c r="F268" s="3" t="s">
        <v>57</v>
      </c>
      <c r="H268" s="3" t="s">
        <v>58</v>
      </c>
      <c r="I268" s="3"/>
      <c r="K268" s="3"/>
      <c r="L268" s="3"/>
      <c r="M268" s="3" t="s">
        <v>110</v>
      </c>
      <c r="S268" s="3"/>
      <c r="T268" s="3"/>
      <c r="U268" s="3"/>
      <c r="V268" s="3"/>
      <c r="AC268" s="3" t="s">
        <v>63</v>
      </c>
      <c r="AL268" s="3"/>
      <c r="AM268" s="3"/>
      <c r="AN268" s="3"/>
      <c r="AO268" s="3"/>
      <c r="AP268" s="3"/>
      <c r="AQ268" s="3"/>
      <c r="AR268" s="3" t="s">
        <v>65</v>
      </c>
    </row>
    <row r="269" hidden="1">
      <c r="A269" s="3">
        <v>26.0</v>
      </c>
      <c r="B269" s="3" t="s">
        <v>106</v>
      </c>
      <c r="C269" s="3" t="s">
        <v>167</v>
      </c>
      <c r="D269" s="3">
        <v>1994.0</v>
      </c>
      <c r="E269" s="3" t="s">
        <v>168</v>
      </c>
      <c r="F269" s="3" t="s">
        <v>169</v>
      </c>
      <c r="H269" s="3" t="s">
        <v>58</v>
      </c>
      <c r="I269" s="3"/>
      <c r="K269" s="3"/>
      <c r="L269" s="3"/>
      <c r="M269" s="3" t="s">
        <v>110</v>
      </c>
      <c r="S269" s="3"/>
      <c r="T269" s="3"/>
      <c r="U269" s="3"/>
      <c r="V269" s="3"/>
      <c r="W269" s="3"/>
      <c r="X269" s="3"/>
      <c r="AC269" s="3" t="s">
        <v>111</v>
      </c>
      <c r="AF269" s="3" t="s">
        <v>166</v>
      </c>
      <c r="AL269" s="3"/>
      <c r="AM269" s="3"/>
      <c r="AN269" s="3"/>
      <c r="AO269" s="3"/>
      <c r="AP269" s="3"/>
      <c r="AQ269" s="3"/>
      <c r="AR269" s="3" t="s">
        <v>51</v>
      </c>
      <c r="AS269" s="3" t="s">
        <v>65</v>
      </c>
      <c r="AW269" s="8" t="s">
        <v>2135</v>
      </c>
    </row>
    <row r="270" hidden="1">
      <c r="A270" s="3">
        <v>49.0</v>
      </c>
      <c r="B270" s="3" t="s">
        <v>55</v>
      </c>
      <c r="D270" s="3">
        <v>1996.0</v>
      </c>
      <c r="E270" s="3" t="s">
        <v>226</v>
      </c>
      <c r="F270" s="3" t="s">
        <v>227</v>
      </c>
      <c r="H270" s="3" t="s">
        <v>58</v>
      </c>
      <c r="I270" s="3"/>
      <c r="J270" s="3" t="s">
        <v>58</v>
      </c>
      <c r="K270" s="3"/>
      <c r="L270" s="3"/>
      <c r="M270" s="3" t="s">
        <v>59</v>
      </c>
      <c r="S270" s="3"/>
      <c r="T270" s="3"/>
      <c r="U270" s="3"/>
      <c r="V270" s="3"/>
      <c r="AC270" s="3" t="s">
        <v>60</v>
      </c>
      <c r="AD270" s="3" t="s">
        <v>47</v>
      </c>
      <c r="AL270" s="3"/>
      <c r="AM270" s="3"/>
      <c r="AN270" s="3"/>
      <c r="AO270" s="3"/>
      <c r="AP270" s="3"/>
      <c r="AQ270" s="3"/>
      <c r="AR270" s="3" t="s">
        <v>51</v>
      </c>
      <c r="AW270" s="8" t="s">
        <v>2135</v>
      </c>
    </row>
    <row r="271" hidden="1">
      <c r="A271" s="3">
        <v>618.0</v>
      </c>
      <c r="B271" s="3" t="s">
        <v>55</v>
      </c>
      <c r="D271" s="3">
        <v>2006.0</v>
      </c>
      <c r="E271" s="3" t="s">
        <v>1354</v>
      </c>
      <c r="F271" s="3" t="s">
        <v>1355</v>
      </c>
      <c r="H271" s="3" t="s">
        <v>58</v>
      </c>
      <c r="I271" s="3"/>
      <c r="J271" s="3" t="s">
        <v>58</v>
      </c>
      <c r="K271" s="3"/>
      <c r="L271" s="3"/>
      <c r="M271" s="3" t="s">
        <v>286</v>
      </c>
      <c r="S271" s="3"/>
      <c r="T271" s="3"/>
      <c r="U271" s="3"/>
      <c r="V271" s="3"/>
      <c r="AC271" s="3" t="s">
        <v>244</v>
      </c>
      <c r="AL271" s="3"/>
      <c r="AM271" s="3"/>
      <c r="AN271" s="3"/>
      <c r="AO271" s="3"/>
      <c r="AP271" s="3"/>
      <c r="AQ271" s="3"/>
      <c r="AR271" s="3" t="s">
        <v>54</v>
      </c>
      <c r="AW271" s="8" t="s">
        <v>2135</v>
      </c>
    </row>
    <row r="272">
      <c r="A272" s="3">
        <v>737.0</v>
      </c>
      <c r="B272" s="3" t="s">
        <v>40</v>
      </c>
      <c r="C272" s="3" t="s">
        <v>1590</v>
      </c>
      <c r="D272" s="3">
        <v>2009.0</v>
      </c>
      <c r="E272" s="3" t="s">
        <v>1591</v>
      </c>
      <c r="F272" s="3" t="s">
        <v>201</v>
      </c>
      <c r="G272" s="3" t="s">
        <v>2379</v>
      </c>
      <c r="H272" s="3" t="s">
        <v>58</v>
      </c>
      <c r="I272" s="3" t="s">
        <v>2142</v>
      </c>
      <c r="J272" s="3" t="s">
        <v>58</v>
      </c>
      <c r="L272" s="3" t="s">
        <v>2143</v>
      </c>
      <c r="M272" s="3" t="s">
        <v>110</v>
      </c>
      <c r="S272" s="9" t="str">
        <f t="array" ref="S272">"[" &amp; TEXTJOIN(", ", TRUE, IF(LEN(T272:AB272), CHAR(34)&amp;T272:AB272&amp;CHAR(34), )) &amp; "]"
</f>
        <v>["Hunting &amp; collecting terrestrial animals", "Roads &amp; railroads"]</v>
      </c>
      <c r="U272" s="3"/>
      <c r="V272" s="3"/>
      <c r="W272" s="3" t="s">
        <v>2178</v>
      </c>
      <c r="Y272" s="3" t="s">
        <v>63</v>
      </c>
      <c r="AC272" s="3" t="s">
        <v>87</v>
      </c>
      <c r="AF272" s="3" t="s">
        <v>61</v>
      </c>
      <c r="AH272" s="3" t="s">
        <v>63</v>
      </c>
      <c r="AJ272" s="3" t="s">
        <v>134</v>
      </c>
      <c r="AL272" s="9" t="str">
        <f t="array" ref="AL272">"[" &amp; TEXTJOIN(", ", TRUE, IF(LEN(AM272:AQ272), CHAR(34)&amp;AM272:AQ272&amp;CHAR(34), )) &amp; "]"
</f>
        <v>["Pollution", "Biological resource use", "Transportation &amp; service corridors", "Natural system modifications"]</v>
      </c>
      <c r="AM272" s="3" t="s">
        <v>64</v>
      </c>
      <c r="AN272" s="3" t="s">
        <v>52</v>
      </c>
      <c r="AO272" s="3" t="s">
        <v>65</v>
      </c>
      <c r="AP272" s="3" t="s">
        <v>53</v>
      </c>
      <c r="AQ272" s="3"/>
      <c r="AR272" s="3" t="s">
        <v>64</v>
      </c>
      <c r="AS272" s="3" t="s">
        <v>52</v>
      </c>
      <c r="AT272" s="3" t="s">
        <v>65</v>
      </c>
      <c r="AU272" s="3" t="s">
        <v>53</v>
      </c>
      <c r="AW272" s="8" t="s">
        <v>2385</v>
      </c>
    </row>
    <row r="273" hidden="1">
      <c r="A273" s="3">
        <v>42.0</v>
      </c>
      <c r="B273" s="3" t="s">
        <v>106</v>
      </c>
      <c r="C273" s="3" t="s">
        <v>209</v>
      </c>
      <c r="D273" s="3">
        <v>1990.0</v>
      </c>
      <c r="E273" s="3" t="s">
        <v>210</v>
      </c>
      <c r="F273" s="3" t="s">
        <v>95</v>
      </c>
      <c r="G273" s="3"/>
      <c r="H273" s="3" t="s">
        <v>58</v>
      </c>
      <c r="I273" s="3"/>
      <c r="K273" s="3"/>
      <c r="L273" s="3"/>
      <c r="M273" s="3" t="s">
        <v>110</v>
      </c>
      <c r="S273" s="3"/>
      <c r="T273" s="3"/>
      <c r="U273" s="3"/>
      <c r="V273" s="3"/>
      <c r="AC273" s="3" t="s">
        <v>111</v>
      </c>
      <c r="AL273" s="3"/>
      <c r="AM273" s="3"/>
      <c r="AN273" s="3"/>
      <c r="AO273" s="3"/>
      <c r="AP273" s="3"/>
      <c r="AQ273" s="3"/>
      <c r="AR273" s="3" t="s">
        <v>51</v>
      </c>
      <c r="AW273" s="8" t="s">
        <v>2135</v>
      </c>
    </row>
    <row r="274">
      <c r="A274" s="3">
        <v>735.0</v>
      </c>
      <c r="B274" s="3" t="s">
        <v>40</v>
      </c>
      <c r="C274" s="3" t="s">
        <v>1586</v>
      </c>
      <c r="D274" s="3">
        <v>2007.0</v>
      </c>
      <c r="E274" s="3" t="s">
        <v>1587</v>
      </c>
      <c r="F274" s="3" t="s">
        <v>201</v>
      </c>
      <c r="G274" s="3" t="s">
        <v>2379</v>
      </c>
      <c r="H274" s="3" t="s">
        <v>58</v>
      </c>
      <c r="I274" s="3" t="s">
        <v>2142</v>
      </c>
      <c r="J274" s="3" t="s">
        <v>58</v>
      </c>
      <c r="L274" s="3" t="s">
        <v>2143</v>
      </c>
      <c r="M274" s="3" t="s">
        <v>110</v>
      </c>
      <c r="S274" s="9" t="str">
        <f t="array" ref="S274">"[" &amp; TEXTJOIN(", ", TRUE, IF(LEN(T274:AB274), CHAR(34)&amp;T274:AB274&amp;CHAR(34), )) &amp; "]"
</f>
        <v>["Hunting &amp; collecting terrestrial animals", "Roads &amp; railroads"]</v>
      </c>
      <c r="U274" s="3"/>
      <c r="V274" s="3"/>
      <c r="W274" s="3" t="s">
        <v>2178</v>
      </c>
      <c r="Y274" s="3" t="s">
        <v>63</v>
      </c>
      <c r="AC274" s="3" t="s">
        <v>87</v>
      </c>
      <c r="AF274" s="3" t="s">
        <v>61</v>
      </c>
      <c r="AH274" s="3" t="s">
        <v>63</v>
      </c>
      <c r="AJ274" s="3" t="s">
        <v>143</v>
      </c>
      <c r="AL274" s="9" t="str">
        <f t="array" ref="AL274">"[" &amp; TEXTJOIN(", ", TRUE, IF(LEN(AM274:AQ274), CHAR(34)&amp;AM274:AQ274&amp;CHAR(34), )) &amp; "]"
</f>
        <v>["Pollution", "Biological resource use", "Transportation &amp; service corridors", "Natural system modifications"]</v>
      </c>
      <c r="AM274" s="3" t="s">
        <v>64</v>
      </c>
      <c r="AN274" s="3" t="s">
        <v>52</v>
      </c>
      <c r="AO274" s="3" t="s">
        <v>65</v>
      </c>
      <c r="AP274" s="3" t="s">
        <v>53</v>
      </c>
      <c r="AQ274" s="3"/>
      <c r="AR274" s="3" t="s">
        <v>64</v>
      </c>
      <c r="AS274" s="3" t="s">
        <v>52</v>
      </c>
      <c r="AT274" s="3" t="s">
        <v>65</v>
      </c>
      <c r="AU274" s="3" t="s">
        <v>53</v>
      </c>
      <c r="AW274" s="8" t="s">
        <v>2386</v>
      </c>
    </row>
    <row r="275">
      <c r="A275" s="3">
        <v>450.0</v>
      </c>
      <c r="B275" s="3" t="s">
        <v>40</v>
      </c>
      <c r="C275" s="3" t="s">
        <v>1028</v>
      </c>
      <c r="D275" s="3">
        <v>2009.0</v>
      </c>
      <c r="E275" s="3" t="s">
        <v>1029</v>
      </c>
      <c r="F275" s="3" t="s">
        <v>201</v>
      </c>
      <c r="G275" s="3" t="s">
        <v>2379</v>
      </c>
      <c r="H275" s="3" t="s">
        <v>58</v>
      </c>
      <c r="I275" s="3" t="s">
        <v>2142</v>
      </c>
      <c r="J275" s="3" t="s">
        <v>58</v>
      </c>
      <c r="L275" s="3" t="s">
        <v>2143</v>
      </c>
      <c r="M275" s="3" t="s">
        <v>110</v>
      </c>
      <c r="S275" s="9" t="str">
        <f t="array" ref="S275">"[" &amp; TEXTJOIN(", ", TRUE, IF(LEN(T275:AB275), CHAR(34)&amp;T275:AB275&amp;CHAR(34), )) &amp; "]"
</f>
        <v>["Roads &amp; railroads"]</v>
      </c>
      <c r="U275" s="3"/>
      <c r="V275" s="3"/>
      <c r="Y275" s="3" t="s">
        <v>63</v>
      </c>
      <c r="AC275" s="3" t="s">
        <v>87</v>
      </c>
      <c r="AF275" s="3" t="s">
        <v>87</v>
      </c>
      <c r="AH275" s="3" t="s">
        <v>63</v>
      </c>
      <c r="AL275" s="9" t="str">
        <f t="array" ref="AL275">"[" &amp; TEXTJOIN(", ", TRUE, IF(LEN(AM275:AQ275), CHAR(34)&amp;AM275:AQ275&amp;CHAR(34), )) &amp; "]"
</f>
        <v>["Human intrusions &amp; disturbance", "Pollution", "Transportation &amp; service corridors"]</v>
      </c>
      <c r="AM275" s="3" t="s">
        <v>121</v>
      </c>
      <c r="AN275" s="3" t="s">
        <v>64</v>
      </c>
      <c r="AO275" s="3" t="s">
        <v>65</v>
      </c>
      <c r="AP275" s="3"/>
      <c r="AQ275" s="3"/>
      <c r="AR275" s="3" t="s">
        <v>121</v>
      </c>
      <c r="AS275" s="3" t="s">
        <v>64</v>
      </c>
      <c r="AT275" s="3" t="s">
        <v>65</v>
      </c>
      <c r="AW275" s="8" t="s">
        <v>2387</v>
      </c>
    </row>
    <row r="276">
      <c r="A276" s="3">
        <v>627.0</v>
      </c>
      <c r="B276" s="3" t="s">
        <v>40</v>
      </c>
      <c r="C276" s="3" t="s">
        <v>1371</v>
      </c>
      <c r="D276" s="3">
        <v>2011.0</v>
      </c>
      <c r="E276" s="3" t="s">
        <v>1372</v>
      </c>
      <c r="F276" s="3" t="s">
        <v>201</v>
      </c>
      <c r="G276" s="3" t="s">
        <v>2379</v>
      </c>
      <c r="H276" s="3" t="s">
        <v>58</v>
      </c>
      <c r="I276" s="3" t="s">
        <v>2142</v>
      </c>
      <c r="J276" s="3" t="s">
        <v>58</v>
      </c>
      <c r="L276" s="3" t="s">
        <v>2143</v>
      </c>
      <c r="M276" s="3" t="s">
        <v>110</v>
      </c>
      <c r="S276" s="9" t="str">
        <f t="array" ref="S276">"[" &amp; TEXTJOIN(", ", TRUE, IF(LEN(T276:AB276), CHAR(34)&amp;T276:AB276&amp;CHAR(34), )) &amp; "]"
</f>
        <v>["Hunting &amp; collecting terrestrial animals"]</v>
      </c>
      <c r="U276" s="3"/>
      <c r="V276" s="3"/>
      <c r="W276" s="3" t="s">
        <v>2178</v>
      </c>
      <c r="AC276" s="3" t="s">
        <v>143</v>
      </c>
      <c r="AF276" s="3" t="s">
        <v>61</v>
      </c>
      <c r="AL276" s="9" t="str">
        <f t="array" ref="AL276">"[" &amp; TEXTJOIN(", ", TRUE, IF(LEN(AM276:AQ276), CHAR(34)&amp;AM276:AQ276&amp;CHAR(34), )) &amp; "]"
</f>
        <v>["Natural system modifications", "Biological resource use"]</v>
      </c>
      <c r="AM276" s="3" t="s">
        <v>53</v>
      </c>
      <c r="AN276" s="3" t="s">
        <v>52</v>
      </c>
      <c r="AO276" s="3"/>
      <c r="AP276" s="3"/>
      <c r="AQ276" s="3"/>
      <c r="AR276" s="3" t="s">
        <v>53</v>
      </c>
      <c r="AS276" s="3" t="s">
        <v>52</v>
      </c>
      <c r="AW276" s="8" t="s">
        <v>2388</v>
      </c>
    </row>
    <row r="277">
      <c r="A277" s="3">
        <v>106.0</v>
      </c>
      <c r="B277" s="3" t="s">
        <v>40</v>
      </c>
      <c r="C277" s="3" t="s">
        <v>380</v>
      </c>
      <c r="D277" s="3">
        <v>2009.0</v>
      </c>
      <c r="E277" s="3" t="s">
        <v>381</v>
      </c>
      <c r="F277" s="3" t="s">
        <v>201</v>
      </c>
      <c r="G277" s="3" t="s">
        <v>2379</v>
      </c>
      <c r="H277" s="3" t="s">
        <v>58</v>
      </c>
      <c r="I277" s="3" t="s">
        <v>2142</v>
      </c>
      <c r="J277" s="3" t="s">
        <v>58</v>
      </c>
      <c r="L277" s="3" t="s">
        <v>2143</v>
      </c>
      <c r="M277" s="3" t="s">
        <v>110</v>
      </c>
      <c r="S277" s="9" t="str">
        <f t="array" ref="S277">"[" &amp; TEXTJOIN(", ", TRUE, IF(LEN(T277:AB277), CHAR(34)&amp;T277:AB277&amp;CHAR(34), )) &amp; "]"
</f>
        <v>["Hunting &amp; Collecting Terrestrial Animals"]</v>
      </c>
      <c r="T277" s="3" t="s">
        <v>2138</v>
      </c>
      <c r="U277" s="3"/>
      <c r="V277" s="3"/>
      <c r="AC277" s="3" t="s">
        <v>61</v>
      </c>
      <c r="AF277" s="3" t="s">
        <v>87</v>
      </c>
      <c r="AL277" s="9" t="str">
        <f t="array" ref="AL277">"[" &amp; TEXTJOIN(", ", TRUE, IF(LEN(AM277:AQ277), CHAR(34)&amp;AM277:AQ277&amp;CHAR(34), )) &amp; "]"
</f>
        <v>["Biological resource use", "Human intrusions &amp; disturbance"]</v>
      </c>
      <c r="AM277" s="3" t="s">
        <v>52</v>
      </c>
      <c r="AN277" s="3" t="s">
        <v>121</v>
      </c>
      <c r="AO277" s="3"/>
      <c r="AP277" s="3"/>
      <c r="AQ277" s="3"/>
      <c r="AR277" s="3" t="s">
        <v>52</v>
      </c>
      <c r="AS277" s="3" t="s">
        <v>121</v>
      </c>
      <c r="AW277" s="8" t="s">
        <v>2389</v>
      </c>
    </row>
    <row r="278" hidden="1">
      <c r="A278" s="3">
        <v>890.0</v>
      </c>
      <c r="B278" s="3" t="s">
        <v>106</v>
      </c>
      <c r="D278" s="3">
        <v>1988.0</v>
      </c>
      <c r="E278" s="3" t="s">
        <v>1892</v>
      </c>
      <c r="F278" s="3" t="s">
        <v>95</v>
      </c>
      <c r="G278" s="3"/>
      <c r="H278" s="3" t="s">
        <v>58</v>
      </c>
      <c r="I278" s="3"/>
      <c r="K278" s="3"/>
      <c r="L278" s="3"/>
      <c r="M278" s="3" t="s">
        <v>110</v>
      </c>
      <c r="S278" s="3"/>
      <c r="T278" s="3"/>
      <c r="U278" s="3"/>
      <c r="V278" s="3"/>
      <c r="AC278" s="3" t="s">
        <v>125</v>
      </c>
      <c r="AL278" s="3"/>
      <c r="AM278" s="3"/>
      <c r="AN278" s="3"/>
      <c r="AO278" s="3"/>
      <c r="AP278" s="3"/>
      <c r="AQ278" s="3"/>
      <c r="AR278" s="3" t="s">
        <v>64</v>
      </c>
    </row>
    <row r="279" hidden="1">
      <c r="A279" s="3">
        <v>950.0</v>
      </c>
      <c r="B279" s="3" t="s">
        <v>106</v>
      </c>
      <c r="C279" s="3" t="s">
        <v>2007</v>
      </c>
      <c r="D279" s="3">
        <v>1994.0</v>
      </c>
      <c r="E279" s="3" t="s">
        <v>2008</v>
      </c>
      <c r="F279" s="3" t="s">
        <v>95</v>
      </c>
      <c r="G279" s="3"/>
      <c r="H279" s="3" t="s">
        <v>58</v>
      </c>
      <c r="I279" s="3"/>
      <c r="K279" s="3"/>
      <c r="L279" s="3"/>
      <c r="M279" s="3" t="s">
        <v>110</v>
      </c>
      <c r="S279" s="3"/>
      <c r="T279" s="3"/>
      <c r="U279" s="3"/>
      <c r="V279" s="3"/>
      <c r="W279" s="3"/>
      <c r="X279" s="3"/>
      <c r="AC279" s="3" t="s">
        <v>63</v>
      </c>
      <c r="AF279" s="3" t="s">
        <v>111</v>
      </c>
      <c r="AL279" s="3"/>
      <c r="AM279" s="3"/>
      <c r="AN279" s="3"/>
      <c r="AO279" s="3"/>
      <c r="AP279" s="3"/>
      <c r="AQ279" s="3"/>
      <c r="AR279" s="3" t="s">
        <v>65</v>
      </c>
      <c r="AS279" s="3" t="s">
        <v>51</v>
      </c>
    </row>
    <row r="280" hidden="1">
      <c r="A280" s="3">
        <v>952.0</v>
      </c>
      <c r="B280" s="3" t="s">
        <v>106</v>
      </c>
      <c r="C280" s="3" t="s">
        <v>2011</v>
      </c>
      <c r="D280" s="3">
        <v>1992.0</v>
      </c>
      <c r="E280" s="3" t="s">
        <v>2012</v>
      </c>
      <c r="F280" s="3" t="s">
        <v>95</v>
      </c>
      <c r="G280" s="3"/>
      <c r="H280" s="3" t="s">
        <v>58</v>
      </c>
      <c r="I280" s="3"/>
      <c r="K280" s="3"/>
      <c r="L280" s="3"/>
      <c r="M280" s="3" t="s">
        <v>110</v>
      </c>
      <c r="S280" s="3"/>
      <c r="T280" s="3"/>
      <c r="U280" s="3"/>
      <c r="V280" s="3"/>
      <c r="W280" s="3"/>
      <c r="X280" s="3"/>
      <c r="Y280" s="3"/>
      <c r="Z280" s="3"/>
      <c r="AC280" s="3" t="s">
        <v>63</v>
      </c>
      <c r="AF280" s="3" t="s">
        <v>61</v>
      </c>
      <c r="AH280" s="3" t="s">
        <v>147</v>
      </c>
      <c r="AL280" s="3"/>
      <c r="AM280" s="3"/>
      <c r="AN280" s="3"/>
      <c r="AO280" s="3"/>
      <c r="AP280" s="3"/>
      <c r="AQ280" s="3"/>
      <c r="AR280" s="3" t="s">
        <v>65</v>
      </c>
      <c r="AS280" s="3" t="s">
        <v>52</v>
      </c>
      <c r="AT280" s="3" t="s">
        <v>64</v>
      </c>
    </row>
    <row r="281">
      <c r="A281" s="3">
        <v>206.0</v>
      </c>
      <c r="B281" s="3" t="s">
        <v>40</v>
      </c>
      <c r="C281" s="3" t="s">
        <v>580</v>
      </c>
      <c r="D281" s="3">
        <v>2006.0</v>
      </c>
      <c r="E281" s="3" t="s">
        <v>581</v>
      </c>
      <c r="F281" s="3" t="s">
        <v>201</v>
      </c>
      <c r="G281" s="3" t="s">
        <v>2379</v>
      </c>
      <c r="H281" s="3" t="s">
        <v>58</v>
      </c>
      <c r="I281" s="3" t="s">
        <v>2142</v>
      </c>
      <c r="J281" s="3" t="s">
        <v>58</v>
      </c>
      <c r="L281" s="3" t="s">
        <v>2311</v>
      </c>
      <c r="M281" s="3" t="s">
        <v>69</v>
      </c>
      <c r="S281" s="9" t="str">
        <f t="array" ref="S281">"[" &amp; TEXTJOIN(", ", TRUE, IF(LEN(T281:AB281), CHAR(34)&amp;T281:AB281&amp;CHAR(34), )) &amp; "]"
</f>
        <v>["Hunting &amp; Collecting Terrestrial Animals", "Housing &amp; urban areas"]</v>
      </c>
      <c r="T281" s="3" t="s">
        <v>2138</v>
      </c>
      <c r="U281" s="3"/>
      <c r="V281" s="3"/>
      <c r="W281" s="3" t="s">
        <v>70</v>
      </c>
      <c r="AC281" s="3" t="s">
        <v>61</v>
      </c>
      <c r="AF281" s="3" t="s">
        <v>70</v>
      </c>
      <c r="AL281" s="9" t="str">
        <f t="array" ref="AL281">"[" &amp; TEXTJOIN(", ", TRUE, IF(LEN(AM281:AQ281), CHAR(34)&amp;AM281:AQ281&amp;CHAR(34), )) &amp; "]"
</f>
        <v>["Biological resource use", "Residential &amp; commercial development"]</v>
      </c>
      <c r="AM281" s="3" t="s">
        <v>52</v>
      </c>
      <c r="AN281" s="3" t="s">
        <v>71</v>
      </c>
      <c r="AO281" s="3"/>
      <c r="AP281" s="3"/>
      <c r="AQ281" s="3"/>
      <c r="AR281" s="3" t="s">
        <v>52</v>
      </c>
      <c r="AS281" s="3" t="s">
        <v>71</v>
      </c>
      <c r="AW281" s="8" t="s">
        <v>2390</v>
      </c>
    </row>
    <row r="282">
      <c r="A282" s="3">
        <v>39.0</v>
      </c>
      <c r="B282" s="3" t="s">
        <v>40</v>
      </c>
      <c r="C282" s="3" t="s">
        <v>199</v>
      </c>
      <c r="D282" s="3">
        <v>2017.0</v>
      </c>
      <c r="E282" s="3" t="s">
        <v>200</v>
      </c>
      <c r="F282" s="3" t="s">
        <v>201</v>
      </c>
      <c r="G282" s="3" t="s">
        <v>2379</v>
      </c>
      <c r="H282" s="3" t="s">
        <v>58</v>
      </c>
      <c r="I282" s="3" t="s">
        <v>2142</v>
      </c>
      <c r="J282" s="3" t="s">
        <v>58</v>
      </c>
      <c r="L282" s="3" t="s">
        <v>2311</v>
      </c>
      <c r="M282" s="3" t="s">
        <v>69</v>
      </c>
      <c r="S282" s="9" t="str">
        <f t="array" ref="S282">"[" &amp; TEXTJOIN(", ", TRUE, IF(LEN(T282:AB282), CHAR(34)&amp;T282:AB282&amp;CHAR(34), )) &amp; "]"
</f>
        <v>["Livestock farming &amp; ranching"]</v>
      </c>
      <c r="T282" s="3" t="s">
        <v>47</v>
      </c>
      <c r="U282" s="3"/>
      <c r="V282" s="3"/>
      <c r="AC282" s="3" t="s">
        <v>47</v>
      </c>
      <c r="AL282" s="9" t="str">
        <f t="array" ref="AL282">"[" &amp; TEXTJOIN(", ", TRUE, IF(LEN(AM282:AQ282), CHAR(34)&amp;AM282:AQ282&amp;CHAR(34), )) &amp; "]"
</f>
        <v>["Agriculture &amp; aquaculture"]</v>
      </c>
      <c r="AM282" s="3" t="s">
        <v>51</v>
      </c>
      <c r="AN282" s="3"/>
      <c r="AO282" s="3"/>
      <c r="AP282" s="3"/>
      <c r="AQ282" s="3"/>
      <c r="AR282" s="3" t="s">
        <v>51</v>
      </c>
      <c r="AW282" s="8" t="s">
        <v>2391</v>
      </c>
    </row>
    <row r="283">
      <c r="A283" s="3">
        <v>539.0</v>
      </c>
      <c r="B283" s="3" t="s">
        <v>40</v>
      </c>
      <c r="C283" s="3" t="s">
        <v>1201</v>
      </c>
      <c r="D283" s="3">
        <v>2010.0</v>
      </c>
      <c r="E283" s="3" t="s">
        <v>1202</v>
      </c>
      <c r="F283" s="3" t="s">
        <v>201</v>
      </c>
      <c r="G283" s="3" t="s">
        <v>2379</v>
      </c>
      <c r="H283" s="3" t="s">
        <v>58</v>
      </c>
      <c r="I283" s="3" t="s">
        <v>2142</v>
      </c>
      <c r="J283" s="3" t="s">
        <v>58</v>
      </c>
      <c r="L283" s="3" t="s">
        <v>2311</v>
      </c>
      <c r="M283" s="3" t="s">
        <v>69</v>
      </c>
      <c r="S283" s="9" t="str">
        <f t="array" ref="S283">"[" &amp; TEXTJOIN(", ", TRUE, IF(LEN(T283:AB283), CHAR(34)&amp;T283:AB283&amp;CHAR(34), )) &amp; "]"
</f>
        <v>["Problematic native species/diseases"]</v>
      </c>
      <c r="T283" s="3" t="s">
        <v>244</v>
      </c>
      <c r="U283" s="3"/>
      <c r="V283" s="3"/>
      <c r="AC283" s="3" t="s">
        <v>244</v>
      </c>
      <c r="AL283" s="9" t="str">
        <f t="array" ref="AL283">"[" &amp; TEXTJOIN(", ", TRUE, IF(LEN(AM283:AQ283), CHAR(34)&amp;AM283:AQ283&amp;CHAR(34), )) &amp; "]"
</f>
        <v>["Invasive &amp; other problematic species, genes &amp; diseases"]</v>
      </c>
      <c r="AM283" s="3" t="s">
        <v>54</v>
      </c>
      <c r="AN283" s="3"/>
      <c r="AO283" s="3"/>
      <c r="AP283" s="3"/>
      <c r="AQ283" s="3"/>
      <c r="AR283" s="3" t="s">
        <v>54</v>
      </c>
      <c r="AW283" s="8" t="s">
        <v>2392</v>
      </c>
    </row>
    <row r="284" hidden="1">
      <c r="A284" s="3">
        <v>167.0</v>
      </c>
      <c r="B284" s="3" t="s">
        <v>55</v>
      </c>
      <c r="D284" s="3">
        <v>1990.0</v>
      </c>
      <c r="E284" s="3" t="s">
        <v>505</v>
      </c>
      <c r="F284" s="3" t="s">
        <v>187</v>
      </c>
      <c r="G284" s="3"/>
      <c r="H284" s="3" t="s">
        <v>58</v>
      </c>
      <c r="I284" s="3"/>
      <c r="J284" s="3" t="s">
        <v>58</v>
      </c>
      <c r="K284" s="3"/>
      <c r="L284" s="3"/>
      <c r="M284" s="3" t="s">
        <v>286</v>
      </c>
      <c r="S284" s="3"/>
      <c r="T284" s="3"/>
      <c r="U284" s="3"/>
      <c r="V284" s="3"/>
      <c r="W284" s="3"/>
      <c r="X284" s="3"/>
      <c r="Y284" s="3"/>
      <c r="Z284" s="3"/>
      <c r="AA284" s="3"/>
      <c r="AB284" s="3"/>
      <c r="AC284" s="3" t="s">
        <v>61</v>
      </c>
      <c r="AF284" s="3" t="s">
        <v>147</v>
      </c>
      <c r="AH284" s="3" t="s">
        <v>49</v>
      </c>
      <c r="AJ284" s="3" t="s">
        <v>63</v>
      </c>
      <c r="AL284" s="3"/>
      <c r="AM284" s="3"/>
      <c r="AN284" s="3"/>
      <c r="AO284" s="3"/>
      <c r="AP284" s="3"/>
      <c r="AQ284" s="3"/>
      <c r="AR284" s="3" t="s">
        <v>52</v>
      </c>
      <c r="AS284" s="3" t="s">
        <v>64</v>
      </c>
      <c r="AT284" s="3" t="s">
        <v>53</v>
      </c>
      <c r="AU284" s="3" t="s">
        <v>65</v>
      </c>
      <c r="AW284" s="8" t="s">
        <v>2135</v>
      </c>
    </row>
    <row r="285" hidden="1">
      <c r="A285" s="3">
        <v>177.0</v>
      </c>
      <c r="B285" s="3" t="s">
        <v>106</v>
      </c>
      <c r="D285" s="3">
        <v>1988.0</v>
      </c>
      <c r="E285" s="3" t="s">
        <v>527</v>
      </c>
      <c r="F285" s="3" t="s">
        <v>187</v>
      </c>
      <c r="G285" s="3"/>
      <c r="H285" s="3" t="s">
        <v>58</v>
      </c>
      <c r="I285" s="3"/>
      <c r="K285" s="3"/>
      <c r="L285" s="3"/>
      <c r="M285" s="3" t="s">
        <v>110</v>
      </c>
      <c r="S285" s="3"/>
      <c r="T285" s="3"/>
      <c r="U285" s="3"/>
      <c r="V285" s="3"/>
      <c r="W285" s="3"/>
      <c r="X285" s="3"/>
      <c r="Y285" s="3"/>
      <c r="Z285" s="3"/>
      <c r="AC285" s="3" t="s">
        <v>267</v>
      </c>
      <c r="AD285" s="3" t="s">
        <v>61</v>
      </c>
      <c r="AF285" s="3" t="s">
        <v>125</v>
      </c>
      <c r="AH285" s="3" t="s">
        <v>63</v>
      </c>
      <c r="AL285" s="3"/>
      <c r="AM285" s="3"/>
      <c r="AN285" s="3"/>
      <c r="AO285" s="3"/>
      <c r="AP285" s="3"/>
      <c r="AQ285" s="3"/>
      <c r="AR285" s="3" t="s">
        <v>52</v>
      </c>
      <c r="AS285" s="3" t="s">
        <v>64</v>
      </c>
      <c r="AT285" s="3" t="s">
        <v>65</v>
      </c>
      <c r="AW285" s="8" t="s">
        <v>2135</v>
      </c>
    </row>
    <row r="286">
      <c r="A286" s="3">
        <v>569.0</v>
      </c>
      <c r="B286" s="3" t="s">
        <v>40</v>
      </c>
      <c r="C286" s="3" t="s">
        <v>1262</v>
      </c>
      <c r="D286" s="3">
        <v>2014.0</v>
      </c>
      <c r="E286" s="3" t="s">
        <v>1263</v>
      </c>
      <c r="F286" s="3" t="s">
        <v>201</v>
      </c>
      <c r="G286" s="3" t="s">
        <v>2379</v>
      </c>
      <c r="H286" s="3" t="s">
        <v>58</v>
      </c>
      <c r="I286" s="3" t="s">
        <v>2142</v>
      </c>
      <c r="J286" s="3" t="s">
        <v>58</v>
      </c>
      <c r="L286" s="3" t="s">
        <v>2143</v>
      </c>
      <c r="M286" s="3" t="s">
        <v>110</v>
      </c>
      <c r="S286" s="9" t="str">
        <f t="array" ref="S286">"[" &amp; TEXTJOIN(", ", TRUE, IF(LEN(T286:AB286), CHAR(34)&amp;T286:AB286&amp;CHAR(34), )) &amp; "]"
</f>
        <v>["Problematic native species/diseases"]</v>
      </c>
      <c r="T286" s="3" t="s">
        <v>244</v>
      </c>
      <c r="U286" s="3"/>
      <c r="V286" s="3"/>
      <c r="AC286" s="3" t="s">
        <v>244</v>
      </c>
      <c r="AL286" s="9" t="str">
        <f t="array" ref="AL286">"[" &amp; TEXTJOIN(", ", TRUE, IF(LEN(AM286:AQ286), CHAR(34)&amp;AM286:AQ286&amp;CHAR(34), )) &amp; "]"
</f>
        <v>["Invasive &amp; other problematic species, genes &amp; diseases"]</v>
      </c>
      <c r="AM286" s="3" t="s">
        <v>54</v>
      </c>
      <c r="AN286" s="3"/>
      <c r="AO286" s="3"/>
      <c r="AP286" s="3"/>
      <c r="AQ286" s="3"/>
      <c r="AR286" s="3" t="s">
        <v>54</v>
      </c>
      <c r="AW286" s="8" t="s">
        <v>2393</v>
      </c>
    </row>
    <row r="287" hidden="1">
      <c r="A287" s="3">
        <v>372.0</v>
      </c>
      <c r="B287" s="3" t="s">
        <v>106</v>
      </c>
      <c r="D287" s="3">
        <v>2003.0</v>
      </c>
      <c r="E287" s="3" t="s">
        <v>912</v>
      </c>
      <c r="F287" s="3" t="s">
        <v>187</v>
      </c>
      <c r="G287" s="3"/>
      <c r="H287" s="3" t="s">
        <v>58</v>
      </c>
      <c r="I287" s="3"/>
      <c r="K287" s="3"/>
      <c r="L287" s="3"/>
      <c r="M287" s="3" t="s">
        <v>110</v>
      </c>
      <c r="S287" s="3"/>
      <c r="T287" s="3"/>
      <c r="U287" s="3"/>
      <c r="V287" s="3"/>
      <c r="AC287" s="3" t="s">
        <v>247</v>
      </c>
      <c r="AL287" s="3"/>
      <c r="AM287" s="3"/>
      <c r="AN287" s="3"/>
      <c r="AO287" s="3"/>
      <c r="AP287" s="3"/>
      <c r="AQ287" s="3"/>
      <c r="AR287" s="3" t="s">
        <v>52</v>
      </c>
      <c r="AW287" s="8" t="s">
        <v>2135</v>
      </c>
    </row>
    <row r="288">
      <c r="A288" s="3">
        <v>599.0</v>
      </c>
      <c r="B288" s="3" t="s">
        <v>40</v>
      </c>
      <c r="C288" s="3" t="s">
        <v>1324</v>
      </c>
      <c r="D288" s="3">
        <v>2019.0</v>
      </c>
      <c r="E288" s="3" t="s">
        <v>1325</v>
      </c>
      <c r="F288" s="3" t="s">
        <v>201</v>
      </c>
      <c r="G288" s="3" t="s">
        <v>2379</v>
      </c>
      <c r="H288" s="3" t="s">
        <v>58</v>
      </c>
      <c r="I288" s="3" t="s">
        <v>2142</v>
      </c>
      <c r="J288" s="3" t="s">
        <v>58</v>
      </c>
      <c r="L288" s="3" t="s">
        <v>2143</v>
      </c>
      <c r="M288" s="3" t="s">
        <v>110</v>
      </c>
      <c r="S288" s="9" t="str">
        <f t="array" ref="S288">"[" &amp; TEXTJOIN(", ", TRUE, IF(LEN(T288:AB288), CHAR(34)&amp;T288:AB288&amp;CHAR(34), )) &amp; "]"
</f>
        <v>["Viral/prion-induced diseases"]</v>
      </c>
      <c r="T288" s="3" t="s">
        <v>385</v>
      </c>
      <c r="U288" s="3"/>
      <c r="V288" s="3"/>
      <c r="AC288" s="3" t="s">
        <v>385</v>
      </c>
      <c r="AL288" s="9" t="str">
        <f t="array" ref="AL288">"[" &amp; TEXTJOIN(", ", TRUE, IF(LEN(AM288:AQ288), CHAR(34)&amp;AM288:AQ288&amp;CHAR(34), )) &amp; "]"
</f>
        <v>["Invasive &amp; other problematic species, genes &amp; diseases"]</v>
      </c>
      <c r="AM288" s="3" t="s">
        <v>54</v>
      </c>
      <c r="AN288" s="3"/>
      <c r="AO288" s="3"/>
      <c r="AP288" s="3"/>
      <c r="AQ288" s="3"/>
      <c r="AR288" s="3" t="s">
        <v>54</v>
      </c>
      <c r="AW288" s="8" t="s">
        <v>2394</v>
      </c>
    </row>
    <row r="289">
      <c r="A289" s="3">
        <v>828.0</v>
      </c>
      <c r="B289" s="3" t="s">
        <v>40</v>
      </c>
      <c r="C289" s="3" t="s">
        <v>1770</v>
      </c>
      <c r="D289" s="3">
        <v>2006.0</v>
      </c>
      <c r="E289" s="3" t="s">
        <v>1771</v>
      </c>
      <c r="F289" s="3" t="s">
        <v>201</v>
      </c>
      <c r="G289" s="3" t="s">
        <v>2379</v>
      </c>
      <c r="H289" s="3" t="s">
        <v>58</v>
      </c>
      <c r="I289" s="3" t="s">
        <v>2142</v>
      </c>
      <c r="J289" s="3" t="s">
        <v>58</v>
      </c>
      <c r="L289" s="3" t="s">
        <v>2180</v>
      </c>
      <c r="M289" s="3" t="s">
        <v>285</v>
      </c>
      <c r="S289" s="9" t="str">
        <f t="array" ref="S289">"[" &amp; TEXTJOIN(", ", TRUE, IF(LEN(T289:AB289), CHAR(34)&amp;T289:AB289&amp;CHAR(34), )) &amp; "]"
</f>
        <v>["Industrial &amp; military effluents"]</v>
      </c>
      <c r="T289" s="3" t="s">
        <v>147</v>
      </c>
      <c r="U289" s="3"/>
      <c r="V289" s="3"/>
      <c r="AC289" s="3" t="s">
        <v>147</v>
      </c>
      <c r="AL289" s="9" t="str">
        <f t="array" ref="AL289">"[" &amp; TEXTJOIN(", ", TRUE, IF(LEN(AM289:AQ289), CHAR(34)&amp;AM289:AQ289&amp;CHAR(34), )) &amp; "]"
</f>
        <v>["Pollution"]</v>
      </c>
      <c r="AM289" s="3" t="s">
        <v>64</v>
      </c>
      <c r="AN289" s="3"/>
      <c r="AO289" s="3"/>
      <c r="AP289" s="3"/>
      <c r="AQ289" s="3"/>
      <c r="AR289" s="3" t="s">
        <v>64</v>
      </c>
      <c r="AW289" s="8" t="s">
        <v>2395</v>
      </c>
    </row>
    <row r="290">
      <c r="A290" s="3">
        <v>102.0</v>
      </c>
      <c r="B290" s="3" t="s">
        <v>40</v>
      </c>
      <c r="C290" s="3" t="s">
        <v>370</v>
      </c>
      <c r="D290" s="3">
        <v>2018.0</v>
      </c>
      <c r="E290" s="3" t="s">
        <v>371</v>
      </c>
      <c r="F290" s="3" t="s">
        <v>372</v>
      </c>
      <c r="G290" s="3" t="s">
        <v>2396</v>
      </c>
      <c r="H290" s="3" t="s">
        <v>101</v>
      </c>
      <c r="I290" s="3" t="s">
        <v>2283</v>
      </c>
      <c r="J290" s="3" t="s">
        <v>102</v>
      </c>
      <c r="L290" s="3" t="s">
        <v>2143</v>
      </c>
      <c r="M290" s="3" t="s">
        <v>110</v>
      </c>
      <c r="S290" s="9" t="str">
        <f t="array" ref="S290">"[" &amp; TEXTJOIN(", ", TRUE, IF(LEN(T290:AB290), CHAR(34)&amp;T290:AB290&amp;CHAR(34), )) &amp; "]"
</f>
        <v>["Hunting &amp; Collecting Terrestrial Animals"]</v>
      </c>
      <c r="T290" s="3" t="s">
        <v>2138</v>
      </c>
      <c r="U290" s="3"/>
      <c r="V290" s="3"/>
      <c r="AC290" s="3" t="s">
        <v>61</v>
      </c>
      <c r="AF290" s="3" t="s">
        <v>87</v>
      </c>
      <c r="AH290" s="3" t="s">
        <v>373</v>
      </c>
      <c r="AJ290" s="3" t="s">
        <v>134</v>
      </c>
      <c r="AL290" s="9" t="str">
        <f t="array" ref="AL290">"[" &amp; TEXTJOIN(", ", TRUE, IF(LEN(AM290:AQ290), CHAR(34)&amp;AM290:AQ290&amp;CHAR(34), )) &amp; "]"
</f>
        <v>["Biological resource use", "Human intrusions &amp; disturbance", "Residential &amp; commercial development", "Natural system modifications"]</v>
      </c>
      <c r="AM290" s="3" t="s">
        <v>52</v>
      </c>
      <c r="AN290" s="3" t="s">
        <v>121</v>
      </c>
      <c r="AO290" s="3" t="s">
        <v>71</v>
      </c>
      <c r="AP290" s="3" t="s">
        <v>53</v>
      </c>
      <c r="AQ290" s="3"/>
      <c r="AR290" s="3" t="s">
        <v>52</v>
      </c>
      <c r="AS290" s="3" t="s">
        <v>121</v>
      </c>
      <c r="AT290" s="3" t="s">
        <v>71</v>
      </c>
      <c r="AU290" s="3" t="s">
        <v>53</v>
      </c>
      <c r="AW290" s="8" t="s">
        <v>2397</v>
      </c>
    </row>
    <row r="291">
      <c r="A291" s="3">
        <v>774.0</v>
      </c>
      <c r="B291" s="3" t="s">
        <v>40</v>
      </c>
      <c r="C291" s="3" t="s">
        <v>1662</v>
      </c>
      <c r="D291" s="3">
        <v>2017.0</v>
      </c>
      <c r="E291" s="3" t="s">
        <v>1663</v>
      </c>
      <c r="F291" s="3" t="s">
        <v>372</v>
      </c>
      <c r="G291" s="3" t="s">
        <v>2396</v>
      </c>
      <c r="H291" s="3" t="s">
        <v>101</v>
      </c>
      <c r="I291" s="3" t="s">
        <v>2283</v>
      </c>
      <c r="J291" s="3" t="s">
        <v>102</v>
      </c>
      <c r="L291" s="3" t="s">
        <v>2143</v>
      </c>
      <c r="M291" s="3" t="s">
        <v>110</v>
      </c>
      <c r="S291" s="9" t="str">
        <f t="array" ref="S291">"[" &amp; TEXTJOIN(", ", TRUE, IF(LEN(T291:AB291), CHAR(34)&amp;T291:AB291&amp;CHAR(34), )) &amp; "]"
</f>
        <v>["Industrial &amp; military effluents", "Agricultural &amp; forestry effluents", "Roads &amp; railroads", "Housing &amp; urban areas"]</v>
      </c>
      <c r="T291" s="3" t="s">
        <v>147</v>
      </c>
      <c r="U291" s="3" t="s">
        <v>62</v>
      </c>
      <c r="V291" s="3"/>
      <c r="W291" s="3" t="s">
        <v>63</v>
      </c>
      <c r="Y291" s="3" t="s">
        <v>70</v>
      </c>
      <c r="AC291" s="3" t="s">
        <v>147</v>
      </c>
      <c r="AD291" s="3" t="s">
        <v>62</v>
      </c>
      <c r="AF291" s="3" t="s">
        <v>63</v>
      </c>
      <c r="AH291" s="3" t="s">
        <v>70</v>
      </c>
      <c r="AL291" s="9" t="str">
        <f t="array" ref="AL291">"[" &amp; TEXTJOIN(", ", TRUE, IF(LEN(AM291:AQ291), CHAR(34)&amp;AM291:AQ291&amp;CHAR(34), )) &amp; "]"
</f>
        <v>["Pollution", "Transportation &amp; service corridors", "Residential &amp; commercial development"]</v>
      </c>
      <c r="AM291" s="3" t="s">
        <v>64</v>
      </c>
      <c r="AN291" s="3" t="s">
        <v>65</v>
      </c>
      <c r="AO291" s="3" t="s">
        <v>71</v>
      </c>
      <c r="AP291" s="3"/>
      <c r="AQ291" s="3"/>
      <c r="AR291" s="3" t="s">
        <v>64</v>
      </c>
      <c r="AS291" s="3" t="s">
        <v>65</v>
      </c>
      <c r="AT291" s="3" t="s">
        <v>71</v>
      </c>
      <c r="AW291" s="8" t="s">
        <v>2398</v>
      </c>
    </row>
    <row r="292">
      <c r="A292" s="3">
        <v>768.0</v>
      </c>
      <c r="B292" s="3" t="s">
        <v>40</v>
      </c>
      <c r="C292" s="3" t="s">
        <v>1649</v>
      </c>
      <c r="D292" s="3">
        <v>2012.0</v>
      </c>
      <c r="E292" s="3" t="s">
        <v>1650</v>
      </c>
      <c r="F292" s="3" t="s">
        <v>372</v>
      </c>
      <c r="G292" s="3" t="s">
        <v>2396</v>
      </c>
      <c r="H292" s="3" t="s">
        <v>101</v>
      </c>
      <c r="I292" s="3" t="s">
        <v>2283</v>
      </c>
      <c r="J292" s="3" t="s">
        <v>102</v>
      </c>
      <c r="L292" s="3" t="s">
        <v>2143</v>
      </c>
      <c r="M292" s="3" t="s">
        <v>110</v>
      </c>
      <c r="S292" s="9" t="str">
        <f t="array" ref="S292">"[" &amp; TEXTJOIN(", ", TRUE, IF(LEN(T292:AB292), CHAR(34)&amp;T292:AB292&amp;CHAR(34), )) &amp; "]"
</f>
        <v>["Industrial &amp; military effluents", "Agricultural &amp; forestry effluents", "Housing &amp; urban areas", "Roads &amp; railroads"]</v>
      </c>
      <c r="T292" s="3" t="s">
        <v>147</v>
      </c>
      <c r="U292" s="3" t="s">
        <v>62</v>
      </c>
      <c r="V292" s="3"/>
      <c r="W292" s="3" t="s">
        <v>70</v>
      </c>
      <c r="Y292" s="3" t="s">
        <v>63</v>
      </c>
      <c r="AC292" s="3" t="s">
        <v>147</v>
      </c>
      <c r="AD292" s="3" t="s">
        <v>62</v>
      </c>
      <c r="AF292" s="3" t="s">
        <v>70</v>
      </c>
      <c r="AH292" s="3" t="s">
        <v>1651</v>
      </c>
      <c r="AL292" s="9" t="str">
        <f t="array" ref="AL292">"[" &amp; TEXTJOIN(", ", TRUE, IF(LEN(AM292:AQ292), CHAR(34)&amp;AM292:AQ292&amp;CHAR(34), )) &amp; "]"
</f>
        <v>["Pollution", "Residential &amp; commercial development", "Transportation &amp; service corridors"]</v>
      </c>
      <c r="AM292" s="3" t="s">
        <v>64</v>
      </c>
      <c r="AN292" s="3" t="s">
        <v>71</v>
      </c>
      <c r="AO292" s="3" t="s">
        <v>65</v>
      </c>
      <c r="AP292" s="3"/>
      <c r="AQ292" s="3"/>
      <c r="AR292" s="3" t="s">
        <v>64</v>
      </c>
      <c r="AS292" s="3" t="s">
        <v>71</v>
      </c>
      <c r="AT292" s="3" t="s">
        <v>65</v>
      </c>
      <c r="AW292" s="8" t="s">
        <v>2399</v>
      </c>
    </row>
    <row r="293" hidden="1">
      <c r="A293" s="3">
        <v>637.0</v>
      </c>
      <c r="B293" s="3" t="s">
        <v>72</v>
      </c>
      <c r="C293" s="3" t="s">
        <v>1388</v>
      </c>
      <c r="D293" s="3">
        <v>2014.0</v>
      </c>
      <c r="E293" s="3" t="s">
        <v>1389</v>
      </c>
      <c r="F293" s="3" t="s">
        <v>187</v>
      </c>
      <c r="G293" s="3"/>
      <c r="H293" s="3" t="s">
        <v>58</v>
      </c>
      <c r="I293" s="3"/>
      <c r="J293" s="3" t="s">
        <v>58</v>
      </c>
      <c r="K293" s="3"/>
      <c r="L293" s="3"/>
      <c r="M293" s="3" t="s">
        <v>110</v>
      </c>
      <c r="S293" s="3"/>
      <c r="T293" s="3"/>
      <c r="U293" s="3"/>
      <c r="V293" s="3"/>
      <c r="W293" s="3"/>
      <c r="X293" s="3"/>
      <c r="Y293" s="3"/>
      <c r="Z293" s="3"/>
      <c r="AC293" s="3" t="s">
        <v>143</v>
      </c>
      <c r="AF293" s="3" t="s">
        <v>63</v>
      </c>
      <c r="AH293" s="3" t="s">
        <v>111</v>
      </c>
      <c r="AL293" s="3"/>
      <c r="AM293" s="3"/>
      <c r="AN293" s="3"/>
      <c r="AO293" s="3"/>
      <c r="AP293" s="3"/>
      <c r="AQ293" s="3"/>
      <c r="AR293" s="3" t="s">
        <v>53</v>
      </c>
      <c r="AS293" s="3" t="s">
        <v>65</v>
      </c>
      <c r="AT293" s="3" t="s">
        <v>51</v>
      </c>
      <c r="AW293" s="8" t="s">
        <v>2135</v>
      </c>
    </row>
    <row r="294" hidden="1">
      <c r="A294" s="3">
        <v>638.0</v>
      </c>
      <c r="B294" s="3" t="s">
        <v>72</v>
      </c>
      <c r="C294" s="3" t="s">
        <v>1390</v>
      </c>
      <c r="D294" s="3">
        <v>2014.0</v>
      </c>
      <c r="E294" s="3" t="s">
        <v>1391</v>
      </c>
      <c r="F294" s="3" t="s">
        <v>187</v>
      </c>
      <c r="G294" s="3"/>
      <c r="H294" s="3" t="s">
        <v>58</v>
      </c>
      <c r="I294" s="3"/>
      <c r="J294" s="3" t="s">
        <v>58</v>
      </c>
      <c r="K294" s="3"/>
      <c r="L294" s="3"/>
      <c r="M294" s="3" t="s">
        <v>76</v>
      </c>
      <c r="S294" s="3"/>
      <c r="T294" s="3"/>
      <c r="U294" s="3"/>
      <c r="V294" s="3"/>
      <c r="W294" s="3"/>
      <c r="X294" s="3"/>
      <c r="Y294" s="3"/>
      <c r="Z294" s="3"/>
      <c r="AC294" s="3" t="s">
        <v>134</v>
      </c>
      <c r="AF294" s="3" t="s">
        <v>63</v>
      </c>
      <c r="AH294" s="3" t="s">
        <v>62</v>
      </c>
      <c r="AL294" s="3"/>
      <c r="AM294" s="3"/>
      <c r="AN294" s="3"/>
      <c r="AO294" s="3"/>
      <c r="AP294" s="3"/>
      <c r="AQ294" s="3"/>
      <c r="AR294" s="3" t="s">
        <v>53</v>
      </c>
      <c r="AS294" s="3" t="s">
        <v>65</v>
      </c>
      <c r="AT294" s="3" t="s">
        <v>64</v>
      </c>
      <c r="AW294" s="8" t="s">
        <v>2135</v>
      </c>
    </row>
    <row r="295">
      <c r="A295" s="3">
        <v>744.0</v>
      </c>
      <c r="B295" s="3" t="s">
        <v>40</v>
      </c>
      <c r="C295" s="3" t="s">
        <v>1604</v>
      </c>
      <c r="D295" s="3">
        <v>2017.0</v>
      </c>
      <c r="E295" s="3" t="s">
        <v>1605</v>
      </c>
      <c r="F295" s="3" t="s">
        <v>372</v>
      </c>
      <c r="G295" s="3" t="s">
        <v>2396</v>
      </c>
      <c r="H295" s="3" t="s">
        <v>101</v>
      </c>
      <c r="I295" s="3" t="s">
        <v>2283</v>
      </c>
      <c r="J295" s="3" t="s">
        <v>102</v>
      </c>
      <c r="L295" s="3" t="s">
        <v>2143</v>
      </c>
      <c r="M295" s="3" t="s">
        <v>110</v>
      </c>
      <c r="S295" s="9" t="str">
        <f t="array" ref="S295">"[" &amp; TEXTJOIN(", ", TRUE, IF(LEN(T295:AB295), CHAR(34)&amp;T295:AB295&amp;CHAR(34), )) &amp; "]"
</f>
        <v>["Industrial &amp; military effluents", "Agricultural &amp; forestry effluents", "Hunting &amp; collecting terrestrial animals"]</v>
      </c>
      <c r="T295" s="3" t="s">
        <v>147</v>
      </c>
      <c r="U295" s="3" t="s">
        <v>62</v>
      </c>
      <c r="V295" s="3"/>
      <c r="W295" s="3" t="s">
        <v>2178</v>
      </c>
      <c r="AC295" s="3" t="s">
        <v>147</v>
      </c>
      <c r="AD295" s="3" t="s">
        <v>62</v>
      </c>
      <c r="AF295" s="3" t="s">
        <v>61</v>
      </c>
      <c r="AL295" s="9" t="str">
        <f t="array" ref="AL295">"[" &amp; TEXTJOIN(", ", TRUE, IF(LEN(AM295:AQ295), CHAR(34)&amp;AM295:AQ295&amp;CHAR(34), )) &amp; "]"
</f>
        <v>["Pollution", "Biological resource use"]</v>
      </c>
      <c r="AM295" s="3" t="s">
        <v>64</v>
      </c>
      <c r="AN295" s="3" t="s">
        <v>52</v>
      </c>
      <c r="AO295" s="3"/>
      <c r="AP295" s="3"/>
      <c r="AQ295" s="3"/>
      <c r="AR295" s="3" t="s">
        <v>64</v>
      </c>
      <c r="AS295" s="3" t="s">
        <v>52</v>
      </c>
      <c r="AW295" s="8" t="s">
        <v>2400</v>
      </c>
    </row>
    <row r="296">
      <c r="A296" s="3">
        <v>207.0</v>
      </c>
      <c r="B296" s="3" t="s">
        <v>40</v>
      </c>
      <c r="C296" s="3" t="s">
        <v>582</v>
      </c>
      <c r="D296" s="3">
        <v>2017.0</v>
      </c>
      <c r="E296" s="3" t="s">
        <v>583</v>
      </c>
      <c r="F296" s="3" t="s">
        <v>372</v>
      </c>
      <c r="G296" s="3" t="s">
        <v>2396</v>
      </c>
      <c r="H296" s="3" t="s">
        <v>101</v>
      </c>
      <c r="I296" s="3" t="s">
        <v>2283</v>
      </c>
      <c r="J296" s="3" t="s">
        <v>102</v>
      </c>
      <c r="L296" s="3" t="s">
        <v>2401</v>
      </c>
      <c r="M296" s="3" t="s">
        <v>103</v>
      </c>
      <c r="S296" s="9" t="str">
        <f t="array" ref="S296">"[" &amp; TEXTJOIN(", ", TRUE, IF(LEN(T296:AB296), CHAR(34)&amp;T296:AB296&amp;CHAR(34), )) &amp; "]"
</f>
        <v>["Logging &amp; Wood Harvesting"]</v>
      </c>
      <c r="T296" s="3" t="s">
        <v>2139</v>
      </c>
      <c r="U296" s="3"/>
      <c r="V296" s="3"/>
      <c r="AC296" s="3" t="s">
        <v>48</v>
      </c>
      <c r="AL296" s="9" t="str">
        <f t="array" ref="AL296">"[" &amp; TEXTJOIN(", ", TRUE, IF(LEN(AM296:AQ296), CHAR(34)&amp;AM296:AQ296&amp;CHAR(34), )) &amp; "]"
</f>
        <v>["Biological resource use", "Residential &amp; commercial development"]</v>
      </c>
      <c r="AM296" s="3" t="s">
        <v>52</v>
      </c>
      <c r="AN296" s="3" t="s">
        <v>71</v>
      </c>
      <c r="AO296" s="3"/>
      <c r="AP296" s="3"/>
      <c r="AQ296" s="3"/>
      <c r="AR296" s="3" t="s">
        <v>52</v>
      </c>
      <c r="AS296" s="3" t="s">
        <v>71</v>
      </c>
      <c r="AW296" s="8" t="s">
        <v>2402</v>
      </c>
    </row>
    <row r="297">
      <c r="A297" s="3">
        <v>337.0</v>
      </c>
      <c r="B297" s="3" t="s">
        <v>40</v>
      </c>
      <c r="C297" s="3" t="s">
        <v>842</v>
      </c>
      <c r="D297" s="3">
        <v>2017.0</v>
      </c>
      <c r="E297" s="3" t="s">
        <v>843</v>
      </c>
      <c r="F297" s="3" t="s">
        <v>372</v>
      </c>
      <c r="G297" s="3" t="s">
        <v>2396</v>
      </c>
      <c r="H297" s="3" t="s">
        <v>101</v>
      </c>
      <c r="I297" s="3" t="s">
        <v>2283</v>
      </c>
      <c r="J297" s="3" t="s">
        <v>102</v>
      </c>
      <c r="L297" s="3" t="s">
        <v>2311</v>
      </c>
      <c r="M297" s="3" t="s">
        <v>69</v>
      </c>
      <c r="S297" s="9" t="str">
        <f t="array" ref="S297">"[" &amp; TEXTJOIN(", ", TRUE, IF(LEN(T297:AB297), CHAR(34)&amp;T297:AB297&amp;CHAR(34), )) &amp; "]"
</f>
        <v>["Logging &amp; Wood Harvesting"]</v>
      </c>
      <c r="T297" s="3" t="s">
        <v>2139</v>
      </c>
      <c r="U297" s="3"/>
      <c r="V297" s="3"/>
      <c r="AC297" s="3" t="s">
        <v>48</v>
      </c>
      <c r="AL297" s="9" t="str">
        <f t="array" ref="AL297">"[" &amp; TEXTJOIN(", ", TRUE, IF(LEN(AM297:AQ297), CHAR(34)&amp;AM297:AQ297&amp;CHAR(34), )) &amp; "]"
</f>
        <v>["Biological resource use"]</v>
      </c>
      <c r="AM297" s="3" t="s">
        <v>52</v>
      </c>
      <c r="AN297" s="3"/>
      <c r="AO297" s="3"/>
      <c r="AP297" s="3"/>
      <c r="AQ297" s="3"/>
      <c r="AR297" s="3" t="s">
        <v>52</v>
      </c>
      <c r="AW297" s="8" t="s">
        <v>2403</v>
      </c>
    </row>
    <row r="298">
      <c r="A298" s="3">
        <v>463.0</v>
      </c>
      <c r="B298" s="3" t="s">
        <v>40</v>
      </c>
      <c r="C298" s="3" t="s">
        <v>1054</v>
      </c>
      <c r="D298" s="3">
        <v>2020.0</v>
      </c>
      <c r="E298" s="3" t="s">
        <v>1055</v>
      </c>
      <c r="F298" s="3" t="s">
        <v>372</v>
      </c>
      <c r="G298" s="3" t="s">
        <v>2396</v>
      </c>
      <c r="H298" s="3" t="s">
        <v>101</v>
      </c>
      <c r="I298" s="3" t="s">
        <v>2283</v>
      </c>
      <c r="J298" s="3" t="s">
        <v>102</v>
      </c>
      <c r="L298" s="3" t="s">
        <v>2143</v>
      </c>
      <c r="M298" s="3" t="s">
        <v>110</v>
      </c>
      <c r="S298" s="9" t="str">
        <f t="array" ref="S298">"[" &amp; TEXTJOIN(", ", TRUE, IF(LEN(T298:AB298), CHAR(34)&amp;T298:AB298&amp;CHAR(34), )) &amp; "]"
</f>
        <v>["Work &amp; other activities"]</v>
      </c>
      <c r="T298" s="3" t="s">
        <v>260</v>
      </c>
      <c r="U298" s="3"/>
      <c r="V298" s="3"/>
      <c r="AC298" s="3" t="s">
        <v>260</v>
      </c>
      <c r="AL298" s="9" t="str">
        <f t="array" ref="AL298">"[" &amp; TEXTJOIN(", ", TRUE, IF(LEN(AM298:AQ298), CHAR(34)&amp;AM298:AQ298&amp;CHAR(34), )) &amp; "]"
</f>
        <v>["Human intrusions &amp; disturbance"]</v>
      </c>
      <c r="AM298" s="3" t="s">
        <v>121</v>
      </c>
      <c r="AN298" s="3"/>
      <c r="AO298" s="3"/>
      <c r="AP298" s="3"/>
      <c r="AQ298" s="3"/>
      <c r="AR298" s="3" t="s">
        <v>121</v>
      </c>
      <c r="AW298" s="8" t="s">
        <v>2404</v>
      </c>
    </row>
    <row r="299">
      <c r="A299" s="3">
        <v>866.0</v>
      </c>
      <c r="B299" s="3" t="s">
        <v>40</v>
      </c>
      <c r="C299" s="3" t="s">
        <v>1845</v>
      </c>
      <c r="D299" s="3">
        <v>2015.0</v>
      </c>
      <c r="E299" s="3" t="s">
        <v>1846</v>
      </c>
      <c r="F299" s="3" t="s">
        <v>372</v>
      </c>
      <c r="G299" s="3" t="s">
        <v>2396</v>
      </c>
      <c r="H299" s="3" t="s">
        <v>101</v>
      </c>
      <c r="I299" s="3" t="s">
        <v>2283</v>
      </c>
      <c r="J299" s="3" t="s">
        <v>102</v>
      </c>
      <c r="L299" s="3" t="s">
        <v>2143</v>
      </c>
      <c r="M299" s="3" t="s">
        <v>110</v>
      </c>
      <c r="S299" s="9" t="str">
        <f t="array" ref="S299">"[" &amp; TEXTJOIN(", ", TRUE, IF(LEN(T299:AB299), CHAR(34)&amp;T299:AB299&amp;CHAR(34), )) &amp; "]"
</f>
        <v>["Industrial &amp; military effluents"]</v>
      </c>
      <c r="T299" s="3" t="s">
        <v>147</v>
      </c>
      <c r="U299" s="3"/>
      <c r="V299" s="3"/>
      <c r="AC299" s="3" t="s">
        <v>147</v>
      </c>
      <c r="AL299" s="9" t="str">
        <f t="array" ref="AL299">"[" &amp; TEXTJOIN(", ", TRUE, IF(LEN(AM299:AQ299), CHAR(34)&amp;AM299:AQ299&amp;CHAR(34), )) &amp; "]"
</f>
        <v>["Pollution"]</v>
      </c>
      <c r="AM299" s="3" t="s">
        <v>64</v>
      </c>
      <c r="AN299" s="3"/>
      <c r="AO299" s="3"/>
      <c r="AP299" s="3"/>
      <c r="AQ299" s="3"/>
      <c r="AR299" s="3" t="s">
        <v>64</v>
      </c>
      <c r="AW299" s="8" t="s">
        <v>2405</v>
      </c>
    </row>
    <row r="300">
      <c r="A300" s="3">
        <v>300.0</v>
      </c>
      <c r="B300" s="3" t="s">
        <v>40</v>
      </c>
      <c r="C300" s="3" t="s">
        <v>766</v>
      </c>
      <c r="D300" s="3">
        <v>2009.0</v>
      </c>
      <c r="E300" s="3" t="s">
        <v>767</v>
      </c>
      <c r="F300" s="3" t="s">
        <v>449</v>
      </c>
      <c r="G300" s="3" t="s">
        <v>2406</v>
      </c>
      <c r="H300" s="3" t="s">
        <v>101</v>
      </c>
      <c r="I300" s="3" t="s">
        <v>2283</v>
      </c>
      <c r="J300" s="3" t="s">
        <v>102</v>
      </c>
      <c r="L300" s="3" t="s">
        <v>2407</v>
      </c>
      <c r="M300" s="3" t="s">
        <v>768</v>
      </c>
      <c r="N300" s="3" t="s">
        <v>769</v>
      </c>
      <c r="O300" s="3" t="s">
        <v>103</v>
      </c>
      <c r="P300" s="3" t="s">
        <v>205</v>
      </c>
      <c r="S300" s="9" t="str">
        <f t="array" ref="S300">"[" &amp; TEXTJOIN(", ", TRUE, IF(LEN(T300:AB300), CHAR(34)&amp;T300:AB300&amp;CHAR(34), )) &amp; "]"
</f>
        <v>["Hunting &amp; Collecting Terrestrial Animals"]</v>
      </c>
      <c r="T300" s="3" t="s">
        <v>2138</v>
      </c>
      <c r="U300" s="3"/>
      <c r="V300" s="3"/>
      <c r="AC300" s="3" t="s">
        <v>61</v>
      </c>
      <c r="AL300" s="9" t="str">
        <f t="array" ref="AL300">"[" &amp; TEXTJOIN(", ", TRUE, IF(LEN(AM300:AQ300), CHAR(34)&amp;AM300:AQ300&amp;CHAR(34), )) &amp; "]"
</f>
        <v>["Biological resource use"]</v>
      </c>
      <c r="AM300" s="3" t="s">
        <v>52</v>
      </c>
      <c r="AN300" s="3"/>
      <c r="AO300" s="3"/>
      <c r="AP300" s="3"/>
      <c r="AQ300" s="3"/>
      <c r="AR300" s="3" t="s">
        <v>52</v>
      </c>
      <c r="AW300" s="8" t="s">
        <v>2408</v>
      </c>
    </row>
    <row r="301">
      <c r="A301" s="3">
        <v>322.0</v>
      </c>
      <c r="B301" s="3" t="s">
        <v>40</v>
      </c>
      <c r="C301" s="3" t="s">
        <v>811</v>
      </c>
      <c r="D301" s="3">
        <v>2014.0</v>
      </c>
      <c r="E301" s="3" t="s">
        <v>812</v>
      </c>
      <c r="F301" s="3" t="s">
        <v>449</v>
      </c>
      <c r="G301" s="3" t="s">
        <v>2406</v>
      </c>
      <c r="H301" s="3" t="s">
        <v>101</v>
      </c>
      <c r="I301" s="3" t="s">
        <v>2283</v>
      </c>
      <c r="J301" s="3" t="s">
        <v>102</v>
      </c>
      <c r="L301" s="3" t="s">
        <v>2409</v>
      </c>
      <c r="M301" s="3" t="s">
        <v>813</v>
      </c>
      <c r="N301" s="3" t="s">
        <v>768</v>
      </c>
      <c r="O301" s="3" t="s">
        <v>103</v>
      </c>
      <c r="P301" s="3" t="s">
        <v>266</v>
      </c>
      <c r="S301" s="9" t="str">
        <f t="array" ref="S301">"[" &amp; TEXTJOIN(", ", TRUE, IF(LEN(T301:AB301), CHAR(34)&amp;T301:AB301&amp;CHAR(34), )) &amp; "]"
</f>
        <v>["Hunting &amp; Collecting Terrestrial Animals"]</v>
      </c>
      <c r="T301" s="3" t="s">
        <v>2138</v>
      </c>
      <c r="U301" s="3"/>
      <c r="V301" s="3"/>
      <c r="AC301" s="3" t="s">
        <v>61</v>
      </c>
      <c r="AL301" s="9" t="str">
        <f t="array" ref="AL301">"[" &amp; TEXTJOIN(", ", TRUE, IF(LEN(AM301:AQ301), CHAR(34)&amp;AM301:AQ301&amp;CHAR(34), )) &amp; "]"
</f>
        <v>["Biological resource use"]</v>
      </c>
      <c r="AM301" s="3" t="s">
        <v>52</v>
      </c>
      <c r="AN301" s="3"/>
      <c r="AO301" s="3"/>
      <c r="AP301" s="3"/>
      <c r="AQ301" s="3"/>
      <c r="AR301" s="3" t="s">
        <v>52</v>
      </c>
      <c r="AW301" s="8" t="s">
        <v>2410</v>
      </c>
    </row>
    <row r="302" hidden="1">
      <c r="A302" s="3">
        <v>884.0</v>
      </c>
      <c r="B302" s="3" t="s">
        <v>40</v>
      </c>
      <c r="C302" s="3" t="s">
        <v>1884</v>
      </c>
      <c r="D302" s="3">
        <v>2020.0</v>
      </c>
      <c r="E302" s="3" t="s">
        <v>1885</v>
      </c>
      <c r="F302" s="3" t="s">
        <v>187</v>
      </c>
      <c r="G302" s="3"/>
      <c r="H302" s="3" t="s">
        <v>58</v>
      </c>
      <c r="I302" s="3"/>
      <c r="J302" s="3" t="s">
        <v>58</v>
      </c>
      <c r="K302" s="3"/>
      <c r="L302" s="3"/>
      <c r="M302" s="3" t="s">
        <v>388</v>
      </c>
      <c r="N302" s="3" t="s">
        <v>287</v>
      </c>
      <c r="S302" s="3"/>
      <c r="T302" s="3"/>
      <c r="U302" s="3"/>
      <c r="V302" s="3"/>
      <c r="AC302" s="3" t="s">
        <v>62</v>
      </c>
      <c r="AL302" s="3"/>
      <c r="AM302" s="3"/>
      <c r="AN302" s="3"/>
      <c r="AO302" s="3"/>
      <c r="AP302" s="3"/>
      <c r="AQ302" s="3"/>
      <c r="AR302" s="3" t="s">
        <v>64</v>
      </c>
    </row>
    <row r="303" hidden="1">
      <c r="A303" s="3">
        <v>895.0</v>
      </c>
      <c r="B303" s="3" t="s">
        <v>106</v>
      </c>
      <c r="C303" s="3" t="s">
        <v>1899</v>
      </c>
      <c r="D303" s="3">
        <v>1990.0</v>
      </c>
      <c r="E303" s="3" t="s">
        <v>1900</v>
      </c>
      <c r="F303" s="3" t="s">
        <v>187</v>
      </c>
      <c r="G303" s="3"/>
      <c r="H303" s="3" t="s">
        <v>58</v>
      </c>
      <c r="I303" s="3"/>
      <c r="K303" s="3"/>
      <c r="L303" s="3"/>
      <c r="M303" s="3" t="s">
        <v>110</v>
      </c>
      <c r="S303" s="3"/>
      <c r="T303" s="3"/>
      <c r="U303" s="3"/>
      <c r="V303" s="3"/>
      <c r="AC303" s="3" t="s">
        <v>62</v>
      </c>
      <c r="AD303" s="3" t="s">
        <v>147</v>
      </c>
      <c r="AL303" s="3"/>
      <c r="AM303" s="3"/>
      <c r="AN303" s="3"/>
      <c r="AO303" s="3"/>
      <c r="AP303" s="3"/>
      <c r="AQ303" s="3"/>
      <c r="AR303" s="3" t="s">
        <v>64</v>
      </c>
    </row>
    <row r="304" hidden="1">
      <c r="A304" s="3">
        <v>910.0</v>
      </c>
      <c r="B304" s="3" t="s">
        <v>106</v>
      </c>
      <c r="C304" s="3" t="s">
        <v>1926</v>
      </c>
      <c r="D304" s="3">
        <v>2011.0</v>
      </c>
      <c r="E304" s="3" t="s">
        <v>2411</v>
      </c>
      <c r="F304" s="3" t="s">
        <v>187</v>
      </c>
      <c r="G304" s="3"/>
      <c r="H304" s="3" t="s">
        <v>58</v>
      </c>
      <c r="I304" s="3"/>
      <c r="K304" s="3"/>
      <c r="L304" s="3"/>
      <c r="M304" s="3" t="s">
        <v>110</v>
      </c>
      <c r="S304" s="3"/>
      <c r="T304" s="3"/>
      <c r="U304" s="3"/>
      <c r="V304" s="3"/>
      <c r="AC304" s="3" t="s">
        <v>62</v>
      </c>
      <c r="AD304" s="3" t="s">
        <v>147</v>
      </c>
      <c r="AL304" s="3"/>
      <c r="AM304" s="3"/>
      <c r="AN304" s="3"/>
      <c r="AO304" s="3"/>
      <c r="AP304" s="3"/>
      <c r="AQ304" s="3"/>
      <c r="AR304" s="3" t="s">
        <v>64</v>
      </c>
    </row>
    <row r="305" hidden="1">
      <c r="A305" s="3">
        <v>921.0</v>
      </c>
      <c r="B305" s="3" t="s">
        <v>40</v>
      </c>
      <c r="C305" s="3" t="s">
        <v>1944</v>
      </c>
      <c r="D305" s="3">
        <v>2016.0</v>
      </c>
      <c r="E305" s="3" t="s">
        <v>1945</v>
      </c>
      <c r="F305" s="3" t="s">
        <v>187</v>
      </c>
      <c r="G305" s="3"/>
      <c r="H305" s="3" t="s">
        <v>58</v>
      </c>
      <c r="I305" s="3"/>
      <c r="J305" s="3" t="s">
        <v>58</v>
      </c>
      <c r="K305" s="3"/>
      <c r="L305" s="3"/>
      <c r="M305" s="3" t="s">
        <v>285</v>
      </c>
      <c r="S305" s="3"/>
      <c r="T305" s="3"/>
      <c r="U305" s="3"/>
      <c r="V305" s="3"/>
      <c r="W305" s="3"/>
      <c r="X305" s="3"/>
      <c r="Y305" s="3"/>
      <c r="Z305" s="3"/>
      <c r="AC305" s="3" t="s">
        <v>70</v>
      </c>
      <c r="AF305" s="3" t="s">
        <v>61</v>
      </c>
      <c r="AG305" s="3" t="s">
        <v>48</v>
      </c>
      <c r="AH305" s="3" t="s">
        <v>63</v>
      </c>
      <c r="AL305" s="3"/>
      <c r="AM305" s="3"/>
      <c r="AN305" s="3"/>
      <c r="AO305" s="3"/>
      <c r="AP305" s="3"/>
      <c r="AQ305" s="3"/>
      <c r="AR305" s="3" t="s">
        <v>71</v>
      </c>
      <c r="AS305" s="3" t="s">
        <v>52</v>
      </c>
      <c r="AT305" s="3" t="s">
        <v>65</v>
      </c>
    </row>
    <row r="306" hidden="1">
      <c r="A306" s="3">
        <v>932.0</v>
      </c>
      <c r="B306" s="3" t="s">
        <v>40</v>
      </c>
      <c r="C306" s="3" t="s">
        <v>1968</v>
      </c>
      <c r="D306" s="3">
        <v>2013.0</v>
      </c>
      <c r="E306" s="3" t="s">
        <v>1969</v>
      </c>
      <c r="F306" s="3" t="s">
        <v>187</v>
      </c>
      <c r="G306" s="3"/>
      <c r="H306" s="3" t="s">
        <v>58</v>
      </c>
      <c r="I306" s="3"/>
      <c r="J306" s="3" t="s">
        <v>58</v>
      </c>
      <c r="K306" s="3"/>
      <c r="L306" s="3"/>
      <c r="M306" s="3" t="s">
        <v>110</v>
      </c>
      <c r="S306" s="3"/>
      <c r="T306" s="3"/>
      <c r="U306" s="3"/>
      <c r="V306" s="3"/>
      <c r="W306" s="3"/>
      <c r="X306" s="3"/>
      <c r="AC306" s="3" t="s">
        <v>87</v>
      </c>
      <c r="AF306" s="3" t="s">
        <v>134</v>
      </c>
      <c r="AL306" s="3"/>
      <c r="AM306" s="3"/>
      <c r="AN306" s="3"/>
      <c r="AO306" s="3"/>
      <c r="AP306" s="3"/>
      <c r="AQ306" s="3"/>
      <c r="AR306" s="3" t="s">
        <v>71</v>
      </c>
      <c r="AS306" s="3" t="s">
        <v>53</v>
      </c>
    </row>
    <row r="307" hidden="1">
      <c r="A307" s="3">
        <v>965.0</v>
      </c>
      <c r="B307" s="3" t="s">
        <v>40</v>
      </c>
      <c r="C307" s="3" t="s">
        <v>2035</v>
      </c>
      <c r="D307" s="3">
        <v>2009.0</v>
      </c>
      <c r="E307" s="3" t="s">
        <v>2036</v>
      </c>
      <c r="F307" s="3" t="s">
        <v>187</v>
      </c>
      <c r="G307" s="3"/>
      <c r="H307" s="3" t="s">
        <v>58</v>
      </c>
      <c r="I307" s="3"/>
      <c r="J307" s="3" t="s">
        <v>58</v>
      </c>
      <c r="K307" s="3"/>
      <c r="L307" s="3"/>
      <c r="M307" s="3" t="s">
        <v>110</v>
      </c>
      <c r="S307" s="3"/>
      <c r="T307" s="3"/>
      <c r="U307" s="3"/>
      <c r="V307" s="3"/>
      <c r="AC307" s="3" t="s">
        <v>63</v>
      </c>
      <c r="AL307" s="3"/>
      <c r="AM307" s="3"/>
      <c r="AN307" s="3"/>
      <c r="AO307" s="3"/>
      <c r="AP307" s="3"/>
      <c r="AQ307" s="3"/>
      <c r="AR307" s="3" t="s">
        <v>65</v>
      </c>
      <c r="AS307" s="3" t="s">
        <v>78</v>
      </c>
    </row>
    <row r="308" hidden="1">
      <c r="A308" s="3">
        <v>969.0</v>
      </c>
      <c r="B308" s="3" t="s">
        <v>106</v>
      </c>
      <c r="C308" s="3" t="s">
        <v>2045</v>
      </c>
      <c r="D308" s="3">
        <v>2011.0</v>
      </c>
      <c r="E308" s="3" t="s">
        <v>2412</v>
      </c>
      <c r="F308" s="3" t="s">
        <v>187</v>
      </c>
      <c r="G308" s="3"/>
      <c r="H308" s="3" t="s">
        <v>58</v>
      </c>
      <c r="I308" s="3"/>
      <c r="K308" s="3"/>
      <c r="L308" s="3"/>
      <c r="M308" s="3" t="s">
        <v>110</v>
      </c>
      <c r="S308" s="3"/>
      <c r="T308" s="3"/>
      <c r="U308" s="3"/>
      <c r="V308" s="3"/>
      <c r="AC308" s="3" t="s">
        <v>63</v>
      </c>
      <c r="AL308" s="3"/>
      <c r="AM308" s="3"/>
      <c r="AN308" s="3"/>
      <c r="AO308" s="3"/>
      <c r="AP308" s="3"/>
      <c r="AQ308" s="3"/>
      <c r="AR308" s="3" t="s">
        <v>65</v>
      </c>
      <c r="AS308" s="3" t="s">
        <v>143</v>
      </c>
    </row>
    <row r="309" hidden="1">
      <c r="A309" s="3">
        <v>975.0</v>
      </c>
      <c r="B309" s="3" t="s">
        <v>40</v>
      </c>
      <c r="C309" s="3" t="s">
        <v>2057</v>
      </c>
      <c r="D309" s="3">
        <v>2008.0</v>
      </c>
      <c r="E309" s="3" t="s">
        <v>2058</v>
      </c>
      <c r="F309" s="3" t="s">
        <v>187</v>
      </c>
      <c r="G309" s="3"/>
      <c r="H309" s="3" t="s">
        <v>58</v>
      </c>
      <c r="I309" s="3"/>
      <c r="J309" s="3" t="s">
        <v>58</v>
      </c>
      <c r="K309" s="3"/>
      <c r="L309" s="3"/>
      <c r="M309" s="3" t="s">
        <v>286</v>
      </c>
      <c r="N309" s="3" t="s">
        <v>76</v>
      </c>
      <c r="S309" s="3"/>
      <c r="T309" s="3"/>
      <c r="U309" s="3"/>
      <c r="V309" s="3"/>
      <c r="AC309" s="3" t="s">
        <v>63</v>
      </c>
      <c r="AL309" s="3"/>
      <c r="AM309" s="3"/>
      <c r="AN309" s="3"/>
      <c r="AO309" s="3"/>
      <c r="AP309" s="3"/>
      <c r="AQ309" s="3"/>
      <c r="AR309" s="3" t="s">
        <v>65</v>
      </c>
    </row>
    <row r="310" hidden="1">
      <c r="A310" s="3">
        <v>987.0</v>
      </c>
      <c r="B310" s="3" t="s">
        <v>40</v>
      </c>
      <c r="C310" s="3" t="s">
        <v>2080</v>
      </c>
      <c r="D310" s="3">
        <v>2016.0</v>
      </c>
      <c r="E310" s="3" t="s">
        <v>2081</v>
      </c>
      <c r="F310" s="3" t="s">
        <v>187</v>
      </c>
      <c r="G310" s="3"/>
      <c r="H310" s="3" t="s">
        <v>58</v>
      </c>
      <c r="I310" s="3"/>
      <c r="J310" s="3" t="s">
        <v>58</v>
      </c>
      <c r="K310" s="3"/>
      <c r="L310" s="3"/>
      <c r="M310" s="3" t="s">
        <v>69</v>
      </c>
      <c r="N310" s="3" t="s">
        <v>285</v>
      </c>
      <c r="S310" s="3"/>
      <c r="T310" s="3"/>
      <c r="U310" s="3"/>
      <c r="V310" s="3"/>
      <c r="AC310" s="3" t="s">
        <v>63</v>
      </c>
      <c r="AL310" s="3"/>
      <c r="AM310" s="3"/>
      <c r="AN310" s="3"/>
      <c r="AO310" s="3"/>
      <c r="AP310" s="3"/>
      <c r="AQ310" s="3"/>
      <c r="AR310" s="3" t="s">
        <v>65</v>
      </c>
    </row>
    <row r="311" hidden="1">
      <c r="A311" s="3">
        <v>995.0</v>
      </c>
      <c r="B311" s="3" t="s">
        <v>106</v>
      </c>
      <c r="C311" s="3" t="s">
        <v>2097</v>
      </c>
      <c r="D311" s="3">
        <v>1993.0</v>
      </c>
      <c r="E311" s="3" t="s">
        <v>2098</v>
      </c>
      <c r="F311" s="3" t="s">
        <v>187</v>
      </c>
      <c r="G311" s="3"/>
      <c r="H311" s="3" t="s">
        <v>58</v>
      </c>
      <c r="I311" s="3"/>
      <c r="K311" s="3"/>
      <c r="L311" s="3"/>
      <c r="M311" s="3" t="s">
        <v>110</v>
      </c>
      <c r="S311" s="3"/>
      <c r="T311" s="3"/>
      <c r="U311" s="3"/>
      <c r="V311" s="3"/>
      <c r="AC311" s="3" t="s">
        <v>63</v>
      </c>
      <c r="AL311" s="3"/>
      <c r="AM311" s="3"/>
      <c r="AN311" s="3"/>
      <c r="AO311" s="3"/>
      <c r="AP311" s="3"/>
      <c r="AQ311" s="3"/>
      <c r="AR311" s="3" t="s">
        <v>65</v>
      </c>
    </row>
    <row r="312" hidden="1">
      <c r="A312" s="3">
        <v>95.0</v>
      </c>
      <c r="B312" s="3" t="s">
        <v>106</v>
      </c>
      <c r="C312" s="3" t="s">
        <v>357</v>
      </c>
      <c r="D312" s="3">
        <v>2011.0</v>
      </c>
      <c r="E312" s="3" t="s">
        <v>2413</v>
      </c>
      <c r="F312" s="3" t="s">
        <v>359</v>
      </c>
      <c r="G312" s="3"/>
      <c r="H312" s="3" t="s">
        <v>91</v>
      </c>
      <c r="I312" s="3"/>
      <c r="K312" s="3"/>
      <c r="L312" s="3"/>
      <c r="M312" s="3" t="s">
        <v>290</v>
      </c>
      <c r="N312" s="3" t="s">
        <v>173</v>
      </c>
      <c r="S312" s="3"/>
      <c r="T312" s="3"/>
      <c r="U312" s="3"/>
      <c r="V312" s="3"/>
      <c r="W312" s="3"/>
      <c r="X312" s="3"/>
      <c r="AC312" s="3" t="s">
        <v>61</v>
      </c>
      <c r="AF312" s="3" t="s">
        <v>234</v>
      </c>
      <c r="AK312" s="3" t="s">
        <v>111</v>
      </c>
      <c r="AL312" s="3"/>
      <c r="AM312" s="3"/>
      <c r="AN312" s="3"/>
      <c r="AO312" s="3"/>
      <c r="AP312" s="3"/>
      <c r="AQ312" s="3"/>
      <c r="AR312" s="3" t="s">
        <v>52</v>
      </c>
      <c r="AS312" s="3" t="s">
        <v>235</v>
      </c>
      <c r="AT312" s="3" t="s">
        <v>143</v>
      </c>
      <c r="AV312" s="3" t="s">
        <v>51</v>
      </c>
      <c r="AW312" s="8" t="s">
        <v>2135</v>
      </c>
    </row>
    <row r="313" hidden="1">
      <c r="A313" s="3">
        <v>369.0</v>
      </c>
      <c r="B313" s="3" t="s">
        <v>106</v>
      </c>
      <c r="D313" s="3">
        <v>2002.0</v>
      </c>
      <c r="E313" s="3" t="s">
        <v>908</v>
      </c>
      <c r="F313" s="3" t="s">
        <v>359</v>
      </c>
      <c r="G313" s="3"/>
      <c r="H313" s="3" t="s">
        <v>91</v>
      </c>
      <c r="I313" s="3"/>
      <c r="K313" s="3"/>
      <c r="L313" s="3"/>
      <c r="M313" s="3" t="s">
        <v>290</v>
      </c>
      <c r="S313" s="3"/>
      <c r="T313" s="3"/>
      <c r="U313" s="3"/>
      <c r="V313" s="3"/>
      <c r="AC313" s="3" t="s">
        <v>48</v>
      </c>
      <c r="AD313" s="3" t="s">
        <v>247</v>
      </c>
      <c r="AE313" s="3" t="s">
        <v>61</v>
      </c>
      <c r="AL313" s="3"/>
      <c r="AM313" s="3"/>
      <c r="AN313" s="3"/>
      <c r="AO313" s="3"/>
      <c r="AP313" s="3"/>
      <c r="AQ313" s="3"/>
      <c r="AR313" s="3" t="s">
        <v>52</v>
      </c>
      <c r="AW313" s="8" t="s">
        <v>2135</v>
      </c>
    </row>
    <row r="314" hidden="1">
      <c r="A314" s="3">
        <v>172.0</v>
      </c>
      <c r="B314" s="3" t="s">
        <v>106</v>
      </c>
      <c r="D314" s="3">
        <v>2004.0</v>
      </c>
      <c r="E314" s="3" t="s">
        <v>517</v>
      </c>
      <c r="F314" s="3" t="s">
        <v>518</v>
      </c>
      <c r="G314" s="3"/>
      <c r="H314" s="3" t="s">
        <v>58</v>
      </c>
      <c r="I314" s="3"/>
      <c r="K314" s="3"/>
      <c r="L314" s="3"/>
      <c r="M314" s="3" t="s">
        <v>110</v>
      </c>
      <c r="S314" s="3"/>
      <c r="T314" s="3"/>
      <c r="U314" s="3"/>
      <c r="V314" s="3"/>
      <c r="W314" s="3"/>
      <c r="X314" s="3"/>
      <c r="Y314" s="3"/>
      <c r="Z314" s="3"/>
      <c r="AC314" s="3" t="s">
        <v>61</v>
      </c>
      <c r="AD314" s="3" t="s">
        <v>48</v>
      </c>
      <c r="AF314" s="3" t="s">
        <v>147</v>
      </c>
      <c r="AH314" s="3" t="s">
        <v>49</v>
      </c>
      <c r="AL314" s="3"/>
      <c r="AM314" s="3"/>
      <c r="AN314" s="3"/>
      <c r="AO314" s="3"/>
      <c r="AP314" s="3"/>
      <c r="AQ314" s="3"/>
      <c r="AR314" s="3" t="s">
        <v>52</v>
      </c>
      <c r="AS314" s="3" t="s">
        <v>64</v>
      </c>
      <c r="AT314" s="3" t="s">
        <v>53</v>
      </c>
      <c r="AW314" s="8" t="s">
        <v>2135</v>
      </c>
    </row>
    <row r="315">
      <c r="A315" s="3">
        <v>69.0</v>
      </c>
      <c r="B315" s="3" t="s">
        <v>40</v>
      </c>
      <c r="C315" s="3" t="s">
        <v>282</v>
      </c>
      <c r="D315" s="3">
        <v>1995.0</v>
      </c>
      <c r="E315" s="3" t="s">
        <v>283</v>
      </c>
      <c r="F315" s="3" t="s">
        <v>284</v>
      </c>
      <c r="G315" s="3" t="s">
        <v>2414</v>
      </c>
      <c r="H315" s="3" t="s">
        <v>58</v>
      </c>
      <c r="I315" s="3" t="s">
        <v>2142</v>
      </c>
      <c r="J315" s="3" t="s">
        <v>58</v>
      </c>
      <c r="L315" s="3" t="s">
        <v>2415</v>
      </c>
      <c r="M315" s="3" t="s">
        <v>110</v>
      </c>
      <c r="N315" s="3" t="s">
        <v>285</v>
      </c>
      <c r="O315" s="3" t="s">
        <v>286</v>
      </c>
      <c r="P315" s="3" t="s">
        <v>287</v>
      </c>
      <c r="S315" s="9" t="str">
        <f t="array" ref="S315">"[" &amp; TEXTJOIN(", ", TRUE, IF(LEN(T315:AB315), CHAR(34)&amp;T315:AB315&amp;CHAR(34), )) &amp; "]"
</f>
        <v>["Hunting &amp; Collecting Terrestrial Animals"]</v>
      </c>
      <c r="T315" s="3" t="s">
        <v>2138</v>
      </c>
      <c r="U315" s="3"/>
      <c r="V315" s="3"/>
      <c r="AC315" s="3" t="s">
        <v>61</v>
      </c>
      <c r="AF315" s="3" t="s">
        <v>87</v>
      </c>
      <c r="AL315" s="9" t="str">
        <f t="array" ref="AL315">"[" &amp; TEXTJOIN(", ", TRUE, IF(LEN(AM315:AQ315), CHAR(34)&amp;AM315:AQ315&amp;CHAR(34), )) &amp; "]"
</f>
        <v>["Biological resource use", "Agriculture &amp; aquaculture"]</v>
      </c>
      <c r="AM315" s="3" t="s">
        <v>52</v>
      </c>
      <c r="AN315" s="3" t="s">
        <v>51</v>
      </c>
      <c r="AO315" s="3"/>
      <c r="AP315" s="3"/>
      <c r="AQ315" s="3"/>
      <c r="AR315" s="3" t="s">
        <v>52</v>
      </c>
      <c r="AS315" s="3" t="s">
        <v>51</v>
      </c>
      <c r="AW315" s="8" t="s">
        <v>2416</v>
      </c>
    </row>
    <row r="316">
      <c r="A316" s="3">
        <v>773.0</v>
      </c>
      <c r="B316" s="3" t="s">
        <v>40</v>
      </c>
      <c r="C316" s="3" t="s">
        <v>1660</v>
      </c>
      <c r="D316" s="3">
        <v>2008.0</v>
      </c>
      <c r="E316" s="3" t="s">
        <v>1661</v>
      </c>
      <c r="F316" s="3" t="s">
        <v>1480</v>
      </c>
      <c r="G316" s="3" t="s">
        <v>2417</v>
      </c>
      <c r="H316" s="3" t="s">
        <v>58</v>
      </c>
      <c r="I316" s="3" t="s">
        <v>2142</v>
      </c>
      <c r="J316" s="3" t="s">
        <v>58</v>
      </c>
      <c r="L316" s="3" t="s">
        <v>2143</v>
      </c>
      <c r="M316" s="3" t="s">
        <v>110</v>
      </c>
      <c r="S316" s="9" t="str">
        <f t="array" ref="S316">"[" &amp; TEXTJOIN(", ", TRUE, IF(LEN(T316:AB316), CHAR(34)&amp;T316:AB316&amp;CHAR(34), )) &amp; "]"
</f>
        <v>["Roads &amp; railroads"]</v>
      </c>
      <c r="U316" s="3"/>
      <c r="V316" s="3"/>
      <c r="W316" s="3" t="s">
        <v>63</v>
      </c>
      <c r="AC316" s="3" t="s">
        <v>87</v>
      </c>
      <c r="AF316" s="3" t="s">
        <v>63</v>
      </c>
      <c r="AL316" s="9" t="str">
        <f t="array" ref="AL316">"[" &amp; TEXTJOIN(", ", TRUE, IF(LEN(AM316:AQ316), CHAR(34)&amp;AM316:AQ316&amp;CHAR(34), )) &amp; "]"
</f>
        <v>["Pollution", "Transportation &amp; service corridors"]</v>
      </c>
      <c r="AM316" s="3" t="s">
        <v>64</v>
      </c>
      <c r="AN316" s="3" t="s">
        <v>65</v>
      </c>
      <c r="AP316" s="3"/>
      <c r="AQ316" s="3"/>
      <c r="AR316" s="3" t="s">
        <v>64</v>
      </c>
      <c r="AS316" s="3" t="s">
        <v>65</v>
      </c>
      <c r="AT316" s="3" t="s">
        <v>78</v>
      </c>
      <c r="AW316" s="8" t="s">
        <v>2418</v>
      </c>
    </row>
    <row r="317" hidden="1">
      <c r="A317" s="3">
        <v>367.0</v>
      </c>
      <c r="B317" s="3" t="s">
        <v>106</v>
      </c>
      <c r="D317" s="3">
        <v>2002.0</v>
      </c>
      <c r="E317" s="3" t="s">
        <v>906</v>
      </c>
      <c r="F317" s="3" t="s">
        <v>515</v>
      </c>
      <c r="G317" s="3"/>
      <c r="H317" s="3" t="s">
        <v>58</v>
      </c>
      <c r="I317" s="3"/>
      <c r="K317" s="3"/>
      <c r="L317" s="3"/>
      <c r="M317" s="3" t="s">
        <v>110</v>
      </c>
      <c r="S317" s="3"/>
      <c r="T317" s="3"/>
      <c r="U317" s="3"/>
      <c r="V317" s="3"/>
      <c r="AC317" s="3" t="s">
        <v>247</v>
      </c>
      <c r="AL317" s="3"/>
      <c r="AM317" s="3"/>
      <c r="AN317" s="3"/>
      <c r="AO317" s="3"/>
      <c r="AP317" s="3"/>
      <c r="AQ317" s="3"/>
      <c r="AR317" s="3" t="s">
        <v>52</v>
      </c>
      <c r="AW317" s="8" t="s">
        <v>2135</v>
      </c>
    </row>
    <row r="318">
      <c r="A318" s="3">
        <v>683.0</v>
      </c>
      <c r="B318" s="3" t="s">
        <v>40</v>
      </c>
      <c r="C318" s="3" t="s">
        <v>1478</v>
      </c>
      <c r="D318" s="3">
        <v>2005.0</v>
      </c>
      <c r="E318" s="3" t="s">
        <v>1479</v>
      </c>
      <c r="F318" s="3" t="s">
        <v>1480</v>
      </c>
      <c r="G318" s="3" t="s">
        <v>2417</v>
      </c>
      <c r="H318" s="3" t="s">
        <v>58</v>
      </c>
      <c r="I318" s="3" t="s">
        <v>2142</v>
      </c>
      <c r="J318" s="3" t="s">
        <v>58</v>
      </c>
      <c r="L318" s="3" t="s">
        <v>2340</v>
      </c>
      <c r="M318" s="3" t="s">
        <v>76</v>
      </c>
      <c r="S318" s="9"/>
      <c r="T318" s="3"/>
      <c r="U318" s="3"/>
      <c r="V318" s="3"/>
      <c r="AL318" s="9" t="str">
        <f t="array" ref="AL318">"[" &amp; TEXTJOIN(", ", TRUE, IF(LEN(AM318:AQ318), CHAR(34)&amp;AM318:AQ318&amp;CHAR(34), )) &amp; "]"
</f>
        <v>[]</v>
      </c>
      <c r="AN318" s="3"/>
      <c r="AO318" s="3"/>
      <c r="AP318" s="3"/>
      <c r="AQ318" s="3"/>
      <c r="AR318" s="3" t="s">
        <v>78</v>
      </c>
      <c r="AW318" s="8" t="s">
        <v>2419</v>
      </c>
    </row>
    <row r="319">
      <c r="A319" s="3">
        <v>153.0</v>
      </c>
      <c r="B319" s="3" t="s">
        <v>40</v>
      </c>
      <c r="C319" s="3" t="s">
        <v>300</v>
      </c>
      <c r="D319" s="3">
        <v>2016.0</v>
      </c>
      <c r="E319" s="3" t="s">
        <v>301</v>
      </c>
      <c r="F319" s="3" t="s">
        <v>298</v>
      </c>
      <c r="G319" s="3" t="s">
        <v>2420</v>
      </c>
      <c r="H319" s="3" t="s">
        <v>101</v>
      </c>
      <c r="I319" s="3" t="s">
        <v>2283</v>
      </c>
      <c r="J319" s="3" t="s">
        <v>102</v>
      </c>
      <c r="L319" s="3" t="s">
        <v>2421</v>
      </c>
      <c r="M319" s="3" t="s">
        <v>205</v>
      </c>
      <c r="N319" s="3" t="s">
        <v>110</v>
      </c>
      <c r="O319" s="3" t="s">
        <v>309</v>
      </c>
      <c r="P319" s="3" t="s">
        <v>155</v>
      </c>
      <c r="S319" s="9" t="str">
        <f t="array" ref="S319">"[" &amp; TEXTJOIN(", ", TRUE, IF(LEN(T319:AB319), CHAR(34)&amp;T319:AB319&amp;CHAR(34), )) &amp; "]"
</f>
        <v>["Hunting &amp; Collecting Terrestrial Animals", "Agricultural &amp; forestry effluents", "Industrial &amp; military effluents", "Wood &amp; pulp plantations"]</v>
      </c>
      <c r="T319" s="3" t="s">
        <v>2138</v>
      </c>
      <c r="U319" s="3"/>
      <c r="V319" s="3"/>
      <c r="W319" s="3" t="s">
        <v>62</v>
      </c>
      <c r="X319" s="3" t="s">
        <v>147</v>
      </c>
      <c r="Y319" s="3" t="s">
        <v>97</v>
      </c>
      <c r="AC319" s="3" t="s">
        <v>61</v>
      </c>
      <c r="AF319" s="3" t="s">
        <v>62</v>
      </c>
      <c r="AG319" s="3" t="s">
        <v>147</v>
      </c>
      <c r="AH319" s="3" t="s">
        <v>97</v>
      </c>
      <c r="AL319" s="9" t="str">
        <f t="array" ref="AL319">"[" &amp; TEXTJOIN(", ", TRUE, IF(LEN(AM319:AQ319), CHAR(34)&amp;AM319:AQ319&amp;CHAR(34), )) &amp; "]"
</f>
        <v>["Biological resource use", "Pollution", "Agriculture &amp; aquaculture"]</v>
      </c>
      <c r="AM319" s="3" t="s">
        <v>52</v>
      </c>
      <c r="AN319" s="3" t="s">
        <v>64</v>
      </c>
      <c r="AO319" s="3" t="s">
        <v>51</v>
      </c>
      <c r="AP319" s="3"/>
      <c r="AQ319" s="3"/>
      <c r="AR319" s="3" t="s">
        <v>52</v>
      </c>
      <c r="AS319" s="3" t="s">
        <v>64</v>
      </c>
      <c r="AT319" s="3" t="s">
        <v>51</v>
      </c>
      <c r="AW319" s="8" t="s">
        <v>2422</v>
      </c>
    </row>
    <row r="320" hidden="1">
      <c r="A320" s="3">
        <v>891.0</v>
      </c>
      <c r="B320" s="3" t="s">
        <v>106</v>
      </c>
      <c r="D320" s="3">
        <v>1989.0</v>
      </c>
      <c r="E320" s="3" t="s">
        <v>1893</v>
      </c>
      <c r="F320" s="3" t="s">
        <v>515</v>
      </c>
      <c r="G320" s="3"/>
      <c r="H320" s="3" t="s">
        <v>58</v>
      </c>
      <c r="I320" s="3"/>
      <c r="K320" s="3"/>
      <c r="L320" s="3"/>
      <c r="M320" s="3" t="s">
        <v>110</v>
      </c>
      <c r="S320" s="3"/>
      <c r="T320" s="3"/>
      <c r="U320" s="3"/>
      <c r="V320" s="3"/>
      <c r="AC320" s="3" t="s">
        <v>125</v>
      </c>
      <c r="AL320" s="3"/>
      <c r="AM320" s="3"/>
      <c r="AN320" s="3"/>
      <c r="AO320" s="3"/>
      <c r="AP320" s="3"/>
      <c r="AQ320" s="3"/>
      <c r="AR320" s="3" t="s">
        <v>64</v>
      </c>
    </row>
    <row r="321" hidden="1">
      <c r="A321" s="3">
        <v>892.0</v>
      </c>
      <c r="B321" s="3" t="s">
        <v>106</v>
      </c>
      <c r="D321" s="3">
        <v>1989.0</v>
      </c>
      <c r="E321" s="3" t="s">
        <v>1894</v>
      </c>
      <c r="F321" s="3" t="s">
        <v>515</v>
      </c>
      <c r="G321" s="3"/>
      <c r="H321" s="3" t="s">
        <v>58</v>
      </c>
      <c r="I321" s="3"/>
      <c r="K321" s="3"/>
      <c r="L321" s="3"/>
      <c r="M321" s="3" t="s">
        <v>110</v>
      </c>
      <c r="S321" s="3"/>
      <c r="T321" s="3"/>
      <c r="U321" s="3"/>
      <c r="V321" s="3"/>
      <c r="AC321" s="3" t="s">
        <v>125</v>
      </c>
      <c r="AL321" s="3"/>
      <c r="AM321" s="3"/>
      <c r="AN321" s="3"/>
      <c r="AO321" s="3"/>
      <c r="AP321" s="3"/>
      <c r="AQ321" s="3"/>
      <c r="AR321" s="3" t="s">
        <v>64</v>
      </c>
    </row>
    <row r="322" hidden="1">
      <c r="A322" s="3">
        <v>903.0</v>
      </c>
      <c r="B322" s="3" t="s">
        <v>106</v>
      </c>
      <c r="C322" s="3" t="s">
        <v>1915</v>
      </c>
      <c r="D322" s="3">
        <v>1993.0</v>
      </c>
      <c r="E322" s="3" t="s">
        <v>1916</v>
      </c>
      <c r="F322" s="3" t="s">
        <v>515</v>
      </c>
      <c r="G322" s="3"/>
      <c r="H322" s="3" t="s">
        <v>58</v>
      </c>
      <c r="I322" s="3"/>
      <c r="K322" s="3"/>
      <c r="L322" s="3"/>
      <c r="M322" s="3" t="s">
        <v>110</v>
      </c>
      <c r="S322" s="3"/>
      <c r="T322" s="3"/>
      <c r="U322" s="3"/>
      <c r="V322" s="3"/>
      <c r="AC322" s="3" t="s">
        <v>62</v>
      </c>
      <c r="AL322" s="3"/>
      <c r="AM322" s="3"/>
      <c r="AN322" s="3"/>
      <c r="AO322" s="3"/>
      <c r="AP322" s="3"/>
      <c r="AQ322" s="3"/>
      <c r="AR322" s="3" t="s">
        <v>64</v>
      </c>
    </row>
    <row r="323" hidden="1">
      <c r="A323" s="3">
        <v>996.0</v>
      </c>
      <c r="B323" s="3" t="s">
        <v>106</v>
      </c>
      <c r="C323" s="3" t="s">
        <v>2099</v>
      </c>
      <c r="D323" s="3">
        <v>1994.0</v>
      </c>
      <c r="E323" s="3" t="s">
        <v>2100</v>
      </c>
      <c r="F323" s="3" t="s">
        <v>515</v>
      </c>
      <c r="G323" s="3"/>
      <c r="H323" s="3" t="s">
        <v>58</v>
      </c>
      <c r="I323" s="3"/>
      <c r="K323" s="3"/>
      <c r="L323" s="3"/>
      <c r="M323" s="3" t="s">
        <v>110</v>
      </c>
      <c r="S323" s="3"/>
      <c r="T323" s="3"/>
      <c r="U323" s="3"/>
      <c r="V323" s="3"/>
      <c r="AC323" s="3" t="s">
        <v>63</v>
      </c>
      <c r="AL323" s="3"/>
      <c r="AM323" s="3"/>
      <c r="AN323" s="3"/>
      <c r="AO323" s="3"/>
      <c r="AP323" s="3"/>
      <c r="AQ323" s="3"/>
      <c r="AR323" s="3" t="s">
        <v>65</v>
      </c>
    </row>
    <row r="324" hidden="1">
      <c r="A324" s="3">
        <v>997.0</v>
      </c>
      <c r="B324" s="3" t="s">
        <v>106</v>
      </c>
      <c r="C324" s="3" t="s">
        <v>2099</v>
      </c>
      <c r="D324" s="3">
        <v>1995.0</v>
      </c>
      <c r="E324" s="3" t="s">
        <v>2101</v>
      </c>
      <c r="F324" s="3" t="s">
        <v>515</v>
      </c>
      <c r="G324" s="3"/>
      <c r="H324" s="3" t="s">
        <v>58</v>
      </c>
      <c r="I324" s="3"/>
      <c r="K324" s="3"/>
      <c r="L324" s="3"/>
      <c r="M324" s="3" t="s">
        <v>110</v>
      </c>
      <c r="S324" s="3"/>
      <c r="T324" s="3"/>
      <c r="U324" s="3"/>
      <c r="V324" s="3"/>
      <c r="AC324" s="3" t="s">
        <v>63</v>
      </c>
      <c r="AL324" s="3"/>
      <c r="AM324" s="3"/>
      <c r="AN324" s="3"/>
      <c r="AO324" s="3"/>
      <c r="AP324" s="3"/>
      <c r="AQ324" s="3"/>
      <c r="AR324" s="3" t="s">
        <v>65</v>
      </c>
    </row>
    <row r="325">
      <c r="A325" s="3">
        <v>74.0</v>
      </c>
      <c r="B325" s="3" t="s">
        <v>40</v>
      </c>
      <c r="C325" s="3" t="s">
        <v>300</v>
      </c>
      <c r="D325" s="3">
        <v>2016.0</v>
      </c>
      <c r="E325" s="3" t="s">
        <v>301</v>
      </c>
      <c r="F325" s="3" t="s">
        <v>298</v>
      </c>
      <c r="G325" s="3" t="s">
        <v>2420</v>
      </c>
      <c r="H325" s="3" t="s">
        <v>101</v>
      </c>
      <c r="I325" s="3" t="s">
        <v>2283</v>
      </c>
      <c r="J325" s="3" t="s">
        <v>102</v>
      </c>
      <c r="L325" s="3" t="s">
        <v>2423</v>
      </c>
      <c r="M325" s="3" t="s">
        <v>299</v>
      </c>
      <c r="N325" s="3" t="s">
        <v>103</v>
      </c>
      <c r="O325" s="3" t="s">
        <v>302</v>
      </c>
      <c r="S325" s="9" t="str">
        <f t="array" ref="S325">"[" &amp; TEXTJOIN(", ", TRUE, IF(LEN(T325:AB325), CHAR(34)&amp;T325:AB325&amp;CHAR(34), )) &amp; "]"
</f>
        <v>["Hunting &amp; Collecting Terrestrial Animals", "Logging &amp; Wood Harvesting", "Wood &amp; pulp plantations"]</v>
      </c>
      <c r="T325" s="3" t="s">
        <v>2138</v>
      </c>
      <c r="U325" s="3" t="s">
        <v>2139</v>
      </c>
      <c r="V325" s="3"/>
      <c r="W325" s="3" t="s">
        <v>97</v>
      </c>
      <c r="AC325" s="3" t="s">
        <v>61</v>
      </c>
      <c r="AD325" s="3" t="s">
        <v>48</v>
      </c>
      <c r="AF325" s="3" t="s">
        <v>97</v>
      </c>
      <c r="AL325" s="9" t="str">
        <f t="array" ref="AL325">"[" &amp; TEXTJOIN(", ", TRUE, IF(LEN(AM325:AQ325), CHAR(34)&amp;AM325:AQ325&amp;CHAR(34), )) &amp; "]"
</f>
        <v>["Biological resource use", "Agriculture &amp; aquaculture"]</v>
      </c>
      <c r="AM325" s="3" t="s">
        <v>52</v>
      </c>
      <c r="AN325" s="3" t="s">
        <v>51</v>
      </c>
      <c r="AO325" s="3"/>
      <c r="AP325" s="3"/>
      <c r="AQ325" s="3"/>
      <c r="AR325" s="3" t="s">
        <v>52</v>
      </c>
      <c r="AS325" s="3" t="s">
        <v>51</v>
      </c>
      <c r="AW325" s="8" t="s">
        <v>2422</v>
      </c>
    </row>
    <row r="326" hidden="1">
      <c r="A326" s="3">
        <v>192.0</v>
      </c>
      <c r="B326" s="3" t="s">
        <v>106</v>
      </c>
      <c r="D326" s="3">
        <v>2007.0</v>
      </c>
      <c r="E326" s="3" t="s">
        <v>553</v>
      </c>
      <c r="F326" s="3" t="s">
        <v>541</v>
      </c>
      <c r="H326" s="3" t="s">
        <v>541</v>
      </c>
      <c r="I326" s="3"/>
      <c r="K326" s="3"/>
      <c r="L326" s="3"/>
      <c r="M326" s="3" t="s">
        <v>266</v>
      </c>
      <c r="S326" s="3"/>
      <c r="T326" s="3"/>
      <c r="U326" s="3"/>
      <c r="V326" s="3"/>
      <c r="W326" s="3"/>
      <c r="X326" s="3"/>
      <c r="AC326" s="3" t="s">
        <v>267</v>
      </c>
      <c r="AF326" s="3" t="s">
        <v>125</v>
      </c>
      <c r="AL326" s="3"/>
      <c r="AM326" s="3"/>
      <c r="AN326" s="3"/>
      <c r="AO326" s="3"/>
      <c r="AP326" s="3"/>
      <c r="AQ326" s="3"/>
      <c r="AR326" s="3" t="s">
        <v>52</v>
      </c>
      <c r="AS326" s="3" t="s">
        <v>64</v>
      </c>
      <c r="AW326" s="8" t="s">
        <v>2135</v>
      </c>
    </row>
    <row r="327" hidden="1">
      <c r="A327" s="3">
        <v>218.0</v>
      </c>
      <c r="B327" s="3" t="s">
        <v>55</v>
      </c>
      <c r="D327" s="3">
        <v>1990.0</v>
      </c>
      <c r="E327" s="3" t="s">
        <v>603</v>
      </c>
      <c r="F327" s="3" t="s">
        <v>541</v>
      </c>
      <c r="H327" s="3" t="s">
        <v>541</v>
      </c>
      <c r="I327" s="3"/>
      <c r="J327" s="3" t="s">
        <v>541</v>
      </c>
      <c r="K327" s="3"/>
      <c r="L327" s="3"/>
      <c r="M327" s="3" t="s">
        <v>69</v>
      </c>
      <c r="S327" s="3"/>
      <c r="T327" s="3"/>
      <c r="U327" s="3"/>
      <c r="V327" s="3"/>
      <c r="W327" s="3"/>
      <c r="X327" s="3"/>
      <c r="Y327" s="3"/>
      <c r="Z327" s="3"/>
      <c r="AC327" s="3" t="s">
        <v>61</v>
      </c>
      <c r="AF327" s="3" t="s">
        <v>63</v>
      </c>
      <c r="AH327" s="3" t="s">
        <v>70</v>
      </c>
      <c r="AL327" s="3"/>
      <c r="AM327" s="3"/>
      <c r="AN327" s="3"/>
      <c r="AO327" s="3"/>
      <c r="AP327" s="3"/>
      <c r="AQ327" s="3"/>
      <c r="AR327" s="3" t="s">
        <v>52</v>
      </c>
      <c r="AS327" s="3" t="s">
        <v>65</v>
      </c>
      <c r="AT327" s="3" t="s">
        <v>71</v>
      </c>
      <c r="AW327" s="8" t="s">
        <v>2135</v>
      </c>
    </row>
    <row r="328" hidden="1">
      <c r="A328" s="3">
        <v>235.0</v>
      </c>
      <c r="B328" s="3" t="s">
        <v>106</v>
      </c>
      <c r="C328" s="3" t="s">
        <v>633</v>
      </c>
      <c r="D328" s="3">
        <v>1992.0</v>
      </c>
      <c r="E328" s="3" t="s">
        <v>634</v>
      </c>
      <c r="F328" s="3" t="s">
        <v>541</v>
      </c>
      <c r="H328" s="3" t="s">
        <v>541</v>
      </c>
      <c r="I328" s="3"/>
      <c r="K328" s="3"/>
      <c r="L328" s="3"/>
      <c r="M328" s="3" t="s">
        <v>635</v>
      </c>
      <c r="S328" s="3"/>
      <c r="T328" s="3"/>
      <c r="U328" s="3"/>
      <c r="V328" s="3"/>
      <c r="AC328" s="3" t="s">
        <v>61</v>
      </c>
      <c r="AL328" s="3"/>
      <c r="AM328" s="3"/>
      <c r="AN328" s="3"/>
      <c r="AO328" s="3"/>
      <c r="AP328" s="3"/>
      <c r="AQ328" s="3"/>
      <c r="AR328" s="3" t="s">
        <v>52</v>
      </c>
      <c r="AS328" s="3" t="s">
        <v>143</v>
      </c>
      <c r="AW328" s="8" t="s">
        <v>2135</v>
      </c>
    </row>
    <row r="329">
      <c r="A329" s="3">
        <v>73.0</v>
      </c>
      <c r="B329" s="3" t="s">
        <v>40</v>
      </c>
      <c r="C329" s="3" t="s">
        <v>296</v>
      </c>
      <c r="D329" s="3">
        <v>2016.0</v>
      </c>
      <c r="E329" s="3" t="s">
        <v>297</v>
      </c>
      <c r="F329" s="3" t="s">
        <v>298</v>
      </c>
      <c r="G329" s="3" t="s">
        <v>2420</v>
      </c>
      <c r="H329" s="3" t="s">
        <v>101</v>
      </c>
      <c r="I329" s="3" t="s">
        <v>2283</v>
      </c>
      <c r="J329" s="3" t="s">
        <v>102</v>
      </c>
      <c r="L329" s="3" t="s">
        <v>2424</v>
      </c>
      <c r="M329" s="3" t="s">
        <v>299</v>
      </c>
      <c r="S329" s="9" t="str">
        <f t="array" ref="S329">"[" &amp; TEXTJOIN(", ", TRUE, IF(LEN(T329:AB329), CHAR(34)&amp;T329:AB329&amp;CHAR(34), )) &amp; "]"
</f>
        <v>["Logging &amp; Wood Harvesting", "Hunting &amp; Collecting Terrestrial Animals", "Wood &amp; pulp plantations"]</v>
      </c>
      <c r="T329" s="3" t="s">
        <v>2139</v>
      </c>
      <c r="U329" s="3" t="s">
        <v>2138</v>
      </c>
      <c r="V329" s="3"/>
      <c r="W329" s="3" t="s">
        <v>97</v>
      </c>
      <c r="AC329" s="3" t="s">
        <v>48</v>
      </c>
      <c r="AD329" s="3" t="s">
        <v>61</v>
      </c>
      <c r="AF329" s="3" t="s">
        <v>97</v>
      </c>
      <c r="AL329" s="9" t="str">
        <f t="array" ref="AL329">"[" &amp; TEXTJOIN(", ", TRUE, IF(LEN(AM329:AQ329), CHAR(34)&amp;AM329:AQ329&amp;CHAR(34), )) &amp; "]"
</f>
        <v>["Biological resource use", "Agriculture &amp; aquaculture"]</v>
      </c>
      <c r="AM329" s="3" t="s">
        <v>52</v>
      </c>
      <c r="AN329" s="3" t="s">
        <v>51</v>
      </c>
      <c r="AO329" s="3"/>
      <c r="AP329" s="3"/>
      <c r="AQ329" s="3"/>
      <c r="AR329" s="3" t="s">
        <v>52</v>
      </c>
      <c r="AS329" s="3" t="s">
        <v>51</v>
      </c>
      <c r="AW329" s="8" t="s">
        <v>2425</v>
      </c>
    </row>
    <row r="330">
      <c r="A330" s="3">
        <v>334.0</v>
      </c>
      <c r="B330" s="3" t="s">
        <v>40</v>
      </c>
      <c r="C330" s="3" t="s">
        <v>836</v>
      </c>
      <c r="D330" s="3">
        <v>2017.0</v>
      </c>
      <c r="E330" s="3" t="s">
        <v>837</v>
      </c>
      <c r="F330" s="3" t="s">
        <v>298</v>
      </c>
      <c r="G330" s="3" t="s">
        <v>2420</v>
      </c>
      <c r="H330" s="3" t="s">
        <v>101</v>
      </c>
      <c r="I330" s="3" t="s">
        <v>2283</v>
      </c>
      <c r="J330" s="3" t="s">
        <v>102</v>
      </c>
      <c r="L330" s="3" t="s">
        <v>2401</v>
      </c>
      <c r="M330" s="3" t="s">
        <v>103</v>
      </c>
      <c r="S330" s="9" t="str">
        <f t="array" ref="S330">"[" &amp; TEXTJOIN(", ", TRUE, IF(LEN(T330:AB330), CHAR(34)&amp;T330:AB330&amp;CHAR(34), )) &amp; "]"
</f>
        <v>["Logging &amp; Wood Harvesting", "Hunting &amp; Collecting Terrestrial Animals"]</v>
      </c>
      <c r="T330" s="3" t="s">
        <v>2139</v>
      </c>
      <c r="U330" s="3" t="s">
        <v>2138</v>
      </c>
      <c r="V330" s="3"/>
      <c r="AC330" s="3" t="s">
        <v>48</v>
      </c>
      <c r="AD330" s="3" t="s">
        <v>61</v>
      </c>
      <c r="AL330" s="9" t="str">
        <f t="array" ref="AL330">"[" &amp; TEXTJOIN(", ", TRUE, IF(LEN(AM330:AQ330), CHAR(34)&amp;AM330:AQ330&amp;CHAR(34), )) &amp; "]"
</f>
        <v>["Biological resource use"]</v>
      </c>
      <c r="AM330" s="3" t="s">
        <v>52</v>
      </c>
      <c r="AN330" s="3"/>
      <c r="AO330" s="3"/>
      <c r="AP330" s="3"/>
      <c r="AQ330" s="3"/>
      <c r="AR330" s="3" t="s">
        <v>52</v>
      </c>
      <c r="AW330" s="8" t="s">
        <v>2426</v>
      </c>
    </row>
    <row r="331">
      <c r="A331" s="3">
        <v>328.0</v>
      </c>
      <c r="B331" s="3" t="s">
        <v>40</v>
      </c>
      <c r="C331" s="3" t="s">
        <v>824</v>
      </c>
      <c r="D331" s="3">
        <v>2016.0</v>
      </c>
      <c r="E331" s="3" t="s">
        <v>825</v>
      </c>
      <c r="F331" s="3" t="s">
        <v>298</v>
      </c>
      <c r="G331" s="3" t="s">
        <v>2420</v>
      </c>
      <c r="H331" s="3" t="s">
        <v>101</v>
      </c>
      <c r="I331" s="3" t="s">
        <v>2283</v>
      </c>
      <c r="J331" s="3" t="s">
        <v>102</v>
      </c>
      <c r="L331" s="3" t="s">
        <v>2401</v>
      </c>
      <c r="M331" s="3" t="s">
        <v>103</v>
      </c>
      <c r="S331" s="9" t="str">
        <f t="array" ref="S331">"[" &amp; TEXTJOIN(", ", TRUE, IF(LEN(T331:AB331), CHAR(34)&amp;T331:AB331&amp;CHAR(34), )) &amp; "]"
</f>
        <v>["Logging &amp; Wood Harvesting"]</v>
      </c>
      <c r="T331" s="3" t="s">
        <v>2139</v>
      </c>
      <c r="U331" s="3"/>
      <c r="V331" s="3"/>
      <c r="AC331" s="3" t="s">
        <v>48</v>
      </c>
      <c r="AL331" s="9" t="str">
        <f t="array" ref="AL331">"[" &amp; TEXTJOIN(", ", TRUE, IF(LEN(AM331:AQ331), CHAR(34)&amp;AM331:AQ331&amp;CHAR(34), )) &amp; "]"
</f>
        <v>["Biological resource use"]</v>
      </c>
      <c r="AM331" s="3" t="s">
        <v>52</v>
      </c>
      <c r="AN331" s="3"/>
      <c r="AO331" s="3"/>
      <c r="AP331" s="3"/>
      <c r="AQ331" s="3"/>
      <c r="AR331" s="3" t="s">
        <v>52</v>
      </c>
      <c r="AW331" s="8" t="s">
        <v>2427</v>
      </c>
    </row>
    <row r="332" hidden="1">
      <c r="A332" s="3">
        <v>391.0</v>
      </c>
      <c r="B332" s="3" t="s">
        <v>55</v>
      </c>
      <c r="D332" s="3">
        <v>1991.0</v>
      </c>
      <c r="E332" s="3" t="s">
        <v>940</v>
      </c>
      <c r="F332" s="3" t="s">
        <v>541</v>
      </c>
      <c r="H332" s="3" t="s">
        <v>541</v>
      </c>
      <c r="I332" s="3"/>
      <c r="J332" s="3" t="s">
        <v>541</v>
      </c>
      <c r="K332" s="3"/>
      <c r="L332" s="3"/>
      <c r="M332" s="3" t="s">
        <v>69</v>
      </c>
      <c r="S332" s="3"/>
      <c r="T332" s="3"/>
      <c r="U332" s="3"/>
      <c r="V332" s="3"/>
      <c r="AC332" s="3" t="s">
        <v>61</v>
      </c>
      <c r="AL332" s="3"/>
      <c r="AM332" s="3"/>
      <c r="AN332" s="3"/>
      <c r="AO332" s="3"/>
      <c r="AP332" s="3"/>
      <c r="AQ332" s="3"/>
      <c r="AR332" s="3" t="s">
        <v>52</v>
      </c>
      <c r="AW332" s="8" t="s">
        <v>2135</v>
      </c>
    </row>
    <row r="333">
      <c r="A333" s="3">
        <v>148.0</v>
      </c>
      <c r="B333" s="3" t="s">
        <v>40</v>
      </c>
      <c r="C333" s="3" t="s">
        <v>468</v>
      </c>
      <c r="D333" s="3">
        <v>2018.0</v>
      </c>
      <c r="E333" s="3" t="s">
        <v>469</v>
      </c>
      <c r="F333" s="3" t="s">
        <v>444</v>
      </c>
      <c r="G333" s="3" t="s">
        <v>2428</v>
      </c>
      <c r="H333" s="3" t="s">
        <v>44</v>
      </c>
      <c r="I333" s="3" t="s">
        <v>2147</v>
      </c>
      <c r="J333" s="3" t="s">
        <v>45</v>
      </c>
      <c r="L333" s="3" t="s">
        <v>2429</v>
      </c>
      <c r="M333" s="3" t="s">
        <v>208</v>
      </c>
      <c r="N333" s="3" t="s">
        <v>445</v>
      </c>
      <c r="S333" s="9"/>
      <c r="T333" s="3"/>
      <c r="U333" s="3"/>
      <c r="V333" s="3"/>
      <c r="AL333" s="9" t="str">
        <f t="array" ref="AL333">"[" &amp; TEXTJOIN(", ", TRUE, IF(LEN(AM333:AQ333), CHAR(34)&amp;AM333:AQ333&amp;CHAR(34), )) &amp; "]"
</f>
        <v>["Biological resource use"]</v>
      </c>
      <c r="AM333" s="3" t="s">
        <v>52</v>
      </c>
      <c r="AO333" s="3"/>
      <c r="AP333" s="3"/>
      <c r="AQ333" s="3"/>
      <c r="AR333" s="3" t="s">
        <v>52</v>
      </c>
      <c r="AS333" s="3" t="s">
        <v>78</v>
      </c>
      <c r="AW333" s="8" t="s">
        <v>2430</v>
      </c>
    </row>
    <row r="334" hidden="1">
      <c r="A334" s="3">
        <v>782.0</v>
      </c>
      <c r="B334" s="3" t="s">
        <v>72</v>
      </c>
      <c r="C334" s="3" t="s">
        <v>1679</v>
      </c>
      <c r="D334" s="3">
        <v>2009.0</v>
      </c>
      <c r="E334" s="3" t="s">
        <v>1680</v>
      </c>
      <c r="F334" s="3" t="s">
        <v>541</v>
      </c>
      <c r="H334" s="3" t="s">
        <v>541</v>
      </c>
      <c r="I334" s="3"/>
      <c r="J334" s="3" t="s">
        <v>541</v>
      </c>
      <c r="K334" s="3"/>
      <c r="L334" s="3"/>
      <c r="M334" s="3" t="s">
        <v>384</v>
      </c>
      <c r="N334" s="3" t="s">
        <v>110</v>
      </c>
      <c r="O334" s="3" t="s">
        <v>453</v>
      </c>
      <c r="P334" s="3" t="s">
        <v>1001</v>
      </c>
      <c r="S334" s="3"/>
      <c r="T334" s="3"/>
      <c r="U334" s="3"/>
      <c r="V334" s="3"/>
      <c r="AC334" s="3" t="s">
        <v>147</v>
      </c>
      <c r="AD334" s="3" t="s">
        <v>62</v>
      </c>
      <c r="AL334" s="3"/>
      <c r="AM334" s="3"/>
      <c r="AN334" s="3"/>
      <c r="AO334" s="3"/>
      <c r="AP334" s="3"/>
      <c r="AQ334" s="3"/>
      <c r="AR334" s="3" t="s">
        <v>64</v>
      </c>
      <c r="AW334" s="8" t="s">
        <v>2135</v>
      </c>
    </row>
    <row r="335">
      <c r="A335" s="3">
        <v>457.0</v>
      </c>
      <c r="B335" s="3" t="s">
        <v>40</v>
      </c>
      <c r="C335" s="3" t="s">
        <v>1041</v>
      </c>
      <c r="D335" s="3">
        <v>1997.0</v>
      </c>
      <c r="E335" s="3" t="s">
        <v>1042</v>
      </c>
      <c r="F335" s="3" t="s">
        <v>444</v>
      </c>
      <c r="G335" s="3" t="s">
        <v>2428</v>
      </c>
      <c r="H335" s="3" t="s">
        <v>44</v>
      </c>
      <c r="I335" s="3" t="s">
        <v>2147</v>
      </c>
      <c r="J335" s="3" t="s">
        <v>45</v>
      </c>
      <c r="L335" s="3" t="s">
        <v>2237</v>
      </c>
      <c r="M335" s="3" t="s">
        <v>384</v>
      </c>
      <c r="S335" s="9"/>
      <c r="U335" s="3"/>
      <c r="V335" s="3"/>
      <c r="AC335" s="3" t="s">
        <v>1043</v>
      </c>
      <c r="AL335" s="9" t="str">
        <f t="array" ref="AL335">"[" &amp; TEXTJOIN(", ", TRUE, IF(LEN(AM335:AQ335), CHAR(34)&amp;AM335:AQ335&amp;CHAR(34), )) &amp; "]"
</f>
        <v>["Human intrusions &amp; disturbance"]</v>
      </c>
      <c r="AM335" s="3" t="s">
        <v>121</v>
      </c>
      <c r="AN335" s="3"/>
      <c r="AO335" s="3"/>
      <c r="AP335" s="3"/>
      <c r="AQ335" s="3"/>
      <c r="AR335" s="3" t="s">
        <v>121</v>
      </c>
      <c r="AW335" s="8" t="s">
        <v>2431</v>
      </c>
    </row>
    <row r="336" hidden="1">
      <c r="A336" s="3">
        <v>988.0</v>
      </c>
      <c r="B336" s="3" t="s">
        <v>40</v>
      </c>
      <c r="C336" s="3" t="s">
        <v>2082</v>
      </c>
      <c r="D336" s="3">
        <v>2017.0</v>
      </c>
      <c r="E336" s="3" t="s">
        <v>2083</v>
      </c>
      <c r="F336" s="3" t="s">
        <v>541</v>
      </c>
      <c r="H336" s="3" t="s">
        <v>541</v>
      </c>
      <c r="I336" s="3"/>
      <c r="J336" s="3" t="s">
        <v>541</v>
      </c>
      <c r="K336" s="3"/>
      <c r="L336" s="3"/>
      <c r="M336" s="3" t="s">
        <v>1985</v>
      </c>
      <c r="N336" s="3" t="s">
        <v>1984</v>
      </c>
      <c r="O336" s="3" t="s">
        <v>285</v>
      </c>
      <c r="P336" s="3" t="s">
        <v>2084</v>
      </c>
      <c r="S336" s="3"/>
      <c r="T336" s="3"/>
      <c r="U336" s="3"/>
      <c r="V336" s="3"/>
      <c r="AC336" s="3" t="s">
        <v>63</v>
      </c>
      <c r="AL336" s="3"/>
      <c r="AM336" s="3"/>
      <c r="AN336" s="3"/>
      <c r="AO336" s="3"/>
      <c r="AP336" s="3"/>
      <c r="AQ336" s="3"/>
      <c r="AR336" s="3" t="s">
        <v>65</v>
      </c>
    </row>
    <row r="337" hidden="1">
      <c r="A337" s="3">
        <v>176.0</v>
      </c>
      <c r="B337" s="3" t="s">
        <v>106</v>
      </c>
      <c r="D337" s="3">
        <v>1988.0</v>
      </c>
      <c r="E337" s="3" t="s">
        <v>525</v>
      </c>
      <c r="F337" s="3" t="s">
        <v>526</v>
      </c>
      <c r="G337" s="3"/>
      <c r="H337" s="3" t="s">
        <v>58</v>
      </c>
      <c r="I337" s="3"/>
      <c r="K337" s="3"/>
      <c r="L337" s="3"/>
      <c r="M337" s="3" t="s">
        <v>110</v>
      </c>
      <c r="S337" s="3"/>
      <c r="T337" s="3"/>
      <c r="U337" s="3"/>
      <c r="V337" s="3"/>
      <c r="W337" s="3"/>
      <c r="X337" s="3"/>
      <c r="Y337" s="3"/>
      <c r="Z337" s="3"/>
      <c r="AA337" s="3"/>
      <c r="AB337" s="3"/>
      <c r="AC337" s="3" t="s">
        <v>247</v>
      </c>
      <c r="AF337" s="3" t="s">
        <v>125</v>
      </c>
      <c r="AH337" s="3" t="s">
        <v>63</v>
      </c>
      <c r="AJ337" s="3" t="s">
        <v>47</v>
      </c>
      <c r="AL337" s="3"/>
      <c r="AM337" s="3"/>
      <c r="AN337" s="3"/>
      <c r="AO337" s="3"/>
      <c r="AP337" s="3"/>
      <c r="AQ337" s="3"/>
      <c r="AR337" s="3" t="s">
        <v>52</v>
      </c>
      <c r="AS337" s="3" t="s">
        <v>64</v>
      </c>
      <c r="AT337" s="3" t="s">
        <v>65</v>
      </c>
      <c r="AU337" s="3" t="s">
        <v>51</v>
      </c>
      <c r="AW337" s="8" t="s">
        <v>2135</v>
      </c>
    </row>
    <row r="338" hidden="1">
      <c r="A338" s="3">
        <v>451.0</v>
      </c>
      <c r="B338" s="3" t="s">
        <v>106</v>
      </c>
      <c r="D338" s="3">
        <v>2006.0</v>
      </c>
      <c r="E338" s="3" t="s">
        <v>1030</v>
      </c>
      <c r="F338" s="3" t="s">
        <v>526</v>
      </c>
      <c r="G338" s="3"/>
      <c r="H338" s="3" t="s">
        <v>58</v>
      </c>
      <c r="I338" s="3"/>
      <c r="K338" s="3"/>
      <c r="L338" s="3"/>
      <c r="M338" s="3" t="s">
        <v>110</v>
      </c>
      <c r="S338" s="3"/>
      <c r="T338" s="3"/>
      <c r="U338" s="3"/>
      <c r="V338" s="3"/>
      <c r="W338" s="3"/>
      <c r="X338" s="3"/>
      <c r="Y338" s="3"/>
      <c r="Z338" s="3"/>
      <c r="AA338" s="3"/>
      <c r="AB338" s="3"/>
      <c r="AC338" s="3" t="s">
        <v>125</v>
      </c>
      <c r="AF338" s="3" t="s">
        <v>125</v>
      </c>
      <c r="AH338" s="3" t="s">
        <v>134</v>
      </c>
      <c r="AJ338" s="3" t="s">
        <v>125</v>
      </c>
      <c r="AL338" s="3"/>
      <c r="AM338" s="3"/>
      <c r="AN338" s="3"/>
      <c r="AO338" s="3"/>
      <c r="AP338" s="3"/>
      <c r="AQ338" s="3"/>
      <c r="AR338" s="3" t="s">
        <v>121</v>
      </c>
      <c r="AS338" s="3" t="s">
        <v>71</v>
      </c>
      <c r="AT338" s="3" t="s">
        <v>53</v>
      </c>
      <c r="AU338" s="3" t="s">
        <v>64</v>
      </c>
      <c r="AW338" s="8" t="s">
        <v>2135</v>
      </c>
    </row>
    <row r="339">
      <c r="A339" s="3">
        <v>459.0</v>
      </c>
      <c r="B339" s="3" t="s">
        <v>40</v>
      </c>
      <c r="C339" s="3" t="s">
        <v>1046</v>
      </c>
      <c r="D339" s="3">
        <v>2011.0</v>
      </c>
      <c r="E339" s="3" t="s">
        <v>1047</v>
      </c>
      <c r="F339" s="3" t="s">
        <v>444</v>
      </c>
      <c r="G339" s="3" t="s">
        <v>2428</v>
      </c>
      <c r="H339" s="3" t="s">
        <v>44</v>
      </c>
      <c r="I339" s="3" t="s">
        <v>2147</v>
      </c>
      <c r="J339" s="3" t="s">
        <v>45</v>
      </c>
      <c r="L339" s="3" t="s">
        <v>2157</v>
      </c>
      <c r="M339" s="3" t="s">
        <v>485</v>
      </c>
      <c r="S339" s="9"/>
      <c r="U339" s="3"/>
      <c r="V339" s="3"/>
      <c r="AC339" s="3" t="s">
        <v>87</v>
      </c>
      <c r="AL339" s="9" t="str">
        <f t="array" ref="AL339">"[" &amp; TEXTJOIN(", ", TRUE, IF(LEN(AM339:AQ339), CHAR(34)&amp;AM339:AQ339&amp;CHAR(34), )) &amp; "]"
</f>
        <v>["Human intrusions &amp; disturbance"]</v>
      </c>
      <c r="AM339" s="3" t="s">
        <v>121</v>
      </c>
      <c r="AN339" s="3"/>
      <c r="AO339" s="3"/>
      <c r="AP339" s="3"/>
      <c r="AQ339" s="3"/>
      <c r="AR339" s="3" t="s">
        <v>121</v>
      </c>
      <c r="AW339" s="8" t="s">
        <v>2432</v>
      </c>
    </row>
    <row r="340" hidden="1">
      <c r="A340" s="3">
        <v>751.0</v>
      </c>
      <c r="B340" s="3" t="s">
        <v>106</v>
      </c>
      <c r="D340" s="3">
        <v>1988.0</v>
      </c>
      <c r="E340" s="3" t="s">
        <v>1617</v>
      </c>
      <c r="F340" s="3" t="s">
        <v>526</v>
      </c>
      <c r="G340" s="3"/>
      <c r="H340" s="3" t="s">
        <v>58</v>
      </c>
      <c r="I340" s="3"/>
      <c r="K340" s="3"/>
      <c r="L340" s="3"/>
      <c r="M340" s="3" t="s">
        <v>110</v>
      </c>
      <c r="S340" s="3"/>
      <c r="T340" s="3"/>
      <c r="U340" s="3"/>
      <c r="V340" s="3"/>
      <c r="W340" s="3"/>
      <c r="X340" s="3"/>
      <c r="AC340" s="3" t="s">
        <v>62</v>
      </c>
      <c r="AF340" s="3" t="s">
        <v>125</v>
      </c>
      <c r="AL340" s="3"/>
      <c r="AM340" s="3"/>
      <c r="AN340" s="3"/>
      <c r="AO340" s="3"/>
      <c r="AP340" s="3"/>
      <c r="AQ340" s="3"/>
      <c r="AR340" s="3" t="s">
        <v>64</v>
      </c>
      <c r="AS340" s="3" t="s">
        <v>121</v>
      </c>
      <c r="AW340" s="8" t="s">
        <v>2135</v>
      </c>
    </row>
    <row r="341" hidden="1">
      <c r="A341" s="3">
        <v>918.0</v>
      </c>
      <c r="B341" s="3" t="s">
        <v>106</v>
      </c>
      <c r="C341" s="3" t="s">
        <v>1938</v>
      </c>
      <c r="D341" s="3">
        <v>1993.0</v>
      </c>
      <c r="E341" s="3" t="s">
        <v>1939</v>
      </c>
      <c r="F341" s="3" t="s">
        <v>526</v>
      </c>
      <c r="G341" s="3"/>
      <c r="H341" s="3" t="s">
        <v>58</v>
      </c>
      <c r="I341" s="3"/>
      <c r="K341" s="3"/>
      <c r="L341" s="3"/>
      <c r="M341" s="3" t="s">
        <v>110</v>
      </c>
      <c r="S341" s="3"/>
      <c r="T341" s="3"/>
      <c r="U341" s="3"/>
      <c r="V341" s="3"/>
      <c r="W341" s="3"/>
      <c r="X341" s="3"/>
      <c r="Y341" s="3"/>
      <c r="Z341" s="3"/>
      <c r="AC341" s="3" t="s">
        <v>567</v>
      </c>
      <c r="AF341" s="3" t="s">
        <v>61</v>
      </c>
      <c r="AH341" s="3" t="s">
        <v>111</v>
      </c>
      <c r="AL341" s="3"/>
      <c r="AM341" s="3"/>
      <c r="AN341" s="3"/>
      <c r="AO341" s="3"/>
      <c r="AP341" s="3"/>
      <c r="AQ341" s="3"/>
      <c r="AR341" s="3" t="s">
        <v>71</v>
      </c>
      <c r="AS341" s="3" t="s">
        <v>52</v>
      </c>
      <c r="AT341" s="3" t="s">
        <v>51</v>
      </c>
    </row>
    <row r="342" hidden="1">
      <c r="A342" s="3">
        <v>1001.0</v>
      </c>
      <c r="B342" s="3" t="s">
        <v>55</v>
      </c>
      <c r="D342" s="3">
        <v>1999.0</v>
      </c>
      <c r="E342" s="3" t="s">
        <v>2107</v>
      </c>
      <c r="F342" s="3" t="s">
        <v>526</v>
      </c>
      <c r="G342" s="3"/>
      <c r="H342" s="3" t="s">
        <v>58</v>
      </c>
      <c r="I342" s="3"/>
      <c r="J342" s="3" t="s">
        <v>58</v>
      </c>
      <c r="K342" s="3"/>
      <c r="L342" s="3"/>
      <c r="M342" s="3" t="s">
        <v>285</v>
      </c>
      <c r="S342" s="3"/>
      <c r="T342" s="3"/>
      <c r="U342" s="3"/>
      <c r="V342" s="3"/>
      <c r="AC342" s="3" t="s">
        <v>63</v>
      </c>
      <c r="AL342" s="3"/>
      <c r="AM342" s="3"/>
      <c r="AN342" s="3"/>
      <c r="AO342" s="3"/>
      <c r="AP342" s="3"/>
      <c r="AQ342" s="3"/>
      <c r="AR342" s="3" t="s">
        <v>65</v>
      </c>
    </row>
    <row r="343" hidden="1">
      <c r="A343" s="3">
        <v>1002.0</v>
      </c>
      <c r="B343" s="3" t="s">
        <v>55</v>
      </c>
      <c r="D343" s="3">
        <v>2004.0</v>
      </c>
      <c r="E343" s="3" t="s">
        <v>2108</v>
      </c>
      <c r="F343" s="3" t="s">
        <v>526</v>
      </c>
      <c r="G343" s="3"/>
      <c r="H343" s="3" t="s">
        <v>58</v>
      </c>
      <c r="I343" s="3"/>
      <c r="J343" s="3" t="s">
        <v>58</v>
      </c>
      <c r="K343" s="3"/>
      <c r="L343" s="3"/>
      <c r="M343" s="3" t="s">
        <v>285</v>
      </c>
      <c r="S343" s="3"/>
      <c r="T343" s="3"/>
      <c r="U343" s="3"/>
      <c r="V343" s="3"/>
      <c r="AC343" s="3" t="s">
        <v>63</v>
      </c>
      <c r="AL343" s="3"/>
      <c r="AM343" s="3"/>
      <c r="AN343" s="3"/>
      <c r="AO343" s="3"/>
      <c r="AP343" s="3"/>
      <c r="AQ343" s="3"/>
      <c r="AR343" s="3" t="s">
        <v>65</v>
      </c>
    </row>
    <row r="344" hidden="1">
      <c r="A344" s="3">
        <v>371.0</v>
      </c>
      <c r="B344" s="3" t="s">
        <v>106</v>
      </c>
      <c r="D344" s="3">
        <v>2003.0</v>
      </c>
      <c r="E344" s="3" t="s">
        <v>910</v>
      </c>
      <c r="F344" s="3" t="s">
        <v>911</v>
      </c>
      <c r="G344" s="3"/>
      <c r="H344" s="3" t="s">
        <v>91</v>
      </c>
      <c r="I344" s="3"/>
      <c r="K344" s="3"/>
      <c r="L344" s="3"/>
      <c r="M344" s="3" t="s">
        <v>92</v>
      </c>
      <c r="N344" s="3" t="s">
        <v>173</v>
      </c>
      <c r="S344" s="3"/>
      <c r="T344" s="3"/>
      <c r="U344" s="3"/>
      <c r="V344" s="3"/>
      <c r="AC344" s="3" t="s">
        <v>61</v>
      </c>
      <c r="AD344" s="3" t="s">
        <v>247</v>
      </c>
      <c r="AL344" s="3"/>
      <c r="AM344" s="3"/>
      <c r="AN344" s="3"/>
      <c r="AO344" s="3"/>
      <c r="AP344" s="3"/>
      <c r="AQ344" s="3"/>
      <c r="AR344" s="3" t="s">
        <v>52</v>
      </c>
      <c r="AW344" s="8" t="s">
        <v>2135</v>
      </c>
    </row>
    <row r="345">
      <c r="A345" s="3">
        <v>516.0</v>
      </c>
      <c r="B345" s="3" t="s">
        <v>40</v>
      </c>
      <c r="C345" s="3" t="s">
        <v>1155</v>
      </c>
      <c r="D345" s="3">
        <v>2005.0</v>
      </c>
      <c r="E345" s="3" t="s">
        <v>1156</v>
      </c>
      <c r="F345" s="3" t="s">
        <v>444</v>
      </c>
      <c r="G345" s="3" t="s">
        <v>2428</v>
      </c>
      <c r="H345" s="3" t="s">
        <v>44</v>
      </c>
      <c r="I345" s="3" t="s">
        <v>2147</v>
      </c>
      <c r="J345" s="3" t="s">
        <v>45</v>
      </c>
      <c r="L345" s="3" t="s">
        <v>2433</v>
      </c>
      <c r="M345" s="3" t="s">
        <v>180</v>
      </c>
      <c r="S345" s="9" t="str">
        <f t="array" ref="S345">"[" &amp; TEXTJOIN(", ", TRUE, IF(LEN(T345:AB345), CHAR(34)&amp;T345:AB345&amp;CHAR(34), )) &amp; "]"
</f>
        <v>["Problematic native species/diseases"]</v>
      </c>
      <c r="T345" s="3" t="s">
        <v>244</v>
      </c>
      <c r="U345" s="3"/>
      <c r="V345" s="3"/>
      <c r="AC345" s="3" t="s">
        <v>244</v>
      </c>
      <c r="AL345" s="9" t="str">
        <f t="array" ref="AL345">"[" &amp; TEXTJOIN(", ", TRUE, IF(LEN(AM345:AQ345), CHAR(34)&amp;AM345:AQ345&amp;CHAR(34), )) &amp; "]"
</f>
        <v>["Invasive &amp; other problematic species, genes &amp; diseases"]</v>
      </c>
      <c r="AM345" s="3" t="s">
        <v>54</v>
      </c>
      <c r="AN345" s="3"/>
      <c r="AO345" s="3"/>
      <c r="AP345" s="3"/>
      <c r="AQ345" s="3"/>
      <c r="AR345" s="3" t="s">
        <v>54</v>
      </c>
      <c r="AW345" s="8" t="s">
        <v>2434</v>
      </c>
    </row>
    <row r="346">
      <c r="A346" s="3">
        <v>859.0</v>
      </c>
      <c r="B346" s="3" t="s">
        <v>40</v>
      </c>
      <c r="C346" s="3" t="s">
        <v>1832</v>
      </c>
      <c r="D346" s="3">
        <v>2013.0</v>
      </c>
      <c r="E346" s="3" t="s">
        <v>1833</v>
      </c>
      <c r="F346" s="3" t="s">
        <v>444</v>
      </c>
      <c r="G346" s="3" t="s">
        <v>2428</v>
      </c>
      <c r="H346" s="3" t="s">
        <v>44</v>
      </c>
      <c r="I346" s="3" t="s">
        <v>2147</v>
      </c>
      <c r="J346" s="3" t="s">
        <v>45</v>
      </c>
      <c r="L346" s="3" t="s">
        <v>2157</v>
      </c>
      <c r="M346" s="3" t="s">
        <v>485</v>
      </c>
      <c r="S346" s="9" t="str">
        <f t="array" ref="S346">"[" &amp; TEXTJOIN(", ", TRUE, IF(LEN(T346:AB346), CHAR(34)&amp;T346:AB346&amp;CHAR(34), )) &amp; "]"
</f>
        <v>["Industrial &amp; military effluents"]</v>
      </c>
      <c r="T346" s="3" t="s">
        <v>147</v>
      </c>
      <c r="U346" s="3"/>
      <c r="V346" s="3"/>
      <c r="AC346" s="3" t="s">
        <v>147</v>
      </c>
      <c r="AL346" s="9" t="str">
        <f t="array" ref="AL346">"[" &amp; TEXTJOIN(", ", TRUE, IF(LEN(AM346:AQ346), CHAR(34)&amp;AM346:AQ346&amp;CHAR(34), )) &amp; "]"
</f>
        <v>["Pollution"]</v>
      </c>
      <c r="AM346" s="3" t="s">
        <v>64</v>
      </c>
      <c r="AN346" s="3"/>
      <c r="AO346" s="3"/>
      <c r="AP346" s="3"/>
      <c r="AQ346" s="3"/>
      <c r="AR346" s="3" t="s">
        <v>64</v>
      </c>
      <c r="AW346" s="8" t="s">
        <v>2435</v>
      </c>
    </row>
    <row r="347">
      <c r="A347" s="3">
        <v>853.0</v>
      </c>
      <c r="B347" s="3" t="s">
        <v>40</v>
      </c>
      <c r="C347" s="3" t="s">
        <v>1820</v>
      </c>
      <c r="D347" s="3">
        <v>2012.0</v>
      </c>
      <c r="E347" s="3" t="s">
        <v>1821</v>
      </c>
      <c r="F347" s="3" t="s">
        <v>427</v>
      </c>
      <c r="G347" s="3" t="s">
        <v>2436</v>
      </c>
      <c r="H347" s="3" t="s">
        <v>142</v>
      </c>
      <c r="J347" s="3" t="s">
        <v>142</v>
      </c>
      <c r="L347" s="3" t="s">
        <v>2143</v>
      </c>
      <c r="M347" s="3" t="s">
        <v>110</v>
      </c>
      <c r="S347" s="9" t="str">
        <f t="array" ref="S347">"[" &amp; TEXTJOIN(", ", TRUE, IF(LEN(T347:AB347), CHAR(34)&amp;T347:AB347&amp;CHAR(34), )) &amp; "]"
</f>
        <v>["Industrial &amp; military effluents"]</v>
      </c>
      <c r="T347" s="3" t="s">
        <v>147</v>
      </c>
      <c r="U347" s="3"/>
      <c r="V347" s="3"/>
      <c r="AC347" s="3" t="s">
        <v>147</v>
      </c>
      <c r="AL347" s="9" t="str">
        <f t="array" ref="AL347">"[" &amp; TEXTJOIN(", ", TRUE, IF(LEN(AM347:AQ347), CHAR(34)&amp;AM347:AQ347&amp;CHAR(34), )) &amp; "]"
</f>
        <v>["Pollution"]</v>
      </c>
      <c r="AM347" s="3" t="s">
        <v>64</v>
      </c>
      <c r="AN347" s="3"/>
      <c r="AO347" s="3"/>
      <c r="AP347" s="3"/>
      <c r="AQ347" s="3"/>
      <c r="AR347" s="3" t="s">
        <v>64</v>
      </c>
      <c r="AW347" s="8" t="s">
        <v>2437</v>
      </c>
    </row>
    <row r="348" hidden="1">
      <c r="A348" s="3">
        <v>889.0</v>
      </c>
      <c r="B348" s="3" t="s">
        <v>106</v>
      </c>
      <c r="D348" s="3">
        <v>1987.0</v>
      </c>
      <c r="E348" s="3" t="s">
        <v>1891</v>
      </c>
      <c r="F348" s="3" t="s">
        <v>504</v>
      </c>
      <c r="G348" s="3"/>
      <c r="H348" s="3" t="s">
        <v>58</v>
      </c>
      <c r="I348" s="3"/>
      <c r="K348" s="3"/>
      <c r="L348" s="3"/>
      <c r="M348" s="3" t="s">
        <v>110</v>
      </c>
      <c r="S348" s="3"/>
      <c r="T348" s="3"/>
      <c r="U348" s="3"/>
      <c r="V348" s="3"/>
      <c r="AC348" s="3" t="s">
        <v>125</v>
      </c>
      <c r="AL348" s="3"/>
      <c r="AM348" s="3"/>
      <c r="AN348" s="3"/>
      <c r="AO348" s="3"/>
      <c r="AP348" s="3"/>
      <c r="AQ348" s="3"/>
      <c r="AR348" s="3" t="s">
        <v>64</v>
      </c>
    </row>
    <row r="349" hidden="1">
      <c r="A349" s="3">
        <v>897.0</v>
      </c>
      <c r="B349" s="3" t="s">
        <v>106</v>
      </c>
      <c r="C349" s="3" t="s">
        <v>1903</v>
      </c>
      <c r="D349" s="3">
        <v>1991.0</v>
      </c>
      <c r="E349" s="3" t="s">
        <v>1904</v>
      </c>
      <c r="F349" s="3" t="s">
        <v>504</v>
      </c>
      <c r="G349" s="3"/>
      <c r="H349" s="3" t="s">
        <v>58</v>
      </c>
      <c r="I349" s="3"/>
      <c r="K349" s="3"/>
      <c r="L349" s="3"/>
      <c r="M349" s="3" t="s">
        <v>110</v>
      </c>
      <c r="S349" s="3"/>
      <c r="T349" s="3"/>
      <c r="U349" s="3"/>
      <c r="V349" s="3"/>
      <c r="AC349" s="3" t="s">
        <v>147</v>
      </c>
      <c r="AL349" s="3"/>
      <c r="AM349" s="3"/>
      <c r="AN349" s="3"/>
      <c r="AO349" s="3"/>
      <c r="AP349" s="3"/>
      <c r="AQ349" s="3"/>
      <c r="AR349" s="3" t="s">
        <v>64</v>
      </c>
    </row>
    <row r="350" hidden="1">
      <c r="A350" s="3">
        <v>982.0</v>
      </c>
      <c r="B350" s="3" t="s">
        <v>40</v>
      </c>
      <c r="C350" s="3" t="s">
        <v>2070</v>
      </c>
      <c r="D350" s="3">
        <v>2012.0</v>
      </c>
      <c r="E350" s="3" t="s">
        <v>2071</v>
      </c>
      <c r="F350" s="3" t="s">
        <v>504</v>
      </c>
      <c r="G350" s="3"/>
      <c r="H350" s="3" t="s">
        <v>58</v>
      </c>
      <c r="I350" s="3"/>
      <c r="J350" s="3" t="s">
        <v>58</v>
      </c>
      <c r="K350" s="3"/>
      <c r="L350" s="3"/>
      <c r="M350" s="3" t="s">
        <v>69</v>
      </c>
      <c r="S350" s="3"/>
      <c r="T350" s="3"/>
      <c r="U350" s="3"/>
      <c r="V350" s="3"/>
      <c r="AC350" s="3" t="s">
        <v>63</v>
      </c>
      <c r="AL350" s="3"/>
      <c r="AM350" s="3"/>
      <c r="AN350" s="3"/>
      <c r="AO350" s="3"/>
      <c r="AP350" s="3"/>
      <c r="AQ350" s="3"/>
      <c r="AR350" s="3" t="s">
        <v>65</v>
      </c>
    </row>
    <row r="351" hidden="1">
      <c r="A351" s="3">
        <v>14.0</v>
      </c>
      <c r="B351" s="3" t="s">
        <v>106</v>
      </c>
      <c r="D351" s="3">
        <v>2016.0</v>
      </c>
      <c r="E351" s="3" t="s">
        <v>122</v>
      </c>
      <c r="F351" s="3" t="s">
        <v>123</v>
      </c>
      <c r="G351" s="3"/>
      <c r="H351" s="3" t="s">
        <v>124</v>
      </c>
      <c r="I351" s="3"/>
      <c r="K351" s="3"/>
      <c r="L351" s="3"/>
      <c r="M351" s="3" t="s">
        <v>110</v>
      </c>
      <c r="S351" s="3"/>
      <c r="T351" s="3"/>
      <c r="U351" s="3"/>
      <c r="V351" s="3"/>
      <c r="W351" s="3"/>
      <c r="X351" s="3"/>
      <c r="AC351" s="3" t="s">
        <v>47</v>
      </c>
      <c r="AF351" s="3" t="s">
        <v>125</v>
      </c>
      <c r="AL351" s="3"/>
      <c r="AM351" s="3"/>
      <c r="AN351" s="3"/>
      <c r="AO351" s="3"/>
      <c r="AP351" s="3"/>
      <c r="AQ351" s="3"/>
      <c r="AR351" s="3" t="s">
        <v>51</v>
      </c>
      <c r="AS351" s="3" t="s">
        <v>121</v>
      </c>
      <c r="AW351" s="8" t="s">
        <v>2135</v>
      </c>
    </row>
    <row r="352">
      <c r="A352" s="3">
        <v>354.0</v>
      </c>
      <c r="B352" s="3" t="s">
        <v>40</v>
      </c>
      <c r="C352" s="3" t="s">
        <v>878</v>
      </c>
      <c r="D352" s="3">
        <v>2019.0</v>
      </c>
      <c r="E352" s="3" t="s">
        <v>879</v>
      </c>
      <c r="F352" s="3" t="s">
        <v>880</v>
      </c>
      <c r="G352" s="3" t="s">
        <v>2438</v>
      </c>
      <c r="H352" s="3" t="s">
        <v>101</v>
      </c>
      <c r="I352" s="3" t="s">
        <v>2283</v>
      </c>
      <c r="J352" s="3" t="s">
        <v>102</v>
      </c>
      <c r="L352" s="3" t="s">
        <v>2291</v>
      </c>
      <c r="M352" s="3" t="s">
        <v>768</v>
      </c>
      <c r="S352" s="9" t="str">
        <f t="array" ref="S352">"[" &amp; TEXTJOIN(", ", TRUE, IF(LEN(T352:AB352), CHAR(34)&amp;T352:AB352&amp;CHAR(34), )) &amp; "]"
</f>
        <v>["Hunting &amp; Collecting Terrestrial Animals"]</v>
      </c>
      <c r="T352" s="3" t="s">
        <v>2138</v>
      </c>
      <c r="U352" s="3"/>
      <c r="V352" s="3"/>
      <c r="AC352" s="3" t="s">
        <v>61</v>
      </c>
      <c r="AL352" s="9" t="str">
        <f t="array" ref="AL352">"[" &amp; TEXTJOIN(", ", TRUE, IF(LEN(AM352:AQ352), CHAR(34)&amp;AM352:AQ352&amp;CHAR(34), )) &amp; "]"
</f>
        <v>["Biological resource use"]</v>
      </c>
      <c r="AM352" s="3" t="s">
        <v>52</v>
      </c>
      <c r="AN352" s="3"/>
      <c r="AO352" s="3"/>
      <c r="AP352" s="3"/>
      <c r="AQ352" s="3"/>
      <c r="AR352" s="3" t="s">
        <v>52</v>
      </c>
      <c r="AW352" s="8" t="s">
        <v>2439</v>
      </c>
    </row>
    <row r="353">
      <c r="A353" s="3">
        <v>771.0</v>
      </c>
      <c r="B353" s="3" t="s">
        <v>40</v>
      </c>
      <c r="C353" s="3" t="s">
        <v>1656</v>
      </c>
      <c r="D353" s="3">
        <v>2010.0</v>
      </c>
      <c r="E353" s="3" t="s">
        <v>1657</v>
      </c>
      <c r="F353" s="3" t="s">
        <v>213</v>
      </c>
      <c r="G353" s="3" t="s">
        <v>2440</v>
      </c>
      <c r="H353" s="3" t="s">
        <v>58</v>
      </c>
      <c r="I353" s="3" t="s">
        <v>2142</v>
      </c>
      <c r="J353" s="3" t="s">
        <v>58</v>
      </c>
      <c r="L353" s="3" t="s">
        <v>2143</v>
      </c>
      <c r="M353" s="3" t="s">
        <v>110</v>
      </c>
      <c r="S353" s="9" t="str">
        <f t="array" ref="S353">"[" &amp; TEXTJOIN(", ", TRUE, IF(LEN(T353:AB353), CHAR(34)&amp;T353:AB353&amp;CHAR(34), )) &amp; "]"
</f>
        <v>["Roads &amp; railroads", "Marine &amp; freshwater aquaculture"]</v>
      </c>
      <c r="U353" s="3"/>
      <c r="V353" s="3"/>
      <c r="W353" s="3" t="s">
        <v>63</v>
      </c>
      <c r="Y353" s="3" t="s">
        <v>111</v>
      </c>
      <c r="AC353" s="3" t="s">
        <v>87</v>
      </c>
      <c r="AF353" s="3" t="s">
        <v>63</v>
      </c>
      <c r="AH353" s="3" t="s">
        <v>111</v>
      </c>
      <c r="AL353" s="9" t="str">
        <f t="array" ref="AL353">"[" &amp; TEXTJOIN(", ", TRUE, IF(LEN(AM353:AQ353), CHAR(34)&amp;AM353:AQ353&amp;CHAR(34), )) &amp; "]"
</f>
        <v>["Pollution", "Transportation &amp; service corridors", "Agriculture &amp; aquaculture"]</v>
      </c>
      <c r="AM353" s="3" t="s">
        <v>64</v>
      </c>
      <c r="AN353" s="3" t="s">
        <v>65</v>
      </c>
      <c r="AO353" s="3" t="s">
        <v>51</v>
      </c>
      <c r="AP353" s="3"/>
      <c r="AQ353" s="3"/>
      <c r="AR353" s="3" t="s">
        <v>64</v>
      </c>
      <c r="AS353" s="3" t="s">
        <v>65</v>
      </c>
      <c r="AT353" s="3" t="s">
        <v>51</v>
      </c>
      <c r="AW353" s="8" t="s">
        <v>2441</v>
      </c>
    </row>
    <row r="354">
      <c r="A354" s="3">
        <v>214.0</v>
      </c>
      <c r="B354" s="3" t="s">
        <v>40</v>
      </c>
      <c r="C354" s="3" t="s">
        <v>595</v>
      </c>
      <c r="D354" s="3">
        <v>2018.0</v>
      </c>
      <c r="E354" s="3" t="s">
        <v>596</v>
      </c>
      <c r="F354" s="3" t="s">
        <v>213</v>
      </c>
      <c r="G354" s="3" t="s">
        <v>2440</v>
      </c>
      <c r="H354" s="3" t="s">
        <v>58</v>
      </c>
      <c r="I354" s="3" t="s">
        <v>2142</v>
      </c>
      <c r="J354" s="3" t="s">
        <v>58</v>
      </c>
      <c r="L354" s="3" t="s">
        <v>2311</v>
      </c>
      <c r="M354" s="3" t="s">
        <v>69</v>
      </c>
      <c r="S354" s="9" t="str">
        <f t="array" ref="S354">"[" &amp; TEXTJOIN(", ", TRUE, IF(LEN(T354:AB354), CHAR(34)&amp;T354:AB354&amp;CHAR(34), )) &amp; "]"
</f>
        <v>["Hunting &amp; Collecting Terrestrial Animals", "Roads &amp; railroads", "Agricultural &amp; forestry effluents"]</v>
      </c>
      <c r="T354" s="3" t="s">
        <v>2138</v>
      </c>
      <c r="U354" s="3"/>
      <c r="V354" s="3"/>
      <c r="W354" s="3" t="s">
        <v>63</v>
      </c>
      <c r="Y354" s="3" t="s">
        <v>62</v>
      </c>
      <c r="AC354" s="3" t="s">
        <v>61</v>
      </c>
      <c r="AF354" s="3" t="s">
        <v>63</v>
      </c>
      <c r="AH354" s="3" t="s">
        <v>62</v>
      </c>
      <c r="AL354" s="9" t="str">
        <f t="array" ref="AL354">"[" &amp; TEXTJOIN(", ", TRUE, IF(LEN(AM354:AQ354), CHAR(34)&amp;AM354:AQ354&amp;CHAR(34), )) &amp; "]"
</f>
        <v>["Biological resource use", "Transportation &amp; service corridors", "Pollution", "Human intrusions &amp; disturbance"]</v>
      </c>
      <c r="AM354" s="3" t="s">
        <v>52</v>
      </c>
      <c r="AN354" s="3" t="s">
        <v>65</v>
      </c>
      <c r="AO354" s="3" t="s">
        <v>64</v>
      </c>
      <c r="AP354" s="3" t="s">
        <v>121</v>
      </c>
      <c r="AQ354" s="3"/>
      <c r="AR354" s="3" t="s">
        <v>52</v>
      </c>
      <c r="AS354" s="3" t="s">
        <v>65</v>
      </c>
      <c r="AT354" s="3" t="s">
        <v>64</v>
      </c>
      <c r="AU354" s="3" t="s">
        <v>121</v>
      </c>
      <c r="AW354" s="8" t="s">
        <v>2442</v>
      </c>
    </row>
    <row r="355" hidden="1">
      <c r="A355" s="3">
        <v>93.0</v>
      </c>
      <c r="B355" s="3" t="s">
        <v>106</v>
      </c>
      <c r="D355" s="3">
        <v>2017.0</v>
      </c>
      <c r="E355" s="3" t="s">
        <v>353</v>
      </c>
      <c r="F355" s="3" t="s">
        <v>123</v>
      </c>
      <c r="G355" s="3"/>
      <c r="H355" s="3" t="s">
        <v>124</v>
      </c>
      <c r="I355" s="3"/>
      <c r="K355" s="3"/>
      <c r="L355" s="3"/>
      <c r="M355" s="3" t="s">
        <v>155</v>
      </c>
      <c r="S355" s="3"/>
      <c r="T355" s="3"/>
      <c r="U355" s="3"/>
      <c r="V355" s="3"/>
      <c r="W355" s="3"/>
      <c r="X355" s="3"/>
      <c r="Y355" s="3"/>
      <c r="Z355" s="3"/>
      <c r="AC355" s="3" t="s">
        <v>267</v>
      </c>
      <c r="AF355" s="3" t="s">
        <v>238</v>
      </c>
      <c r="AH355" s="3" t="s">
        <v>125</v>
      </c>
      <c r="AL355" s="3"/>
      <c r="AM355" s="3"/>
      <c r="AN355" s="3"/>
      <c r="AO355" s="3"/>
      <c r="AP355" s="3"/>
      <c r="AQ355" s="3"/>
      <c r="AR355" s="3" t="s">
        <v>52</v>
      </c>
      <c r="AS355" s="3" t="s">
        <v>235</v>
      </c>
      <c r="AT355" s="3" t="s">
        <v>64</v>
      </c>
      <c r="AW355" s="8" t="s">
        <v>2135</v>
      </c>
    </row>
    <row r="356" hidden="1">
      <c r="A356" s="3">
        <v>97.0</v>
      </c>
      <c r="B356" s="3" t="s">
        <v>106</v>
      </c>
      <c r="D356" s="3">
        <v>2019.0</v>
      </c>
      <c r="E356" s="3" t="s">
        <v>362</v>
      </c>
      <c r="F356" s="3" t="s">
        <v>123</v>
      </c>
      <c r="G356" s="3"/>
      <c r="H356" s="3" t="s">
        <v>124</v>
      </c>
      <c r="I356" s="3"/>
      <c r="K356" s="3"/>
      <c r="L356" s="3"/>
      <c r="M356" s="3" t="s">
        <v>155</v>
      </c>
      <c r="S356" s="3"/>
      <c r="T356" s="3"/>
      <c r="U356" s="3"/>
      <c r="V356" s="3"/>
      <c r="W356" s="3"/>
      <c r="X356" s="3"/>
      <c r="AC356" s="3" t="s">
        <v>61</v>
      </c>
      <c r="AF356" s="3" t="s">
        <v>238</v>
      </c>
      <c r="AL356" s="3"/>
      <c r="AM356" s="3"/>
      <c r="AN356" s="3"/>
      <c r="AO356" s="3"/>
      <c r="AP356" s="3"/>
      <c r="AQ356" s="3"/>
      <c r="AR356" s="3" t="s">
        <v>52</v>
      </c>
      <c r="AS356" s="3" t="s">
        <v>235</v>
      </c>
      <c r="AW356" s="8" t="s">
        <v>2135</v>
      </c>
    </row>
    <row r="357">
      <c r="A357" s="3">
        <v>99.0</v>
      </c>
      <c r="B357" s="3" t="s">
        <v>40</v>
      </c>
      <c r="C357" s="3" t="s">
        <v>365</v>
      </c>
      <c r="D357" s="3">
        <v>1987.0</v>
      </c>
      <c r="E357" s="3" t="s">
        <v>366</v>
      </c>
      <c r="F357" s="3" t="s">
        <v>213</v>
      </c>
      <c r="G357" s="3" t="s">
        <v>2440</v>
      </c>
      <c r="H357" s="3" t="s">
        <v>58</v>
      </c>
      <c r="I357" s="3" t="s">
        <v>2142</v>
      </c>
      <c r="J357" s="3" t="s">
        <v>58</v>
      </c>
      <c r="L357" s="3" t="s">
        <v>2311</v>
      </c>
      <c r="M357" s="3" t="s">
        <v>69</v>
      </c>
      <c r="S357" s="9" t="str">
        <f t="array" ref="S357">"[" &amp; TEXTJOIN(", ", TRUE, IF(LEN(T357:AB357), CHAR(34)&amp;T357:AB357&amp;CHAR(34), )) &amp; "]"
</f>
        <v>["Logging &amp; Wood Harvesting", "Work &amp; other activities", "Recreational activities"]</v>
      </c>
      <c r="T357" s="3" t="s">
        <v>2139</v>
      </c>
      <c r="U357" s="3"/>
      <c r="V357" s="3"/>
      <c r="W357" s="3" t="s">
        <v>260</v>
      </c>
      <c r="X357" s="3" t="s">
        <v>162</v>
      </c>
      <c r="AC357" s="3" t="s">
        <v>48</v>
      </c>
      <c r="AF357" s="3" t="s">
        <v>260</v>
      </c>
      <c r="AG357" s="3" t="s">
        <v>162</v>
      </c>
      <c r="AL357" s="9" t="str">
        <f t="array" ref="AL357">"[" &amp; TEXTJOIN(", ", TRUE, IF(LEN(AM357:AQ357), CHAR(34)&amp;AM357:AQ357&amp;CHAR(34), )) &amp; "]"
</f>
        <v>["Biological resource use", "Human intrusions &amp; disturbance"]</v>
      </c>
      <c r="AM357" s="3" t="s">
        <v>52</v>
      </c>
      <c r="AN357" s="3" t="s">
        <v>121</v>
      </c>
      <c r="AP357" s="3"/>
      <c r="AQ357" s="3"/>
      <c r="AR357" s="3" t="s">
        <v>52</v>
      </c>
      <c r="AS357" s="3" t="s">
        <v>121</v>
      </c>
      <c r="AT357" s="3" t="s">
        <v>78</v>
      </c>
      <c r="AW357" s="8" t="s">
        <v>2443</v>
      </c>
    </row>
    <row r="358" hidden="1">
      <c r="A358" s="3">
        <v>128.0</v>
      </c>
      <c r="B358" s="3" t="s">
        <v>106</v>
      </c>
      <c r="D358" s="3">
        <v>2016.0</v>
      </c>
      <c r="E358" s="3" t="s">
        <v>425</v>
      </c>
      <c r="F358" s="3" t="s">
        <v>123</v>
      </c>
      <c r="G358" s="3"/>
      <c r="H358" s="3" t="s">
        <v>124</v>
      </c>
      <c r="I358" s="3"/>
      <c r="K358" s="3"/>
      <c r="L358" s="3"/>
      <c r="M358" s="3" t="s">
        <v>266</v>
      </c>
      <c r="S358" s="3"/>
      <c r="T358" s="3"/>
      <c r="U358" s="3"/>
      <c r="V358" s="3"/>
      <c r="W358" s="3"/>
      <c r="X358" s="3"/>
      <c r="Y358" s="3"/>
      <c r="Z358" s="3"/>
      <c r="AC358" s="3" t="s">
        <v>247</v>
      </c>
      <c r="AD358" s="3" t="s">
        <v>267</v>
      </c>
      <c r="AF358" s="3" t="s">
        <v>49</v>
      </c>
      <c r="AH358" s="3" t="s">
        <v>125</v>
      </c>
      <c r="AL358" s="3"/>
      <c r="AM358" s="3"/>
      <c r="AN358" s="3"/>
      <c r="AO358" s="3"/>
      <c r="AP358" s="3"/>
      <c r="AQ358" s="3"/>
      <c r="AR358" s="3" t="s">
        <v>52</v>
      </c>
      <c r="AS358" s="3" t="s">
        <v>53</v>
      </c>
      <c r="AT358" s="3" t="s">
        <v>64</v>
      </c>
      <c r="AW358" s="8" t="s">
        <v>2135</v>
      </c>
    </row>
    <row r="359" hidden="1">
      <c r="A359" s="3">
        <v>155.0</v>
      </c>
      <c r="B359" s="3" t="s">
        <v>106</v>
      </c>
      <c r="D359" s="3">
        <v>2018.0</v>
      </c>
      <c r="E359" s="3" t="s">
        <v>479</v>
      </c>
      <c r="F359" s="3" t="s">
        <v>123</v>
      </c>
      <c r="G359" s="3"/>
      <c r="H359" s="3" t="s">
        <v>124</v>
      </c>
      <c r="I359" s="3"/>
      <c r="K359" s="3"/>
      <c r="L359" s="3"/>
      <c r="M359" s="3" t="s">
        <v>155</v>
      </c>
      <c r="S359" s="3"/>
      <c r="T359" s="3"/>
      <c r="U359" s="3"/>
      <c r="V359" s="3"/>
      <c r="W359" s="3"/>
      <c r="X359" s="3"/>
      <c r="Y359" s="3"/>
      <c r="Z359" s="3"/>
      <c r="AC359" s="3" t="s">
        <v>247</v>
      </c>
      <c r="AD359" s="3" t="s">
        <v>61</v>
      </c>
      <c r="AF359" s="3" t="s">
        <v>125</v>
      </c>
      <c r="AH359" s="3" t="s">
        <v>238</v>
      </c>
      <c r="AL359" s="3"/>
      <c r="AM359" s="3"/>
      <c r="AN359" s="3"/>
      <c r="AO359" s="3"/>
      <c r="AP359" s="3"/>
      <c r="AQ359" s="3"/>
      <c r="AR359" s="3" t="s">
        <v>52</v>
      </c>
      <c r="AS359" s="3" t="s">
        <v>64</v>
      </c>
      <c r="AT359" s="3" t="s">
        <v>235</v>
      </c>
      <c r="AW359" s="8" t="s">
        <v>2135</v>
      </c>
    </row>
    <row r="360" hidden="1">
      <c r="A360" s="3">
        <v>389.0</v>
      </c>
      <c r="B360" s="3" t="s">
        <v>55</v>
      </c>
      <c r="D360" s="3">
        <v>1991.0</v>
      </c>
      <c r="E360" s="3" t="s">
        <v>938</v>
      </c>
      <c r="F360" s="3" t="s">
        <v>123</v>
      </c>
      <c r="G360" s="3"/>
      <c r="H360" s="3" t="s">
        <v>124</v>
      </c>
      <c r="I360" s="3"/>
      <c r="J360" s="3" t="s">
        <v>124</v>
      </c>
      <c r="K360" s="3"/>
      <c r="L360" s="3"/>
      <c r="M360" s="3" t="s">
        <v>285</v>
      </c>
      <c r="N360" s="3" t="s">
        <v>110</v>
      </c>
      <c r="S360" s="3"/>
      <c r="T360" s="3"/>
      <c r="U360" s="3"/>
      <c r="V360" s="3"/>
      <c r="AC360" s="3" t="s">
        <v>61</v>
      </c>
      <c r="AL360" s="3"/>
      <c r="AM360" s="3"/>
      <c r="AN360" s="3"/>
      <c r="AO360" s="3"/>
      <c r="AP360" s="3"/>
      <c r="AQ360" s="3"/>
      <c r="AR360" s="3" t="s">
        <v>52</v>
      </c>
      <c r="AW360" s="8" t="s">
        <v>2135</v>
      </c>
    </row>
    <row r="361" hidden="1">
      <c r="A361" s="3">
        <v>397.0</v>
      </c>
      <c r="B361" s="3" t="s">
        <v>55</v>
      </c>
      <c r="D361" s="3">
        <v>2008.0</v>
      </c>
      <c r="E361" s="3" t="s">
        <v>946</v>
      </c>
      <c r="F361" s="3" t="s">
        <v>123</v>
      </c>
      <c r="G361" s="3"/>
      <c r="H361" s="3" t="s">
        <v>124</v>
      </c>
      <c r="I361" s="3"/>
      <c r="J361" s="3" t="s">
        <v>124</v>
      </c>
      <c r="K361" s="3"/>
      <c r="L361" s="3"/>
      <c r="M361" s="3" t="s">
        <v>103</v>
      </c>
      <c r="N361" s="3" t="s">
        <v>768</v>
      </c>
      <c r="O361" s="3" t="s">
        <v>205</v>
      </c>
      <c r="P361" s="3" t="s">
        <v>155</v>
      </c>
      <c r="Q361" s="3" t="s">
        <v>110</v>
      </c>
      <c r="S361" s="3"/>
      <c r="T361" s="3"/>
      <c r="U361" s="3"/>
      <c r="V361" s="3"/>
      <c r="AC361" s="3" t="s">
        <v>61</v>
      </c>
      <c r="AL361" s="3"/>
      <c r="AM361" s="3"/>
      <c r="AN361" s="3"/>
      <c r="AO361" s="3"/>
      <c r="AP361" s="3"/>
      <c r="AQ361" s="3"/>
      <c r="AR361" s="3" t="s">
        <v>52</v>
      </c>
      <c r="AW361" s="8" t="s">
        <v>2135</v>
      </c>
    </row>
    <row r="362" hidden="1">
      <c r="A362" s="3">
        <v>403.0</v>
      </c>
      <c r="B362" s="3" t="s">
        <v>55</v>
      </c>
      <c r="D362" s="3">
        <v>2013.0</v>
      </c>
      <c r="E362" s="3" t="s">
        <v>953</v>
      </c>
      <c r="F362" s="3" t="s">
        <v>123</v>
      </c>
      <c r="G362" s="3"/>
      <c r="H362" s="3" t="s">
        <v>124</v>
      </c>
      <c r="I362" s="3"/>
      <c r="J362" s="3" t="s">
        <v>124</v>
      </c>
      <c r="K362" s="3"/>
      <c r="L362" s="3"/>
      <c r="M362" s="3" t="s">
        <v>103</v>
      </c>
      <c r="N362" s="3" t="s">
        <v>205</v>
      </c>
      <c r="S362" s="3"/>
      <c r="T362" s="3"/>
      <c r="U362" s="3"/>
      <c r="V362" s="3"/>
      <c r="AC362" s="3" t="s">
        <v>48</v>
      </c>
      <c r="AD362" s="3" t="s">
        <v>61</v>
      </c>
      <c r="AL362" s="3"/>
      <c r="AM362" s="3"/>
      <c r="AN362" s="3"/>
      <c r="AO362" s="3"/>
      <c r="AP362" s="3"/>
      <c r="AQ362" s="3"/>
      <c r="AR362" s="3" t="s">
        <v>52</v>
      </c>
      <c r="AW362" s="8" t="s">
        <v>2135</v>
      </c>
    </row>
    <row r="363" hidden="1">
      <c r="A363" s="3">
        <v>407.0</v>
      </c>
      <c r="B363" s="3" t="s">
        <v>106</v>
      </c>
      <c r="D363" s="3">
        <v>2015.0</v>
      </c>
      <c r="E363" s="3" t="s">
        <v>958</v>
      </c>
      <c r="F363" s="3" t="s">
        <v>123</v>
      </c>
      <c r="G363" s="3"/>
      <c r="H363" s="3" t="s">
        <v>124</v>
      </c>
      <c r="I363" s="3"/>
      <c r="J363" s="3" t="s">
        <v>124</v>
      </c>
      <c r="K363" s="3"/>
      <c r="L363" s="3"/>
      <c r="M363" s="3" t="s">
        <v>155</v>
      </c>
      <c r="S363" s="3"/>
      <c r="T363" s="3"/>
      <c r="U363" s="3"/>
      <c r="V363" s="3"/>
      <c r="AC363" s="3" t="s">
        <v>61</v>
      </c>
      <c r="AL363" s="3"/>
      <c r="AM363" s="3"/>
      <c r="AN363" s="3"/>
      <c r="AO363" s="3"/>
      <c r="AP363" s="3"/>
      <c r="AQ363" s="3"/>
      <c r="AR363" s="3" t="s">
        <v>52</v>
      </c>
      <c r="AW363" s="8" t="s">
        <v>2135</v>
      </c>
    </row>
    <row r="364" hidden="1">
      <c r="A364" s="3">
        <v>411.0</v>
      </c>
      <c r="B364" s="3" t="s">
        <v>106</v>
      </c>
      <c r="D364" s="3">
        <v>2017.0</v>
      </c>
      <c r="E364" s="3" t="s">
        <v>964</v>
      </c>
      <c r="F364" s="3" t="s">
        <v>123</v>
      </c>
      <c r="G364" s="3"/>
      <c r="H364" s="3" t="s">
        <v>124</v>
      </c>
      <c r="I364" s="3"/>
      <c r="K364" s="3"/>
      <c r="L364" s="3"/>
      <c r="M364" s="3" t="s">
        <v>155</v>
      </c>
      <c r="S364" s="3"/>
      <c r="T364" s="3"/>
      <c r="U364" s="3"/>
      <c r="V364" s="3"/>
      <c r="AC364" s="3" t="s">
        <v>247</v>
      </c>
      <c r="AD364" s="3" t="s">
        <v>61</v>
      </c>
      <c r="AL364" s="3"/>
      <c r="AM364" s="3"/>
      <c r="AN364" s="3"/>
      <c r="AO364" s="3"/>
      <c r="AP364" s="3"/>
      <c r="AQ364" s="3"/>
      <c r="AR364" s="3" t="s">
        <v>52</v>
      </c>
      <c r="AW364" s="8" t="s">
        <v>2135</v>
      </c>
    </row>
    <row r="365" hidden="1">
      <c r="A365" s="3">
        <v>414.0</v>
      </c>
      <c r="B365" s="3" t="s">
        <v>106</v>
      </c>
      <c r="D365" s="3">
        <v>2018.0</v>
      </c>
      <c r="E365" s="3" t="s">
        <v>967</v>
      </c>
      <c r="F365" s="3" t="s">
        <v>123</v>
      </c>
      <c r="G365" s="3"/>
      <c r="H365" s="3" t="s">
        <v>124</v>
      </c>
      <c r="I365" s="3"/>
      <c r="K365" s="3"/>
      <c r="L365" s="3"/>
      <c r="M365" s="3" t="s">
        <v>155</v>
      </c>
      <c r="S365" s="3"/>
      <c r="T365" s="3"/>
      <c r="U365" s="3"/>
      <c r="V365" s="3"/>
      <c r="AC365" s="3" t="s">
        <v>247</v>
      </c>
      <c r="AL365" s="3"/>
      <c r="AM365" s="3"/>
      <c r="AN365" s="3"/>
      <c r="AO365" s="3"/>
      <c r="AP365" s="3"/>
      <c r="AQ365" s="3"/>
      <c r="AR365" s="3" t="s">
        <v>52</v>
      </c>
      <c r="AW365" s="8" t="s">
        <v>2135</v>
      </c>
    </row>
    <row r="366" hidden="1">
      <c r="A366" s="3">
        <v>416.0</v>
      </c>
      <c r="B366" s="3" t="s">
        <v>106</v>
      </c>
      <c r="D366" s="3">
        <v>2018.0</v>
      </c>
      <c r="E366" s="3" t="s">
        <v>969</v>
      </c>
      <c r="F366" s="3" t="s">
        <v>123</v>
      </c>
      <c r="G366" s="3"/>
      <c r="H366" s="3" t="s">
        <v>124</v>
      </c>
      <c r="I366" s="3"/>
      <c r="K366" s="3"/>
      <c r="L366" s="3"/>
      <c r="M366" s="3" t="s">
        <v>155</v>
      </c>
      <c r="S366" s="3"/>
      <c r="T366" s="3"/>
      <c r="U366" s="3"/>
      <c r="V366" s="3"/>
      <c r="AC366" s="3" t="s">
        <v>61</v>
      </c>
      <c r="AD366" s="3" t="s">
        <v>267</v>
      </c>
      <c r="AL366" s="3"/>
      <c r="AM366" s="3"/>
      <c r="AN366" s="3"/>
      <c r="AO366" s="3"/>
      <c r="AP366" s="3"/>
      <c r="AQ366" s="3"/>
      <c r="AR366" s="3" t="s">
        <v>52</v>
      </c>
      <c r="AW366" s="8" t="s">
        <v>2135</v>
      </c>
    </row>
    <row r="367" hidden="1">
      <c r="A367" s="3">
        <v>417.0</v>
      </c>
      <c r="B367" s="3" t="s">
        <v>106</v>
      </c>
      <c r="D367" s="3">
        <v>2018.0</v>
      </c>
      <c r="E367" s="3" t="s">
        <v>970</v>
      </c>
      <c r="F367" s="3" t="s">
        <v>123</v>
      </c>
      <c r="G367" s="3"/>
      <c r="H367" s="3" t="s">
        <v>124</v>
      </c>
      <c r="I367" s="3"/>
      <c r="K367" s="3"/>
      <c r="L367" s="3"/>
      <c r="M367" s="3" t="s">
        <v>266</v>
      </c>
      <c r="S367" s="3"/>
      <c r="T367" s="3"/>
      <c r="U367" s="3"/>
      <c r="V367" s="3"/>
      <c r="AC367" s="3" t="s">
        <v>267</v>
      </c>
      <c r="AL367" s="3"/>
      <c r="AM367" s="3"/>
      <c r="AN367" s="3"/>
      <c r="AO367" s="3"/>
      <c r="AP367" s="3"/>
      <c r="AQ367" s="3"/>
      <c r="AR367" s="3" t="s">
        <v>52</v>
      </c>
      <c r="AW367" s="8" t="s">
        <v>2135</v>
      </c>
    </row>
    <row r="368" hidden="1">
      <c r="A368" s="3">
        <v>425.0</v>
      </c>
      <c r="B368" s="3" t="s">
        <v>106</v>
      </c>
      <c r="D368" s="3">
        <v>2020.0</v>
      </c>
      <c r="E368" s="3" t="s">
        <v>970</v>
      </c>
      <c r="F368" s="3" t="s">
        <v>123</v>
      </c>
      <c r="G368" s="3"/>
      <c r="H368" s="3" t="s">
        <v>124</v>
      </c>
      <c r="I368" s="3"/>
      <c r="K368" s="3"/>
      <c r="L368" s="3"/>
      <c r="M368" s="3" t="s">
        <v>110</v>
      </c>
      <c r="N368" s="3" t="s">
        <v>205</v>
      </c>
      <c r="O368" s="3" t="s">
        <v>155</v>
      </c>
      <c r="S368" s="3"/>
      <c r="T368" s="3"/>
      <c r="U368" s="3"/>
      <c r="V368" s="3"/>
      <c r="AC368" s="3" t="s">
        <v>125</v>
      </c>
      <c r="AL368" s="3"/>
      <c r="AM368" s="3"/>
      <c r="AN368" s="3"/>
      <c r="AO368" s="3"/>
      <c r="AP368" s="3"/>
      <c r="AQ368" s="3"/>
      <c r="AR368" s="3" t="s">
        <v>52</v>
      </c>
      <c r="AW368" s="8" t="s">
        <v>2135</v>
      </c>
    </row>
    <row r="369">
      <c r="A369" s="3">
        <v>229.0</v>
      </c>
      <c r="B369" s="3" t="s">
        <v>40</v>
      </c>
      <c r="C369" s="3" t="s">
        <v>623</v>
      </c>
      <c r="D369" s="3">
        <v>2015.0</v>
      </c>
      <c r="E369" s="3" t="s">
        <v>624</v>
      </c>
      <c r="F369" s="3" t="s">
        <v>213</v>
      </c>
      <c r="G369" s="3" t="s">
        <v>2440</v>
      </c>
      <c r="H369" s="3" t="s">
        <v>58</v>
      </c>
      <c r="I369" s="3" t="s">
        <v>2142</v>
      </c>
      <c r="J369" s="3" t="s">
        <v>58</v>
      </c>
      <c r="L369" s="3" t="s">
        <v>2311</v>
      </c>
      <c r="M369" s="3" t="s">
        <v>69</v>
      </c>
      <c r="S369" s="9" t="str">
        <f t="array" ref="S369">"[" &amp; TEXTJOIN(", ", TRUE, IF(LEN(T369:AB369), CHAR(34)&amp;T369:AB369&amp;CHAR(34), )) &amp; "]"
</f>
        <v>["Hunting &amp; Collecting Terrestrial Animals", "Roads &amp; railroads"]</v>
      </c>
      <c r="T369" s="3" t="s">
        <v>2138</v>
      </c>
      <c r="U369" s="3"/>
      <c r="V369" s="3"/>
      <c r="W369" s="3" t="s">
        <v>63</v>
      </c>
      <c r="AC369" s="3" t="s">
        <v>61</v>
      </c>
      <c r="AF369" s="3" t="s">
        <v>63</v>
      </c>
      <c r="AL369" s="9" t="str">
        <f t="array" ref="AL369">"[" &amp; TEXTJOIN(", ", TRUE, IF(LEN(AM369:AQ369), CHAR(34)&amp;AM369:AQ369&amp;CHAR(34), )) &amp; "]"
</f>
        <v>["Biological resource use", "Transportation &amp; service corridors"]</v>
      </c>
      <c r="AM369" s="3" t="s">
        <v>52</v>
      </c>
      <c r="AN369" s="3" t="s">
        <v>65</v>
      </c>
      <c r="AO369" s="3"/>
      <c r="AP369" s="3"/>
      <c r="AQ369" s="3"/>
      <c r="AR369" s="3" t="s">
        <v>52</v>
      </c>
      <c r="AS369" s="3" t="s">
        <v>65</v>
      </c>
      <c r="AW369" s="8" t="s">
        <v>2444</v>
      </c>
    </row>
    <row r="370" hidden="1">
      <c r="A370" s="3">
        <v>721.0</v>
      </c>
      <c r="B370" s="3" t="s">
        <v>106</v>
      </c>
      <c r="C370" s="3" t="s">
        <v>1555</v>
      </c>
      <c r="D370" s="3">
        <v>1995.0</v>
      </c>
      <c r="E370" s="3" t="s">
        <v>1556</v>
      </c>
      <c r="F370" s="3" t="s">
        <v>123</v>
      </c>
      <c r="G370" s="3"/>
      <c r="H370" s="3" t="s">
        <v>124</v>
      </c>
      <c r="I370" s="3"/>
      <c r="K370" s="3"/>
      <c r="L370" s="3"/>
      <c r="M370" s="3" t="s">
        <v>110</v>
      </c>
      <c r="S370" s="3"/>
      <c r="T370" s="3"/>
      <c r="U370" s="3"/>
      <c r="V370" s="3"/>
      <c r="W370" s="3"/>
      <c r="X370" s="3"/>
      <c r="AC370" s="3" t="s">
        <v>87</v>
      </c>
      <c r="AF370" s="3" t="s">
        <v>87</v>
      </c>
      <c r="AL370" s="3"/>
      <c r="AM370" s="3"/>
      <c r="AN370" s="3"/>
      <c r="AO370" s="3"/>
      <c r="AP370" s="3"/>
      <c r="AQ370" s="3"/>
      <c r="AR370" s="3" t="s">
        <v>64</v>
      </c>
      <c r="AS370" s="3" t="s">
        <v>51</v>
      </c>
      <c r="AW370" s="8" t="s">
        <v>2135</v>
      </c>
    </row>
    <row r="371" hidden="1">
      <c r="A371" s="3">
        <v>775.0</v>
      </c>
      <c r="B371" s="3" t="s">
        <v>106</v>
      </c>
      <c r="C371" s="3" t="s">
        <v>1664</v>
      </c>
      <c r="D371" s="3">
        <v>1998.0</v>
      </c>
      <c r="E371" s="3" t="s">
        <v>1665</v>
      </c>
      <c r="F371" s="3" t="s">
        <v>123</v>
      </c>
      <c r="G371" s="3"/>
      <c r="H371" s="3" t="s">
        <v>124</v>
      </c>
      <c r="I371" s="3"/>
      <c r="K371" s="3"/>
      <c r="L371" s="3"/>
      <c r="M371" s="3" t="s">
        <v>155</v>
      </c>
      <c r="S371" s="3"/>
      <c r="T371" s="3"/>
      <c r="U371" s="3"/>
      <c r="V371" s="3"/>
      <c r="AC371" s="3" t="s">
        <v>87</v>
      </c>
      <c r="AE371" s="3" t="s">
        <v>121</v>
      </c>
      <c r="AL371" s="3"/>
      <c r="AM371" s="3"/>
      <c r="AN371" s="3"/>
      <c r="AO371" s="3"/>
      <c r="AP371" s="3"/>
      <c r="AQ371" s="3"/>
      <c r="AR371" s="3" t="s">
        <v>64</v>
      </c>
      <c r="AS371" s="3" t="s">
        <v>87</v>
      </c>
      <c r="AW371" s="8" t="s">
        <v>2135</v>
      </c>
    </row>
    <row r="372" hidden="1">
      <c r="A372" s="3">
        <v>957.0</v>
      </c>
      <c r="B372" s="3" t="s">
        <v>40</v>
      </c>
      <c r="C372" s="3" t="s">
        <v>2020</v>
      </c>
      <c r="D372" s="3">
        <v>1997.0</v>
      </c>
      <c r="E372" s="3" t="s">
        <v>2021</v>
      </c>
      <c r="F372" s="3" t="s">
        <v>123</v>
      </c>
      <c r="G372" s="3"/>
      <c r="H372" s="3" t="s">
        <v>124</v>
      </c>
      <c r="I372" s="3"/>
      <c r="J372" s="3" t="s">
        <v>124</v>
      </c>
      <c r="K372" s="3"/>
      <c r="L372" s="3"/>
      <c r="M372" s="3" t="s">
        <v>155</v>
      </c>
      <c r="S372" s="3"/>
      <c r="T372" s="3"/>
      <c r="U372" s="3"/>
      <c r="V372" s="3"/>
      <c r="W372" s="3"/>
      <c r="X372" s="3"/>
      <c r="AC372" s="3" t="s">
        <v>63</v>
      </c>
      <c r="AF372" s="3" t="s">
        <v>238</v>
      </c>
      <c r="AL372" s="3"/>
      <c r="AM372" s="3"/>
      <c r="AN372" s="3"/>
      <c r="AO372" s="3"/>
      <c r="AP372" s="3"/>
      <c r="AQ372" s="3"/>
      <c r="AR372" s="3" t="s">
        <v>65</v>
      </c>
      <c r="AS372" s="3" t="s">
        <v>235</v>
      </c>
    </row>
    <row r="373">
      <c r="A373" s="3">
        <v>804.0</v>
      </c>
      <c r="B373" s="3" t="s">
        <v>40</v>
      </c>
      <c r="C373" s="3" t="s">
        <v>1722</v>
      </c>
      <c r="D373" s="3">
        <v>1997.0</v>
      </c>
      <c r="E373" s="3" t="s">
        <v>1723</v>
      </c>
      <c r="F373" s="3" t="s">
        <v>213</v>
      </c>
      <c r="G373" s="3" t="s">
        <v>2440</v>
      </c>
      <c r="H373" s="3" t="s">
        <v>58</v>
      </c>
      <c r="I373" s="3" t="s">
        <v>2142</v>
      </c>
      <c r="J373" s="3" t="s">
        <v>58</v>
      </c>
      <c r="L373" s="3" t="s">
        <v>2143</v>
      </c>
      <c r="M373" s="3" t="s">
        <v>110</v>
      </c>
      <c r="S373" s="9" t="str">
        <f t="array" ref="S373">"[" &amp; TEXTJOIN(", ", TRUE, IF(LEN(T373:AB373), CHAR(34)&amp;T373:AB373&amp;CHAR(34), )) &amp; "]"
</f>
        <v>["Industrial &amp; military effluents"]</v>
      </c>
      <c r="T373" s="3" t="s">
        <v>147</v>
      </c>
      <c r="U373" s="3"/>
      <c r="V373" s="3"/>
      <c r="AC373" s="3" t="s">
        <v>147</v>
      </c>
      <c r="AL373" s="9" t="str">
        <f t="array" ref="AL373">"[" &amp; TEXTJOIN(", ", TRUE, IF(LEN(AM373:AQ373), CHAR(34)&amp;AM373:AQ373&amp;CHAR(34), )) &amp; "]"
</f>
        <v>["Pollution"]</v>
      </c>
      <c r="AM373" s="3" t="s">
        <v>64</v>
      </c>
      <c r="AN373" s="3"/>
      <c r="AO373" s="3"/>
      <c r="AP373" s="3"/>
      <c r="AQ373" s="3"/>
      <c r="AR373" s="3" t="s">
        <v>64</v>
      </c>
      <c r="AW373" s="8" t="s">
        <v>2445</v>
      </c>
    </row>
    <row r="374" hidden="1">
      <c r="A374" s="3">
        <v>387.0</v>
      </c>
      <c r="B374" s="3" t="s">
        <v>106</v>
      </c>
      <c r="C374" s="3" t="s">
        <v>935</v>
      </c>
      <c r="D374" s="3">
        <v>2014.0</v>
      </c>
      <c r="E374" s="3" t="s">
        <v>936</v>
      </c>
      <c r="F374" s="3" t="s">
        <v>204</v>
      </c>
      <c r="G374" s="3"/>
      <c r="H374" s="3" t="s">
        <v>101</v>
      </c>
      <c r="I374" s="3"/>
      <c r="K374" s="3"/>
      <c r="L374" s="3"/>
      <c r="M374" s="3" t="s">
        <v>205</v>
      </c>
      <c r="S374" s="3"/>
      <c r="T374" s="3"/>
      <c r="U374" s="3"/>
      <c r="V374" s="3"/>
      <c r="AC374" s="3" t="s">
        <v>61</v>
      </c>
      <c r="AL374" s="3"/>
      <c r="AM374" s="3"/>
      <c r="AN374" s="3"/>
      <c r="AO374" s="3"/>
      <c r="AP374" s="3"/>
      <c r="AQ374" s="3"/>
      <c r="AR374" s="3" t="s">
        <v>52</v>
      </c>
      <c r="AW374" s="8" t="s">
        <v>2135</v>
      </c>
    </row>
    <row r="375" hidden="1">
      <c r="A375" s="3">
        <v>401.0</v>
      </c>
      <c r="B375" s="3" t="s">
        <v>55</v>
      </c>
      <c r="D375" s="3">
        <v>2012.0</v>
      </c>
      <c r="E375" s="3" t="s">
        <v>950</v>
      </c>
      <c r="F375" s="3" t="s">
        <v>204</v>
      </c>
      <c r="G375" s="3"/>
      <c r="H375" s="3" t="s">
        <v>101</v>
      </c>
      <c r="I375" s="3"/>
      <c r="J375" s="3" t="s">
        <v>102</v>
      </c>
      <c r="K375" s="3"/>
      <c r="L375" s="3"/>
      <c r="M375" s="3" t="s">
        <v>951</v>
      </c>
      <c r="S375" s="3"/>
      <c r="T375" s="3"/>
      <c r="U375" s="3"/>
      <c r="V375" s="3"/>
      <c r="AC375" s="3" t="s">
        <v>61</v>
      </c>
      <c r="AL375" s="3"/>
      <c r="AM375" s="3"/>
      <c r="AN375" s="3"/>
      <c r="AO375" s="3"/>
      <c r="AP375" s="3"/>
      <c r="AQ375" s="3"/>
      <c r="AR375" s="3" t="s">
        <v>52</v>
      </c>
      <c r="AW375" s="8" t="s">
        <v>2135</v>
      </c>
    </row>
    <row r="376" hidden="1">
      <c r="A376" s="3">
        <v>402.0</v>
      </c>
      <c r="B376" s="3" t="s">
        <v>55</v>
      </c>
      <c r="D376" s="3">
        <v>2012.0</v>
      </c>
      <c r="E376" s="3" t="s">
        <v>952</v>
      </c>
      <c r="F376" s="3" t="s">
        <v>204</v>
      </c>
      <c r="G376" s="3"/>
      <c r="H376" s="3" t="s">
        <v>101</v>
      </c>
      <c r="I376" s="3"/>
      <c r="J376" s="3" t="s">
        <v>102</v>
      </c>
      <c r="K376" s="3"/>
      <c r="L376" s="3"/>
      <c r="M376" s="3" t="s">
        <v>813</v>
      </c>
      <c r="S376" s="3"/>
      <c r="T376" s="3"/>
      <c r="U376" s="3"/>
      <c r="V376" s="3"/>
      <c r="AC376" s="3" t="s">
        <v>61</v>
      </c>
      <c r="AL376" s="3"/>
      <c r="AM376" s="3"/>
      <c r="AN376" s="3"/>
      <c r="AO376" s="3"/>
      <c r="AP376" s="3"/>
      <c r="AQ376" s="3"/>
      <c r="AR376" s="3" t="s">
        <v>52</v>
      </c>
      <c r="AW376" s="8" t="s">
        <v>2135</v>
      </c>
    </row>
    <row r="377" hidden="1">
      <c r="A377" s="3">
        <v>406.0</v>
      </c>
      <c r="B377" s="3" t="s">
        <v>55</v>
      </c>
      <c r="D377" s="3">
        <v>2017.0</v>
      </c>
      <c r="E377" s="3" t="s">
        <v>957</v>
      </c>
      <c r="F377" s="3" t="s">
        <v>204</v>
      </c>
      <c r="G377" s="3"/>
      <c r="H377" s="3" t="s">
        <v>101</v>
      </c>
      <c r="I377" s="3"/>
      <c r="J377" s="3" t="s">
        <v>102</v>
      </c>
      <c r="K377" s="3"/>
      <c r="L377" s="3"/>
      <c r="M377" s="3" t="s">
        <v>951</v>
      </c>
      <c r="S377" s="3"/>
      <c r="T377" s="3"/>
      <c r="U377" s="3"/>
      <c r="V377" s="3"/>
      <c r="AC377" s="3" t="s">
        <v>61</v>
      </c>
      <c r="AD377" s="3" t="s">
        <v>48</v>
      </c>
      <c r="AL377" s="3"/>
      <c r="AM377" s="3"/>
      <c r="AN377" s="3"/>
      <c r="AO377" s="3"/>
      <c r="AP377" s="3"/>
      <c r="AQ377" s="3"/>
      <c r="AR377" s="3" t="s">
        <v>52</v>
      </c>
      <c r="AW377" s="8" t="s">
        <v>2135</v>
      </c>
    </row>
    <row r="378" hidden="1">
      <c r="A378" s="3">
        <v>415.0</v>
      </c>
      <c r="B378" s="3" t="s">
        <v>106</v>
      </c>
      <c r="D378" s="3">
        <v>2018.0</v>
      </c>
      <c r="E378" s="3" t="s">
        <v>968</v>
      </c>
      <c r="F378" s="3" t="s">
        <v>204</v>
      </c>
      <c r="G378" s="3"/>
      <c r="H378" s="3" t="s">
        <v>101</v>
      </c>
      <c r="I378" s="3"/>
      <c r="K378" s="3"/>
      <c r="L378" s="3"/>
      <c r="M378" s="3" t="s">
        <v>155</v>
      </c>
      <c r="N378" s="3" t="s">
        <v>205</v>
      </c>
      <c r="S378" s="3"/>
      <c r="T378" s="3"/>
      <c r="U378" s="3"/>
      <c r="V378" s="3"/>
      <c r="AC378" s="3" t="s">
        <v>61</v>
      </c>
      <c r="AL378" s="3"/>
      <c r="AM378" s="3"/>
      <c r="AN378" s="3"/>
      <c r="AO378" s="3"/>
      <c r="AP378" s="3"/>
      <c r="AQ378" s="3"/>
      <c r="AR378" s="3" t="s">
        <v>52</v>
      </c>
      <c r="AW378" s="8" t="s">
        <v>2135</v>
      </c>
    </row>
    <row r="379" hidden="1">
      <c r="A379" s="3">
        <v>421.0</v>
      </c>
      <c r="B379" s="3" t="s">
        <v>106</v>
      </c>
      <c r="D379" s="3">
        <v>2019.0</v>
      </c>
      <c r="E379" s="3" t="s">
        <v>974</v>
      </c>
      <c r="F379" s="3" t="s">
        <v>204</v>
      </c>
      <c r="G379" s="3"/>
      <c r="H379" s="3" t="s">
        <v>101</v>
      </c>
      <c r="I379" s="3"/>
      <c r="K379" s="3"/>
      <c r="L379" s="3"/>
      <c r="M379" s="3" t="s">
        <v>205</v>
      </c>
      <c r="S379" s="3"/>
      <c r="T379" s="3"/>
      <c r="U379" s="3"/>
      <c r="V379" s="3"/>
      <c r="AC379" s="3" t="s">
        <v>61</v>
      </c>
      <c r="AL379" s="3"/>
      <c r="AM379" s="3"/>
      <c r="AN379" s="3"/>
      <c r="AO379" s="3"/>
      <c r="AP379" s="3"/>
      <c r="AQ379" s="3"/>
      <c r="AR379" s="3" t="s">
        <v>52</v>
      </c>
      <c r="AW379" s="8" t="s">
        <v>2135</v>
      </c>
    </row>
    <row r="380" hidden="1">
      <c r="A380" s="3">
        <v>716.0</v>
      </c>
      <c r="B380" s="3" t="s">
        <v>106</v>
      </c>
      <c r="C380" s="3" t="s">
        <v>1543</v>
      </c>
      <c r="D380" s="3">
        <v>1994.0</v>
      </c>
      <c r="E380" s="3" t="s">
        <v>1544</v>
      </c>
      <c r="F380" s="3" t="s">
        <v>204</v>
      </c>
      <c r="G380" s="3"/>
      <c r="H380" s="3" t="s">
        <v>101</v>
      </c>
      <c r="I380" s="3"/>
      <c r="K380" s="3"/>
      <c r="L380" s="3"/>
      <c r="M380" s="3" t="s">
        <v>205</v>
      </c>
      <c r="N380" s="3" t="s">
        <v>155</v>
      </c>
      <c r="S380" s="3"/>
      <c r="T380" s="3"/>
      <c r="U380" s="3"/>
      <c r="V380" s="3"/>
      <c r="W380" s="3"/>
      <c r="X380" s="3"/>
      <c r="Y380" s="3"/>
      <c r="Z380" s="3"/>
      <c r="AC380" s="3" t="s">
        <v>62</v>
      </c>
      <c r="AF380" s="3" t="s">
        <v>60</v>
      </c>
      <c r="AG380" s="3" t="s">
        <v>111</v>
      </c>
      <c r="AH380" s="3" t="s">
        <v>61</v>
      </c>
      <c r="AL380" s="3"/>
      <c r="AM380" s="3"/>
      <c r="AN380" s="3"/>
      <c r="AO380" s="3"/>
      <c r="AP380" s="3"/>
      <c r="AQ380" s="3"/>
      <c r="AR380" s="3" t="s">
        <v>64</v>
      </c>
      <c r="AS380" s="3" t="s">
        <v>51</v>
      </c>
      <c r="AT380" s="3" t="s">
        <v>52</v>
      </c>
      <c r="AW380" s="8" t="s">
        <v>2135</v>
      </c>
    </row>
    <row r="381" hidden="1">
      <c r="A381" s="3">
        <v>777.0</v>
      </c>
      <c r="B381" s="3" t="s">
        <v>106</v>
      </c>
      <c r="C381" s="3" t="s">
        <v>1668</v>
      </c>
      <c r="D381" s="3">
        <v>2010.0</v>
      </c>
      <c r="E381" s="3" t="s">
        <v>2446</v>
      </c>
      <c r="F381" s="3" t="s">
        <v>204</v>
      </c>
      <c r="G381" s="3"/>
      <c r="H381" s="3" t="s">
        <v>101</v>
      </c>
      <c r="I381" s="3"/>
      <c r="K381" s="3"/>
      <c r="L381" s="3"/>
      <c r="M381" s="3" t="s">
        <v>205</v>
      </c>
      <c r="N381" s="3" t="s">
        <v>110</v>
      </c>
      <c r="O381" s="3" t="s">
        <v>309</v>
      </c>
      <c r="P381" s="3" t="s">
        <v>155</v>
      </c>
      <c r="S381" s="3"/>
      <c r="T381" s="3"/>
      <c r="U381" s="3"/>
      <c r="V381" s="3"/>
      <c r="AC381" s="3" t="s">
        <v>1670</v>
      </c>
      <c r="AD381" s="3" t="s">
        <v>259</v>
      </c>
      <c r="AE381" s="3" t="s">
        <v>147</v>
      </c>
      <c r="AL381" s="3"/>
      <c r="AM381" s="3"/>
      <c r="AN381" s="3"/>
      <c r="AO381" s="3"/>
      <c r="AP381" s="3"/>
      <c r="AQ381" s="3"/>
      <c r="AR381" s="3" t="s">
        <v>64</v>
      </c>
      <c r="AS381" s="3" t="s">
        <v>143</v>
      </c>
      <c r="AW381" s="8" t="s">
        <v>2135</v>
      </c>
    </row>
    <row r="382">
      <c r="A382" s="3">
        <v>806.0</v>
      </c>
      <c r="B382" s="3" t="s">
        <v>40</v>
      </c>
      <c r="C382" s="3" t="s">
        <v>1726</v>
      </c>
      <c r="D382" s="3">
        <v>1998.0</v>
      </c>
      <c r="E382" s="3" t="s">
        <v>1727</v>
      </c>
      <c r="F382" s="3" t="s">
        <v>213</v>
      </c>
      <c r="G382" s="3" t="s">
        <v>2440</v>
      </c>
      <c r="H382" s="3" t="s">
        <v>58</v>
      </c>
      <c r="I382" s="3" t="s">
        <v>2142</v>
      </c>
      <c r="J382" s="3" t="s">
        <v>58</v>
      </c>
      <c r="L382" s="3" t="s">
        <v>2447</v>
      </c>
      <c r="M382" s="3" t="s">
        <v>388</v>
      </c>
      <c r="N382" s="3" t="s">
        <v>287</v>
      </c>
      <c r="O382" s="3" t="s">
        <v>76</v>
      </c>
      <c r="P382" s="3" t="s">
        <v>110</v>
      </c>
      <c r="S382" s="9" t="str">
        <f t="array" ref="S382">"[" &amp; TEXTJOIN(", ", TRUE, IF(LEN(T382:AB382), CHAR(34)&amp;T382:AB382&amp;CHAR(34), )) &amp; "]"
</f>
        <v>["Industrial &amp; military effluents"]</v>
      </c>
      <c r="T382" s="3" t="s">
        <v>147</v>
      </c>
      <c r="U382" s="3"/>
      <c r="V382" s="3"/>
      <c r="AC382" s="3" t="s">
        <v>147</v>
      </c>
      <c r="AL382" s="9" t="str">
        <f t="array" ref="AL382">"[" &amp; TEXTJOIN(", ", TRUE, IF(LEN(AM382:AQ382), CHAR(34)&amp;AM382:AQ382&amp;CHAR(34), )) &amp; "]"
</f>
        <v>["Pollution"]</v>
      </c>
      <c r="AM382" s="3" t="s">
        <v>64</v>
      </c>
      <c r="AN382" s="3"/>
      <c r="AO382" s="3"/>
      <c r="AP382" s="3"/>
      <c r="AQ382" s="3"/>
      <c r="AR382" s="3" t="s">
        <v>64</v>
      </c>
      <c r="AW382" s="8" t="s">
        <v>2448</v>
      </c>
    </row>
    <row r="383" hidden="1">
      <c r="A383" s="3">
        <v>53.0</v>
      </c>
      <c r="B383" s="3" t="s">
        <v>55</v>
      </c>
      <c r="D383" s="3">
        <v>2015.0</v>
      </c>
      <c r="E383" s="3" t="s">
        <v>239</v>
      </c>
      <c r="F383" s="3" t="s">
        <v>141</v>
      </c>
      <c r="G383" s="3"/>
      <c r="H383" s="3" t="s">
        <v>142</v>
      </c>
      <c r="I383" s="3"/>
      <c r="J383" s="3" t="s">
        <v>142</v>
      </c>
      <c r="K383" s="3"/>
      <c r="L383" s="3"/>
      <c r="M383" s="3" t="s">
        <v>225</v>
      </c>
      <c r="S383" s="3"/>
      <c r="T383" s="3"/>
      <c r="U383" s="3"/>
      <c r="V383" s="3"/>
      <c r="W383" s="3"/>
      <c r="X383" s="3"/>
      <c r="Y383" s="3"/>
      <c r="Z383" s="3"/>
      <c r="AC383" s="3" t="s">
        <v>61</v>
      </c>
      <c r="AF383" s="3" t="s">
        <v>47</v>
      </c>
      <c r="AH383" s="3" t="s">
        <v>238</v>
      </c>
      <c r="AL383" s="3"/>
      <c r="AM383" s="3"/>
      <c r="AN383" s="3"/>
      <c r="AO383" s="3"/>
      <c r="AP383" s="3"/>
      <c r="AQ383" s="3"/>
      <c r="AR383" s="3" t="s">
        <v>52</v>
      </c>
      <c r="AS383" s="3" t="s">
        <v>51</v>
      </c>
      <c r="AT383" s="3" t="s">
        <v>235</v>
      </c>
      <c r="AW383" s="8" t="s">
        <v>2135</v>
      </c>
    </row>
    <row r="384" hidden="1">
      <c r="A384" s="3">
        <v>375.0</v>
      </c>
      <c r="B384" s="3" t="s">
        <v>106</v>
      </c>
      <c r="D384" s="3">
        <v>2006.0</v>
      </c>
      <c r="E384" s="3" t="s">
        <v>915</v>
      </c>
      <c r="F384" s="3" t="s">
        <v>141</v>
      </c>
      <c r="G384" s="3"/>
      <c r="H384" s="3" t="s">
        <v>142</v>
      </c>
      <c r="I384" s="3"/>
      <c r="K384" s="3"/>
      <c r="L384" s="3"/>
      <c r="M384" s="3" t="s">
        <v>110</v>
      </c>
      <c r="S384" s="3"/>
      <c r="T384" s="3"/>
      <c r="U384" s="3"/>
      <c r="V384" s="3"/>
      <c r="AC384" s="3" t="s">
        <v>61</v>
      </c>
      <c r="AD384" s="3" t="s">
        <v>247</v>
      </c>
      <c r="AL384" s="3"/>
      <c r="AM384" s="3"/>
      <c r="AN384" s="3"/>
      <c r="AO384" s="3"/>
      <c r="AP384" s="3"/>
      <c r="AQ384" s="3"/>
      <c r="AR384" s="3" t="s">
        <v>52</v>
      </c>
      <c r="AW384" s="8" t="s">
        <v>2135</v>
      </c>
    </row>
    <row r="385" hidden="1">
      <c r="A385" s="3">
        <v>413.0</v>
      </c>
      <c r="B385" s="3" t="s">
        <v>106</v>
      </c>
      <c r="D385" s="3">
        <v>2017.0</v>
      </c>
      <c r="E385" s="3" t="s">
        <v>966</v>
      </c>
      <c r="F385" s="3" t="s">
        <v>141</v>
      </c>
      <c r="G385" s="3"/>
      <c r="H385" s="3" t="s">
        <v>142</v>
      </c>
      <c r="I385" s="3"/>
      <c r="K385" s="3"/>
      <c r="L385" s="3"/>
      <c r="M385" s="3" t="s">
        <v>110</v>
      </c>
      <c r="S385" s="3"/>
      <c r="T385" s="3"/>
      <c r="U385" s="3"/>
      <c r="V385" s="3"/>
      <c r="AC385" s="3" t="s">
        <v>247</v>
      </c>
      <c r="AL385" s="3"/>
      <c r="AM385" s="3"/>
      <c r="AN385" s="3"/>
      <c r="AO385" s="3"/>
      <c r="AP385" s="3"/>
      <c r="AQ385" s="3"/>
      <c r="AR385" s="3" t="s">
        <v>52</v>
      </c>
      <c r="AW385" s="8" t="s">
        <v>2135</v>
      </c>
    </row>
    <row r="386">
      <c r="A386" s="3">
        <v>817.0</v>
      </c>
      <c r="B386" s="3" t="s">
        <v>40</v>
      </c>
      <c r="C386" s="3" t="s">
        <v>1748</v>
      </c>
      <c r="D386" s="3">
        <v>2001.0</v>
      </c>
      <c r="E386" s="3" t="s">
        <v>1749</v>
      </c>
      <c r="F386" s="3" t="s">
        <v>213</v>
      </c>
      <c r="G386" s="3" t="s">
        <v>2440</v>
      </c>
      <c r="H386" s="3" t="s">
        <v>58</v>
      </c>
      <c r="I386" s="3" t="s">
        <v>2142</v>
      </c>
      <c r="J386" s="3" t="s">
        <v>58</v>
      </c>
      <c r="L386" s="3" t="s">
        <v>2143</v>
      </c>
      <c r="M386" s="3" t="s">
        <v>110</v>
      </c>
      <c r="S386" s="9" t="str">
        <f t="array" ref="S386">"[" &amp; TEXTJOIN(", ", TRUE, IF(LEN(T386:AB386), CHAR(34)&amp;T386:AB386&amp;CHAR(34), )) &amp; "]"
</f>
        <v>["Industrial &amp; military effluents"]</v>
      </c>
      <c r="T386" s="3" t="s">
        <v>147</v>
      </c>
      <c r="U386" s="3"/>
      <c r="V386" s="3"/>
      <c r="AC386" s="3" t="s">
        <v>147</v>
      </c>
      <c r="AL386" s="9" t="str">
        <f t="array" ref="AL386">"[" &amp; TEXTJOIN(", ", TRUE, IF(LEN(AM386:AQ386), CHAR(34)&amp;AM386:AQ386&amp;CHAR(34), )) &amp; "]"
</f>
        <v>["Pollution"]</v>
      </c>
      <c r="AM386" s="3" t="s">
        <v>64</v>
      </c>
      <c r="AN386" s="3"/>
      <c r="AO386" s="3"/>
      <c r="AP386" s="3"/>
      <c r="AQ386" s="3"/>
      <c r="AR386" s="3" t="s">
        <v>64</v>
      </c>
      <c r="AW386" s="8" t="s">
        <v>2449</v>
      </c>
    </row>
    <row r="387" hidden="1">
      <c r="A387" s="3">
        <v>51.0</v>
      </c>
      <c r="B387" s="3" t="s">
        <v>106</v>
      </c>
      <c r="C387" s="3" t="s">
        <v>231</v>
      </c>
      <c r="D387" s="3">
        <v>2013.0</v>
      </c>
      <c r="E387" s="3" t="s">
        <v>232</v>
      </c>
      <c r="F387" s="3" t="s">
        <v>233</v>
      </c>
      <c r="G387" s="3"/>
      <c r="H387" s="3" t="s">
        <v>142</v>
      </c>
      <c r="I387" s="3"/>
      <c r="K387" s="3"/>
      <c r="L387" s="3"/>
      <c r="M387" s="3" t="s">
        <v>155</v>
      </c>
      <c r="N387" s="3" t="s">
        <v>110</v>
      </c>
      <c r="S387" s="3"/>
      <c r="T387" s="3"/>
      <c r="U387" s="3"/>
      <c r="V387" s="3"/>
      <c r="W387" s="3"/>
      <c r="X387" s="3"/>
      <c r="Y387" s="3"/>
      <c r="Z387" s="3"/>
      <c r="AA387" s="3"/>
      <c r="AB387" s="3"/>
      <c r="AC387" s="3" t="s">
        <v>61</v>
      </c>
      <c r="AF387" s="3" t="s">
        <v>87</v>
      </c>
      <c r="AH387" s="3" t="s">
        <v>234</v>
      </c>
      <c r="AJ387" s="3" t="s">
        <v>62</v>
      </c>
      <c r="AK387" s="3" t="s">
        <v>111</v>
      </c>
      <c r="AL387" s="3"/>
      <c r="AM387" s="3"/>
      <c r="AN387" s="3"/>
      <c r="AO387" s="3"/>
      <c r="AP387" s="3"/>
      <c r="AQ387" s="3"/>
      <c r="AR387" s="3" t="s">
        <v>52</v>
      </c>
      <c r="AS387" s="3" t="s">
        <v>51</v>
      </c>
      <c r="AT387" s="3" t="s">
        <v>235</v>
      </c>
      <c r="AU387" s="3" t="s">
        <v>64</v>
      </c>
      <c r="AV387" s="3" t="s">
        <v>51</v>
      </c>
      <c r="AW387" s="8" t="s">
        <v>2135</v>
      </c>
    </row>
    <row r="388" hidden="1">
      <c r="A388" s="3">
        <v>67.0</v>
      </c>
      <c r="B388" s="3" t="s">
        <v>106</v>
      </c>
      <c r="C388" s="3" t="s">
        <v>278</v>
      </c>
      <c r="D388" s="3">
        <v>2014.0</v>
      </c>
      <c r="E388" s="3" t="s">
        <v>279</v>
      </c>
      <c r="F388" s="3" t="s">
        <v>233</v>
      </c>
      <c r="G388" s="3"/>
      <c r="H388" s="3" t="s">
        <v>142</v>
      </c>
      <c r="I388" s="3"/>
      <c r="K388" s="3"/>
      <c r="L388" s="3"/>
      <c r="M388" s="3" t="s">
        <v>155</v>
      </c>
      <c r="N388" s="3" t="s">
        <v>110</v>
      </c>
      <c r="S388" s="3"/>
      <c r="T388" s="3"/>
      <c r="U388" s="3"/>
      <c r="V388" s="3"/>
      <c r="W388" s="3"/>
      <c r="X388" s="3"/>
      <c r="AC388" s="3" t="s">
        <v>61</v>
      </c>
      <c r="AF388" s="3" t="s">
        <v>111</v>
      </c>
      <c r="AL388" s="3"/>
      <c r="AM388" s="3"/>
      <c r="AN388" s="3"/>
      <c r="AO388" s="3"/>
      <c r="AP388" s="3"/>
      <c r="AQ388" s="3"/>
      <c r="AR388" s="3" t="s">
        <v>52</v>
      </c>
      <c r="AS388" s="3" t="s">
        <v>51</v>
      </c>
      <c r="AT388" s="3" t="s">
        <v>143</v>
      </c>
      <c r="AW388" s="8" t="s">
        <v>2135</v>
      </c>
    </row>
    <row r="389">
      <c r="A389" s="3">
        <v>255.0</v>
      </c>
      <c r="B389" s="3" t="s">
        <v>40</v>
      </c>
      <c r="C389" s="3" t="s">
        <v>677</v>
      </c>
      <c r="D389" s="3">
        <v>1997.0</v>
      </c>
      <c r="E389" s="3" t="s">
        <v>678</v>
      </c>
      <c r="F389" s="3" t="s">
        <v>311</v>
      </c>
      <c r="G389" s="3" t="s">
        <v>2450</v>
      </c>
      <c r="H389" s="3" t="s">
        <v>58</v>
      </c>
      <c r="I389" s="3" t="s">
        <v>2142</v>
      </c>
      <c r="J389" s="3" t="s">
        <v>58</v>
      </c>
      <c r="L389" s="3" t="s">
        <v>2218</v>
      </c>
      <c r="M389" s="3" t="s">
        <v>254</v>
      </c>
      <c r="S389" s="9" t="str">
        <f t="array" ref="S389">"[" &amp; TEXTJOIN(", ", TRUE, IF(LEN(T389:AB389), CHAR(34)&amp;T389:AB389&amp;CHAR(34), )) &amp; "]"
</f>
        <v>["Hunting &amp; Collecting Terrestrial Animals"]</v>
      </c>
      <c r="T389" s="3" t="s">
        <v>2138</v>
      </c>
      <c r="U389" s="3"/>
      <c r="V389" s="3"/>
      <c r="AC389" s="3" t="s">
        <v>61</v>
      </c>
      <c r="AL389" s="9" t="str">
        <f t="array" ref="AL389">"[" &amp; TEXTJOIN(", ", TRUE, IF(LEN(AM389:AQ389), CHAR(34)&amp;AM389:AQ389&amp;CHAR(34), )) &amp; "]"
</f>
        <v>["Biological resource use"]</v>
      </c>
      <c r="AM389" s="3" t="s">
        <v>52</v>
      </c>
      <c r="AN389" s="3"/>
      <c r="AO389" s="3"/>
      <c r="AP389" s="3"/>
      <c r="AQ389" s="3"/>
      <c r="AR389" s="3" t="s">
        <v>52</v>
      </c>
      <c r="AW389" s="8" t="s">
        <v>2451</v>
      </c>
    </row>
    <row r="390">
      <c r="A390" s="3">
        <v>259.0</v>
      </c>
      <c r="B390" s="3" t="s">
        <v>40</v>
      </c>
      <c r="C390" s="3" t="s">
        <v>685</v>
      </c>
      <c r="D390" s="3">
        <v>1998.0</v>
      </c>
      <c r="E390" s="3" t="s">
        <v>686</v>
      </c>
      <c r="F390" s="3" t="s">
        <v>311</v>
      </c>
      <c r="G390" s="3" t="s">
        <v>2450</v>
      </c>
      <c r="H390" s="3" t="s">
        <v>58</v>
      </c>
      <c r="I390" s="3" t="s">
        <v>2142</v>
      </c>
      <c r="J390" s="3" t="s">
        <v>58</v>
      </c>
      <c r="L390" s="3" t="s">
        <v>2218</v>
      </c>
      <c r="M390" s="3" t="s">
        <v>254</v>
      </c>
      <c r="S390" s="9" t="str">
        <f t="array" ref="S390">"[" &amp; TEXTJOIN(", ", TRUE, IF(LEN(T390:AB390), CHAR(34)&amp;T390:AB390&amp;CHAR(34), )) &amp; "]"
</f>
        <v>["Hunting &amp; Collecting Terrestrial Animals"]</v>
      </c>
      <c r="T390" s="3" t="s">
        <v>2138</v>
      </c>
      <c r="U390" s="3"/>
      <c r="V390" s="3"/>
      <c r="AC390" s="3" t="s">
        <v>61</v>
      </c>
      <c r="AL390" s="9" t="str">
        <f t="array" ref="AL390">"[" &amp; TEXTJOIN(", ", TRUE, IF(LEN(AM390:AQ390), CHAR(34)&amp;AM390:AQ390&amp;CHAR(34), )) &amp; "]"
</f>
        <v>["Biological resource use"]</v>
      </c>
      <c r="AM390" s="3" t="s">
        <v>52</v>
      </c>
      <c r="AN390" s="3"/>
      <c r="AO390" s="3"/>
      <c r="AP390" s="3"/>
      <c r="AQ390" s="3"/>
      <c r="AR390" s="3" t="s">
        <v>52</v>
      </c>
      <c r="AW390" s="8" t="s">
        <v>2452</v>
      </c>
    </row>
    <row r="391">
      <c r="A391" s="3">
        <v>264.0</v>
      </c>
      <c r="B391" s="3" t="s">
        <v>40</v>
      </c>
      <c r="C391" s="3" t="s">
        <v>695</v>
      </c>
      <c r="D391" s="3">
        <v>1999.0</v>
      </c>
      <c r="E391" s="3" t="s">
        <v>696</v>
      </c>
      <c r="F391" s="3" t="s">
        <v>311</v>
      </c>
      <c r="G391" s="3" t="s">
        <v>2450</v>
      </c>
      <c r="H391" s="3" t="s">
        <v>58</v>
      </c>
      <c r="I391" s="3" t="s">
        <v>2142</v>
      </c>
      <c r="J391" s="3" t="s">
        <v>58</v>
      </c>
      <c r="L391" s="3" t="s">
        <v>2218</v>
      </c>
      <c r="M391" s="3" t="s">
        <v>254</v>
      </c>
      <c r="S391" s="9" t="str">
        <f t="array" ref="S391">"[" &amp; TEXTJOIN(", ", TRUE, IF(LEN(T391:AB391), CHAR(34)&amp;T391:AB391&amp;CHAR(34), )) &amp; "]"
</f>
        <v>["Hunting &amp; Collecting Terrestrial Animals"]</v>
      </c>
      <c r="T391" s="3" t="s">
        <v>2138</v>
      </c>
      <c r="U391" s="3"/>
      <c r="V391" s="3"/>
      <c r="AC391" s="3" t="s">
        <v>61</v>
      </c>
      <c r="AL391" s="9" t="str">
        <f t="array" ref="AL391">"[" &amp; TEXTJOIN(", ", TRUE, IF(LEN(AM391:AQ391), CHAR(34)&amp;AM391:AQ391&amp;CHAR(34), )) &amp; "]"
</f>
        <v>["Biological resource use"]</v>
      </c>
      <c r="AM391" s="3" t="s">
        <v>52</v>
      </c>
      <c r="AN391" s="3"/>
      <c r="AO391" s="3"/>
      <c r="AP391" s="3"/>
      <c r="AQ391" s="3"/>
      <c r="AR391" s="3" t="s">
        <v>52</v>
      </c>
      <c r="AW391" s="8" t="s">
        <v>2453</v>
      </c>
    </row>
    <row r="392" hidden="1">
      <c r="A392" s="3">
        <v>613.0</v>
      </c>
      <c r="B392" s="3" t="s">
        <v>55</v>
      </c>
      <c r="D392" s="3">
        <v>1997.0</v>
      </c>
      <c r="E392" s="3" t="s">
        <v>1348</v>
      </c>
      <c r="F392" s="3" t="s">
        <v>458</v>
      </c>
      <c r="G392" s="3"/>
      <c r="H392" s="3" t="s">
        <v>58</v>
      </c>
      <c r="I392" s="3"/>
      <c r="J392" s="3" t="s">
        <v>58</v>
      </c>
      <c r="K392" s="3"/>
      <c r="L392" s="3"/>
      <c r="M392" s="3" t="s">
        <v>69</v>
      </c>
      <c r="S392" s="3"/>
      <c r="T392" s="3"/>
      <c r="U392" s="3"/>
      <c r="V392" s="3"/>
      <c r="AC392" s="3" t="s">
        <v>244</v>
      </c>
      <c r="AL392" s="3"/>
      <c r="AM392" s="3"/>
      <c r="AN392" s="3"/>
      <c r="AO392" s="3"/>
      <c r="AP392" s="3"/>
      <c r="AQ392" s="3"/>
      <c r="AR392" s="3" t="s">
        <v>54</v>
      </c>
      <c r="AW392" s="8" t="s">
        <v>2135</v>
      </c>
    </row>
    <row r="393" hidden="1">
      <c r="A393" s="3">
        <v>616.0</v>
      </c>
      <c r="B393" s="3" t="s">
        <v>55</v>
      </c>
      <c r="D393" s="3">
        <v>2001.0</v>
      </c>
      <c r="E393" s="3" t="s">
        <v>1352</v>
      </c>
      <c r="F393" s="3" t="s">
        <v>458</v>
      </c>
      <c r="G393" s="3"/>
      <c r="H393" s="3" t="s">
        <v>58</v>
      </c>
      <c r="I393" s="3"/>
      <c r="J393" s="3" t="s">
        <v>58</v>
      </c>
      <c r="K393" s="3"/>
      <c r="L393" s="3"/>
      <c r="M393" s="3" t="s">
        <v>69</v>
      </c>
      <c r="S393" s="3"/>
      <c r="T393" s="3"/>
      <c r="U393" s="3"/>
      <c r="V393" s="3"/>
      <c r="AC393" s="3" t="s">
        <v>244</v>
      </c>
      <c r="AL393" s="3"/>
      <c r="AM393" s="3"/>
      <c r="AN393" s="3"/>
      <c r="AO393" s="3"/>
      <c r="AP393" s="3"/>
      <c r="AQ393" s="3"/>
      <c r="AR393" s="3" t="s">
        <v>54</v>
      </c>
      <c r="AW393" s="8" t="s">
        <v>2135</v>
      </c>
    </row>
    <row r="394">
      <c r="A394" s="3">
        <v>680.0</v>
      </c>
      <c r="B394" s="3" t="s">
        <v>40</v>
      </c>
      <c r="C394" s="3" t="s">
        <v>1472</v>
      </c>
      <c r="D394" s="3">
        <v>2004.0</v>
      </c>
      <c r="E394" s="3" t="s">
        <v>1473</v>
      </c>
      <c r="F394" s="3" t="s">
        <v>311</v>
      </c>
      <c r="G394" s="3" t="s">
        <v>2450</v>
      </c>
      <c r="H394" s="3" t="s">
        <v>58</v>
      </c>
      <c r="I394" s="3" t="s">
        <v>2142</v>
      </c>
      <c r="J394" s="3" t="s">
        <v>58</v>
      </c>
      <c r="L394" s="3" t="s">
        <v>2218</v>
      </c>
      <c r="M394" s="3" t="s">
        <v>254</v>
      </c>
      <c r="S394" s="9"/>
      <c r="T394" s="3"/>
      <c r="U394" s="3"/>
      <c r="V394" s="3"/>
      <c r="AL394" s="9" t="str">
        <f t="array" ref="AL394">"[" &amp; TEXTJOIN(", ", TRUE, IF(LEN(AM394:AQ394), CHAR(34)&amp;AM394:AQ394&amp;CHAR(34), )) &amp; "]"
</f>
        <v>[]</v>
      </c>
      <c r="AN394" s="3"/>
      <c r="AO394" s="3"/>
      <c r="AP394" s="3"/>
      <c r="AQ394" s="3"/>
      <c r="AR394" s="3" t="s">
        <v>78</v>
      </c>
      <c r="AW394" s="8" t="s">
        <v>2454</v>
      </c>
    </row>
    <row r="395" hidden="1">
      <c r="A395" s="3">
        <v>902.0</v>
      </c>
      <c r="B395" s="3" t="s">
        <v>106</v>
      </c>
      <c r="C395" s="3" t="s">
        <v>1913</v>
      </c>
      <c r="D395" s="3">
        <v>1993.0</v>
      </c>
      <c r="E395" s="3" t="s">
        <v>1914</v>
      </c>
      <c r="F395" s="3" t="s">
        <v>458</v>
      </c>
      <c r="G395" s="3"/>
      <c r="H395" s="3" t="s">
        <v>58</v>
      </c>
      <c r="I395" s="3"/>
      <c r="K395" s="3"/>
      <c r="L395" s="3"/>
      <c r="M395" s="3" t="s">
        <v>110</v>
      </c>
      <c r="S395" s="3"/>
      <c r="T395" s="3"/>
      <c r="U395" s="3"/>
      <c r="V395" s="3"/>
      <c r="AC395" s="3" t="s">
        <v>62</v>
      </c>
      <c r="AL395" s="3"/>
      <c r="AM395" s="3"/>
      <c r="AN395" s="3"/>
      <c r="AO395" s="3"/>
      <c r="AP395" s="3"/>
      <c r="AQ395" s="3"/>
      <c r="AR395" s="3" t="s">
        <v>64</v>
      </c>
    </row>
    <row r="396" hidden="1">
      <c r="A396" s="3">
        <v>943.0</v>
      </c>
      <c r="B396" s="3" t="s">
        <v>40</v>
      </c>
      <c r="C396" s="3" t="s">
        <v>1992</v>
      </c>
      <c r="D396" s="3">
        <v>2017.0</v>
      </c>
      <c r="E396" s="3" t="s">
        <v>1993</v>
      </c>
      <c r="F396" s="3" t="s">
        <v>458</v>
      </c>
      <c r="G396" s="3"/>
      <c r="H396" s="3" t="s">
        <v>58</v>
      </c>
      <c r="I396" s="3"/>
      <c r="J396" s="3" t="s">
        <v>58</v>
      </c>
      <c r="K396" s="3"/>
      <c r="L396" s="3"/>
      <c r="M396" s="3" t="s">
        <v>96</v>
      </c>
      <c r="S396" s="3"/>
      <c r="T396" s="3"/>
      <c r="U396" s="3"/>
      <c r="V396" s="3"/>
      <c r="AC396" s="3" t="s">
        <v>70</v>
      </c>
      <c r="AL396" s="3"/>
      <c r="AM396" s="3"/>
      <c r="AN396" s="3"/>
      <c r="AO396" s="3"/>
      <c r="AP396" s="3"/>
      <c r="AQ396" s="3"/>
      <c r="AR396" s="3" t="s">
        <v>71</v>
      </c>
    </row>
    <row r="397" hidden="1">
      <c r="A397" s="3">
        <v>150.0</v>
      </c>
      <c r="B397" s="3" t="s">
        <v>55</v>
      </c>
      <c r="D397" s="3">
        <v>2012.0</v>
      </c>
      <c r="E397" s="3" t="s">
        <v>472</v>
      </c>
      <c r="F397" s="3" t="s">
        <v>473</v>
      </c>
      <c r="G397" s="3"/>
      <c r="H397" s="3" t="s">
        <v>142</v>
      </c>
      <c r="I397" s="3"/>
      <c r="J397" s="3" t="s">
        <v>142</v>
      </c>
      <c r="K397" s="3"/>
      <c r="L397" s="3"/>
      <c r="M397" s="3" t="s">
        <v>59</v>
      </c>
      <c r="S397" s="3"/>
      <c r="T397" s="3"/>
      <c r="U397" s="3"/>
      <c r="V397" s="3"/>
      <c r="AC397" s="3" t="s">
        <v>61</v>
      </c>
      <c r="AL397" s="3"/>
      <c r="AM397" s="3"/>
      <c r="AN397" s="3"/>
      <c r="AO397" s="3"/>
      <c r="AP397" s="3"/>
      <c r="AQ397" s="3"/>
      <c r="AR397" s="3" t="s">
        <v>52</v>
      </c>
      <c r="AS397" s="3" t="s">
        <v>78</v>
      </c>
      <c r="AW397" s="8" t="s">
        <v>2135</v>
      </c>
    </row>
    <row r="398">
      <c r="A398" s="3">
        <v>845.0</v>
      </c>
      <c r="B398" s="3" t="s">
        <v>40</v>
      </c>
      <c r="C398" s="3" t="s">
        <v>1804</v>
      </c>
      <c r="D398" s="3">
        <v>2010.0</v>
      </c>
      <c r="E398" s="3" t="s">
        <v>1805</v>
      </c>
      <c r="F398" s="3" t="s">
        <v>311</v>
      </c>
      <c r="G398" s="3" t="s">
        <v>2450</v>
      </c>
      <c r="H398" s="3" t="s">
        <v>58</v>
      </c>
      <c r="I398" s="3" t="s">
        <v>2142</v>
      </c>
      <c r="J398" s="3" t="s">
        <v>58</v>
      </c>
      <c r="L398" s="3" t="s">
        <v>2143</v>
      </c>
      <c r="M398" s="3" t="s">
        <v>110</v>
      </c>
      <c r="S398" s="9" t="str">
        <f t="array" ref="S398">"[" &amp; TEXTJOIN(", ", TRUE, IF(LEN(T398:AB398), CHAR(34)&amp;T398:AB398&amp;CHAR(34), )) &amp; "]"
</f>
        <v>["Industrial &amp; military effluents"]</v>
      </c>
      <c r="T398" s="3" t="s">
        <v>147</v>
      </c>
      <c r="U398" s="3"/>
      <c r="V398" s="3"/>
      <c r="AC398" s="3" t="s">
        <v>147</v>
      </c>
      <c r="AL398" s="9" t="str">
        <f t="array" ref="AL398">"[" &amp; TEXTJOIN(", ", TRUE, IF(LEN(AM398:AQ398), CHAR(34)&amp;AM398:AQ398&amp;CHAR(34), )) &amp; "]"
</f>
        <v>["Pollution"]</v>
      </c>
      <c r="AM398" s="3" t="s">
        <v>64</v>
      </c>
      <c r="AN398" s="3"/>
      <c r="AO398" s="3"/>
      <c r="AP398" s="3"/>
      <c r="AQ398" s="3"/>
      <c r="AR398" s="3" t="s">
        <v>64</v>
      </c>
      <c r="AW398" s="8" t="s">
        <v>2455</v>
      </c>
    </row>
    <row r="399" hidden="1">
      <c r="A399" s="3">
        <v>974.0</v>
      </c>
      <c r="B399" s="3" t="s">
        <v>40</v>
      </c>
      <c r="C399" s="3" t="s">
        <v>2055</v>
      </c>
      <c r="D399" s="3">
        <v>2005.0</v>
      </c>
      <c r="E399" s="3" t="s">
        <v>2056</v>
      </c>
      <c r="F399" s="3" t="s">
        <v>473</v>
      </c>
      <c r="G399" s="3"/>
      <c r="H399" s="3" t="s">
        <v>142</v>
      </c>
      <c r="I399" s="3"/>
      <c r="J399" s="3" t="s">
        <v>142</v>
      </c>
      <c r="K399" s="3"/>
      <c r="L399" s="3"/>
      <c r="M399" s="3" t="s">
        <v>110</v>
      </c>
      <c r="S399" s="3"/>
      <c r="T399" s="3"/>
      <c r="U399" s="3"/>
      <c r="V399" s="3"/>
      <c r="AC399" s="3" t="s">
        <v>63</v>
      </c>
      <c r="AL399" s="3"/>
      <c r="AM399" s="3"/>
      <c r="AN399" s="3"/>
      <c r="AO399" s="3"/>
      <c r="AP399" s="3"/>
      <c r="AQ399" s="3"/>
      <c r="AR399" s="3" t="s">
        <v>65</v>
      </c>
    </row>
    <row r="400">
      <c r="A400" s="3">
        <v>757.0</v>
      </c>
      <c r="B400" s="3" t="s">
        <v>40</v>
      </c>
      <c r="C400" s="3" t="s">
        <v>1628</v>
      </c>
      <c r="D400" s="3">
        <v>2012.0</v>
      </c>
      <c r="E400" s="3" t="s">
        <v>1629</v>
      </c>
      <c r="F400" s="3" t="s">
        <v>328</v>
      </c>
      <c r="G400" s="3" t="s">
        <v>2456</v>
      </c>
      <c r="H400" s="3" t="s">
        <v>124</v>
      </c>
      <c r="I400" s="3" t="s">
        <v>2283</v>
      </c>
      <c r="J400" s="3" t="s">
        <v>124</v>
      </c>
      <c r="K400" s="3" t="s">
        <v>2357</v>
      </c>
      <c r="L400" s="3" t="s">
        <v>2143</v>
      </c>
      <c r="M400" s="3" t="s">
        <v>110</v>
      </c>
      <c r="S400" s="9" t="str">
        <f t="array" ref="S400">"[" &amp; TEXTJOIN(", ", TRUE, IF(LEN(T400:AB400), CHAR(34)&amp;T400:AB400&amp;CHAR(34), )) &amp; "]"
</f>
        <v>["Hunting &amp; collecting terrestrial animals"]</v>
      </c>
      <c r="U400" s="3"/>
      <c r="V400" s="3"/>
      <c r="Y400" s="3" t="s">
        <v>2178</v>
      </c>
      <c r="AC400" s="3" t="s">
        <v>87</v>
      </c>
      <c r="AF400" s="3" t="s">
        <v>143</v>
      </c>
      <c r="AH400" s="3" t="s">
        <v>61</v>
      </c>
      <c r="AL400" s="9" t="str">
        <f t="array" ref="AL400">"[" &amp; TEXTJOIN(", ", TRUE, IF(LEN(AM400:AQ400), CHAR(34)&amp;AM400:AQ400&amp;CHAR(34), )) &amp; "]"
</f>
        <v>["Pollution", "Natural system modifications", "Biological resource use"]</v>
      </c>
      <c r="AM400" s="3" t="s">
        <v>64</v>
      </c>
      <c r="AN400" s="3" t="s">
        <v>53</v>
      </c>
      <c r="AO400" s="3" t="s">
        <v>52</v>
      </c>
      <c r="AP400" s="3"/>
      <c r="AQ400" s="3"/>
      <c r="AR400" s="3" t="s">
        <v>64</v>
      </c>
      <c r="AS400" s="3" t="s">
        <v>53</v>
      </c>
      <c r="AT400" s="3" t="s">
        <v>52</v>
      </c>
      <c r="AW400" s="8" t="s">
        <v>2457</v>
      </c>
    </row>
    <row r="401">
      <c r="A401" s="3">
        <v>125.0</v>
      </c>
      <c r="B401" s="3" t="s">
        <v>40</v>
      </c>
      <c r="C401" s="3" t="s">
        <v>419</v>
      </c>
      <c r="D401" s="3">
        <v>2009.0</v>
      </c>
      <c r="E401" s="3" t="s">
        <v>420</v>
      </c>
      <c r="F401" s="3" t="s">
        <v>328</v>
      </c>
      <c r="G401" s="3" t="s">
        <v>2456</v>
      </c>
      <c r="H401" s="3" t="s">
        <v>124</v>
      </c>
      <c r="I401" s="3" t="s">
        <v>2283</v>
      </c>
      <c r="J401" s="3" t="s">
        <v>124</v>
      </c>
      <c r="K401" s="3" t="s">
        <v>2357</v>
      </c>
      <c r="L401" s="3" t="s">
        <v>2361</v>
      </c>
      <c r="M401" s="3" t="s">
        <v>155</v>
      </c>
      <c r="S401" s="9" t="str">
        <f t="array" ref="S401">"[" &amp; TEXTJOIN(", ", TRUE, IF(LEN(T401:AB401), CHAR(34)&amp;T401:AB401&amp;CHAR(34), )) &amp; "]"
</f>
        <v>["Hunting &amp; Collecting Terrestrial Animals", "Dams &amp; water management/use"]</v>
      </c>
      <c r="T401" s="3" t="s">
        <v>2138</v>
      </c>
      <c r="U401" s="3"/>
      <c r="V401" s="3"/>
      <c r="W401" s="3" t="s">
        <v>49</v>
      </c>
      <c r="AC401" s="3" t="s">
        <v>61</v>
      </c>
      <c r="AF401" s="3" t="s">
        <v>49</v>
      </c>
      <c r="AL401" s="9" t="str">
        <f t="array" ref="AL401">"[" &amp; TEXTJOIN(", ", TRUE, IF(LEN(AM401:AQ401), CHAR(34)&amp;AM401:AQ401&amp;CHAR(34), )) &amp; "]"
</f>
        <v>["Biological resource use", "Natural system modifications"]</v>
      </c>
      <c r="AM401" s="3" t="s">
        <v>52</v>
      </c>
      <c r="AN401" s="3" t="s">
        <v>53</v>
      </c>
      <c r="AP401" s="3"/>
      <c r="AQ401" s="3"/>
      <c r="AR401" s="3" t="s">
        <v>52</v>
      </c>
      <c r="AS401" s="3" t="s">
        <v>53</v>
      </c>
      <c r="AT401" s="3" t="s">
        <v>78</v>
      </c>
      <c r="AW401" s="8" t="s">
        <v>2458</v>
      </c>
    </row>
    <row r="402">
      <c r="A402" s="3">
        <v>302.0</v>
      </c>
      <c r="B402" s="3" t="s">
        <v>40</v>
      </c>
      <c r="C402" s="3" t="s">
        <v>772</v>
      </c>
      <c r="D402" s="3">
        <v>2010.0</v>
      </c>
      <c r="E402" s="3" t="s">
        <v>773</v>
      </c>
      <c r="F402" s="3" t="s">
        <v>328</v>
      </c>
      <c r="G402" s="3" t="s">
        <v>2456</v>
      </c>
      <c r="H402" s="3" t="s">
        <v>124</v>
      </c>
      <c r="I402" s="3" t="s">
        <v>2283</v>
      </c>
      <c r="J402" s="3" t="s">
        <v>124</v>
      </c>
      <c r="K402" s="3" t="s">
        <v>2357</v>
      </c>
      <c r="L402" s="3" t="s">
        <v>2361</v>
      </c>
      <c r="M402" s="3" t="s">
        <v>155</v>
      </c>
      <c r="S402" s="9" t="str">
        <f t="array" ref="S402">"[" &amp; TEXTJOIN(", ", TRUE, IF(LEN(T402:AB402), CHAR(34)&amp;T402:AB402&amp;CHAR(34), )) &amp; "]"
</f>
        <v>["Hunting &amp; Collecting Terrestrial Animals"]</v>
      </c>
      <c r="T402" s="3" t="s">
        <v>2138</v>
      </c>
      <c r="U402" s="3"/>
      <c r="V402" s="3"/>
      <c r="AC402" s="3" t="s">
        <v>61</v>
      </c>
      <c r="AL402" s="9" t="str">
        <f t="array" ref="AL402">"[" &amp; TEXTJOIN(", ", TRUE, IF(LEN(AM402:AQ402), CHAR(34)&amp;AM402:AQ402&amp;CHAR(34), )) &amp; "]"
</f>
        <v>["Biological resource use"]</v>
      </c>
      <c r="AM402" s="3" t="s">
        <v>52</v>
      </c>
      <c r="AN402" s="3"/>
      <c r="AO402" s="3"/>
      <c r="AP402" s="3"/>
      <c r="AQ402" s="3"/>
      <c r="AR402" s="3" t="s">
        <v>52</v>
      </c>
      <c r="AW402" s="8" t="s">
        <v>2459</v>
      </c>
    </row>
    <row r="403">
      <c r="A403" s="3">
        <v>329.0</v>
      </c>
      <c r="B403" s="3" t="s">
        <v>40</v>
      </c>
      <c r="C403" s="3" t="s">
        <v>826</v>
      </c>
      <c r="D403" s="3">
        <v>2016.0</v>
      </c>
      <c r="E403" s="3" t="s">
        <v>827</v>
      </c>
      <c r="F403" s="3" t="s">
        <v>328</v>
      </c>
      <c r="G403" s="3" t="s">
        <v>2456</v>
      </c>
      <c r="H403" s="3" t="s">
        <v>124</v>
      </c>
      <c r="I403" s="3" t="s">
        <v>2283</v>
      </c>
      <c r="J403" s="3" t="s">
        <v>124</v>
      </c>
      <c r="K403" s="3" t="s">
        <v>2357</v>
      </c>
      <c r="L403" s="3" t="s">
        <v>2460</v>
      </c>
      <c r="M403" s="3" t="s">
        <v>285</v>
      </c>
      <c r="N403" s="3" t="s">
        <v>103</v>
      </c>
      <c r="S403" s="9" t="str">
        <f t="array" ref="S403">"[" &amp; TEXTJOIN(", ", TRUE, IF(LEN(T403:AB403), CHAR(34)&amp;T403:AB403&amp;CHAR(34), )) &amp; "]"
</f>
        <v>["Hunting &amp; Collecting Terrestrial Animals"]</v>
      </c>
      <c r="T403" s="3" t="s">
        <v>2138</v>
      </c>
      <c r="U403" s="3"/>
      <c r="V403" s="3"/>
      <c r="AC403" s="3" t="s">
        <v>61</v>
      </c>
      <c r="AL403" s="9" t="str">
        <f t="array" ref="AL403">"[" &amp; TEXTJOIN(", ", TRUE, IF(LEN(AM403:AQ403), CHAR(34)&amp;AM403:AQ403&amp;CHAR(34), )) &amp; "]"
</f>
        <v>["Biological resource use"]</v>
      </c>
      <c r="AM403" s="3" t="s">
        <v>52</v>
      </c>
      <c r="AN403" s="3"/>
      <c r="AO403" s="3"/>
      <c r="AP403" s="3"/>
      <c r="AQ403" s="3"/>
      <c r="AR403" s="3" t="s">
        <v>52</v>
      </c>
      <c r="AW403" s="8" t="s">
        <v>2461</v>
      </c>
    </row>
    <row r="404">
      <c r="A404" s="3">
        <v>323.0</v>
      </c>
      <c r="B404" s="3" t="s">
        <v>40</v>
      </c>
      <c r="C404" s="3" t="s">
        <v>814</v>
      </c>
      <c r="D404" s="3">
        <v>2014.0</v>
      </c>
      <c r="E404" s="3" t="s">
        <v>815</v>
      </c>
      <c r="F404" s="3" t="s">
        <v>341</v>
      </c>
      <c r="G404" s="3" t="s">
        <v>2462</v>
      </c>
      <c r="H404" s="3" t="s">
        <v>44</v>
      </c>
      <c r="I404" s="3" t="s">
        <v>2147</v>
      </c>
      <c r="J404" s="3" t="s">
        <v>45</v>
      </c>
      <c r="L404" s="3" t="s">
        <v>2186</v>
      </c>
      <c r="M404" s="3" t="s">
        <v>46</v>
      </c>
      <c r="S404" s="9" t="str">
        <f t="array" ref="S404">"[" &amp; TEXTJOIN(", ", TRUE, IF(LEN(T404:AB404), CHAR(34)&amp;T404:AB404&amp;CHAR(34), )) &amp; "]"
</f>
        <v>["Hunting &amp; Collecting Terrestrial Animals"]</v>
      </c>
      <c r="T404" s="3" t="s">
        <v>2138</v>
      </c>
      <c r="U404" s="3"/>
      <c r="V404" s="3"/>
      <c r="AC404" s="3" t="s">
        <v>61</v>
      </c>
      <c r="AL404" s="9" t="str">
        <f t="array" ref="AL404">"[" &amp; TEXTJOIN(", ", TRUE, IF(LEN(AM404:AQ404), CHAR(34)&amp;AM404:AQ404&amp;CHAR(34), )) &amp; "]"
</f>
        <v>["Biological resource use"]</v>
      </c>
      <c r="AM404" s="3" t="s">
        <v>52</v>
      </c>
      <c r="AN404" s="3"/>
      <c r="AO404" s="3"/>
      <c r="AP404" s="3"/>
      <c r="AQ404" s="3"/>
      <c r="AR404" s="3" t="s">
        <v>52</v>
      </c>
      <c r="AW404" s="8" t="s">
        <v>2463</v>
      </c>
    </row>
    <row r="405" hidden="1">
      <c r="A405" s="3">
        <v>392.0</v>
      </c>
      <c r="B405" s="3" t="s">
        <v>55</v>
      </c>
      <c r="D405" s="3">
        <v>1992.0</v>
      </c>
      <c r="E405" s="3" t="s">
        <v>941</v>
      </c>
      <c r="F405" s="3" t="s">
        <v>201</v>
      </c>
      <c r="G405" s="3"/>
      <c r="H405" s="3" t="s">
        <v>58</v>
      </c>
      <c r="I405" s="3"/>
      <c r="J405" s="3" t="s">
        <v>58</v>
      </c>
      <c r="K405" s="3"/>
      <c r="L405" s="3"/>
      <c r="M405" s="3" t="s">
        <v>285</v>
      </c>
      <c r="S405" s="3"/>
      <c r="T405" s="3"/>
      <c r="U405" s="3"/>
      <c r="V405" s="3"/>
      <c r="AC405" s="3" t="s">
        <v>61</v>
      </c>
      <c r="AL405" s="3"/>
      <c r="AM405" s="3"/>
      <c r="AN405" s="3"/>
      <c r="AO405" s="3"/>
      <c r="AP405" s="3"/>
      <c r="AQ405" s="3"/>
      <c r="AR405" s="3" t="s">
        <v>52</v>
      </c>
      <c r="AW405" s="8" t="s">
        <v>2135</v>
      </c>
    </row>
    <row r="406">
      <c r="A406" s="3">
        <v>88.0</v>
      </c>
      <c r="B406" s="3" t="s">
        <v>40</v>
      </c>
      <c r="C406" s="3" t="s">
        <v>339</v>
      </c>
      <c r="D406" s="3">
        <v>2014.0</v>
      </c>
      <c r="E406" s="3" t="s">
        <v>340</v>
      </c>
      <c r="F406" s="3" t="s">
        <v>341</v>
      </c>
      <c r="G406" s="3" t="s">
        <v>2462</v>
      </c>
      <c r="H406" s="3" t="s">
        <v>44</v>
      </c>
      <c r="I406" s="3" t="s">
        <v>2147</v>
      </c>
      <c r="J406" s="3" t="s">
        <v>45</v>
      </c>
      <c r="L406" s="3" t="s">
        <v>2186</v>
      </c>
      <c r="M406" s="3" t="s">
        <v>46</v>
      </c>
      <c r="S406" s="9" t="str">
        <f t="array" ref="S406">"[" &amp; TEXTJOIN(", ", TRUE, IF(LEN(T406:AB406), CHAR(34)&amp;T406:AB406&amp;CHAR(34), )) &amp; "]"
</f>
        <v>["Hunting &amp; Collecting Terrestrial Animals", "Logging &amp; Wood Harvesting", "Mining &amp; quarrying", "Livestock farming &amp; ranching", "Industrial &amp; military effluents"]</v>
      </c>
      <c r="T406" s="3" t="s">
        <v>2138</v>
      </c>
      <c r="U406" s="3" t="s">
        <v>2139</v>
      </c>
      <c r="V406" s="3"/>
      <c r="W406" s="3" t="s">
        <v>238</v>
      </c>
      <c r="Y406" s="3" t="s">
        <v>47</v>
      </c>
      <c r="AA406" s="3" t="s">
        <v>147</v>
      </c>
      <c r="AC406" s="3" t="s">
        <v>61</v>
      </c>
      <c r="AD406" s="3" t="s">
        <v>48</v>
      </c>
      <c r="AF406" s="3" t="s">
        <v>238</v>
      </c>
      <c r="AH406" s="3" t="s">
        <v>47</v>
      </c>
      <c r="AJ406" s="3" t="s">
        <v>147</v>
      </c>
      <c r="AL406" s="9" t="str">
        <f t="array" ref="AL406">"[" &amp; TEXTJOIN(", ", TRUE, IF(LEN(AM406:AQ406), CHAR(34)&amp;AM406:AQ406&amp;CHAR(34), )) &amp; "]"
</f>
        <v>["Biological resource use", "Energy production &amp; mining", "Agriculture &amp; aquaculture", "Pollution"]</v>
      </c>
      <c r="AM406" s="3" t="s">
        <v>52</v>
      </c>
      <c r="AN406" s="3" t="s">
        <v>235</v>
      </c>
      <c r="AO406" s="3" t="s">
        <v>51</v>
      </c>
      <c r="AP406" s="3" t="s">
        <v>64</v>
      </c>
      <c r="AQ406" s="3"/>
      <c r="AR406" s="3" t="s">
        <v>52</v>
      </c>
      <c r="AS406" s="3" t="s">
        <v>235</v>
      </c>
      <c r="AT406" s="3" t="s">
        <v>51</v>
      </c>
      <c r="AU406" s="3" t="s">
        <v>64</v>
      </c>
      <c r="AW406" s="8" t="s">
        <v>2464</v>
      </c>
    </row>
    <row r="407">
      <c r="A407" s="3">
        <v>135.0</v>
      </c>
      <c r="B407" s="3" t="s">
        <v>40</v>
      </c>
      <c r="C407" s="3" t="s">
        <v>439</v>
      </c>
      <c r="D407" s="3">
        <v>2018.0</v>
      </c>
      <c r="E407" s="3" t="s">
        <v>440</v>
      </c>
      <c r="F407" s="3" t="s">
        <v>441</v>
      </c>
      <c r="G407" s="3" t="s">
        <v>2465</v>
      </c>
      <c r="H407" s="3" t="s">
        <v>101</v>
      </c>
      <c r="I407" s="3" t="s">
        <v>2283</v>
      </c>
      <c r="J407" s="3" t="s">
        <v>102</v>
      </c>
      <c r="L407" s="3" t="s">
        <v>2358</v>
      </c>
      <c r="M407" s="3" t="s">
        <v>205</v>
      </c>
      <c r="S407" s="9" t="str">
        <f t="array" ref="S407">"[" &amp; TEXTJOIN(", ", TRUE, IF(LEN(T407:AB407), CHAR(34)&amp;T407:AB407&amp;CHAR(34), )) &amp; "]"
</f>
        <v>["Hunting &amp; Collecting Terrestrial Animals"]</v>
      </c>
      <c r="T407" s="3" t="s">
        <v>2138</v>
      </c>
      <c r="U407" s="3"/>
      <c r="V407" s="3"/>
      <c r="AC407" s="3" t="s">
        <v>61</v>
      </c>
      <c r="AF407" s="3" t="s">
        <v>134</v>
      </c>
      <c r="AL407" s="9" t="str">
        <f t="array" ref="AL407">"[" &amp; TEXTJOIN(", ", TRUE, IF(LEN(AM407:AQ407), CHAR(34)&amp;AM407:AQ407&amp;CHAR(34), )) &amp; "]"
</f>
        <v>["Biological resource use", "Natural system modifications"]</v>
      </c>
      <c r="AM407" s="3" t="s">
        <v>52</v>
      </c>
      <c r="AN407" s="3" t="s">
        <v>53</v>
      </c>
      <c r="AO407" s="3"/>
      <c r="AP407" s="3"/>
      <c r="AQ407" s="3"/>
      <c r="AR407" s="3" t="s">
        <v>52</v>
      </c>
      <c r="AS407" s="3" t="s">
        <v>53</v>
      </c>
      <c r="AW407" s="8" t="s">
        <v>2466</v>
      </c>
    </row>
    <row r="408">
      <c r="A408" s="3">
        <v>738.0</v>
      </c>
      <c r="B408" s="3" t="s">
        <v>40</v>
      </c>
      <c r="C408" s="3" t="s">
        <v>1592</v>
      </c>
      <c r="D408" s="3">
        <v>2013.0</v>
      </c>
      <c r="E408" s="3" t="s">
        <v>1593</v>
      </c>
      <c r="F408" s="3" t="s">
        <v>295</v>
      </c>
      <c r="G408" s="3" t="s">
        <v>2467</v>
      </c>
      <c r="H408" s="3" t="s">
        <v>58</v>
      </c>
      <c r="I408" s="3" t="s">
        <v>2142</v>
      </c>
      <c r="J408" s="3" t="s">
        <v>58</v>
      </c>
      <c r="L408" s="3" t="s">
        <v>2143</v>
      </c>
      <c r="M408" s="3" t="s">
        <v>110</v>
      </c>
      <c r="S408" s="9" t="str">
        <f t="array" ref="S408">"[" &amp; TEXTJOIN(", ", TRUE, IF(LEN(T408:AB408), CHAR(34)&amp;T408:AB408&amp;CHAR(34), )) &amp; "]"
</f>
        <v>["Industrial &amp; military effluents", "Hunting &amp; collecting terrestrial animals", "Fishing &amp; harvesting aquatic resources", "Roads &amp; railroads"]</v>
      </c>
      <c r="T408" s="3" t="s">
        <v>147</v>
      </c>
      <c r="U408" s="3"/>
      <c r="V408" s="3"/>
      <c r="W408" s="3" t="s">
        <v>2178</v>
      </c>
      <c r="X408" s="3" t="s">
        <v>2468</v>
      </c>
      <c r="Y408" s="3" t="s">
        <v>63</v>
      </c>
      <c r="AC408" s="3" t="s">
        <v>147</v>
      </c>
      <c r="AF408" s="3" t="s">
        <v>61</v>
      </c>
      <c r="AG408" s="3" t="s">
        <v>247</v>
      </c>
      <c r="AH408" s="3" t="s">
        <v>63</v>
      </c>
      <c r="AJ408" s="3" t="s">
        <v>143</v>
      </c>
      <c r="AL408" s="9" t="str">
        <f t="array" ref="AL408">"[" &amp; TEXTJOIN(", ", TRUE, IF(LEN(AM408:AQ408), CHAR(34)&amp;AM408:AQ408&amp;CHAR(34), )) &amp; "]"
</f>
        <v>["Pollution", "Biological resource use", "Transportation &amp; service corridors", "Natural system modifications"]</v>
      </c>
      <c r="AM408" s="3" t="s">
        <v>64</v>
      </c>
      <c r="AN408" s="3" t="s">
        <v>52</v>
      </c>
      <c r="AO408" s="3" t="s">
        <v>65</v>
      </c>
      <c r="AP408" s="3" t="s">
        <v>53</v>
      </c>
      <c r="AQ408" s="3"/>
      <c r="AR408" s="3" t="s">
        <v>64</v>
      </c>
      <c r="AS408" s="3" t="s">
        <v>52</v>
      </c>
      <c r="AT408" s="3" t="s">
        <v>65</v>
      </c>
      <c r="AU408" s="3" t="s">
        <v>53</v>
      </c>
      <c r="AW408" s="8" t="s">
        <v>2469</v>
      </c>
    </row>
    <row r="409">
      <c r="A409" s="3">
        <v>72.0</v>
      </c>
      <c r="B409" s="3" t="s">
        <v>40</v>
      </c>
      <c r="C409" s="3" t="s">
        <v>293</v>
      </c>
      <c r="D409" s="3">
        <v>2011.0</v>
      </c>
      <c r="E409" s="3" t="s">
        <v>294</v>
      </c>
      <c r="F409" s="3" t="s">
        <v>295</v>
      </c>
      <c r="G409" s="3" t="s">
        <v>2467</v>
      </c>
      <c r="H409" s="3" t="s">
        <v>58</v>
      </c>
      <c r="I409" s="3" t="s">
        <v>2142</v>
      </c>
      <c r="J409" s="3" t="s">
        <v>58</v>
      </c>
      <c r="L409" s="3" t="s">
        <v>2143</v>
      </c>
      <c r="M409" s="3" t="s">
        <v>110</v>
      </c>
      <c r="S409" s="9" t="str">
        <f t="array" ref="S409">"[" &amp; TEXTJOIN(", ", TRUE, IF(LEN(T409:AB409), CHAR(34)&amp;T409:AB409&amp;CHAR(34), )) &amp; "]"
</f>
        <v>["Fishing &amp; Harvesting Aquatic Resources", "Marine &amp; freshwater aquaculture"]</v>
      </c>
      <c r="T409" s="3" t="s">
        <v>2164</v>
      </c>
      <c r="U409" s="3"/>
      <c r="V409" s="3"/>
      <c r="W409" s="3" t="s">
        <v>111</v>
      </c>
      <c r="AC409" s="3" t="s">
        <v>247</v>
      </c>
      <c r="AF409" s="3" t="s">
        <v>111</v>
      </c>
      <c r="AL409" s="9" t="str">
        <f t="array" ref="AL409">"[" &amp; TEXTJOIN(", ", TRUE, IF(LEN(AM409:AQ409), CHAR(34)&amp;AM409:AQ409&amp;CHAR(34), )) &amp; "]"
</f>
        <v>["Biological resource use", "Agriculture &amp; aquaculture"]</v>
      </c>
      <c r="AM409" s="3" t="s">
        <v>52</v>
      </c>
      <c r="AN409" s="3" t="s">
        <v>51</v>
      </c>
      <c r="AO409" s="3"/>
      <c r="AP409" s="3"/>
      <c r="AQ409" s="3"/>
      <c r="AR409" s="3" t="s">
        <v>52</v>
      </c>
      <c r="AS409" s="3" t="s">
        <v>51</v>
      </c>
      <c r="AW409" s="8" t="s">
        <v>2470</v>
      </c>
    </row>
    <row r="410">
      <c r="A410" s="3">
        <v>630.0</v>
      </c>
      <c r="B410" s="3" t="s">
        <v>40</v>
      </c>
      <c r="C410" s="3" t="s">
        <v>1376</v>
      </c>
      <c r="D410" s="3">
        <v>1992.0</v>
      </c>
      <c r="E410" s="3" t="s">
        <v>1377</v>
      </c>
      <c r="F410" s="3" t="s">
        <v>75</v>
      </c>
      <c r="G410" s="3" t="s">
        <v>2471</v>
      </c>
      <c r="H410" s="3" t="s">
        <v>58</v>
      </c>
      <c r="I410" s="3" t="s">
        <v>2142</v>
      </c>
      <c r="J410" s="3" t="s">
        <v>58</v>
      </c>
      <c r="L410" s="3" t="s">
        <v>2143</v>
      </c>
      <c r="M410" s="3" t="s">
        <v>110</v>
      </c>
      <c r="S410" s="9" t="str">
        <f t="array" ref="S410">"[" &amp; TEXTJOIN(", ", TRUE, IF(LEN(T410:AB410), CHAR(34)&amp;T410:AB410&amp;CHAR(34), )) &amp; "]"
</f>
        <v>["Dams &amp; water management/use", "Recreational activities"]</v>
      </c>
      <c r="T410" s="3" t="s">
        <v>49</v>
      </c>
      <c r="U410" s="3"/>
      <c r="V410" s="3"/>
      <c r="W410" s="3" t="s">
        <v>162</v>
      </c>
      <c r="AC410" s="3" t="s">
        <v>49</v>
      </c>
      <c r="AF410" s="3" t="s">
        <v>162</v>
      </c>
      <c r="AL410" s="9" t="str">
        <f t="array" ref="AL410">"[" &amp; TEXTJOIN(", ", TRUE, IF(LEN(AM410:AQ410), CHAR(34)&amp;AM410:AQ410&amp;CHAR(34), )) &amp; "]"
</f>
        <v>["Natural system modifications", "Human intrusions &amp; disturbance"]</v>
      </c>
      <c r="AM410" s="3" t="s">
        <v>53</v>
      </c>
      <c r="AN410" s="3" t="s">
        <v>121</v>
      </c>
      <c r="AO410" s="3"/>
      <c r="AP410" s="3"/>
      <c r="AQ410" s="3"/>
      <c r="AR410" s="3" t="s">
        <v>53</v>
      </c>
      <c r="AS410" s="3" t="s">
        <v>121</v>
      </c>
      <c r="AW410" s="8" t="s">
        <v>2472</v>
      </c>
    </row>
    <row r="411">
      <c r="A411" s="3">
        <v>38.0</v>
      </c>
      <c r="B411" s="3" t="s">
        <v>40</v>
      </c>
      <c r="C411" s="3" t="s">
        <v>197</v>
      </c>
      <c r="D411" s="3">
        <v>2016.0</v>
      </c>
      <c r="E411" s="3" t="s">
        <v>198</v>
      </c>
      <c r="F411" s="3" t="s">
        <v>75</v>
      </c>
      <c r="G411" s="3" t="s">
        <v>2471</v>
      </c>
      <c r="H411" s="3" t="s">
        <v>58</v>
      </c>
      <c r="I411" s="3" t="s">
        <v>2142</v>
      </c>
      <c r="J411" s="3" t="s">
        <v>58</v>
      </c>
      <c r="L411" s="3" t="s">
        <v>2311</v>
      </c>
      <c r="M411" s="3" t="s">
        <v>69</v>
      </c>
      <c r="S411" s="9" t="str">
        <f t="array" ref="S411">"[" &amp; TEXTJOIN(", ", TRUE, IF(LEN(T411:AB411), CHAR(34)&amp;T411:AB411&amp;CHAR(34), )) &amp; "]"
</f>
        <v>["Annual &amp; perennial non-timber crops", "Livestock farming &amp; ranching"]</v>
      </c>
      <c r="T411" s="3" t="s">
        <v>60</v>
      </c>
      <c r="U411" s="3" t="s">
        <v>47</v>
      </c>
      <c r="V411" s="3"/>
      <c r="AC411" s="3" t="s">
        <v>60</v>
      </c>
      <c r="AD411" s="3" t="s">
        <v>47</v>
      </c>
      <c r="AL411" s="9" t="str">
        <f t="array" ref="AL411">"[" &amp; TEXTJOIN(", ", TRUE, IF(LEN(AM411:AQ411), CHAR(34)&amp;AM411:AQ411&amp;CHAR(34), )) &amp; "]"
</f>
        <v>["Agriculture &amp; aquaculture"]</v>
      </c>
      <c r="AM411" s="3" t="s">
        <v>51</v>
      </c>
      <c r="AN411" s="3"/>
      <c r="AO411" s="3"/>
      <c r="AP411" s="3"/>
      <c r="AQ411" s="3"/>
      <c r="AR411" s="3" t="s">
        <v>51</v>
      </c>
      <c r="AW411" s="8" t="s">
        <v>2473</v>
      </c>
    </row>
    <row r="412">
      <c r="A412" s="3">
        <v>34.0</v>
      </c>
      <c r="B412" s="3" t="s">
        <v>40</v>
      </c>
      <c r="C412" s="3" t="s">
        <v>188</v>
      </c>
      <c r="D412" s="3">
        <v>2009.0</v>
      </c>
      <c r="E412" s="3" t="s">
        <v>189</v>
      </c>
      <c r="F412" s="3" t="s">
        <v>75</v>
      </c>
      <c r="G412" s="3" t="s">
        <v>2471</v>
      </c>
      <c r="H412" s="3" t="s">
        <v>58</v>
      </c>
      <c r="I412" s="3" t="s">
        <v>2142</v>
      </c>
      <c r="J412" s="3" t="s">
        <v>58</v>
      </c>
      <c r="L412" s="3" t="s">
        <v>2143</v>
      </c>
      <c r="M412" s="3" t="s">
        <v>110</v>
      </c>
      <c r="S412" s="9" t="str">
        <f t="array" ref="S412">"[" &amp; TEXTJOIN(", ", TRUE, IF(LEN(T412:AB412), CHAR(34)&amp;T412:AB412&amp;CHAR(34), )) &amp; "]"
</f>
        <v>["Marine &amp; freshwater aquaculture"]</v>
      </c>
      <c r="T412" s="3" t="s">
        <v>111</v>
      </c>
      <c r="U412" s="3"/>
      <c r="V412" s="3"/>
      <c r="AC412" s="3" t="s">
        <v>111</v>
      </c>
      <c r="AL412" s="9" t="str">
        <f t="array" ref="AL412">"[" &amp; TEXTJOIN(", ", TRUE, IF(LEN(AM412:AQ412), CHAR(34)&amp;AM412:AQ412&amp;CHAR(34), )) &amp; "]"
</f>
        <v>["Agriculture &amp; aquaculture"]</v>
      </c>
      <c r="AM412" s="3" t="s">
        <v>51</v>
      </c>
      <c r="AN412" s="3"/>
      <c r="AO412" s="3"/>
      <c r="AP412" s="3"/>
      <c r="AQ412" s="3"/>
      <c r="AR412" s="3" t="s">
        <v>51</v>
      </c>
      <c r="AW412" s="8" t="s">
        <v>2474</v>
      </c>
    </row>
    <row r="413">
      <c r="A413" s="3">
        <v>292.0</v>
      </c>
      <c r="B413" s="3" t="s">
        <v>40</v>
      </c>
      <c r="C413" s="3" t="s">
        <v>750</v>
      </c>
      <c r="D413" s="3">
        <v>2007.0</v>
      </c>
      <c r="E413" s="3" t="s">
        <v>751</v>
      </c>
      <c r="F413" s="3" t="s">
        <v>75</v>
      </c>
      <c r="G413" s="3" t="s">
        <v>2471</v>
      </c>
      <c r="H413" s="3" t="s">
        <v>58</v>
      </c>
      <c r="I413" s="3" t="s">
        <v>2142</v>
      </c>
      <c r="J413" s="3" t="s">
        <v>58</v>
      </c>
      <c r="L413" s="3" t="s">
        <v>2143</v>
      </c>
      <c r="M413" s="3" t="s">
        <v>110</v>
      </c>
      <c r="S413" s="9" t="str">
        <f t="array" ref="S413">"[" &amp; TEXTJOIN(", ", TRUE, IF(LEN(T413:AB413), CHAR(34)&amp;T413:AB413&amp;CHAR(34), )) &amp; "]"
</f>
        <v>["Fishing &amp; Harvesting Aquatic Resources"]</v>
      </c>
      <c r="T413" s="3" t="s">
        <v>2164</v>
      </c>
      <c r="U413" s="3"/>
      <c r="V413" s="3"/>
      <c r="AC413" s="3" t="s">
        <v>247</v>
      </c>
      <c r="AL413" s="9" t="str">
        <f t="array" ref="AL413">"[" &amp; TEXTJOIN(", ", TRUE, IF(LEN(AM413:AQ413), CHAR(34)&amp;AM413:AQ413&amp;CHAR(34), )) &amp; "]"
</f>
        <v>["Biological resource use"]</v>
      </c>
      <c r="AM413" s="3" t="s">
        <v>52</v>
      </c>
      <c r="AN413" s="3"/>
      <c r="AO413" s="3"/>
      <c r="AP413" s="3"/>
      <c r="AQ413" s="3"/>
      <c r="AR413" s="3" t="s">
        <v>52</v>
      </c>
      <c r="AW413" s="8" t="s">
        <v>2475</v>
      </c>
    </row>
    <row r="414">
      <c r="A414" s="3">
        <v>645.0</v>
      </c>
      <c r="B414" s="3" t="s">
        <v>40</v>
      </c>
      <c r="C414" s="3" t="s">
        <v>1359</v>
      </c>
      <c r="D414" s="3">
        <v>2007.0</v>
      </c>
      <c r="E414" s="3" t="s">
        <v>1404</v>
      </c>
      <c r="F414" s="3" t="s">
        <v>75</v>
      </c>
      <c r="G414" s="3" t="s">
        <v>2471</v>
      </c>
      <c r="H414" s="3" t="s">
        <v>58</v>
      </c>
      <c r="I414" s="3" t="s">
        <v>2142</v>
      </c>
      <c r="J414" s="3" t="s">
        <v>58</v>
      </c>
      <c r="L414" s="3" t="s">
        <v>2143</v>
      </c>
      <c r="M414" s="3" t="s">
        <v>110</v>
      </c>
      <c r="S414" s="9" t="str">
        <f t="array" ref="S414">"[" &amp; TEXTJOIN(", ", TRUE, IF(LEN(T414:AB414), CHAR(34)&amp;T414:AB414&amp;CHAR(34), )) &amp; "]"
</f>
        <v>["Dams &amp; water management/use"]</v>
      </c>
      <c r="T414" s="3" t="s">
        <v>49</v>
      </c>
      <c r="U414" s="3"/>
      <c r="V414" s="3"/>
      <c r="AC414" s="3" t="s">
        <v>49</v>
      </c>
      <c r="AL414" s="9" t="str">
        <f t="array" ref="AL414">"[" &amp; TEXTJOIN(", ", TRUE, IF(LEN(AM414:AQ414), CHAR(34)&amp;AM414:AQ414&amp;CHAR(34), )) &amp; "]"
</f>
        <v>["Natural system modifications"]</v>
      </c>
      <c r="AM414" s="3" t="s">
        <v>53</v>
      </c>
      <c r="AN414" s="3"/>
      <c r="AO414" s="3"/>
      <c r="AP414" s="3"/>
      <c r="AQ414" s="3"/>
      <c r="AR414" s="3" t="s">
        <v>53</v>
      </c>
      <c r="AW414" s="8" t="s">
        <v>2476</v>
      </c>
    </row>
    <row r="415">
      <c r="A415" s="3">
        <v>646.0</v>
      </c>
      <c r="B415" s="3" t="s">
        <v>40</v>
      </c>
      <c r="C415" s="3" t="s">
        <v>1405</v>
      </c>
      <c r="D415" s="3">
        <v>2008.0</v>
      </c>
      <c r="E415" s="3" t="s">
        <v>1406</v>
      </c>
      <c r="F415" s="3" t="s">
        <v>75</v>
      </c>
      <c r="G415" s="3" t="s">
        <v>2471</v>
      </c>
      <c r="H415" s="3" t="s">
        <v>58</v>
      </c>
      <c r="I415" s="3" t="s">
        <v>2142</v>
      </c>
      <c r="J415" s="3" t="s">
        <v>58</v>
      </c>
      <c r="L415" s="3" t="s">
        <v>2477</v>
      </c>
      <c r="M415" s="3" t="s">
        <v>110</v>
      </c>
      <c r="N415" s="3" t="s">
        <v>76</v>
      </c>
      <c r="S415" s="9" t="str">
        <f t="array" ref="S415">"[" &amp; TEXTJOIN(", ", TRUE, IF(LEN(T415:AB415), CHAR(34)&amp;T415:AB415&amp;CHAR(34), )) &amp; "]"
</f>
        <v>["Dams &amp; water management/use"]</v>
      </c>
      <c r="T415" s="3" t="s">
        <v>49</v>
      </c>
      <c r="U415" s="3"/>
      <c r="V415" s="3"/>
      <c r="AC415" s="3" t="s">
        <v>49</v>
      </c>
      <c r="AL415" s="9" t="str">
        <f t="array" ref="AL415">"[" &amp; TEXTJOIN(", ", TRUE, IF(LEN(AM415:AQ415), CHAR(34)&amp;AM415:AQ415&amp;CHAR(34), )) &amp; "]"
</f>
        <v>["Natural system modifications"]</v>
      </c>
      <c r="AM415" s="3" t="s">
        <v>53</v>
      </c>
      <c r="AN415" s="3"/>
      <c r="AO415" s="3"/>
      <c r="AP415" s="3"/>
      <c r="AQ415" s="3"/>
      <c r="AR415" s="3" t="s">
        <v>53</v>
      </c>
      <c r="AW415" s="8" t="s">
        <v>2478</v>
      </c>
    </row>
    <row r="416">
      <c r="A416" s="3">
        <v>652.0</v>
      </c>
      <c r="B416" s="3" t="s">
        <v>40</v>
      </c>
      <c r="C416" s="3" t="s">
        <v>1417</v>
      </c>
      <c r="D416" s="3">
        <v>2014.0</v>
      </c>
      <c r="E416" s="3" t="s">
        <v>1418</v>
      </c>
      <c r="F416" s="3" t="s">
        <v>75</v>
      </c>
      <c r="G416" s="3" t="s">
        <v>2471</v>
      </c>
      <c r="H416" s="3" t="s">
        <v>58</v>
      </c>
      <c r="I416" s="3" t="s">
        <v>2142</v>
      </c>
      <c r="J416" s="3" t="s">
        <v>58</v>
      </c>
      <c r="L416" s="3" t="s">
        <v>2143</v>
      </c>
      <c r="M416" s="3" t="s">
        <v>110</v>
      </c>
      <c r="S416" s="9" t="str">
        <f t="array" ref="S416">"[" &amp; TEXTJOIN(", ", TRUE, IF(LEN(T416:AB416), CHAR(34)&amp;T416:AB416&amp;CHAR(34), )) &amp; "]"
</f>
        <v>["Dams &amp; water management/use"]</v>
      </c>
      <c r="T416" s="3" t="s">
        <v>49</v>
      </c>
      <c r="U416" s="3"/>
      <c r="V416" s="3"/>
      <c r="AC416" s="3" t="s">
        <v>49</v>
      </c>
      <c r="AL416" s="9" t="str">
        <f t="array" ref="AL416">"[" &amp; TEXTJOIN(", ", TRUE, IF(LEN(AM416:AQ416), CHAR(34)&amp;AM416:AQ416&amp;CHAR(34), )) &amp; "]"
</f>
        <v>["Natural system modifications"]</v>
      </c>
      <c r="AM416" s="3" t="s">
        <v>53</v>
      </c>
      <c r="AN416" s="3"/>
      <c r="AO416" s="3"/>
      <c r="AP416" s="3"/>
      <c r="AQ416" s="3"/>
      <c r="AR416" s="3" t="s">
        <v>53</v>
      </c>
      <c r="AW416" s="8" t="s">
        <v>2479</v>
      </c>
    </row>
    <row r="417" hidden="1">
      <c r="A417" s="3">
        <v>947.0</v>
      </c>
      <c r="B417" s="3" t="s">
        <v>40</v>
      </c>
      <c r="C417" s="3" t="s">
        <v>2001</v>
      </c>
      <c r="D417" s="3">
        <v>2019.0</v>
      </c>
      <c r="E417" s="3" t="s">
        <v>2002</v>
      </c>
      <c r="F417" s="3" t="s">
        <v>201</v>
      </c>
      <c r="G417" s="3"/>
      <c r="H417" s="3" t="s">
        <v>58</v>
      </c>
      <c r="I417" s="3"/>
      <c r="J417" s="3" t="s">
        <v>58</v>
      </c>
      <c r="K417" s="3"/>
      <c r="L417" s="3"/>
      <c r="M417" s="3" t="s">
        <v>285</v>
      </c>
      <c r="N417" s="3" t="s">
        <v>96</v>
      </c>
      <c r="S417" s="3"/>
      <c r="T417" s="3"/>
      <c r="U417" s="3"/>
      <c r="V417" s="3"/>
      <c r="AC417" s="3" t="s">
        <v>70</v>
      </c>
      <c r="AL417" s="3"/>
      <c r="AM417" s="3"/>
      <c r="AN417" s="3"/>
      <c r="AO417" s="3"/>
      <c r="AP417" s="3"/>
      <c r="AQ417" s="3"/>
      <c r="AR417" s="3" t="s">
        <v>71</v>
      </c>
    </row>
    <row r="418" hidden="1">
      <c r="A418" s="3">
        <v>956.0</v>
      </c>
      <c r="B418" s="3" t="s">
        <v>55</v>
      </c>
      <c r="D418" s="3">
        <v>1999.0</v>
      </c>
      <c r="E418" s="3" t="s">
        <v>2019</v>
      </c>
      <c r="F418" s="3" t="s">
        <v>201</v>
      </c>
      <c r="G418" s="3"/>
      <c r="H418" s="3" t="s">
        <v>58</v>
      </c>
      <c r="I418" s="3"/>
      <c r="J418" s="3" t="s">
        <v>58</v>
      </c>
      <c r="K418" s="3"/>
      <c r="L418" s="3"/>
      <c r="M418" s="3" t="s">
        <v>69</v>
      </c>
      <c r="S418" s="3"/>
      <c r="T418" s="3"/>
      <c r="U418" s="3"/>
      <c r="V418" s="3"/>
      <c r="W418" s="3"/>
      <c r="X418" s="3"/>
      <c r="AC418" s="3" t="s">
        <v>63</v>
      </c>
      <c r="AF418" s="3" t="s">
        <v>61</v>
      </c>
      <c r="AL418" s="3"/>
      <c r="AM418" s="3"/>
      <c r="AN418" s="3"/>
      <c r="AO418" s="3"/>
      <c r="AP418" s="3"/>
      <c r="AQ418" s="3"/>
      <c r="AR418" s="3" t="s">
        <v>65</v>
      </c>
      <c r="AS418" s="3" t="s">
        <v>52</v>
      </c>
    </row>
    <row r="419" hidden="1">
      <c r="A419" s="3">
        <v>986.0</v>
      </c>
      <c r="B419" s="3" t="s">
        <v>40</v>
      </c>
      <c r="C419" s="3" t="s">
        <v>2078</v>
      </c>
      <c r="D419" s="3">
        <v>2016.0</v>
      </c>
      <c r="E419" s="3" t="s">
        <v>2079</v>
      </c>
      <c r="F419" s="3" t="s">
        <v>201</v>
      </c>
      <c r="G419" s="3"/>
      <c r="H419" s="3" t="s">
        <v>58</v>
      </c>
      <c r="I419" s="3"/>
      <c r="J419" s="3" t="s">
        <v>58</v>
      </c>
      <c r="K419" s="3"/>
      <c r="L419" s="3"/>
      <c r="M419" s="3" t="s">
        <v>96</v>
      </c>
      <c r="S419" s="3"/>
      <c r="T419" s="3"/>
      <c r="U419" s="3"/>
      <c r="V419" s="3"/>
      <c r="AC419" s="3" t="s">
        <v>63</v>
      </c>
      <c r="AL419" s="3"/>
      <c r="AM419" s="3"/>
      <c r="AN419" s="3"/>
      <c r="AO419" s="3"/>
      <c r="AP419" s="3"/>
      <c r="AQ419" s="3"/>
      <c r="AR419" s="3" t="s">
        <v>65</v>
      </c>
    </row>
    <row r="420" hidden="1">
      <c r="A420" s="3">
        <v>993.0</v>
      </c>
      <c r="B420" s="3" t="s">
        <v>40</v>
      </c>
      <c r="C420" s="3" t="s">
        <v>2093</v>
      </c>
      <c r="D420" s="3">
        <v>2019.0</v>
      </c>
      <c r="E420" s="3" t="s">
        <v>2094</v>
      </c>
      <c r="F420" s="3" t="s">
        <v>201</v>
      </c>
      <c r="G420" s="3"/>
      <c r="H420" s="3" t="s">
        <v>58</v>
      </c>
      <c r="I420" s="3"/>
      <c r="J420" s="3" t="s">
        <v>58</v>
      </c>
      <c r="K420" s="3"/>
      <c r="L420" s="3"/>
      <c r="M420" s="3" t="s">
        <v>69</v>
      </c>
      <c r="S420" s="3"/>
      <c r="T420" s="3"/>
      <c r="U420" s="3"/>
      <c r="V420" s="3"/>
      <c r="AC420" s="3" t="s">
        <v>63</v>
      </c>
      <c r="AL420" s="3"/>
      <c r="AM420" s="3"/>
      <c r="AN420" s="3"/>
      <c r="AO420" s="3"/>
      <c r="AP420" s="3"/>
      <c r="AQ420" s="3"/>
      <c r="AR420" s="3" t="s">
        <v>65</v>
      </c>
    </row>
    <row r="421" hidden="1">
      <c r="A421" s="3">
        <v>383.0</v>
      </c>
      <c r="B421" s="3" t="s">
        <v>106</v>
      </c>
      <c r="C421" s="3" t="s">
        <v>926</v>
      </c>
      <c r="D421" s="3">
        <v>2011.0</v>
      </c>
      <c r="E421" s="3" t="s">
        <v>927</v>
      </c>
      <c r="F421" s="3" t="s">
        <v>928</v>
      </c>
      <c r="G421" s="3"/>
      <c r="H421" s="3" t="s">
        <v>101</v>
      </c>
      <c r="I421" s="3"/>
      <c r="K421" s="3"/>
      <c r="L421" s="3"/>
      <c r="M421" s="3" t="s">
        <v>110</v>
      </c>
      <c r="S421" s="3"/>
      <c r="T421" s="3"/>
      <c r="U421" s="3"/>
      <c r="V421" s="3"/>
      <c r="AC421" s="3" t="s">
        <v>61</v>
      </c>
      <c r="AL421" s="3"/>
      <c r="AM421" s="3"/>
      <c r="AN421" s="3"/>
      <c r="AO421" s="3"/>
      <c r="AP421" s="3"/>
      <c r="AQ421" s="3"/>
      <c r="AR421" s="3" t="s">
        <v>52</v>
      </c>
      <c r="AW421" s="8" t="s">
        <v>2135</v>
      </c>
    </row>
    <row r="422" hidden="1">
      <c r="A422" s="3">
        <v>423.0</v>
      </c>
      <c r="B422" s="3" t="s">
        <v>106</v>
      </c>
      <c r="D422" s="3">
        <v>2020.0</v>
      </c>
      <c r="E422" s="3" t="s">
        <v>976</v>
      </c>
      <c r="F422" s="3" t="s">
        <v>928</v>
      </c>
      <c r="G422" s="3"/>
      <c r="H422" s="3" t="s">
        <v>101</v>
      </c>
      <c r="I422" s="3"/>
      <c r="K422" s="3"/>
      <c r="L422" s="3"/>
      <c r="M422" s="3" t="s">
        <v>205</v>
      </c>
      <c r="S422" s="3"/>
      <c r="T422" s="3"/>
      <c r="U422" s="3"/>
      <c r="V422" s="3"/>
      <c r="AC422" s="3" t="s">
        <v>61</v>
      </c>
      <c r="AL422" s="3"/>
      <c r="AM422" s="3"/>
      <c r="AN422" s="3"/>
      <c r="AO422" s="3"/>
      <c r="AP422" s="3"/>
      <c r="AQ422" s="3"/>
      <c r="AR422" s="3" t="s">
        <v>52</v>
      </c>
      <c r="AW422" s="8" t="s">
        <v>2135</v>
      </c>
    </row>
    <row r="423" hidden="1">
      <c r="A423" s="3">
        <v>939.0</v>
      </c>
      <c r="B423" s="3" t="s">
        <v>40</v>
      </c>
      <c r="C423" s="3" t="s">
        <v>1982</v>
      </c>
      <c r="D423" s="3">
        <v>2013.0</v>
      </c>
      <c r="E423" s="3" t="s">
        <v>1983</v>
      </c>
      <c r="F423" s="3" t="s">
        <v>928</v>
      </c>
      <c r="G423" s="3"/>
      <c r="H423" s="3" t="s">
        <v>101</v>
      </c>
      <c r="I423" s="3"/>
      <c r="J423" s="3" t="s">
        <v>102</v>
      </c>
      <c r="K423" s="3"/>
      <c r="L423" s="3"/>
      <c r="M423" s="3" t="s">
        <v>1984</v>
      </c>
      <c r="N423" s="3" t="s">
        <v>1985</v>
      </c>
      <c r="S423" s="3"/>
      <c r="T423" s="3"/>
      <c r="U423" s="3"/>
      <c r="V423" s="3"/>
      <c r="AC423" s="3" t="s">
        <v>70</v>
      </c>
      <c r="AL423" s="3"/>
      <c r="AM423" s="3"/>
      <c r="AN423" s="3"/>
      <c r="AO423" s="3"/>
      <c r="AP423" s="3"/>
      <c r="AQ423" s="3"/>
      <c r="AR423" s="3" t="s">
        <v>71</v>
      </c>
    </row>
    <row r="424" hidden="1">
      <c r="A424" s="3">
        <v>381.0</v>
      </c>
      <c r="B424" s="3" t="s">
        <v>106</v>
      </c>
      <c r="C424" s="3" t="s">
        <v>921</v>
      </c>
      <c r="D424" s="3">
        <v>2010.0</v>
      </c>
      <c r="E424" s="3" t="s">
        <v>922</v>
      </c>
      <c r="F424" s="3" t="s">
        <v>923</v>
      </c>
      <c r="H424" s="3" t="s">
        <v>91</v>
      </c>
      <c r="I424" s="3"/>
      <c r="K424" s="3"/>
      <c r="L424" s="3"/>
      <c r="M424" s="3" t="s">
        <v>173</v>
      </c>
      <c r="S424" s="3"/>
      <c r="T424" s="3"/>
      <c r="U424" s="3"/>
      <c r="V424" s="3"/>
      <c r="AC424" s="3" t="s">
        <v>61</v>
      </c>
      <c r="AL424" s="3"/>
      <c r="AM424" s="3"/>
      <c r="AN424" s="3"/>
      <c r="AO424" s="3"/>
      <c r="AP424" s="3"/>
      <c r="AQ424" s="3"/>
      <c r="AR424" s="3" t="s">
        <v>52</v>
      </c>
      <c r="AW424" s="8" t="s">
        <v>2135</v>
      </c>
    </row>
    <row r="425" hidden="1">
      <c r="A425" s="3">
        <v>968.0</v>
      </c>
      <c r="B425" s="3" t="s">
        <v>106</v>
      </c>
      <c r="C425" s="3" t="s">
        <v>2042</v>
      </c>
      <c r="D425" s="3">
        <v>2011.0</v>
      </c>
      <c r="E425" s="3" t="s">
        <v>2480</v>
      </c>
      <c r="F425" s="3" t="s">
        <v>2044</v>
      </c>
      <c r="G425" s="3"/>
      <c r="H425" s="3" t="s">
        <v>101</v>
      </c>
      <c r="I425" s="3"/>
      <c r="K425" s="3"/>
      <c r="L425" s="3"/>
      <c r="M425" s="3" t="s">
        <v>110</v>
      </c>
      <c r="S425" s="3"/>
      <c r="T425" s="3"/>
      <c r="U425" s="3"/>
      <c r="V425" s="3"/>
      <c r="W425" s="3"/>
      <c r="X425" s="3"/>
      <c r="AC425" s="3" t="s">
        <v>63</v>
      </c>
      <c r="AF425" s="3" t="s">
        <v>1942</v>
      </c>
      <c r="AL425" s="3"/>
      <c r="AM425" s="3"/>
      <c r="AN425" s="3"/>
      <c r="AO425" s="3"/>
      <c r="AP425" s="3"/>
      <c r="AQ425" s="3"/>
      <c r="AR425" s="3" t="s">
        <v>65</v>
      </c>
      <c r="AS425" s="3" t="s">
        <v>71</v>
      </c>
    </row>
    <row r="426" hidden="1">
      <c r="A426" s="3">
        <v>139.0</v>
      </c>
      <c r="B426" s="3" t="s">
        <v>55</v>
      </c>
      <c r="D426" s="3">
        <v>1997.0</v>
      </c>
      <c r="E426" s="3" t="s">
        <v>448</v>
      </c>
      <c r="F426" s="3" t="s">
        <v>449</v>
      </c>
      <c r="G426" s="3"/>
      <c r="H426" s="3" t="s">
        <v>101</v>
      </c>
      <c r="I426" s="3"/>
      <c r="J426" s="3" t="s">
        <v>102</v>
      </c>
      <c r="K426" s="3"/>
      <c r="L426" s="3"/>
      <c r="M426" s="3" t="s">
        <v>192</v>
      </c>
      <c r="S426" s="3"/>
      <c r="T426" s="3"/>
      <c r="U426" s="3"/>
      <c r="V426" s="3"/>
      <c r="W426" s="3"/>
      <c r="X426" s="3"/>
      <c r="AC426" s="3" t="s">
        <v>61</v>
      </c>
      <c r="AD426" s="3" t="s">
        <v>48</v>
      </c>
      <c r="AF426" s="3" t="s">
        <v>49</v>
      </c>
      <c r="AL426" s="3"/>
      <c r="AM426" s="3"/>
      <c r="AN426" s="3"/>
      <c r="AO426" s="3"/>
      <c r="AP426" s="3"/>
      <c r="AQ426" s="3"/>
      <c r="AR426" s="3" t="s">
        <v>52</v>
      </c>
      <c r="AS426" s="3" t="s">
        <v>53</v>
      </c>
      <c r="AW426" s="8" t="s">
        <v>2135</v>
      </c>
    </row>
    <row r="427">
      <c r="A427" s="3">
        <v>696.0</v>
      </c>
      <c r="B427" s="3" t="s">
        <v>40</v>
      </c>
      <c r="C427" s="3" t="s">
        <v>1504</v>
      </c>
      <c r="D427" s="3">
        <v>2009.0</v>
      </c>
      <c r="E427" s="3" t="s">
        <v>2481</v>
      </c>
      <c r="F427" s="3" t="s">
        <v>75</v>
      </c>
      <c r="G427" s="3" t="s">
        <v>2471</v>
      </c>
      <c r="H427" s="3" t="s">
        <v>58</v>
      </c>
      <c r="I427" s="3" t="s">
        <v>2142</v>
      </c>
      <c r="J427" s="3" t="s">
        <v>58</v>
      </c>
      <c r="L427" s="3" t="s">
        <v>2340</v>
      </c>
      <c r="M427" s="3" t="s">
        <v>76</v>
      </c>
      <c r="S427" s="9"/>
      <c r="T427" s="3"/>
      <c r="U427" s="3"/>
      <c r="V427" s="3"/>
      <c r="AL427" s="9" t="str">
        <f t="array" ref="AL427">"[" &amp; TEXTJOIN(", ", TRUE, IF(LEN(AM427:AQ427), CHAR(34)&amp;AM427:AQ427&amp;CHAR(34), )) &amp; "]"
</f>
        <v>[]</v>
      </c>
      <c r="AN427" s="3"/>
      <c r="AO427" s="3"/>
      <c r="AP427" s="3"/>
      <c r="AQ427" s="3"/>
      <c r="AR427" s="3" t="s">
        <v>78</v>
      </c>
      <c r="AW427" s="8" t="s">
        <v>2482</v>
      </c>
    </row>
    <row r="428">
      <c r="A428" s="3">
        <v>449.0</v>
      </c>
      <c r="B428" s="3" t="s">
        <v>40</v>
      </c>
      <c r="C428" s="3" t="s">
        <v>1025</v>
      </c>
      <c r="D428" s="3">
        <v>2018.0</v>
      </c>
      <c r="E428" s="3" t="s">
        <v>2483</v>
      </c>
      <c r="F428" s="3" t="s">
        <v>1027</v>
      </c>
      <c r="G428" s="3" t="s">
        <v>2484</v>
      </c>
      <c r="H428" s="3" t="s">
        <v>58</v>
      </c>
      <c r="I428" s="3" t="s">
        <v>2142</v>
      </c>
      <c r="J428" s="3" t="s">
        <v>58</v>
      </c>
      <c r="L428" s="3" t="s">
        <v>2143</v>
      </c>
      <c r="M428" s="3" t="s">
        <v>110</v>
      </c>
      <c r="S428" s="9" t="str">
        <f t="array" ref="S428">"[" &amp; TEXTJOIN(", ", TRUE, IF(LEN(T428:AB428), CHAR(34)&amp;T428:AB428&amp;CHAR(34), )) &amp; "]"
</f>
        <v>["Recreational activities", "Renewable energy", "Livestock farming &amp; ranching"]</v>
      </c>
      <c r="T428" s="3" t="s">
        <v>162</v>
      </c>
      <c r="U428" s="3"/>
      <c r="V428" s="3"/>
      <c r="Y428" s="3" t="s">
        <v>234</v>
      </c>
      <c r="AA428" s="3" t="s">
        <v>47</v>
      </c>
      <c r="AC428" s="3" t="s">
        <v>162</v>
      </c>
      <c r="AF428" s="3" t="s">
        <v>134</v>
      </c>
      <c r="AH428" s="3" t="s">
        <v>234</v>
      </c>
      <c r="AJ428" s="3" t="s">
        <v>47</v>
      </c>
      <c r="AL428" s="9" t="str">
        <f t="array" ref="AL428">"[" &amp; TEXTJOIN(", ", TRUE, IF(LEN(AM428:AQ428), CHAR(34)&amp;AM428:AQ428&amp;CHAR(34), )) &amp; "]"
</f>
        <v>["Human intrusions &amp; disturbance", "Natural system modifications", "Energy production &amp; mining", "Agriculture &amp; aquaculture"]</v>
      </c>
      <c r="AM428" s="3" t="s">
        <v>121</v>
      </c>
      <c r="AN428" s="3" t="s">
        <v>53</v>
      </c>
      <c r="AO428" s="3" t="s">
        <v>235</v>
      </c>
      <c r="AP428" s="3" t="s">
        <v>51</v>
      </c>
      <c r="AQ428" s="3"/>
      <c r="AR428" s="3" t="s">
        <v>121</v>
      </c>
      <c r="AS428" s="3" t="s">
        <v>53</v>
      </c>
      <c r="AT428" s="3" t="s">
        <v>235</v>
      </c>
      <c r="AU428" s="3" t="s">
        <v>51</v>
      </c>
      <c r="AW428" s="8" t="s">
        <v>2485</v>
      </c>
    </row>
    <row r="429">
      <c r="A429" s="3">
        <v>602.0</v>
      </c>
      <c r="B429" s="3" t="s">
        <v>40</v>
      </c>
      <c r="C429" s="3" t="s">
        <v>1330</v>
      </c>
      <c r="D429" s="3">
        <v>2019.0</v>
      </c>
      <c r="E429" s="3" t="s">
        <v>1331</v>
      </c>
      <c r="F429" s="3" t="s">
        <v>1027</v>
      </c>
      <c r="G429" s="3" t="s">
        <v>2484</v>
      </c>
      <c r="H429" s="3" t="s">
        <v>58</v>
      </c>
      <c r="I429" s="3" t="s">
        <v>2142</v>
      </c>
      <c r="J429" s="3" t="s">
        <v>58</v>
      </c>
      <c r="L429" s="3" t="s">
        <v>2311</v>
      </c>
      <c r="M429" s="3" t="s">
        <v>69</v>
      </c>
      <c r="S429" s="9" t="str">
        <f t="array" ref="S429">"[" &amp; TEXTJOIN(", ", TRUE, IF(LEN(T429:AB429), CHAR(34)&amp;T429:AB429&amp;CHAR(34), )) &amp; "]"
</f>
        <v>["Problematic native species/diseases"]</v>
      </c>
      <c r="T429" s="3" t="s">
        <v>244</v>
      </c>
      <c r="U429" s="3"/>
      <c r="V429" s="3"/>
      <c r="AC429" s="3" t="s">
        <v>244</v>
      </c>
      <c r="AL429" s="9" t="str">
        <f t="array" ref="AL429">"[" &amp; TEXTJOIN(", ", TRUE, IF(LEN(AM429:AQ429), CHAR(34)&amp;AM429:AQ429&amp;CHAR(34), )) &amp; "]"
</f>
        <v>["Invasive &amp; other problematic species, genes &amp; diseases"]</v>
      </c>
      <c r="AM429" s="3" t="s">
        <v>54</v>
      </c>
      <c r="AN429" s="3"/>
      <c r="AO429" s="3"/>
      <c r="AP429" s="3"/>
      <c r="AQ429" s="3"/>
      <c r="AR429" s="3" t="s">
        <v>54</v>
      </c>
      <c r="AW429" s="8" t="s">
        <v>2486</v>
      </c>
    </row>
    <row r="430">
      <c r="A430" s="3">
        <v>133.0</v>
      </c>
      <c r="B430" s="3" t="s">
        <v>40</v>
      </c>
      <c r="C430" s="3" t="s">
        <v>434</v>
      </c>
      <c r="D430" s="3">
        <v>2013.0</v>
      </c>
      <c r="E430" s="3" t="s">
        <v>435</v>
      </c>
      <c r="F430" s="3" t="s">
        <v>436</v>
      </c>
      <c r="G430" s="3" t="s">
        <v>2487</v>
      </c>
      <c r="H430" s="3" t="s">
        <v>58</v>
      </c>
      <c r="I430" s="3" t="s">
        <v>2142</v>
      </c>
      <c r="J430" s="3" t="s">
        <v>58</v>
      </c>
      <c r="L430" s="3" t="s">
        <v>2284</v>
      </c>
      <c r="M430" s="3" t="s">
        <v>104</v>
      </c>
      <c r="S430" s="9" t="str">
        <f t="array" ref="S430">"[" &amp; TEXTJOIN(", ", TRUE, IF(LEN(T430:AB430), CHAR(34)&amp;T430:AB430&amp;CHAR(34), )) &amp; "]"
</f>
        <v>["Hunting &amp; Collecting Terrestrial Animals", "Fire &amp; fire suppression"]</v>
      </c>
      <c r="T430" s="3" t="s">
        <v>2138</v>
      </c>
      <c r="U430" s="3"/>
      <c r="V430" s="3"/>
      <c r="W430" s="3" t="s">
        <v>250</v>
      </c>
      <c r="AC430" s="3" t="s">
        <v>61</v>
      </c>
      <c r="AF430" s="3" t="s">
        <v>250</v>
      </c>
      <c r="AL430" s="9" t="str">
        <f t="array" ref="AL430">"[" &amp; TEXTJOIN(", ", TRUE, IF(LEN(AM430:AQ430), CHAR(34)&amp;AM430:AQ430&amp;CHAR(34), )) &amp; "]"
</f>
        <v>["Biological resource use", "Natural system modifications"]</v>
      </c>
      <c r="AM430" s="3" t="s">
        <v>52</v>
      </c>
      <c r="AN430" s="3" t="s">
        <v>53</v>
      </c>
      <c r="AO430" s="3"/>
      <c r="AP430" s="3"/>
      <c r="AQ430" s="3"/>
      <c r="AR430" s="3" t="s">
        <v>52</v>
      </c>
      <c r="AS430" s="3" t="s">
        <v>53</v>
      </c>
      <c r="AW430" s="8" t="s">
        <v>2488</v>
      </c>
    </row>
    <row r="431" hidden="1">
      <c r="A431" s="3">
        <v>138.0</v>
      </c>
      <c r="B431" s="3" t="s">
        <v>55</v>
      </c>
      <c r="D431" s="3">
        <v>1992.0</v>
      </c>
      <c r="E431" s="3" t="s">
        <v>446</v>
      </c>
      <c r="F431" s="3" t="s">
        <v>447</v>
      </c>
      <c r="G431" s="3"/>
      <c r="H431" s="3" t="s">
        <v>58</v>
      </c>
      <c r="I431" s="3"/>
      <c r="J431" s="3" t="s">
        <v>58</v>
      </c>
      <c r="K431" s="3"/>
      <c r="L431" s="3"/>
      <c r="M431" s="3" t="s">
        <v>287</v>
      </c>
      <c r="N431" s="3" t="s">
        <v>388</v>
      </c>
      <c r="O431" s="3" t="s">
        <v>76</v>
      </c>
      <c r="P431" s="3" t="s">
        <v>69</v>
      </c>
      <c r="S431" s="3"/>
      <c r="T431" s="3"/>
      <c r="U431" s="3"/>
      <c r="V431" s="3"/>
      <c r="W431" s="3"/>
      <c r="X431" s="3"/>
      <c r="AC431" s="3" t="s">
        <v>61</v>
      </c>
      <c r="AF431" s="3" t="s">
        <v>49</v>
      </c>
      <c r="AL431" s="3"/>
      <c r="AM431" s="3"/>
      <c r="AN431" s="3"/>
      <c r="AO431" s="3"/>
      <c r="AP431" s="3"/>
      <c r="AQ431" s="3"/>
      <c r="AR431" s="3" t="s">
        <v>52</v>
      </c>
      <c r="AS431" s="3" t="s">
        <v>53</v>
      </c>
      <c r="AW431" s="8" t="s">
        <v>2135</v>
      </c>
    </row>
    <row r="432" hidden="1">
      <c r="A432" s="3">
        <v>920.0</v>
      </c>
      <c r="B432" s="3" t="s">
        <v>55</v>
      </c>
      <c r="D432" s="3">
        <v>1992.0</v>
      </c>
      <c r="E432" s="3" t="s">
        <v>1943</v>
      </c>
      <c r="F432" s="3" t="s">
        <v>447</v>
      </c>
      <c r="G432" s="3"/>
      <c r="H432" s="3" t="s">
        <v>58</v>
      </c>
      <c r="I432" s="3"/>
      <c r="J432" s="3" t="s">
        <v>58</v>
      </c>
      <c r="K432" s="3"/>
      <c r="L432" s="3"/>
      <c r="M432" s="3" t="s">
        <v>69</v>
      </c>
      <c r="S432" s="3"/>
      <c r="T432" s="3"/>
      <c r="U432" s="3"/>
      <c r="V432" s="3"/>
      <c r="W432" s="3"/>
      <c r="X432" s="3"/>
      <c r="Y432" s="3"/>
      <c r="Z432" s="3"/>
      <c r="AC432" s="3" t="s">
        <v>70</v>
      </c>
      <c r="AF432" s="3" t="s">
        <v>61</v>
      </c>
      <c r="AH432" s="3" t="s">
        <v>162</v>
      </c>
      <c r="AL432" s="3"/>
      <c r="AM432" s="3"/>
      <c r="AN432" s="3"/>
      <c r="AO432" s="3"/>
      <c r="AP432" s="3"/>
      <c r="AQ432" s="3"/>
      <c r="AR432" s="3" t="s">
        <v>71</v>
      </c>
      <c r="AS432" s="3" t="s">
        <v>52</v>
      </c>
      <c r="AT432" s="3" t="s">
        <v>121</v>
      </c>
    </row>
    <row r="433">
      <c r="A433" s="3">
        <v>341.0</v>
      </c>
      <c r="B433" s="3" t="s">
        <v>40</v>
      </c>
      <c r="C433" s="3" t="s">
        <v>850</v>
      </c>
      <c r="D433" s="3">
        <v>2018.0</v>
      </c>
      <c r="E433" s="3" t="s">
        <v>851</v>
      </c>
      <c r="F433" s="3" t="s">
        <v>436</v>
      </c>
      <c r="G433" s="3" t="s">
        <v>2487</v>
      </c>
      <c r="H433" s="3" t="s">
        <v>58</v>
      </c>
      <c r="I433" s="3" t="s">
        <v>2142</v>
      </c>
      <c r="J433" s="3" t="s">
        <v>58</v>
      </c>
      <c r="L433" s="3" t="s">
        <v>2284</v>
      </c>
      <c r="M433" s="3" t="s">
        <v>104</v>
      </c>
      <c r="S433" s="9" t="str">
        <f t="array" ref="S433">"[" &amp; TEXTJOIN(", ", TRUE, IF(LEN(T433:AB433), CHAR(34)&amp;T433:AB433&amp;CHAR(34), )) &amp; "]"
</f>
        <v>["Hunting &amp; Collecting Terrestrial Animals"]</v>
      </c>
      <c r="T433" s="3" t="s">
        <v>2138</v>
      </c>
      <c r="U433" s="3"/>
      <c r="V433" s="3"/>
      <c r="AC433" s="3" t="s">
        <v>61</v>
      </c>
      <c r="AL433" s="9" t="str">
        <f t="array" ref="AL433">"[" &amp; TEXTJOIN(", ", TRUE, IF(LEN(AM433:AQ433), CHAR(34)&amp;AM433:AQ433&amp;CHAR(34), )) &amp; "]"
</f>
        <v>["Biological resource use"]</v>
      </c>
      <c r="AM433" s="3" t="s">
        <v>52</v>
      </c>
      <c r="AN433" s="3"/>
      <c r="AO433" s="3"/>
      <c r="AP433" s="3"/>
      <c r="AQ433" s="3"/>
      <c r="AR433" s="3" t="s">
        <v>52</v>
      </c>
      <c r="AW433" s="8" t="s">
        <v>2489</v>
      </c>
    </row>
    <row r="434">
      <c r="A434" s="3">
        <v>694.0</v>
      </c>
      <c r="B434" s="3" t="s">
        <v>40</v>
      </c>
      <c r="C434" s="3" t="s">
        <v>1500</v>
      </c>
      <c r="D434" s="3">
        <v>2008.0</v>
      </c>
      <c r="E434" s="3" t="s">
        <v>1501</v>
      </c>
      <c r="F434" s="3" t="s">
        <v>436</v>
      </c>
      <c r="G434" s="3" t="s">
        <v>2487</v>
      </c>
      <c r="H434" s="3" t="s">
        <v>58</v>
      </c>
      <c r="I434" s="3" t="s">
        <v>2142</v>
      </c>
      <c r="J434" s="3" t="s">
        <v>58</v>
      </c>
      <c r="L434" s="3" t="s">
        <v>2237</v>
      </c>
      <c r="M434" s="3" t="s">
        <v>384</v>
      </c>
      <c r="S434" s="9"/>
      <c r="T434" s="3"/>
      <c r="U434" s="3"/>
      <c r="V434" s="3"/>
      <c r="AL434" s="9" t="str">
        <f t="array" ref="AL434">"[" &amp; TEXTJOIN(", ", TRUE, IF(LEN(AM434:AQ434), CHAR(34)&amp;AM434:AQ434&amp;CHAR(34), )) &amp; "]"
</f>
        <v>[]</v>
      </c>
      <c r="AN434" s="3"/>
      <c r="AO434" s="3"/>
      <c r="AP434" s="3"/>
      <c r="AQ434" s="3"/>
      <c r="AR434" s="3" t="s">
        <v>78</v>
      </c>
      <c r="AW434" s="8" t="s">
        <v>2490</v>
      </c>
    </row>
    <row r="435" hidden="1">
      <c r="A435" s="3">
        <v>963.0</v>
      </c>
      <c r="B435" s="3" t="s">
        <v>40</v>
      </c>
      <c r="C435" s="3" t="s">
        <v>1478</v>
      </c>
      <c r="D435" s="3">
        <v>2003.0</v>
      </c>
      <c r="E435" s="3" t="s">
        <v>2032</v>
      </c>
      <c r="F435" s="3" t="s">
        <v>1480</v>
      </c>
      <c r="G435" s="3"/>
      <c r="H435" s="3" t="s">
        <v>58</v>
      </c>
      <c r="I435" s="3"/>
      <c r="J435" s="3" t="s">
        <v>58</v>
      </c>
      <c r="K435" s="3"/>
      <c r="L435" s="3"/>
      <c r="M435" s="3" t="s">
        <v>76</v>
      </c>
      <c r="S435" s="3"/>
      <c r="T435" s="3"/>
      <c r="U435" s="3"/>
      <c r="V435" s="3"/>
      <c r="AC435" s="3" t="s">
        <v>63</v>
      </c>
      <c r="AL435" s="3"/>
      <c r="AM435" s="3"/>
      <c r="AN435" s="3"/>
      <c r="AO435" s="3"/>
      <c r="AP435" s="3"/>
      <c r="AQ435" s="3"/>
      <c r="AR435" s="3" t="s">
        <v>65</v>
      </c>
      <c r="AS435" s="3" t="s">
        <v>53</v>
      </c>
      <c r="AT435" s="3" t="s">
        <v>78</v>
      </c>
    </row>
    <row r="436" hidden="1">
      <c r="A436" s="3">
        <v>21.0</v>
      </c>
      <c r="B436" s="3" t="s">
        <v>106</v>
      </c>
      <c r="D436" s="3">
        <v>2008.0</v>
      </c>
      <c r="E436" s="3" t="s">
        <v>151</v>
      </c>
      <c r="F436" s="3" t="s">
        <v>152</v>
      </c>
      <c r="G436" s="3"/>
      <c r="H436" s="3" t="s">
        <v>58</v>
      </c>
      <c r="I436" s="3"/>
      <c r="K436" s="3"/>
      <c r="L436" s="3"/>
      <c r="M436" s="3" t="s">
        <v>110</v>
      </c>
      <c r="S436" s="3"/>
      <c r="T436" s="3"/>
      <c r="U436" s="3"/>
      <c r="V436" s="3"/>
      <c r="W436" s="3"/>
      <c r="X436" s="3"/>
      <c r="AC436" s="3" t="s">
        <v>125</v>
      </c>
      <c r="AF436" s="3" t="s">
        <v>147</v>
      </c>
      <c r="AL436" s="3"/>
      <c r="AM436" s="3"/>
      <c r="AN436" s="3"/>
      <c r="AO436" s="3"/>
      <c r="AP436" s="3"/>
      <c r="AQ436" s="3"/>
      <c r="AR436" s="3" t="s">
        <v>51</v>
      </c>
      <c r="AS436" s="3" t="s">
        <v>64</v>
      </c>
      <c r="AW436" s="8" t="s">
        <v>2135</v>
      </c>
    </row>
    <row r="437" hidden="1">
      <c r="A437" s="3">
        <v>57.0</v>
      </c>
      <c r="B437" s="3" t="s">
        <v>106</v>
      </c>
      <c r="D437" s="3">
        <v>2017.0</v>
      </c>
      <c r="E437" s="3" t="s">
        <v>248</v>
      </c>
      <c r="F437" s="3" t="s">
        <v>249</v>
      </c>
      <c r="G437" s="3"/>
      <c r="H437" s="3" t="s">
        <v>91</v>
      </c>
      <c r="I437" s="3"/>
      <c r="K437" s="3"/>
      <c r="L437" s="3"/>
      <c r="M437" s="3" t="s">
        <v>92</v>
      </c>
      <c r="S437" s="3"/>
      <c r="T437" s="3"/>
      <c r="U437" s="3"/>
      <c r="V437" s="3"/>
      <c r="W437" s="3"/>
      <c r="X437" s="3"/>
      <c r="Y437" s="3"/>
      <c r="Z437" s="3"/>
      <c r="AC437" s="3" t="s">
        <v>247</v>
      </c>
      <c r="AF437" s="3" t="s">
        <v>125</v>
      </c>
      <c r="AH437" s="3" t="s">
        <v>250</v>
      </c>
      <c r="AL437" s="3"/>
      <c r="AM437" s="3"/>
      <c r="AN437" s="3"/>
      <c r="AO437" s="3"/>
      <c r="AP437" s="3"/>
      <c r="AQ437" s="3"/>
      <c r="AR437" s="3" t="s">
        <v>52</v>
      </c>
      <c r="AS437" s="3" t="s">
        <v>51</v>
      </c>
      <c r="AT437" s="3" t="s">
        <v>53</v>
      </c>
      <c r="AW437" s="8" t="s">
        <v>2135</v>
      </c>
    </row>
    <row r="438">
      <c r="A438" s="3">
        <v>598.0</v>
      </c>
      <c r="B438" s="3" t="s">
        <v>40</v>
      </c>
      <c r="C438" s="3" t="s">
        <v>1321</v>
      </c>
      <c r="D438" s="3">
        <v>2018.0</v>
      </c>
      <c r="E438" s="3" t="s">
        <v>1322</v>
      </c>
      <c r="F438" s="3" t="s">
        <v>1323</v>
      </c>
      <c r="G438" s="3" t="s">
        <v>2491</v>
      </c>
      <c r="H438" s="3" t="s">
        <v>58</v>
      </c>
      <c r="I438" s="3" t="s">
        <v>2142</v>
      </c>
      <c r="J438" s="3" t="s">
        <v>58</v>
      </c>
      <c r="L438" s="3" t="s">
        <v>2143</v>
      </c>
      <c r="M438" s="3" t="s">
        <v>110</v>
      </c>
      <c r="S438" s="9" t="str">
        <f t="array" ref="S438">"[" &amp; TEXTJOIN(", ", TRUE, IF(LEN(T438:AB438), CHAR(34)&amp;T438:AB438&amp;CHAR(34), )) &amp; "]"
</f>
        <v>["Problematic native species/diseases"]</v>
      </c>
      <c r="T438" s="3" t="s">
        <v>244</v>
      </c>
      <c r="U438" s="3"/>
      <c r="V438" s="3"/>
      <c r="AC438" s="3" t="s">
        <v>244</v>
      </c>
      <c r="AL438" s="9" t="str">
        <f t="array" ref="AL438">"[" &amp; TEXTJOIN(", ", TRUE, IF(LEN(AM438:AQ438), CHAR(34)&amp;AM438:AQ438&amp;CHAR(34), )) &amp; "]"
</f>
        <v>["Invasive &amp; other problematic species, genes &amp; diseases"]</v>
      </c>
      <c r="AM438" s="3" t="s">
        <v>54</v>
      </c>
      <c r="AN438" s="3"/>
      <c r="AO438" s="3"/>
      <c r="AP438" s="3"/>
      <c r="AQ438" s="3"/>
      <c r="AR438" s="3" t="s">
        <v>54</v>
      </c>
      <c r="AW438" s="8" t="s">
        <v>2492</v>
      </c>
    </row>
    <row r="439">
      <c r="A439" s="3">
        <v>581.0</v>
      </c>
      <c r="B439" s="3" t="s">
        <v>40</v>
      </c>
      <c r="C439" s="3" t="s">
        <v>1286</v>
      </c>
      <c r="D439" s="3">
        <v>2017.0</v>
      </c>
      <c r="E439" s="3" t="s">
        <v>1287</v>
      </c>
      <c r="F439" s="3" t="s">
        <v>1288</v>
      </c>
      <c r="G439" s="3" t="s">
        <v>2493</v>
      </c>
      <c r="H439" s="3" t="s">
        <v>101</v>
      </c>
      <c r="I439" s="3" t="s">
        <v>2283</v>
      </c>
      <c r="J439" s="3" t="s">
        <v>102</v>
      </c>
      <c r="L439" s="3" t="s">
        <v>2361</v>
      </c>
      <c r="M439" s="3" t="s">
        <v>155</v>
      </c>
      <c r="S439" s="9" t="str">
        <f t="array" ref="S439">"[" &amp; TEXTJOIN(", ", TRUE, IF(LEN(T439:AB439), CHAR(34)&amp;T439:AB439&amp;CHAR(34), )) &amp; "]"
</f>
        <v>["Introduced genetic material"]</v>
      </c>
      <c r="T439" s="3" t="s">
        <v>77</v>
      </c>
      <c r="U439" s="3"/>
      <c r="V439" s="3"/>
      <c r="AC439" s="3" t="s">
        <v>77</v>
      </c>
      <c r="AL439" s="9" t="str">
        <f t="array" ref="AL439">"[" &amp; TEXTJOIN(", ", TRUE, IF(LEN(AM439:AQ439), CHAR(34)&amp;AM439:AQ439&amp;CHAR(34), )) &amp; "]"
</f>
        <v>["Invasive &amp; other problematic species, genes &amp; diseases"]</v>
      </c>
      <c r="AM439" s="3" t="s">
        <v>54</v>
      </c>
      <c r="AN439" s="3"/>
      <c r="AO439" s="3"/>
      <c r="AP439" s="3"/>
      <c r="AQ439" s="3"/>
      <c r="AR439" s="3" t="s">
        <v>54</v>
      </c>
      <c r="AW439" s="8" t="s">
        <v>2494</v>
      </c>
    </row>
    <row r="440">
      <c r="A440" s="3">
        <v>75.0</v>
      </c>
      <c r="B440" s="3" t="s">
        <v>40</v>
      </c>
      <c r="C440" s="3" t="s">
        <v>303</v>
      </c>
      <c r="D440" s="3">
        <v>2018.0</v>
      </c>
      <c r="E440" s="3" t="s">
        <v>304</v>
      </c>
      <c r="F440" s="3" t="s">
        <v>305</v>
      </c>
      <c r="G440" s="3" t="s">
        <v>2495</v>
      </c>
      <c r="H440" s="3" t="s">
        <v>58</v>
      </c>
      <c r="I440" s="3" t="s">
        <v>2142</v>
      </c>
      <c r="J440" s="3" t="s">
        <v>58</v>
      </c>
      <c r="L440" s="3" t="s">
        <v>2143</v>
      </c>
      <c r="M440" s="3" t="s">
        <v>110</v>
      </c>
      <c r="S440" s="9" t="str">
        <f t="array" ref="S440">"[" &amp; TEXTJOIN(", ", TRUE, IF(LEN(T440:AB440), CHAR(34)&amp;T440:AB440&amp;CHAR(34), )) &amp; "]"
</f>
        <v>["Hunting &amp; Collecting Terrestrial Animals", "Marine &amp; freshwater aquaculture"]</v>
      </c>
      <c r="T440" s="3" t="s">
        <v>2138</v>
      </c>
      <c r="U440" s="3"/>
      <c r="V440" s="3"/>
      <c r="W440" s="3" t="s">
        <v>111</v>
      </c>
      <c r="AC440" s="3" t="s">
        <v>61</v>
      </c>
      <c r="AF440" s="3" t="s">
        <v>111</v>
      </c>
      <c r="AL440" s="9" t="str">
        <f t="array" ref="AL440">"[" &amp; TEXTJOIN(", ", TRUE, IF(LEN(AM440:AQ440), CHAR(34)&amp;AM440:AQ440&amp;CHAR(34), )) &amp; "]"
</f>
        <v>["Biological resource use", "Agriculture &amp; aquaculture"]</v>
      </c>
      <c r="AM440" s="3" t="s">
        <v>52</v>
      </c>
      <c r="AN440" s="3" t="s">
        <v>51</v>
      </c>
      <c r="AO440" s="3"/>
      <c r="AP440" s="3"/>
      <c r="AQ440" s="3"/>
      <c r="AR440" s="3" t="s">
        <v>52</v>
      </c>
      <c r="AS440" s="3" t="s">
        <v>51</v>
      </c>
      <c r="AW440" s="8" t="s">
        <v>2496</v>
      </c>
    </row>
    <row r="441" hidden="1">
      <c r="A441" s="3">
        <v>156.0</v>
      </c>
      <c r="B441" s="3" t="s">
        <v>106</v>
      </c>
      <c r="D441" s="3">
        <v>2018.0</v>
      </c>
      <c r="E441" s="3" t="s">
        <v>480</v>
      </c>
      <c r="F441" s="3" t="s">
        <v>298</v>
      </c>
      <c r="G441" s="3"/>
      <c r="H441" s="3" t="s">
        <v>101</v>
      </c>
      <c r="I441" s="3"/>
      <c r="K441" s="3"/>
      <c r="L441" s="3"/>
      <c r="M441" s="3" t="s">
        <v>309</v>
      </c>
      <c r="S441" s="3"/>
      <c r="T441" s="3"/>
      <c r="U441" s="3"/>
      <c r="V441" s="3"/>
      <c r="W441" s="3"/>
      <c r="X441" s="3"/>
      <c r="Y441" s="3"/>
      <c r="Z441" s="3"/>
      <c r="AA441" s="3"/>
      <c r="AB441" s="3"/>
      <c r="AC441" s="3" t="s">
        <v>61</v>
      </c>
      <c r="AF441" s="3" t="s">
        <v>62</v>
      </c>
      <c r="AH441" s="3" t="s">
        <v>162</v>
      </c>
      <c r="AJ441" s="3" t="s">
        <v>238</v>
      </c>
      <c r="AL441" s="3"/>
      <c r="AM441" s="3"/>
      <c r="AN441" s="3"/>
      <c r="AO441" s="3"/>
      <c r="AP441" s="3"/>
      <c r="AQ441" s="3"/>
      <c r="AR441" s="3" t="s">
        <v>52</v>
      </c>
      <c r="AS441" s="3" t="s">
        <v>64</v>
      </c>
      <c r="AT441" s="3" t="s">
        <v>121</v>
      </c>
      <c r="AU441" s="3" t="s">
        <v>235</v>
      </c>
      <c r="AW441" s="8" t="s">
        <v>2135</v>
      </c>
    </row>
    <row r="442" hidden="1">
      <c r="A442" s="3">
        <v>201.0</v>
      </c>
      <c r="B442" s="3" t="s">
        <v>106</v>
      </c>
      <c r="D442" s="3">
        <v>2020.0</v>
      </c>
      <c r="E442" s="3" t="s">
        <v>570</v>
      </c>
      <c r="F442" s="3" t="s">
        <v>298</v>
      </c>
      <c r="G442" s="3"/>
      <c r="H442" s="3" t="s">
        <v>101</v>
      </c>
      <c r="I442" s="3"/>
      <c r="K442" s="3"/>
      <c r="L442" s="3"/>
      <c r="M442" s="3" t="s">
        <v>155</v>
      </c>
      <c r="S442" s="3"/>
      <c r="T442" s="3"/>
      <c r="U442" s="3"/>
      <c r="V442" s="3"/>
      <c r="Y442" s="3"/>
      <c r="Z442" s="3"/>
      <c r="AC442" s="3" t="s">
        <v>61</v>
      </c>
      <c r="AH442" s="3" t="s">
        <v>111</v>
      </c>
      <c r="AL442" s="3"/>
      <c r="AM442" s="3"/>
      <c r="AN442" s="3"/>
      <c r="AO442" s="3"/>
      <c r="AP442" s="3"/>
      <c r="AQ442" s="3"/>
      <c r="AR442" s="3" t="s">
        <v>52</v>
      </c>
      <c r="AS442" s="3" t="s">
        <v>71</v>
      </c>
      <c r="AT442" s="3" t="s">
        <v>51</v>
      </c>
      <c r="AW442" s="8" t="s">
        <v>2135</v>
      </c>
    </row>
    <row r="443">
      <c r="A443" s="3">
        <v>723.0</v>
      </c>
      <c r="B443" s="3" t="s">
        <v>40</v>
      </c>
      <c r="C443" s="3" t="s">
        <v>1559</v>
      </c>
      <c r="D443" s="3">
        <v>1998.0</v>
      </c>
      <c r="E443" s="3" t="s">
        <v>1560</v>
      </c>
      <c r="F443" s="3" t="s">
        <v>158</v>
      </c>
      <c r="G443" s="3" t="s">
        <v>2497</v>
      </c>
      <c r="H443" s="3" t="s">
        <v>58</v>
      </c>
      <c r="I443" s="3" t="s">
        <v>2142</v>
      </c>
      <c r="J443" s="3" t="s">
        <v>58</v>
      </c>
      <c r="L443" s="3" t="s">
        <v>2143</v>
      </c>
      <c r="M443" s="3" t="s">
        <v>110</v>
      </c>
      <c r="S443" s="9" t="str">
        <f t="array" ref="S443">"[" &amp; TEXTJOIN(", ", TRUE, IF(LEN(T443:AB443), CHAR(34)&amp;T443:AB443&amp;CHAR(34), )) &amp; "]"
</f>
        <v>["Hunting &amp; collecting terrestrial animals"]</v>
      </c>
      <c r="U443" s="3"/>
      <c r="V443" s="3"/>
      <c r="W443" s="3" t="s">
        <v>2178</v>
      </c>
      <c r="AC443" s="3" t="s">
        <v>87</v>
      </c>
      <c r="AF443" s="3" t="s">
        <v>61</v>
      </c>
      <c r="AH443" s="3" t="s">
        <v>87</v>
      </c>
      <c r="AJ443" s="3" t="s">
        <v>143</v>
      </c>
      <c r="AL443" s="9" t="str">
        <f t="array" ref="AL443">"[" &amp; TEXTJOIN(", ", TRUE, IF(LEN(AM443:AQ443), CHAR(34)&amp;AM443:AQ443&amp;CHAR(34), )) &amp; "]"
</f>
        <v>["Pollution", "Biological resource use", "Human intrusions &amp; disturbance", "Natural system modifications"]</v>
      </c>
      <c r="AM443" s="3" t="s">
        <v>64</v>
      </c>
      <c r="AN443" s="3" t="s">
        <v>52</v>
      </c>
      <c r="AO443" s="3" t="s">
        <v>121</v>
      </c>
      <c r="AP443" s="3" t="s">
        <v>53</v>
      </c>
      <c r="AQ443" s="3"/>
      <c r="AR443" s="3" t="s">
        <v>64</v>
      </c>
      <c r="AS443" s="3" t="s">
        <v>52</v>
      </c>
      <c r="AT443" s="3" t="s">
        <v>121</v>
      </c>
      <c r="AU443" s="3" t="s">
        <v>53</v>
      </c>
      <c r="AW443" s="8" t="s">
        <v>2498</v>
      </c>
    </row>
    <row r="444">
      <c r="A444" s="3">
        <v>160.0</v>
      </c>
      <c r="B444" s="3" t="s">
        <v>40</v>
      </c>
      <c r="C444" s="3" t="s">
        <v>488</v>
      </c>
      <c r="D444" s="3">
        <v>2003.0</v>
      </c>
      <c r="E444" s="3" t="s">
        <v>489</v>
      </c>
      <c r="F444" s="3" t="s">
        <v>158</v>
      </c>
      <c r="G444" s="3" t="s">
        <v>2497</v>
      </c>
      <c r="H444" s="3" t="s">
        <v>58</v>
      </c>
      <c r="I444" s="3" t="s">
        <v>2142</v>
      </c>
      <c r="J444" s="3" t="s">
        <v>58</v>
      </c>
      <c r="L444" s="3" t="s">
        <v>2168</v>
      </c>
      <c r="M444" s="3" t="s">
        <v>286</v>
      </c>
      <c r="S444" s="9" t="str">
        <f t="array" ref="S444">"[" &amp; TEXTJOIN(", ", TRUE, IF(LEN(T444:AB444), CHAR(34)&amp;T444:AB444&amp;CHAR(34), )) &amp; "]"
</f>
        <v>["Hunting &amp; Collecting Terrestrial Animals", "Industrial &amp; military effluents", "Invasive non-native/alien species/diseases"]</v>
      </c>
      <c r="T444" s="3" t="s">
        <v>2138</v>
      </c>
      <c r="U444" s="3"/>
      <c r="V444" s="3"/>
      <c r="W444" s="3" t="s">
        <v>147</v>
      </c>
      <c r="Y444" s="3" t="s">
        <v>50</v>
      </c>
      <c r="AC444" s="3" t="s">
        <v>61</v>
      </c>
      <c r="AF444" s="3" t="s">
        <v>147</v>
      </c>
      <c r="AH444" s="3" t="s">
        <v>50</v>
      </c>
      <c r="AL444" s="9" t="str">
        <f t="array" ref="AL444">"[" &amp; TEXTJOIN(", ", TRUE, IF(LEN(AM444:AQ444), CHAR(34)&amp;AM444:AQ444&amp;CHAR(34), )) &amp; "]"
</f>
        <v>["Biological resource use", "Pollution", "Invasive &amp; other problematic species, genes &amp; diseases"]</v>
      </c>
      <c r="AM444" s="3" t="s">
        <v>52</v>
      </c>
      <c r="AN444" s="3" t="s">
        <v>64</v>
      </c>
      <c r="AO444" s="3" t="s">
        <v>54</v>
      </c>
      <c r="AQ444" s="3"/>
      <c r="AR444" s="3" t="s">
        <v>52</v>
      </c>
      <c r="AS444" s="3" t="s">
        <v>64</v>
      </c>
      <c r="AT444" s="3" t="s">
        <v>54</v>
      </c>
      <c r="AU444" s="3" t="s">
        <v>78</v>
      </c>
      <c r="AW444" s="8" t="s">
        <v>2499</v>
      </c>
    </row>
    <row r="445" hidden="1">
      <c r="A445" s="3">
        <v>396.0</v>
      </c>
      <c r="B445" s="3" t="s">
        <v>55</v>
      </c>
      <c r="D445" s="3">
        <v>2003.0</v>
      </c>
      <c r="E445" s="3" t="s">
        <v>945</v>
      </c>
      <c r="F445" s="3" t="s">
        <v>298</v>
      </c>
      <c r="G445" s="3"/>
      <c r="H445" s="3" t="s">
        <v>101</v>
      </c>
      <c r="I445" s="3"/>
      <c r="J445" s="3" t="s">
        <v>102</v>
      </c>
      <c r="K445" s="3"/>
      <c r="L445" s="3"/>
      <c r="M445" s="3" t="s">
        <v>103</v>
      </c>
      <c r="S445" s="3"/>
      <c r="T445" s="3"/>
      <c r="U445" s="3"/>
      <c r="V445" s="3"/>
      <c r="AC445" s="3" t="s">
        <v>48</v>
      </c>
      <c r="AD445" s="3" t="s">
        <v>61</v>
      </c>
      <c r="AL445" s="3"/>
      <c r="AM445" s="3"/>
      <c r="AN445" s="3"/>
      <c r="AO445" s="3"/>
      <c r="AP445" s="3"/>
      <c r="AQ445" s="3"/>
      <c r="AR445" s="3" t="s">
        <v>52</v>
      </c>
      <c r="AW445" s="8" t="s">
        <v>2135</v>
      </c>
    </row>
    <row r="446" hidden="1">
      <c r="A446" s="3">
        <v>424.0</v>
      </c>
      <c r="B446" s="3" t="s">
        <v>106</v>
      </c>
      <c r="D446" s="3">
        <v>2020.0</v>
      </c>
      <c r="E446" s="3" t="s">
        <v>977</v>
      </c>
      <c r="F446" s="3" t="s">
        <v>298</v>
      </c>
      <c r="G446" s="3"/>
      <c r="H446" s="3" t="s">
        <v>101</v>
      </c>
      <c r="I446" s="3"/>
      <c r="K446" s="3"/>
      <c r="L446" s="3"/>
      <c r="M446" s="3" t="s">
        <v>309</v>
      </c>
      <c r="S446" s="3"/>
      <c r="T446" s="3"/>
      <c r="U446" s="3"/>
      <c r="V446" s="3"/>
      <c r="AC446" s="3" t="s">
        <v>61</v>
      </c>
      <c r="AL446" s="3"/>
      <c r="AM446" s="3"/>
      <c r="AN446" s="3"/>
      <c r="AO446" s="3"/>
      <c r="AP446" s="3"/>
      <c r="AQ446" s="3"/>
      <c r="AR446" s="3" t="s">
        <v>52</v>
      </c>
      <c r="AW446" s="8" t="s">
        <v>2135</v>
      </c>
    </row>
    <row r="447" hidden="1">
      <c r="A447" s="3">
        <v>467.0</v>
      </c>
      <c r="B447" s="3" t="s">
        <v>106</v>
      </c>
      <c r="D447" s="3">
        <v>2020.0</v>
      </c>
      <c r="E447" s="3" t="s">
        <v>1061</v>
      </c>
      <c r="F447" s="3" t="s">
        <v>298</v>
      </c>
      <c r="G447" s="3"/>
      <c r="H447" s="3" t="s">
        <v>101</v>
      </c>
      <c r="I447" s="3"/>
      <c r="K447" s="3"/>
      <c r="L447" s="3"/>
      <c r="M447" s="3" t="s">
        <v>155</v>
      </c>
      <c r="S447" s="3"/>
      <c r="T447" s="3"/>
      <c r="U447" s="3"/>
      <c r="V447" s="3"/>
      <c r="AC447" s="3" t="s">
        <v>125</v>
      </c>
      <c r="AL447" s="3"/>
      <c r="AM447" s="3"/>
      <c r="AN447" s="3"/>
      <c r="AO447" s="3"/>
      <c r="AP447" s="3"/>
      <c r="AQ447" s="3"/>
      <c r="AR447" s="3" t="s">
        <v>121</v>
      </c>
      <c r="AW447" s="8" t="s">
        <v>2135</v>
      </c>
    </row>
    <row r="448" hidden="1">
      <c r="A448" s="3">
        <v>628.0</v>
      </c>
      <c r="B448" s="3" t="s">
        <v>55</v>
      </c>
      <c r="D448" s="3">
        <v>2013.0</v>
      </c>
      <c r="E448" s="3" t="s">
        <v>1373</v>
      </c>
      <c r="F448" s="3" t="s">
        <v>298</v>
      </c>
      <c r="G448" s="3"/>
      <c r="H448" s="3" t="s">
        <v>101</v>
      </c>
      <c r="I448" s="3"/>
      <c r="J448" s="3" t="s">
        <v>102</v>
      </c>
      <c r="K448" s="3"/>
      <c r="L448" s="3"/>
      <c r="M448" s="3" t="s">
        <v>103</v>
      </c>
      <c r="N448" s="3" t="s">
        <v>205</v>
      </c>
      <c r="O448" s="3" t="s">
        <v>155</v>
      </c>
      <c r="S448" s="3"/>
      <c r="T448" s="3"/>
      <c r="U448" s="3"/>
      <c r="V448" s="3"/>
      <c r="AC448" s="3" t="s">
        <v>49</v>
      </c>
      <c r="AL448" s="3"/>
      <c r="AM448" s="3"/>
      <c r="AN448" s="3"/>
      <c r="AO448" s="3"/>
      <c r="AP448" s="3"/>
      <c r="AQ448" s="3"/>
      <c r="AR448" s="3" t="s">
        <v>53</v>
      </c>
      <c r="AS448" s="3" t="s">
        <v>52</v>
      </c>
      <c r="AW448" s="8" t="s">
        <v>2135</v>
      </c>
    </row>
    <row r="449" hidden="1">
      <c r="A449" s="3">
        <v>745.0</v>
      </c>
      <c r="B449" s="3" t="s">
        <v>55</v>
      </c>
      <c r="D449" s="3">
        <v>2010.0</v>
      </c>
      <c r="E449" s="3" t="s">
        <v>1606</v>
      </c>
      <c r="F449" s="3" t="s">
        <v>298</v>
      </c>
      <c r="G449" s="3"/>
      <c r="H449" s="3" t="s">
        <v>101</v>
      </c>
      <c r="I449" s="3"/>
      <c r="J449" s="3" t="s">
        <v>102</v>
      </c>
      <c r="K449" s="3"/>
      <c r="L449" s="3"/>
      <c r="M449" s="3" t="s">
        <v>173</v>
      </c>
      <c r="N449" s="3" t="s">
        <v>92</v>
      </c>
      <c r="S449" s="3"/>
      <c r="T449" s="3"/>
      <c r="U449" s="3"/>
      <c r="V449" s="3"/>
      <c r="W449" s="3"/>
      <c r="X449" s="3"/>
      <c r="AC449" s="3" t="s">
        <v>87</v>
      </c>
      <c r="AF449" s="3" t="s">
        <v>61</v>
      </c>
      <c r="AG449" s="3" t="s">
        <v>48</v>
      </c>
      <c r="AL449" s="3"/>
      <c r="AM449" s="3"/>
      <c r="AN449" s="3"/>
      <c r="AO449" s="3"/>
      <c r="AP449" s="3"/>
      <c r="AQ449" s="3"/>
      <c r="AR449" s="3" t="s">
        <v>64</v>
      </c>
      <c r="AS449" s="3" t="s">
        <v>52</v>
      </c>
      <c r="AW449" s="8" t="s">
        <v>2135</v>
      </c>
    </row>
    <row r="450" hidden="1">
      <c r="A450" s="3">
        <v>931.0</v>
      </c>
      <c r="B450" s="3" t="s">
        <v>40</v>
      </c>
      <c r="C450" s="3" t="s">
        <v>1965</v>
      </c>
      <c r="D450" s="3">
        <v>1994.0</v>
      </c>
      <c r="E450" s="3" t="s">
        <v>1966</v>
      </c>
      <c r="F450" s="3" t="s">
        <v>1967</v>
      </c>
      <c r="H450" s="3" t="s">
        <v>101</v>
      </c>
      <c r="I450" s="3"/>
      <c r="J450" s="3" t="s">
        <v>102</v>
      </c>
      <c r="K450" s="3"/>
      <c r="L450" s="3"/>
      <c r="M450" s="3" t="s">
        <v>110</v>
      </c>
      <c r="N450" s="3" t="s">
        <v>309</v>
      </c>
      <c r="O450" s="3" t="s">
        <v>155</v>
      </c>
      <c r="Q450" s="3" t="s">
        <v>205</v>
      </c>
      <c r="S450" s="3"/>
      <c r="T450" s="3"/>
      <c r="U450" s="3"/>
      <c r="V450" s="3"/>
      <c r="W450" s="3"/>
      <c r="X450" s="3"/>
      <c r="Y450" s="3"/>
      <c r="Z450" s="3"/>
      <c r="AC450" s="3" t="s">
        <v>1942</v>
      </c>
      <c r="AF450" s="3" t="s">
        <v>143</v>
      </c>
      <c r="AH450" s="3" t="s">
        <v>87</v>
      </c>
      <c r="AL450" s="3"/>
      <c r="AM450" s="3"/>
      <c r="AN450" s="3"/>
      <c r="AO450" s="3"/>
      <c r="AP450" s="3"/>
      <c r="AQ450" s="3"/>
      <c r="AR450" s="3" t="s">
        <v>71</v>
      </c>
      <c r="AS450" s="3" t="s">
        <v>53</v>
      </c>
      <c r="AT450" s="3" t="s">
        <v>64</v>
      </c>
    </row>
    <row r="451" hidden="1">
      <c r="A451" s="3">
        <v>137.0</v>
      </c>
      <c r="B451" s="3" t="s">
        <v>55</v>
      </c>
      <c r="D451" s="3">
        <v>1989.0</v>
      </c>
      <c r="E451" s="3" t="s">
        <v>443</v>
      </c>
      <c r="F451" s="3" t="s">
        <v>444</v>
      </c>
      <c r="G451" s="3"/>
      <c r="H451" s="3" t="s">
        <v>44</v>
      </c>
      <c r="I451" s="3"/>
      <c r="J451" s="3" t="s">
        <v>45</v>
      </c>
      <c r="K451" s="3"/>
      <c r="L451" s="3"/>
      <c r="M451" s="3" t="s">
        <v>83</v>
      </c>
      <c r="N451" s="3" t="s">
        <v>445</v>
      </c>
      <c r="S451" s="3"/>
      <c r="T451" s="3"/>
      <c r="U451" s="3"/>
      <c r="V451" s="3"/>
      <c r="W451" s="3"/>
      <c r="X451" s="3"/>
      <c r="AC451" s="3" t="s">
        <v>61</v>
      </c>
      <c r="AF451" s="3" t="s">
        <v>134</v>
      </c>
      <c r="AL451" s="3"/>
      <c r="AM451" s="3"/>
      <c r="AN451" s="3"/>
      <c r="AO451" s="3"/>
      <c r="AP451" s="3"/>
      <c r="AQ451" s="3"/>
      <c r="AR451" s="3" t="s">
        <v>52</v>
      </c>
      <c r="AS451" s="3" t="s">
        <v>53</v>
      </c>
      <c r="AW451" s="8" t="s">
        <v>2135</v>
      </c>
    </row>
    <row r="452">
      <c r="A452" s="3">
        <v>210.0</v>
      </c>
      <c r="B452" s="3" t="s">
        <v>40</v>
      </c>
      <c r="C452" s="3" t="s">
        <v>588</v>
      </c>
      <c r="D452" s="3">
        <v>2009.0</v>
      </c>
      <c r="E452" s="3" t="s">
        <v>589</v>
      </c>
      <c r="F452" s="3" t="s">
        <v>158</v>
      </c>
      <c r="G452" s="3" t="s">
        <v>2497</v>
      </c>
      <c r="H452" s="3" t="s">
        <v>58</v>
      </c>
      <c r="I452" s="3" t="s">
        <v>2142</v>
      </c>
      <c r="J452" s="3" t="s">
        <v>58</v>
      </c>
      <c r="L452" s="3" t="s">
        <v>2340</v>
      </c>
      <c r="M452" s="3" t="s">
        <v>76</v>
      </c>
      <c r="S452" s="9" t="str">
        <f t="array" ref="S452">"[" &amp; TEXTJOIN(", ", TRUE, IF(LEN(T452:AB452), CHAR(34)&amp;T452:AB452&amp;CHAR(34), )) &amp; "]"
</f>
        <v>["Hunting &amp; Collecting Terrestrial Animals", "Roads &amp; railroads", "Invasive non-native/alien species/diseases", "Introduced genetic material"]</v>
      </c>
      <c r="T452" s="3" t="s">
        <v>2138</v>
      </c>
      <c r="U452" s="3"/>
      <c r="V452" s="3"/>
      <c r="W452" s="3" t="s">
        <v>63</v>
      </c>
      <c r="Y452" s="3" t="s">
        <v>50</v>
      </c>
      <c r="Z452" s="3" t="s">
        <v>77</v>
      </c>
      <c r="AC452" s="3" t="s">
        <v>61</v>
      </c>
      <c r="AF452" s="3" t="s">
        <v>63</v>
      </c>
      <c r="AH452" s="3" t="s">
        <v>50</v>
      </c>
      <c r="AI452" s="3" t="s">
        <v>77</v>
      </c>
      <c r="AL452" s="9" t="str">
        <f t="array" ref="AL452">"[" &amp; TEXTJOIN(", ", TRUE, IF(LEN(AM452:AQ452), CHAR(34)&amp;AM452:AQ452&amp;CHAR(34), )) &amp; "]"
</f>
        <v>["Biological resource use", "Transportation &amp; service corridors", "Invasive &amp; other problematic species, genes &amp; diseases"]</v>
      </c>
      <c r="AM452" s="3" t="s">
        <v>52</v>
      </c>
      <c r="AN452" s="3" t="s">
        <v>65</v>
      </c>
      <c r="AO452" s="3" t="s">
        <v>54</v>
      </c>
      <c r="AP452" s="3"/>
      <c r="AQ452" s="3"/>
      <c r="AR452" s="3" t="s">
        <v>52</v>
      </c>
      <c r="AS452" s="3" t="s">
        <v>65</v>
      </c>
      <c r="AT452" s="3" t="s">
        <v>54</v>
      </c>
      <c r="AW452" s="8" t="s">
        <v>2500</v>
      </c>
    </row>
    <row r="453" hidden="1">
      <c r="A453" s="3">
        <v>179.0</v>
      </c>
      <c r="B453" s="3" t="s">
        <v>106</v>
      </c>
      <c r="C453" s="3" t="s">
        <v>529</v>
      </c>
      <c r="D453" s="3">
        <v>2013.0</v>
      </c>
      <c r="E453" s="3" t="s">
        <v>530</v>
      </c>
      <c r="F453" s="3" t="s">
        <v>444</v>
      </c>
      <c r="G453" s="3"/>
      <c r="H453" s="3" t="s">
        <v>44</v>
      </c>
      <c r="I453" s="3"/>
      <c r="K453" s="3"/>
      <c r="L453" s="3"/>
      <c r="M453" s="3" t="s">
        <v>485</v>
      </c>
      <c r="S453" s="3"/>
      <c r="T453" s="3"/>
      <c r="U453" s="3"/>
      <c r="V453" s="3"/>
      <c r="W453" s="3"/>
      <c r="X453" s="3"/>
      <c r="AC453" s="3" t="s">
        <v>61</v>
      </c>
      <c r="AF453" s="3" t="s">
        <v>87</v>
      </c>
      <c r="AL453" s="3"/>
      <c r="AM453" s="3"/>
      <c r="AN453" s="3"/>
      <c r="AO453" s="3"/>
      <c r="AP453" s="3"/>
      <c r="AQ453" s="3"/>
      <c r="AR453" s="3" t="s">
        <v>52</v>
      </c>
      <c r="AS453" s="3" t="s">
        <v>64</v>
      </c>
      <c r="AT453" s="3" t="s">
        <v>143</v>
      </c>
      <c r="AW453" s="8" t="s">
        <v>2135</v>
      </c>
    </row>
    <row r="454" hidden="1">
      <c r="A454" s="3">
        <v>240.0</v>
      </c>
      <c r="B454" s="3" t="s">
        <v>106</v>
      </c>
      <c r="C454" s="3" t="s">
        <v>646</v>
      </c>
      <c r="D454" s="3">
        <v>2013.0</v>
      </c>
      <c r="E454" s="3" t="s">
        <v>647</v>
      </c>
      <c r="F454" s="3" t="s">
        <v>444</v>
      </c>
      <c r="G454" s="3"/>
      <c r="H454" s="3" t="s">
        <v>44</v>
      </c>
      <c r="I454" s="3"/>
      <c r="K454" s="3"/>
      <c r="L454" s="3"/>
      <c r="M454" s="3" t="s">
        <v>485</v>
      </c>
      <c r="S454" s="3"/>
      <c r="T454" s="3"/>
      <c r="U454" s="3"/>
      <c r="V454" s="3"/>
      <c r="AC454" s="3" t="s">
        <v>61</v>
      </c>
      <c r="AL454" s="3"/>
      <c r="AM454" s="3"/>
      <c r="AN454" s="3"/>
      <c r="AO454" s="3"/>
      <c r="AP454" s="3"/>
      <c r="AQ454" s="3"/>
      <c r="AR454" s="3" t="s">
        <v>52</v>
      </c>
      <c r="AS454" s="3" t="s">
        <v>143</v>
      </c>
      <c r="AW454" s="8" t="s">
        <v>2135</v>
      </c>
    </row>
    <row r="455" hidden="1">
      <c r="A455" s="3">
        <v>418.0</v>
      </c>
      <c r="B455" s="3" t="s">
        <v>106</v>
      </c>
      <c r="D455" s="3">
        <v>2018.0</v>
      </c>
      <c r="E455" s="3" t="s">
        <v>971</v>
      </c>
      <c r="F455" s="3" t="s">
        <v>444</v>
      </c>
      <c r="G455" s="3"/>
      <c r="H455" s="3" t="s">
        <v>44</v>
      </c>
      <c r="I455" s="3"/>
      <c r="K455" s="3"/>
      <c r="L455" s="3"/>
      <c r="M455" s="3" t="s">
        <v>485</v>
      </c>
      <c r="S455" s="3"/>
      <c r="T455" s="3"/>
      <c r="U455" s="3"/>
      <c r="V455" s="3"/>
      <c r="AC455" s="3" t="s">
        <v>247</v>
      </c>
      <c r="AL455" s="3"/>
      <c r="AM455" s="3"/>
      <c r="AN455" s="3"/>
      <c r="AO455" s="3"/>
      <c r="AP455" s="3"/>
      <c r="AQ455" s="3"/>
      <c r="AR455" s="3" t="s">
        <v>52</v>
      </c>
      <c r="AW455" s="8" t="s">
        <v>2135</v>
      </c>
    </row>
    <row r="456" hidden="1">
      <c r="A456" s="3">
        <v>446.0</v>
      </c>
      <c r="B456" s="3" t="s">
        <v>106</v>
      </c>
      <c r="C456" s="3" t="s">
        <v>1018</v>
      </c>
      <c r="D456" s="3">
        <v>1996.0</v>
      </c>
      <c r="E456" s="3" t="s">
        <v>1019</v>
      </c>
      <c r="F456" s="3" t="s">
        <v>444</v>
      </c>
      <c r="G456" s="3"/>
      <c r="H456" s="3" t="s">
        <v>44</v>
      </c>
      <c r="I456" s="3"/>
      <c r="K456" s="3"/>
      <c r="L456" s="3"/>
      <c r="M456" s="3" t="s">
        <v>485</v>
      </c>
      <c r="S456" s="3"/>
      <c r="T456" s="3"/>
      <c r="U456" s="3"/>
      <c r="V456" s="3"/>
      <c r="W456" s="3"/>
      <c r="X456" s="3"/>
      <c r="AC456" s="3" t="s">
        <v>238</v>
      </c>
      <c r="AF456" s="3" t="s">
        <v>61</v>
      </c>
      <c r="AL456" s="3"/>
      <c r="AM456" s="3"/>
      <c r="AN456" s="3"/>
      <c r="AO456" s="3"/>
      <c r="AP456" s="3"/>
      <c r="AQ456" s="3"/>
      <c r="AR456" s="3" t="s">
        <v>235</v>
      </c>
      <c r="AS456" s="3" t="s">
        <v>52</v>
      </c>
      <c r="AW456" s="8" t="s">
        <v>2135</v>
      </c>
    </row>
    <row r="457">
      <c r="A457" s="3">
        <v>728.0</v>
      </c>
      <c r="B457" s="3" t="s">
        <v>40</v>
      </c>
      <c r="C457" s="3" t="s">
        <v>1571</v>
      </c>
      <c r="D457" s="3">
        <v>2008.0</v>
      </c>
      <c r="E457" s="3" t="s">
        <v>1572</v>
      </c>
      <c r="F457" s="3" t="s">
        <v>158</v>
      </c>
      <c r="G457" s="3" t="s">
        <v>2497</v>
      </c>
      <c r="H457" s="3" t="s">
        <v>58</v>
      </c>
      <c r="I457" s="3" t="s">
        <v>2142</v>
      </c>
      <c r="J457" s="3" t="s">
        <v>58</v>
      </c>
      <c r="L457" s="3" t="s">
        <v>2143</v>
      </c>
      <c r="M457" s="3" t="s">
        <v>110</v>
      </c>
      <c r="S457" s="9" t="str">
        <f t="array" ref="S457">"[" &amp; TEXTJOIN(", ", TRUE, IF(LEN(T457:AB457), CHAR(34)&amp;T457:AB457&amp;CHAR(34), )) &amp; "]"
</f>
        <v>["Hunting &amp; collecting terrestrial animals"]</v>
      </c>
      <c r="U457" s="3"/>
      <c r="V457" s="3"/>
      <c r="W457" s="3" t="s">
        <v>2178</v>
      </c>
      <c r="AC457" s="3" t="s">
        <v>87</v>
      </c>
      <c r="AF457" s="3" t="s">
        <v>61</v>
      </c>
      <c r="AH457" s="3" t="s">
        <v>1573</v>
      </c>
      <c r="AL457" s="9" t="str">
        <f t="array" ref="AL457">"[" &amp; TEXTJOIN(", ", TRUE, IF(LEN(AM457:AQ457), CHAR(34)&amp;AM457:AQ457&amp;CHAR(34), )) &amp; "]"
</f>
        <v>["Pollution", "Biological resource use", "Natural system modifications"]</v>
      </c>
      <c r="AM457" s="3" t="s">
        <v>64</v>
      </c>
      <c r="AN457" s="3" t="s">
        <v>52</v>
      </c>
      <c r="AO457" s="3" t="s">
        <v>53</v>
      </c>
      <c r="AP457" s="3"/>
      <c r="AQ457" s="3"/>
      <c r="AR457" s="3" t="s">
        <v>64</v>
      </c>
      <c r="AS457" s="3" t="s">
        <v>52</v>
      </c>
      <c r="AT457" s="3" t="s">
        <v>53</v>
      </c>
      <c r="AW457" s="8" t="s">
        <v>2501</v>
      </c>
    </row>
    <row r="458">
      <c r="A458" s="3">
        <v>730.0</v>
      </c>
      <c r="B458" s="3" t="s">
        <v>40</v>
      </c>
      <c r="C458" s="3" t="s">
        <v>1576</v>
      </c>
      <c r="D458" s="3">
        <v>2010.0</v>
      </c>
      <c r="E458" s="3" t="s">
        <v>1577</v>
      </c>
      <c r="F458" s="3" t="s">
        <v>158</v>
      </c>
      <c r="G458" s="3" t="s">
        <v>2497</v>
      </c>
      <c r="H458" s="3" t="s">
        <v>58</v>
      </c>
      <c r="I458" s="3" t="s">
        <v>2142</v>
      </c>
      <c r="J458" s="3" t="s">
        <v>58</v>
      </c>
      <c r="L458" s="3" t="s">
        <v>2143</v>
      </c>
      <c r="M458" s="3" t="s">
        <v>110</v>
      </c>
      <c r="S458" s="9" t="str">
        <f t="array" ref="S458">"[" &amp; TEXTJOIN(", ", TRUE, IF(LEN(T458:AB458), CHAR(34)&amp;T458:AB458&amp;CHAR(34), )) &amp; "]"
</f>
        <v>["Industrial &amp; military effluents", "Agricultural &amp; forestry effluents", "Hunting &amp; collecting terrestrial animals"]</v>
      </c>
      <c r="T458" s="3" t="s">
        <v>147</v>
      </c>
      <c r="U458" s="3" t="s">
        <v>62</v>
      </c>
      <c r="V458" s="3"/>
      <c r="W458" s="3" t="s">
        <v>2178</v>
      </c>
      <c r="AC458" s="3" t="s">
        <v>147</v>
      </c>
      <c r="AD458" s="3" t="s">
        <v>62</v>
      </c>
      <c r="AF458" s="3" t="s">
        <v>61</v>
      </c>
      <c r="AH458" s="3" t="s">
        <v>143</v>
      </c>
      <c r="AL458" s="9" t="str">
        <f t="array" ref="AL458">"[" &amp; TEXTJOIN(", ", TRUE, IF(LEN(AM458:AQ458), CHAR(34)&amp;AM458:AQ458&amp;CHAR(34), )) &amp; "]"
</f>
        <v>["Pollution", "Biological resource use", "Natural system modifications"]</v>
      </c>
      <c r="AM458" s="3" t="s">
        <v>64</v>
      </c>
      <c r="AN458" s="3" t="s">
        <v>52</v>
      </c>
      <c r="AO458" s="3" t="s">
        <v>53</v>
      </c>
      <c r="AP458" s="3"/>
      <c r="AQ458" s="3"/>
      <c r="AR458" s="3" t="s">
        <v>64</v>
      </c>
      <c r="AS458" s="3" t="s">
        <v>52</v>
      </c>
      <c r="AT458" s="3" t="s">
        <v>53</v>
      </c>
      <c r="AW458" s="8" t="s">
        <v>2502</v>
      </c>
    </row>
    <row r="459">
      <c r="A459" s="3">
        <v>469.0</v>
      </c>
      <c r="B459" s="3" t="s">
        <v>40</v>
      </c>
      <c r="C459" s="3" t="s">
        <v>1064</v>
      </c>
      <c r="D459" s="3">
        <v>2003.0</v>
      </c>
      <c r="E459" s="3" t="s">
        <v>1065</v>
      </c>
      <c r="F459" s="3" t="s">
        <v>158</v>
      </c>
      <c r="G459" s="3" t="s">
        <v>2497</v>
      </c>
      <c r="H459" s="3" t="s">
        <v>58</v>
      </c>
      <c r="I459" s="3" t="s">
        <v>2142</v>
      </c>
      <c r="J459" s="3" t="s">
        <v>58</v>
      </c>
      <c r="L459" s="3" t="s">
        <v>2168</v>
      </c>
      <c r="M459" s="3" t="s">
        <v>286</v>
      </c>
      <c r="S459" s="9" t="str">
        <f t="array" ref="S459">"[" &amp; TEXTJOIN(", ", TRUE, IF(LEN(T459:AB459), CHAR(34)&amp;T459:AB459&amp;CHAR(34), )) &amp; "]"
</f>
        <v>["Problematic native species/diseases"]</v>
      </c>
      <c r="T459" s="3" t="s">
        <v>244</v>
      </c>
      <c r="U459" s="3"/>
      <c r="V459" s="3"/>
      <c r="AC459" s="3" t="s">
        <v>244</v>
      </c>
      <c r="AL459" s="9" t="str">
        <f t="array" ref="AL459">"[" &amp; TEXTJOIN(", ", TRUE, IF(LEN(AM459:AQ459), CHAR(34)&amp;AM459:AQ459&amp;CHAR(34), )) &amp; "]"
</f>
        <v>["Invasive &amp; other problematic species, genes &amp; diseases", "Biological resource use", "Pollution", "Natural system modifications"]</v>
      </c>
      <c r="AM459" s="3" t="s">
        <v>54</v>
      </c>
      <c r="AN459" s="3" t="s">
        <v>52</v>
      </c>
      <c r="AO459" s="3" t="s">
        <v>64</v>
      </c>
      <c r="AP459" s="3" t="s">
        <v>53</v>
      </c>
      <c r="AQ459" s="3"/>
      <c r="AR459" s="3" t="s">
        <v>54</v>
      </c>
      <c r="AS459" s="3" t="s">
        <v>52</v>
      </c>
      <c r="AT459" s="3" t="s">
        <v>64</v>
      </c>
      <c r="AU459" s="3" t="s">
        <v>53</v>
      </c>
      <c r="AW459" s="8" t="s">
        <v>2503</v>
      </c>
    </row>
    <row r="460" hidden="1">
      <c r="A460" s="3">
        <v>639.0</v>
      </c>
      <c r="B460" s="3" t="s">
        <v>126</v>
      </c>
      <c r="C460" s="3" t="s">
        <v>1392</v>
      </c>
      <c r="D460" s="3">
        <v>2009.0</v>
      </c>
      <c r="E460" s="3" t="s">
        <v>1393</v>
      </c>
      <c r="F460" s="3" t="s">
        <v>444</v>
      </c>
      <c r="G460" s="3"/>
      <c r="H460" s="3" t="s">
        <v>44</v>
      </c>
      <c r="I460" s="3"/>
      <c r="J460" s="3" t="s">
        <v>45</v>
      </c>
      <c r="K460" s="3"/>
      <c r="L460" s="3"/>
      <c r="M460" s="3" t="s">
        <v>485</v>
      </c>
      <c r="S460" s="3"/>
      <c r="T460" s="3"/>
      <c r="U460" s="3"/>
      <c r="V460" s="3"/>
      <c r="AC460" s="3" t="s">
        <v>134</v>
      </c>
      <c r="AL460" s="3"/>
      <c r="AM460" s="3"/>
      <c r="AN460" s="3"/>
      <c r="AO460" s="3"/>
      <c r="AP460" s="3"/>
      <c r="AQ460" s="3"/>
      <c r="AR460" s="3" t="s">
        <v>53</v>
      </c>
      <c r="AW460" s="8" t="s">
        <v>2135</v>
      </c>
    </row>
    <row r="461">
      <c r="A461" s="3">
        <v>470.0</v>
      </c>
      <c r="B461" s="3" t="s">
        <v>40</v>
      </c>
      <c r="C461" s="3" t="s">
        <v>1066</v>
      </c>
      <c r="D461" s="3">
        <v>2008.0</v>
      </c>
      <c r="E461" s="3" t="s">
        <v>1067</v>
      </c>
      <c r="F461" s="3" t="s">
        <v>158</v>
      </c>
      <c r="G461" s="3" t="s">
        <v>2497</v>
      </c>
      <c r="H461" s="3" t="s">
        <v>58</v>
      </c>
      <c r="I461" s="3" t="s">
        <v>2142</v>
      </c>
      <c r="J461" s="3" t="s">
        <v>58</v>
      </c>
      <c r="L461" s="3" t="s">
        <v>2168</v>
      </c>
      <c r="M461" s="3" t="s">
        <v>286</v>
      </c>
      <c r="S461" s="9" t="str">
        <f t="array" ref="S461">"[" &amp; TEXTJOIN(", ", TRUE, IF(LEN(T461:AB461), CHAR(34)&amp;T461:AB461&amp;CHAR(34), )) &amp; "]"
</f>
        <v>["Viral/prion-induced diseases", "Hunting &amp; collecting terrestrial animals", "Industrial &amp; military effluents", "Roads &amp; railroads"]</v>
      </c>
      <c r="T461" s="3" t="s">
        <v>385</v>
      </c>
      <c r="U461" s="3"/>
      <c r="V461" s="3"/>
      <c r="W461" s="3" t="s">
        <v>2178</v>
      </c>
      <c r="Y461" s="3" t="s">
        <v>147</v>
      </c>
      <c r="AA461" s="3" t="s">
        <v>63</v>
      </c>
      <c r="AC461" s="3" t="s">
        <v>385</v>
      </c>
      <c r="AF461" s="3" t="s">
        <v>61</v>
      </c>
      <c r="AH461" s="3" t="s">
        <v>147</v>
      </c>
      <c r="AJ461" s="3" t="s">
        <v>63</v>
      </c>
      <c r="AL461" s="9" t="str">
        <f t="array" ref="AL461">"[" &amp; TEXTJOIN(", ", TRUE, IF(LEN(AM461:AQ461), CHAR(34)&amp;AM461:AQ461&amp;CHAR(34), )) &amp; "]"
</f>
        <v>["Invasive &amp; other problematic species, genes &amp; diseases", "Biological resource use", "Pollution", "Transportation &amp; service corridors"]</v>
      </c>
      <c r="AM461" s="3" t="s">
        <v>54</v>
      </c>
      <c r="AN461" s="3" t="s">
        <v>52</v>
      </c>
      <c r="AO461" s="3" t="s">
        <v>64</v>
      </c>
      <c r="AP461" s="3" t="s">
        <v>65</v>
      </c>
      <c r="AQ461" s="3"/>
      <c r="AR461" s="3" t="s">
        <v>54</v>
      </c>
      <c r="AS461" s="3" t="s">
        <v>52</v>
      </c>
      <c r="AT461" s="3" t="s">
        <v>64</v>
      </c>
      <c r="AU461" s="3" t="s">
        <v>65</v>
      </c>
      <c r="AW461" s="8" t="s">
        <v>2504</v>
      </c>
    </row>
    <row r="462" hidden="1">
      <c r="A462" s="3">
        <v>911.0</v>
      </c>
      <c r="B462" s="3" t="s">
        <v>106</v>
      </c>
      <c r="C462" s="3" t="s">
        <v>1928</v>
      </c>
      <c r="D462" s="3">
        <v>2012.0</v>
      </c>
      <c r="E462" s="3" t="s">
        <v>1929</v>
      </c>
      <c r="F462" s="3" t="s">
        <v>444</v>
      </c>
      <c r="G462" s="3"/>
      <c r="H462" s="3" t="s">
        <v>44</v>
      </c>
      <c r="I462" s="3"/>
      <c r="K462" s="3"/>
      <c r="L462" s="3"/>
      <c r="M462" s="3" t="s">
        <v>485</v>
      </c>
      <c r="S462" s="3"/>
      <c r="T462" s="3"/>
      <c r="U462" s="3"/>
      <c r="V462" s="3"/>
      <c r="AC462" s="3" t="s">
        <v>147</v>
      </c>
      <c r="AD462" s="3" t="s">
        <v>62</v>
      </c>
      <c r="AL462" s="3"/>
      <c r="AM462" s="3"/>
      <c r="AN462" s="3"/>
      <c r="AO462" s="3"/>
      <c r="AP462" s="3"/>
      <c r="AQ462" s="3"/>
      <c r="AR462" s="3" t="s">
        <v>64</v>
      </c>
    </row>
    <row r="463" hidden="1">
      <c r="A463" s="3">
        <v>946.0</v>
      </c>
      <c r="B463" s="3" t="s">
        <v>40</v>
      </c>
      <c r="C463" s="3" t="s">
        <v>1999</v>
      </c>
      <c r="D463" s="3">
        <v>2018.0</v>
      </c>
      <c r="E463" s="3" t="s">
        <v>2000</v>
      </c>
      <c r="F463" s="3" t="s">
        <v>444</v>
      </c>
      <c r="G463" s="3"/>
      <c r="H463" s="3" t="s">
        <v>44</v>
      </c>
      <c r="I463" s="3"/>
      <c r="J463" s="3" t="s">
        <v>45</v>
      </c>
      <c r="K463" s="3"/>
      <c r="L463" s="3"/>
      <c r="M463" s="3" t="s">
        <v>445</v>
      </c>
      <c r="AD463" s="3" t="s">
        <v>87</v>
      </c>
      <c r="AL463" s="3"/>
      <c r="AM463" s="3"/>
      <c r="AN463" s="3"/>
      <c r="AO463" s="3"/>
      <c r="AP463" s="3"/>
      <c r="AQ463" s="3"/>
      <c r="AR463" s="3" t="s">
        <v>71</v>
      </c>
    </row>
    <row r="464" hidden="1">
      <c r="A464" s="3">
        <v>948.0</v>
      </c>
      <c r="B464" s="3" t="s">
        <v>40</v>
      </c>
      <c r="C464" s="3" t="s">
        <v>2003</v>
      </c>
      <c r="D464" s="3">
        <v>2019.0</v>
      </c>
      <c r="E464" s="3" t="s">
        <v>2004</v>
      </c>
      <c r="F464" s="3" t="s">
        <v>444</v>
      </c>
      <c r="G464" s="3"/>
      <c r="H464" s="3" t="s">
        <v>44</v>
      </c>
      <c r="I464" s="3"/>
      <c r="J464" s="3" t="s">
        <v>45</v>
      </c>
      <c r="K464" s="3"/>
      <c r="L464" s="3"/>
      <c r="M464" s="3" t="s">
        <v>485</v>
      </c>
      <c r="S464" s="3"/>
      <c r="T464" s="3"/>
      <c r="U464" s="3"/>
      <c r="V464" s="3"/>
      <c r="AC464" s="3" t="s">
        <v>70</v>
      </c>
      <c r="AL464" s="3"/>
      <c r="AM464" s="3"/>
      <c r="AN464" s="3"/>
      <c r="AO464" s="3"/>
      <c r="AP464" s="3"/>
      <c r="AQ464" s="3"/>
      <c r="AR464" s="3" t="s">
        <v>71</v>
      </c>
    </row>
    <row r="465" hidden="1">
      <c r="A465" s="3">
        <v>129.0</v>
      </c>
      <c r="B465" s="3" t="s">
        <v>106</v>
      </c>
      <c r="D465" s="3">
        <v>2020.0</v>
      </c>
      <c r="E465" s="3" t="s">
        <v>426</v>
      </c>
      <c r="F465" s="3" t="s">
        <v>427</v>
      </c>
      <c r="G465" s="3"/>
      <c r="H465" s="3" t="s">
        <v>142</v>
      </c>
      <c r="I465" s="3"/>
      <c r="K465" s="3"/>
      <c r="L465" s="3"/>
      <c r="M465" s="3" t="s">
        <v>110</v>
      </c>
      <c r="S465" s="3"/>
      <c r="T465" s="3"/>
      <c r="U465" s="3"/>
      <c r="V465" s="3"/>
      <c r="W465" s="3"/>
      <c r="X465" s="3"/>
      <c r="Y465" s="3"/>
      <c r="Z465" s="3"/>
      <c r="AC465" s="3" t="s">
        <v>61</v>
      </c>
      <c r="AF465" s="3" t="s">
        <v>134</v>
      </c>
      <c r="AH465" s="3" t="s">
        <v>147</v>
      </c>
      <c r="AI465" s="3" t="s">
        <v>62</v>
      </c>
      <c r="AL465" s="3"/>
      <c r="AM465" s="3"/>
      <c r="AN465" s="3"/>
      <c r="AO465" s="3"/>
      <c r="AP465" s="3"/>
      <c r="AQ465" s="3"/>
      <c r="AR465" s="3" t="s">
        <v>52</v>
      </c>
      <c r="AS465" s="3" t="s">
        <v>53</v>
      </c>
      <c r="AT465" s="3" t="s">
        <v>64</v>
      </c>
      <c r="AW465" s="8" t="s">
        <v>2135</v>
      </c>
    </row>
    <row r="466">
      <c r="A466" s="3">
        <v>496.0</v>
      </c>
      <c r="B466" s="3" t="s">
        <v>40</v>
      </c>
      <c r="C466" s="3" t="s">
        <v>1116</v>
      </c>
      <c r="D466" s="3">
        <v>2003.0</v>
      </c>
      <c r="E466" s="3" t="s">
        <v>1117</v>
      </c>
      <c r="F466" s="3" t="s">
        <v>158</v>
      </c>
      <c r="G466" s="3" t="s">
        <v>2497</v>
      </c>
      <c r="H466" s="3" t="s">
        <v>58</v>
      </c>
      <c r="I466" s="3" t="s">
        <v>2142</v>
      </c>
      <c r="J466" s="3" t="s">
        <v>58</v>
      </c>
      <c r="L466" s="3" t="s">
        <v>2168</v>
      </c>
      <c r="M466" s="3" t="s">
        <v>286</v>
      </c>
      <c r="S466" s="9" t="str">
        <f t="array" ref="S466">"[" &amp; TEXTJOIN(", ", TRUE, IF(LEN(T466:AB466), CHAR(34)&amp;T466:AB466&amp;CHAR(34), )) &amp; "]"
</f>
        <v>["Invasive non-native/alien species/diseases", "Roads &amp; railroads", "Industrial &amp; military effluents"]</v>
      </c>
      <c r="T466" s="3" t="s">
        <v>50</v>
      </c>
      <c r="U466" s="3"/>
      <c r="V466" s="3"/>
      <c r="W466" s="3" t="s">
        <v>63</v>
      </c>
      <c r="Y466" s="3" t="s">
        <v>147</v>
      </c>
      <c r="AC466" s="3" t="s">
        <v>50</v>
      </c>
      <c r="AF466" s="3" t="s">
        <v>63</v>
      </c>
      <c r="AH466" s="3" t="s">
        <v>147</v>
      </c>
      <c r="AL466" s="9" t="str">
        <f t="array" ref="AL466">"[" &amp; TEXTJOIN(", ", TRUE, IF(LEN(AM466:AQ466), CHAR(34)&amp;AM466:AQ466&amp;CHAR(34), )) &amp; "]"
</f>
        <v>["Invasive &amp; other problematic species, genes &amp; diseases", "Transportation &amp; service corridors", "Pollution"]</v>
      </c>
      <c r="AM466" s="3" t="s">
        <v>54</v>
      </c>
      <c r="AN466" s="3" t="s">
        <v>65</v>
      </c>
      <c r="AO466" s="3" t="s">
        <v>64</v>
      </c>
      <c r="AP466" s="3"/>
      <c r="AQ466" s="3"/>
      <c r="AR466" s="3" t="s">
        <v>54</v>
      </c>
      <c r="AS466" s="3" t="s">
        <v>65</v>
      </c>
      <c r="AT466" s="3" t="s">
        <v>64</v>
      </c>
      <c r="AW466" s="8" t="s">
        <v>2505</v>
      </c>
    </row>
    <row r="467">
      <c r="A467" s="3">
        <v>629.0</v>
      </c>
      <c r="B467" s="3" t="s">
        <v>40</v>
      </c>
      <c r="C467" s="3" t="s">
        <v>1374</v>
      </c>
      <c r="D467" s="3">
        <v>2018.0</v>
      </c>
      <c r="E467" s="3" t="s">
        <v>1375</v>
      </c>
      <c r="F467" s="3" t="s">
        <v>158</v>
      </c>
      <c r="G467" s="3" t="s">
        <v>2497</v>
      </c>
      <c r="H467" s="3" t="s">
        <v>58</v>
      </c>
      <c r="I467" s="3" t="s">
        <v>2142</v>
      </c>
      <c r="J467" s="3" t="s">
        <v>58</v>
      </c>
      <c r="L467" s="3" t="s">
        <v>2506</v>
      </c>
      <c r="M467" s="3" t="s">
        <v>388</v>
      </c>
      <c r="S467" s="9" t="str">
        <f t="array" ref="S467">"[" &amp; TEXTJOIN(", ", TRUE, IF(LEN(T467:AB467), CHAR(34)&amp;T467:AB467&amp;CHAR(34), )) &amp; "]"
</f>
        <v>["Habitat shifting &amp; alteration", "Roads &amp; railroads"]</v>
      </c>
      <c r="U467" s="3"/>
      <c r="V467" s="3"/>
      <c r="W467" s="3" t="s">
        <v>117</v>
      </c>
      <c r="Y467" s="3" t="s">
        <v>63</v>
      </c>
      <c r="AC467" s="3" t="s">
        <v>134</v>
      </c>
      <c r="AF467" s="3" t="s">
        <v>117</v>
      </c>
      <c r="AH467" s="3" t="s">
        <v>63</v>
      </c>
      <c r="AL467" s="9" t="str">
        <f t="array" ref="AL467">"[" &amp; TEXTJOIN(", ", TRUE, IF(LEN(AM467:AQ467), CHAR(34)&amp;AM467:AQ467&amp;CHAR(34), )) &amp; "]"
</f>
        <v>["Natural system modifications", "Climate change &amp; severe weather", "Transportation &amp; service corridors"]</v>
      </c>
      <c r="AM467" s="3" t="s">
        <v>53</v>
      </c>
      <c r="AN467" s="3" t="s">
        <v>118</v>
      </c>
      <c r="AO467" s="3" t="s">
        <v>65</v>
      </c>
      <c r="AP467" s="3"/>
      <c r="AQ467" s="3"/>
      <c r="AR467" s="3" t="s">
        <v>53</v>
      </c>
      <c r="AS467" s="3" t="s">
        <v>118</v>
      </c>
      <c r="AT467" s="3" t="s">
        <v>65</v>
      </c>
      <c r="AW467" s="8" t="s">
        <v>2507</v>
      </c>
    </row>
    <row r="468" hidden="1">
      <c r="A468" s="3">
        <v>377.0</v>
      </c>
      <c r="B468" s="3" t="s">
        <v>106</v>
      </c>
      <c r="D468" s="3">
        <v>2008.0</v>
      </c>
      <c r="E468" s="3" t="s">
        <v>917</v>
      </c>
      <c r="F468" s="3" t="s">
        <v>880</v>
      </c>
      <c r="G468" s="3"/>
      <c r="H468" s="3" t="s">
        <v>101</v>
      </c>
      <c r="I468" s="3"/>
      <c r="K468" s="3"/>
      <c r="L468" s="3"/>
      <c r="M468" s="3" t="s">
        <v>309</v>
      </c>
      <c r="S468" s="3"/>
      <c r="T468" s="3"/>
      <c r="U468" s="3"/>
      <c r="V468" s="3"/>
      <c r="AC468" s="3" t="s">
        <v>61</v>
      </c>
      <c r="AL468" s="3"/>
      <c r="AM468" s="3"/>
      <c r="AN468" s="3"/>
      <c r="AO468" s="3"/>
      <c r="AP468" s="3"/>
      <c r="AQ468" s="3"/>
      <c r="AR468" s="3" t="s">
        <v>52</v>
      </c>
      <c r="AW468" s="8" t="s">
        <v>2135</v>
      </c>
    </row>
    <row r="469" hidden="1">
      <c r="A469" s="3">
        <v>386.0</v>
      </c>
      <c r="B469" s="3" t="s">
        <v>106</v>
      </c>
      <c r="C469" s="3" t="s">
        <v>933</v>
      </c>
      <c r="D469" s="3">
        <v>2014.0</v>
      </c>
      <c r="E469" s="3" t="s">
        <v>934</v>
      </c>
      <c r="F469" s="3" t="s">
        <v>880</v>
      </c>
      <c r="G469" s="3"/>
      <c r="H469" s="3" t="s">
        <v>101</v>
      </c>
      <c r="I469" s="3"/>
      <c r="K469" s="3"/>
      <c r="L469" s="3"/>
      <c r="M469" s="3" t="s">
        <v>309</v>
      </c>
      <c r="S469" s="3"/>
      <c r="T469" s="3"/>
      <c r="U469" s="3"/>
      <c r="V469" s="3"/>
      <c r="AC469" s="3" t="s">
        <v>61</v>
      </c>
      <c r="AL469" s="3"/>
      <c r="AM469" s="3"/>
      <c r="AN469" s="3"/>
      <c r="AO469" s="3"/>
      <c r="AP469" s="3"/>
      <c r="AQ469" s="3"/>
      <c r="AR469" s="3" t="s">
        <v>52</v>
      </c>
      <c r="AW469" s="8" t="s">
        <v>2135</v>
      </c>
    </row>
    <row r="470" hidden="1">
      <c r="A470" s="3">
        <v>398.0</v>
      </c>
      <c r="B470" s="3" t="s">
        <v>55</v>
      </c>
      <c r="D470" s="3">
        <v>2008.0</v>
      </c>
      <c r="E470" s="3" t="s">
        <v>947</v>
      </c>
      <c r="F470" s="3" t="s">
        <v>880</v>
      </c>
      <c r="G470" s="3"/>
      <c r="H470" s="3" t="s">
        <v>101</v>
      </c>
      <c r="I470" s="3"/>
      <c r="J470" s="3" t="s">
        <v>102</v>
      </c>
      <c r="K470" s="3"/>
      <c r="L470" s="3"/>
      <c r="M470" s="3" t="s">
        <v>768</v>
      </c>
      <c r="S470" s="3"/>
      <c r="T470" s="3"/>
      <c r="U470" s="3"/>
      <c r="V470" s="3"/>
      <c r="AC470" s="3" t="s">
        <v>61</v>
      </c>
      <c r="AL470" s="3"/>
      <c r="AM470" s="3"/>
      <c r="AN470" s="3"/>
      <c r="AO470" s="3"/>
      <c r="AP470" s="3"/>
      <c r="AQ470" s="3"/>
      <c r="AR470" s="3" t="s">
        <v>52</v>
      </c>
      <c r="AW470" s="8" t="s">
        <v>2135</v>
      </c>
    </row>
    <row r="471" hidden="1">
      <c r="A471" s="3">
        <v>163.0</v>
      </c>
      <c r="B471" s="3" t="s">
        <v>106</v>
      </c>
      <c r="D471" s="3">
        <v>2020.0</v>
      </c>
      <c r="E471" s="3" t="s">
        <v>497</v>
      </c>
      <c r="F471" s="3" t="s">
        <v>498</v>
      </c>
      <c r="G471" s="3"/>
      <c r="H471" s="3" t="s">
        <v>124</v>
      </c>
      <c r="I471" s="3"/>
      <c r="K471" s="3"/>
      <c r="L471" s="3"/>
      <c r="M471" s="3" t="s">
        <v>110</v>
      </c>
      <c r="S471" s="3"/>
      <c r="T471" s="3"/>
      <c r="U471" s="3"/>
      <c r="V471" s="3"/>
      <c r="Y471" s="3"/>
      <c r="Z471" s="3"/>
      <c r="AA471" s="3"/>
      <c r="AB471" s="3"/>
      <c r="AC471" s="3" t="s">
        <v>61</v>
      </c>
      <c r="AD471" s="3" t="s">
        <v>247</v>
      </c>
      <c r="AH471" s="3" t="s">
        <v>49</v>
      </c>
      <c r="AJ471" s="3" t="s">
        <v>47</v>
      </c>
      <c r="AL471" s="3"/>
      <c r="AM471" s="3"/>
      <c r="AN471" s="3"/>
      <c r="AO471" s="3"/>
      <c r="AP471" s="3"/>
      <c r="AQ471" s="3"/>
      <c r="AR471" s="3" t="s">
        <v>52</v>
      </c>
      <c r="AS471" s="3" t="s">
        <v>64</v>
      </c>
      <c r="AT471" s="3" t="s">
        <v>53</v>
      </c>
      <c r="AU471" s="3" t="s">
        <v>51</v>
      </c>
      <c r="AW471" s="8" t="s">
        <v>2135</v>
      </c>
    </row>
    <row r="472" hidden="1">
      <c r="A472" s="3">
        <v>186.0</v>
      </c>
      <c r="B472" s="3" t="s">
        <v>106</v>
      </c>
      <c r="D472" s="3">
        <v>1987.0</v>
      </c>
      <c r="E472" s="3" t="s">
        <v>545</v>
      </c>
      <c r="F472" s="3" t="s">
        <v>498</v>
      </c>
      <c r="G472" s="3"/>
      <c r="H472" s="3" t="s">
        <v>124</v>
      </c>
      <c r="I472" s="3"/>
      <c r="K472" s="3"/>
      <c r="L472" s="3"/>
      <c r="M472" s="3" t="s">
        <v>155</v>
      </c>
      <c r="S472" s="3"/>
      <c r="T472" s="3"/>
      <c r="U472" s="3"/>
      <c r="V472" s="3"/>
      <c r="W472" s="3"/>
      <c r="X472" s="3"/>
      <c r="AC472" s="3" t="s">
        <v>267</v>
      </c>
      <c r="AF472" s="3" t="s">
        <v>147</v>
      </c>
      <c r="AL472" s="3"/>
      <c r="AM472" s="3"/>
      <c r="AN472" s="3"/>
      <c r="AO472" s="3"/>
      <c r="AP472" s="3"/>
      <c r="AQ472" s="3"/>
      <c r="AR472" s="3" t="s">
        <v>52</v>
      </c>
      <c r="AS472" s="3" t="s">
        <v>64</v>
      </c>
      <c r="AW472" s="8" t="s">
        <v>2135</v>
      </c>
    </row>
    <row r="473" hidden="1">
      <c r="A473" s="3">
        <v>193.0</v>
      </c>
      <c r="B473" s="3" t="s">
        <v>106</v>
      </c>
      <c r="D473" s="3">
        <v>2009.0</v>
      </c>
      <c r="E473" s="3" t="s">
        <v>554</v>
      </c>
      <c r="F473" s="3" t="s">
        <v>498</v>
      </c>
      <c r="G473" s="3"/>
      <c r="H473" s="3" t="s">
        <v>124</v>
      </c>
      <c r="I473" s="3"/>
      <c r="K473" s="3"/>
      <c r="L473" s="3"/>
      <c r="M473" s="3" t="s">
        <v>110</v>
      </c>
      <c r="N473" s="3" t="s">
        <v>205</v>
      </c>
      <c r="O473" s="3" t="s">
        <v>155</v>
      </c>
      <c r="S473" s="3"/>
      <c r="T473" s="3"/>
      <c r="U473" s="3"/>
      <c r="V473" s="3"/>
      <c r="W473" s="3"/>
      <c r="X473" s="3"/>
      <c r="AC473" s="3" t="s">
        <v>247</v>
      </c>
      <c r="AD473" s="3" t="s">
        <v>61</v>
      </c>
      <c r="AF473" s="3" t="s">
        <v>259</v>
      </c>
      <c r="AG473" s="3" t="s">
        <v>62</v>
      </c>
      <c r="AL473" s="3"/>
      <c r="AM473" s="3"/>
      <c r="AN473" s="3"/>
      <c r="AO473" s="3"/>
      <c r="AP473" s="3"/>
      <c r="AQ473" s="3"/>
      <c r="AR473" s="3" t="s">
        <v>52</v>
      </c>
      <c r="AS473" s="3" t="s">
        <v>64</v>
      </c>
      <c r="AW473" s="8" t="s">
        <v>2135</v>
      </c>
    </row>
    <row r="474" hidden="1">
      <c r="A474" s="3">
        <v>404.0</v>
      </c>
      <c r="B474" s="3" t="s">
        <v>55</v>
      </c>
      <c r="D474" s="3">
        <v>2014.0</v>
      </c>
      <c r="E474" s="3" t="s">
        <v>954</v>
      </c>
      <c r="F474" s="3" t="s">
        <v>498</v>
      </c>
      <c r="G474" s="3"/>
      <c r="H474" s="3" t="s">
        <v>124</v>
      </c>
      <c r="I474" s="3"/>
      <c r="J474" s="3" t="s">
        <v>124</v>
      </c>
      <c r="K474" s="3"/>
      <c r="L474" s="3"/>
      <c r="M474" s="3" t="s">
        <v>955</v>
      </c>
      <c r="S474" s="3"/>
      <c r="T474" s="3"/>
      <c r="U474" s="3"/>
      <c r="V474" s="3"/>
      <c r="AC474" s="3" t="s">
        <v>61</v>
      </c>
      <c r="AL474" s="3"/>
      <c r="AM474" s="3"/>
      <c r="AN474" s="3"/>
      <c r="AO474" s="3"/>
      <c r="AP474" s="3"/>
      <c r="AQ474" s="3"/>
      <c r="AR474" s="3" t="s">
        <v>52</v>
      </c>
      <c r="AW474" s="8" t="s">
        <v>2135</v>
      </c>
    </row>
    <row r="475" hidden="1">
      <c r="A475" s="3">
        <v>43.0</v>
      </c>
      <c r="B475" s="3" t="s">
        <v>106</v>
      </c>
      <c r="C475" s="3" t="s">
        <v>211</v>
      </c>
      <c r="D475" s="3">
        <v>1990.0</v>
      </c>
      <c r="E475" s="3" t="s">
        <v>212</v>
      </c>
      <c r="F475" s="3" t="s">
        <v>213</v>
      </c>
      <c r="G475" s="3"/>
      <c r="H475" s="3" t="s">
        <v>58</v>
      </c>
      <c r="I475" s="3"/>
      <c r="K475" s="3"/>
      <c r="L475" s="3"/>
      <c r="M475" s="3" t="s">
        <v>110</v>
      </c>
      <c r="S475" s="3"/>
      <c r="T475" s="3"/>
      <c r="U475" s="3"/>
      <c r="V475" s="3"/>
      <c r="AC475" s="3" t="s">
        <v>111</v>
      </c>
      <c r="AL475" s="3"/>
      <c r="AM475" s="3"/>
      <c r="AN475" s="3"/>
      <c r="AO475" s="3"/>
      <c r="AP475" s="3"/>
      <c r="AQ475" s="3"/>
      <c r="AR475" s="3" t="s">
        <v>51</v>
      </c>
      <c r="AW475" s="8" t="s">
        <v>2135</v>
      </c>
    </row>
    <row r="476">
      <c r="A476" s="3">
        <v>720.0</v>
      </c>
      <c r="B476" s="3" t="s">
        <v>40</v>
      </c>
      <c r="C476" s="3" t="s">
        <v>1553</v>
      </c>
      <c r="D476" s="3">
        <v>1996.0</v>
      </c>
      <c r="E476" s="3" t="s">
        <v>1554</v>
      </c>
      <c r="F476" s="3" t="s">
        <v>158</v>
      </c>
      <c r="G476" s="3" t="s">
        <v>2497</v>
      </c>
      <c r="H476" s="3" t="s">
        <v>58</v>
      </c>
      <c r="I476" s="3" t="s">
        <v>2142</v>
      </c>
      <c r="J476" s="3" t="s">
        <v>58</v>
      </c>
      <c r="L476" s="3" t="s">
        <v>2143</v>
      </c>
      <c r="M476" s="3" t="s">
        <v>110</v>
      </c>
      <c r="S476" s="9"/>
      <c r="U476" s="3"/>
      <c r="V476" s="3"/>
      <c r="AC476" s="3" t="s">
        <v>87</v>
      </c>
      <c r="AF476" s="3" t="s">
        <v>87</v>
      </c>
      <c r="AL476" s="9" t="str">
        <f t="array" ref="AL476">"[" &amp; TEXTJOIN(", ", TRUE, IF(LEN(AM476:AQ476), CHAR(34)&amp;AM476:AQ476&amp;CHAR(34), )) &amp; "]"
</f>
        <v>["Pollution", "Agriculture &amp; aquaculture"]</v>
      </c>
      <c r="AM476" s="3" t="s">
        <v>64</v>
      </c>
      <c r="AN476" s="3" t="s">
        <v>51</v>
      </c>
      <c r="AO476" s="3"/>
      <c r="AP476" s="3"/>
      <c r="AQ476" s="3"/>
      <c r="AR476" s="3" t="s">
        <v>64</v>
      </c>
      <c r="AS476" s="3" t="s">
        <v>51</v>
      </c>
      <c r="AW476" s="8" t="s">
        <v>2508</v>
      </c>
    </row>
    <row r="477" hidden="1">
      <c r="A477" s="3">
        <v>178.0</v>
      </c>
      <c r="B477" s="3" t="s">
        <v>106</v>
      </c>
      <c r="D477" s="3">
        <v>2004.0</v>
      </c>
      <c r="E477" s="3" t="s">
        <v>528</v>
      </c>
      <c r="F477" s="3" t="s">
        <v>213</v>
      </c>
      <c r="G477" s="3"/>
      <c r="H477" s="3" t="s">
        <v>58</v>
      </c>
      <c r="I477" s="3"/>
      <c r="K477" s="3"/>
      <c r="L477" s="3"/>
      <c r="M477" s="3" t="s">
        <v>110</v>
      </c>
      <c r="S477" s="3"/>
      <c r="T477" s="3"/>
      <c r="U477" s="3"/>
      <c r="V477" s="3"/>
      <c r="W477" s="3"/>
      <c r="X477" s="3"/>
      <c r="Y477" s="3"/>
      <c r="Z477" s="3"/>
      <c r="AC477" s="3" t="s">
        <v>247</v>
      </c>
      <c r="AD477" s="3" t="s">
        <v>267</v>
      </c>
      <c r="AF477" s="3" t="s">
        <v>125</v>
      </c>
      <c r="AH477" s="3" t="s">
        <v>63</v>
      </c>
      <c r="AL477" s="3"/>
      <c r="AM477" s="3"/>
      <c r="AN477" s="3"/>
      <c r="AO477" s="3"/>
      <c r="AP477" s="3"/>
      <c r="AQ477" s="3"/>
      <c r="AR477" s="3" t="s">
        <v>52</v>
      </c>
      <c r="AS477" s="3" t="s">
        <v>64</v>
      </c>
      <c r="AT477" s="3" t="s">
        <v>65</v>
      </c>
      <c r="AW477" s="8" t="s">
        <v>2135</v>
      </c>
    </row>
    <row r="478" hidden="1">
      <c r="A478" s="3">
        <v>188.0</v>
      </c>
      <c r="B478" s="3" t="s">
        <v>106</v>
      </c>
      <c r="D478" s="3">
        <v>1989.0</v>
      </c>
      <c r="E478" s="3" t="s">
        <v>547</v>
      </c>
      <c r="F478" s="3" t="s">
        <v>213</v>
      </c>
      <c r="G478" s="3"/>
      <c r="H478" s="3" t="s">
        <v>58</v>
      </c>
      <c r="I478" s="3"/>
      <c r="K478" s="3"/>
      <c r="L478" s="3"/>
      <c r="M478" s="3" t="s">
        <v>110</v>
      </c>
      <c r="S478" s="3"/>
      <c r="T478" s="3"/>
      <c r="U478" s="3"/>
      <c r="V478" s="3"/>
      <c r="W478" s="3"/>
      <c r="X478" s="3"/>
      <c r="AC478" s="3" t="s">
        <v>267</v>
      </c>
      <c r="AF478" s="3" t="s">
        <v>125</v>
      </c>
      <c r="AL478" s="3"/>
      <c r="AM478" s="3"/>
      <c r="AN478" s="3"/>
      <c r="AO478" s="3"/>
      <c r="AP478" s="3"/>
      <c r="AQ478" s="3"/>
      <c r="AR478" s="3" t="s">
        <v>52</v>
      </c>
      <c r="AS478" s="3" t="s">
        <v>64</v>
      </c>
      <c r="AW478" s="8" t="s">
        <v>2135</v>
      </c>
    </row>
    <row r="479">
      <c r="A479" s="3">
        <v>741.0</v>
      </c>
      <c r="B479" s="3" t="s">
        <v>40</v>
      </c>
      <c r="C479" s="3" t="s">
        <v>1598</v>
      </c>
      <c r="D479" s="3">
        <v>2013.0</v>
      </c>
      <c r="E479" s="3" t="s">
        <v>1599</v>
      </c>
      <c r="F479" s="3" t="s">
        <v>158</v>
      </c>
      <c r="G479" s="3" t="s">
        <v>2497</v>
      </c>
      <c r="H479" s="3" t="s">
        <v>58</v>
      </c>
      <c r="I479" s="3" t="s">
        <v>2142</v>
      </c>
      <c r="J479" s="3" t="s">
        <v>58</v>
      </c>
      <c r="L479" s="3" t="s">
        <v>2311</v>
      </c>
      <c r="M479" s="3" t="s">
        <v>69</v>
      </c>
      <c r="S479" s="9" t="str">
        <f t="array" ref="S479">"[" &amp; TEXTJOIN(", ", TRUE, IF(LEN(T479:AB479), CHAR(34)&amp;T479:AB479&amp;CHAR(34), )) &amp; "]"
</f>
        <v>["Industrial &amp; military effluents", "Hunting &amp; collecting terrestrial animals"]</v>
      </c>
      <c r="T479" s="3" t="s">
        <v>147</v>
      </c>
      <c r="U479" s="3"/>
      <c r="V479" s="3"/>
      <c r="W479" s="3" t="s">
        <v>2178</v>
      </c>
      <c r="AC479" s="3" t="s">
        <v>147</v>
      </c>
      <c r="AF479" s="3" t="s">
        <v>61</v>
      </c>
      <c r="AL479" s="9" t="str">
        <f t="array" ref="AL479">"[" &amp; TEXTJOIN(", ", TRUE, IF(LEN(AM479:AQ479), CHAR(34)&amp;AM479:AQ479&amp;CHAR(34), )) &amp; "]"
</f>
        <v>["Pollution", "Biological resource use"]</v>
      </c>
      <c r="AM479" s="3" t="s">
        <v>64</v>
      </c>
      <c r="AN479" s="3" t="s">
        <v>52</v>
      </c>
      <c r="AO479" s="3"/>
      <c r="AP479" s="3"/>
      <c r="AQ479" s="3"/>
      <c r="AR479" s="3" t="s">
        <v>64</v>
      </c>
      <c r="AS479" s="3" t="s">
        <v>52</v>
      </c>
      <c r="AW479" s="8" t="s">
        <v>2509</v>
      </c>
    </row>
    <row r="480">
      <c r="A480" s="3">
        <v>477.0</v>
      </c>
      <c r="B480" s="3" t="s">
        <v>40</v>
      </c>
      <c r="C480" s="3" t="s">
        <v>1078</v>
      </c>
      <c r="D480" s="3">
        <v>2018.0</v>
      </c>
      <c r="E480" s="3" t="s">
        <v>1079</v>
      </c>
      <c r="F480" s="3" t="s">
        <v>158</v>
      </c>
      <c r="G480" s="3" t="s">
        <v>2497</v>
      </c>
      <c r="H480" s="3" t="s">
        <v>58</v>
      </c>
      <c r="I480" s="3" t="s">
        <v>2142</v>
      </c>
      <c r="J480" s="3" t="s">
        <v>58</v>
      </c>
      <c r="L480" s="3" t="s">
        <v>2168</v>
      </c>
      <c r="M480" s="3" t="s">
        <v>286</v>
      </c>
      <c r="S480" s="9" t="str">
        <f t="array" ref="S480">"[" &amp; TEXTJOIN(", ", TRUE, IF(LEN(T480:AB480), CHAR(34)&amp;T480:AB480&amp;CHAR(34), )) &amp; "]"
</f>
        <v>["Problematic native species/diseases", "Dams &amp; water management/use"]</v>
      </c>
      <c r="T480" s="3" t="s">
        <v>244</v>
      </c>
      <c r="U480" s="3"/>
      <c r="V480" s="3"/>
      <c r="W480" s="3" t="s">
        <v>49</v>
      </c>
      <c r="AC480" s="3" t="s">
        <v>244</v>
      </c>
      <c r="AF480" s="3" t="s">
        <v>49</v>
      </c>
      <c r="AL480" s="9" t="str">
        <f t="array" ref="AL480">"[" &amp; TEXTJOIN(", ", TRUE, IF(LEN(AM480:AQ480), CHAR(34)&amp;AM480:AQ480&amp;CHAR(34), )) &amp; "]"
</f>
        <v>["Invasive &amp; other problematic species, genes &amp; diseases", "Natural system modifications"]</v>
      </c>
      <c r="AM480" s="3" t="s">
        <v>54</v>
      </c>
      <c r="AN480" s="3" t="s">
        <v>53</v>
      </c>
      <c r="AO480" s="3"/>
      <c r="AP480" s="3"/>
      <c r="AQ480" s="3"/>
      <c r="AR480" s="3" t="s">
        <v>54</v>
      </c>
      <c r="AS480" s="3" t="s">
        <v>53</v>
      </c>
      <c r="AW480" s="8" t="s">
        <v>2510</v>
      </c>
    </row>
    <row r="481" hidden="1">
      <c r="A481" s="3">
        <v>746.0</v>
      </c>
      <c r="B481" s="3" t="s">
        <v>106</v>
      </c>
      <c r="C481" s="3" t="s">
        <v>1607</v>
      </c>
      <c r="D481" s="3">
        <v>1990.0</v>
      </c>
      <c r="E481" s="3" t="s">
        <v>1608</v>
      </c>
      <c r="F481" s="3" t="s">
        <v>213</v>
      </c>
      <c r="G481" s="3"/>
      <c r="H481" s="3" t="s">
        <v>58</v>
      </c>
      <c r="I481" s="3"/>
      <c r="K481" s="3"/>
      <c r="L481" s="3"/>
      <c r="M481" s="3" t="s">
        <v>110</v>
      </c>
      <c r="S481" s="3"/>
      <c r="T481" s="3"/>
      <c r="U481" s="3"/>
      <c r="V481" s="3"/>
      <c r="W481" s="3"/>
      <c r="X481" s="3"/>
      <c r="Y481" s="3"/>
      <c r="Z481" s="3"/>
      <c r="AA481" s="3"/>
      <c r="AB481" s="3"/>
      <c r="AC481" s="3" t="s">
        <v>62</v>
      </c>
      <c r="AF481" s="3" t="s">
        <v>162</v>
      </c>
      <c r="AH481" s="3" t="s">
        <v>111</v>
      </c>
      <c r="AJ481" s="3" t="s">
        <v>63</v>
      </c>
      <c r="AK481" s="3" t="s">
        <v>87</v>
      </c>
      <c r="AL481" s="3"/>
      <c r="AM481" s="3"/>
      <c r="AN481" s="3"/>
      <c r="AO481" s="3"/>
      <c r="AP481" s="3"/>
      <c r="AQ481" s="3"/>
      <c r="AR481" s="3" t="s">
        <v>64</v>
      </c>
      <c r="AS481" s="3" t="s">
        <v>121</v>
      </c>
      <c r="AT481" s="3" t="s">
        <v>51</v>
      </c>
      <c r="AU481" s="3" t="s">
        <v>65</v>
      </c>
      <c r="AV481" s="3" t="s">
        <v>71</v>
      </c>
      <c r="AW481" s="8" t="s">
        <v>2135</v>
      </c>
    </row>
    <row r="482">
      <c r="A482" s="3">
        <v>23.0</v>
      </c>
      <c r="B482" s="3" t="s">
        <v>40</v>
      </c>
      <c r="C482" s="3" t="s">
        <v>156</v>
      </c>
      <c r="D482" s="3">
        <v>2012.0</v>
      </c>
      <c r="E482" s="3" t="s">
        <v>157</v>
      </c>
      <c r="F482" s="3" t="s">
        <v>158</v>
      </c>
      <c r="G482" s="3" t="s">
        <v>2497</v>
      </c>
      <c r="H482" s="3" t="s">
        <v>58</v>
      </c>
      <c r="I482" s="3" t="s">
        <v>2142</v>
      </c>
      <c r="J482" s="3" t="s">
        <v>58</v>
      </c>
      <c r="L482" s="3" t="s">
        <v>2311</v>
      </c>
      <c r="M482" s="3" t="s">
        <v>69</v>
      </c>
      <c r="S482" s="9" t="str">
        <f t="array" ref="S482">"[" &amp; TEXTJOIN(", ", TRUE, IF(LEN(T482:AB482), CHAR(34)&amp;T482:AB482&amp;CHAR(34), )) &amp; "]"
</f>
        <v>["Annual &amp; perennial non-timber crops", "Housing &amp; urban areas"]</v>
      </c>
      <c r="T482" s="3" t="s">
        <v>60</v>
      </c>
      <c r="U482" s="3"/>
      <c r="V482" s="3"/>
      <c r="W482" s="3" t="s">
        <v>70</v>
      </c>
      <c r="AC482" s="3" t="s">
        <v>60</v>
      </c>
      <c r="AF482" s="3" t="s">
        <v>70</v>
      </c>
      <c r="AL482" s="9" t="str">
        <f t="array" ref="AL482">"[" &amp; TEXTJOIN(", ", TRUE, IF(LEN(AM482:AQ482), CHAR(34)&amp;AM482:AQ482&amp;CHAR(34), )) &amp; "]"
</f>
        <v>["Agriculture &amp; aquaculture", "Residential &amp; commercial development"]</v>
      </c>
      <c r="AM482" s="3" t="s">
        <v>51</v>
      </c>
      <c r="AN482" s="3" t="s">
        <v>71</v>
      </c>
      <c r="AO482" s="3"/>
      <c r="AP482" s="3"/>
      <c r="AQ482" s="3"/>
      <c r="AR482" s="3" t="s">
        <v>51</v>
      </c>
      <c r="AS482" s="3" t="s">
        <v>71</v>
      </c>
      <c r="AW482" s="8" t="s">
        <v>2511</v>
      </c>
    </row>
    <row r="483">
      <c r="A483" s="3">
        <v>221.0</v>
      </c>
      <c r="B483" s="3" t="s">
        <v>40</v>
      </c>
      <c r="C483" s="3" t="s">
        <v>174</v>
      </c>
      <c r="D483" s="3">
        <v>2001.0</v>
      </c>
      <c r="E483" s="3" t="s">
        <v>608</v>
      </c>
      <c r="F483" s="3" t="s">
        <v>158</v>
      </c>
      <c r="G483" s="3" t="s">
        <v>2497</v>
      </c>
      <c r="H483" s="3" t="s">
        <v>58</v>
      </c>
      <c r="I483" s="3" t="s">
        <v>2142</v>
      </c>
      <c r="J483" s="3" t="s">
        <v>58</v>
      </c>
      <c r="L483" s="3" t="s">
        <v>2311</v>
      </c>
      <c r="M483" s="3" t="s">
        <v>69</v>
      </c>
      <c r="S483" s="9" t="str">
        <f t="array" ref="S483">"[" &amp; TEXTJOIN(", ", TRUE, IF(LEN(T483:AB483), CHAR(34)&amp;T483:AB483&amp;CHAR(34), )) &amp; "]"
</f>
        <v>["Hunting &amp; Collecting Terrestrial Animals", "Roads &amp; railroads"]</v>
      </c>
      <c r="T483" s="3" t="s">
        <v>2138</v>
      </c>
      <c r="U483" s="3"/>
      <c r="V483" s="3"/>
      <c r="W483" s="3" t="s">
        <v>63</v>
      </c>
      <c r="AC483" s="3" t="s">
        <v>61</v>
      </c>
      <c r="AF483" s="3" t="s">
        <v>63</v>
      </c>
      <c r="AL483" s="9" t="str">
        <f t="array" ref="AL483">"[" &amp; TEXTJOIN(", ", TRUE, IF(LEN(AM483:AQ483), CHAR(34)&amp;AM483:AQ483&amp;CHAR(34), )) &amp; "]"
</f>
        <v>["Biological resource use", "Transportation &amp; service corridors"]</v>
      </c>
      <c r="AM483" s="3" t="s">
        <v>52</v>
      </c>
      <c r="AN483" s="3" t="s">
        <v>65</v>
      </c>
      <c r="AO483" s="3"/>
      <c r="AP483" s="3"/>
      <c r="AQ483" s="3"/>
      <c r="AR483" s="3" t="s">
        <v>52</v>
      </c>
      <c r="AS483" s="3" t="s">
        <v>65</v>
      </c>
      <c r="AW483" s="8" t="s">
        <v>2512</v>
      </c>
    </row>
    <row r="484">
      <c r="A484" s="3">
        <v>28.0</v>
      </c>
      <c r="B484" s="3" t="s">
        <v>40</v>
      </c>
      <c r="C484" s="3" t="s">
        <v>174</v>
      </c>
      <c r="D484" s="3">
        <v>2000.0</v>
      </c>
      <c r="E484" s="3" t="s">
        <v>175</v>
      </c>
      <c r="F484" s="3" t="s">
        <v>158</v>
      </c>
      <c r="G484" s="3" t="s">
        <v>2497</v>
      </c>
      <c r="H484" s="3" t="s">
        <v>58</v>
      </c>
      <c r="I484" s="3" t="s">
        <v>2142</v>
      </c>
      <c r="J484" s="3" t="s">
        <v>58</v>
      </c>
      <c r="L484" s="3" t="s">
        <v>2311</v>
      </c>
      <c r="M484" s="3" t="s">
        <v>69</v>
      </c>
      <c r="S484" s="9" t="str">
        <f t="array" ref="S484">"[" &amp; TEXTJOIN(", ", TRUE, IF(LEN(T484:AB484), CHAR(34)&amp;T484:AB484&amp;CHAR(34), )) &amp; "]"
</f>
        <v>["Annual &amp; perennial non-timber crops", "Livestock farming &amp; ranching"]</v>
      </c>
      <c r="T484" s="3" t="s">
        <v>60</v>
      </c>
      <c r="U484" s="3" t="s">
        <v>47</v>
      </c>
      <c r="V484" s="3"/>
      <c r="AC484" s="3" t="s">
        <v>60</v>
      </c>
      <c r="AD484" s="3" t="s">
        <v>47</v>
      </c>
      <c r="AL484" s="9" t="str">
        <f t="array" ref="AL484">"[" &amp; TEXTJOIN(", ", TRUE, IF(LEN(AM484:AQ484), CHAR(34)&amp;AM484:AQ484&amp;CHAR(34), )) &amp; "]"
</f>
        <v>["Agriculture &amp; aquaculture"]</v>
      </c>
      <c r="AM484" s="3" t="s">
        <v>51</v>
      </c>
      <c r="AN484" s="3"/>
      <c r="AO484" s="3"/>
      <c r="AP484" s="3"/>
      <c r="AQ484" s="3"/>
      <c r="AR484" s="3" t="s">
        <v>51</v>
      </c>
      <c r="AW484" s="8" t="s">
        <v>2513</v>
      </c>
    </row>
    <row r="485">
      <c r="A485" s="3">
        <v>246.0</v>
      </c>
      <c r="B485" s="3" t="s">
        <v>40</v>
      </c>
      <c r="C485" s="3" t="s">
        <v>659</v>
      </c>
      <c r="D485" s="3">
        <v>1993.0</v>
      </c>
      <c r="E485" s="3" t="s">
        <v>660</v>
      </c>
      <c r="F485" s="3" t="s">
        <v>158</v>
      </c>
      <c r="G485" s="3" t="s">
        <v>2497</v>
      </c>
      <c r="H485" s="3" t="s">
        <v>58</v>
      </c>
      <c r="I485" s="3" t="s">
        <v>2142</v>
      </c>
      <c r="J485" s="3" t="s">
        <v>58</v>
      </c>
      <c r="L485" s="3" t="s">
        <v>2166</v>
      </c>
      <c r="M485" s="3" t="s">
        <v>96</v>
      </c>
      <c r="S485" s="9" t="str">
        <f t="array" ref="S485">"[" &amp; TEXTJOIN(", ", TRUE, IF(LEN(T485:AB485), CHAR(34)&amp;T485:AB485&amp;CHAR(34), )) &amp; "]"
</f>
        <v>["Hunting &amp; Collecting Terrestrial Animals"]</v>
      </c>
      <c r="T485" s="3" t="s">
        <v>2138</v>
      </c>
      <c r="U485" s="3"/>
      <c r="V485" s="3"/>
      <c r="AC485" s="3" t="s">
        <v>61</v>
      </c>
      <c r="AL485" s="9" t="str">
        <f t="array" ref="AL485">"[" &amp; TEXTJOIN(", ", TRUE, IF(LEN(AM485:AQ485), CHAR(34)&amp;AM485:AQ485&amp;CHAR(34), )) &amp; "]"
</f>
        <v>["Biological resource use"]</v>
      </c>
      <c r="AM485" s="3" t="s">
        <v>52</v>
      </c>
      <c r="AN485" s="3"/>
      <c r="AO485" s="3"/>
      <c r="AP485" s="3"/>
      <c r="AQ485" s="3"/>
      <c r="AR485" s="3" t="s">
        <v>52</v>
      </c>
      <c r="AW485" s="8" t="s">
        <v>2514</v>
      </c>
    </row>
    <row r="486" hidden="1">
      <c r="A486" s="3">
        <v>888.0</v>
      </c>
      <c r="B486" s="3" t="s">
        <v>106</v>
      </c>
      <c r="D486" s="3">
        <v>1987.0</v>
      </c>
      <c r="E486" s="3" t="s">
        <v>1890</v>
      </c>
      <c r="F486" s="3" t="s">
        <v>213</v>
      </c>
      <c r="G486" s="3"/>
      <c r="H486" s="3" t="s">
        <v>58</v>
      </c>
      <c r="I486" s="3"/>
      <c r="K486" s="3"/>
      <c r="L486" s="3"/>
      <c r="M486" s="3" t="s">
        <v>110</v>
      </c>
      <c r="S486" s="3"/>
      <c r="T486" s="3"/>
      <c r="U486" s="3"/>
      <c r="V486" s="3"/>
      <c r="AC486" s="3" t="s">
        <v>147</v>
      </c>
      <c r="AD486" s="3" t="s">
        <v>62</v>
      </c>
      <c r="AL486" s="3"/>
      <c r="AM486" s="3"/>
      <c r="AN486" s="3"/>
      <c r="AO486" s="3"/>
      <c r="AP486" s="3"/>
      <c r="AQ486" s="3"/>
      <c r="AR486" s="3" t="s">
        <v>64</v>
      </c>
    </row>
    <row r="487" hidden="1">
      <c r="A487" s="3">
        <v>958.0</v>
      </c>
      <c r="B487" s="3" t="s">
        <v>40</v>
      </c>
      <c r="C487" s="3" t="s">
        <v>2022</v>
      </c>
      <c r="D487" s="3">
        <v>1998.0</v>
      </c>
      <c r="E487" s="3" t="s">
        <v>2023</v>
      </c>
      <c r="F487" s="3" t="s">
        <v>213</v>
      </c>
      <c r="G487" s="3"/>
      <c r="H487" s="3" t="s">
        <v>58</v>
      </c>
      <c r="I487" s="3"/>
      <c r="J487" s="3" t="s">
        <v>58</v>
      </c>
      <c r="K487" s="3"/>
      <c r="L487" s="3"/>
      <c r="M487" s="3" t="s">
        <v>69</v>
      </c>
      <c r="S487" s="3"/>
      <c r="T487" s="3"/>
      <c r="U487" s="3"/>
      <c r="V487" s="3"/>
      <c r="W487" s="3"/>
      <c r="X487" s="3"/>
      <c r="Y487" s="3"/>
      <c r="Z487" s="3"/>
      <c r="AC487" s="3" t="s">
        <v>63</v>
      </c>
      <c r="AF487" s="3" t="s">
        <v>260</v>
      </c>
      <c r="AH487" s="3" t="s">
        <v>61</v>
      </c>
      <c r="AL487" s="3"/>
      <c r="AM487" s="3"/>
      <c r="AN487" s="3"/>
      <c r="AO487" s="3"/>
      <c r="AP487" s="3"/>
      <c r="AQ487" s="3"/>
      <c r="AR487" s="3" t="s">
        <v>65</v>
      </c>
      <c r="AS487" s="3" t="s">
        <v>121</v>
      </c>
      <c r="AT487" s="3" t="s">
        <v>52</v>
      </c>
    </row>
    <row r="488" hidden="1">
      <c r="A488" s="3">
        <v>970.0</v>
      </c>
      <c r="B488" s="3" t="s">
        <v>40</v>
      </c>
      <c r="C488" s="3" t="s">
        <v>2047</v>
      </c>
      <c r="D488" s="3">
        <v>1992.0</v>
      </c>
      <c r="E488" s="3" t="s">
        <v>2048</v>
      </c>
      <c r="F488" s="3" t="s">
        <v>213</v>
      </c>
      <c r="G488" s="3"/>
      <c r="H488" s="3" t="s">
        <v>58</v>
      </c>
      <c r="I488" s="3"/>
      <c r="J488" s="3" t="s">
        <v>58</v>
      </c>
      <c r="K488" s="3"/>
      <c r="L488" s="3"/>
      <c r="M488" s="3" t="s">
        <v>69</v>
      </c>
      <c r="S488" s="3"/>
      <c r="T488" s="3"/>
      <c r="U488" s="3"/>
      <c r="V488" s="3"/>
      <c r="AC488" s="3" t="s">
        <v>63</v>
      </c>
      <c r="AL488" s="3"/>
      <c r="AM488" s="3"/>
      <c r="AN488" s="3"/>
      <c r="AO488" s="3"/>
      <c r="AP488" s="3"/>
      <c r="AQ488" s="3"/>
      <c r="AR488" s="3" t="s">
        <v>65</v>
      </c>
    </row>
    <row r="489" hidden="1">
      <c r="A489" s="3">
        <v>238.0</v>
      </c>
      <c r="B489" s="3" t="s">
        <v>106</v>
      </c>
      <c r="C489" s="3" t="s">
        <v>641</v>
      </c>
      <c r="D489" s="3">
        <v>2011.0</v>
      </c>
      <c r="E489" s="3" t="s">
        <v>642</v>
      </c>
      <c r="F489" s="3" t="s">
        <v>643</v>
      </c>
      <c r="G489" s="3"/>
      <c r="H489" s="3" t="s">
        <v>101</v>
      </c>
      <c r="I489" s="3"/>
      <c r="K489" s="3"/>
      <c r="L489" s="3"/>
      <c r="M489" s="3" t="s">
        <v>110</v>
      </c>
      <c r="S489" s="3"/>
      <c r="T489" s="3"/>
      <c r="U489" s="3"/>
      <c r="V489" s="3"/>
      <c r="AC489" s="3" t="s">
        <v>61</v>
      </c>
      <c r="AL489" s="3"/>
      <c r="AM489" s="3"/>
      <c r="AN489" s="3"/>
      <c r="AO489" s="3"/>
      <c r="AP489" s="3"/>
      <c r="AQ489" s="3"/>
      <c r="AR489" s="3" t="s">
        <v>52</v>
      </c>
      <c r="AS489" s="3" t="s">
        <v>143</v>
      </c>
      <c r="AW489" s="8" t="s">
        <v>2135</v>
      </c>
    </row>
    <row r="490" hidden="1">
      <c r="A490" s="3">
        <v>77.0</v>
      </c>
      <c r="B490" s="3" t="s">
        <v>55</v>
      </c>
      <c r="D490" s="3">
        <v>1992.0</v>
      </c>
      <c r="E490" s="3" t="s">
        <v>310</v>
      </c>
      <c r="F490" s="3" t="s">
        <v>311</v>
      </c>
      <c r="G490" s="3"/>
      <c r="H490" s="3" t="s">
        <v>58</v>
      </c>
      <c r="I490" s="3"/>
      <c r="J490" s="3" t="s">
        <v>58</v>
      </c>
      <c r="K490" s="3"/>
      <c r="L490" s="3"/>
      <c r="M490" s="3" t="s">
        <v>254</v>
      </c>
      <c r="S490" s="3"/>
      <c r="T490" s="3"/>
      <c r="U490" s="3"/>
      <c r="V490" s="3"/>
      <c r="W490" s="3"/>
      <c r="X490" s="3"/>
      <c r="AC490" s="3" t="s">
        <v>61</v>
      </c>
      <c r="AF490" s="3" t="s">
        <v>47</v>
      </c>
      <c r="AL490" s="3"/>
      <c r="AM490" s="3"/>
      <c r="AN490" s="3"/>
      <c r="AO490" s="3"/>
      <c r="AP490" s="3"/>
      <c r="AQ490" s="3"/>
      <c r="AR490" s="3" t="s">
        <v>52</v>
      </c>
      <c r="AS490" s="3" t="s">
        <v>51</v>
      </c>
      <c r="AW490" s="8" t="s">
        <v>2135</v>
      </c>
    </row>
    <row r="491">
      <c r="A491" s="3">
        <v>283.0</v>
      </c>
      <c r="B491" s="3" t="s">
        <v>40</v>
      </c>
      <c r="C491" s="3" t="s">
        <v>732</v>
      </c>
      <c r="D491" s="3">
        <v>2005.0</v>
      </c>
      <c r="E491" s="3" t="s">
        <v>733</v>
      </c>
      <c r="F491" s="3" t="s">
        <v>158</v>
      </c>
      <c r="G491" s="3" t="s">
        <v>2497</v>
      </c>
      <c r="H491" s="3" t="s">
        <v>58</v>
      </c>
      <c r="I491" s="3" t="s">
        <v>2142</v>
      </c>
      <c r="J491" s="3" t="s">
        <v>58</v>
      </c>
      <c r="L491" s="3" t="s">
        <v>2515</v>
      </c>
      <c r="M491" s="3" t="s">
        <v>69</v>
      </c>
      <c r="N491" s="3" t="s">
        <v>285</v>
      </c>
      <c r="S491" s="9" t="str">
        <f t="array" ref="S491">"[" &amp; TEXTJOIN(", ", TRUE, IF(LEN(T491:AB491), CHAR(34)&amp;T491:AB491&amp;CHAR(34), )) &amp; "]"
</f>
        <v>["Hunting &amp; Collecting Terrestrial Animals"]</v>
      </c>
      <c r="T491" s="3" t="s">
        <v>2138</v>
      </c>
      <c r="U491" s="3"/>
      <c r="V491" s="3"/>
      <c r="AC491" s="3" t="s">
        <v>61</v>
      </c>
      <c r="AL491" s="9" t="str">
        <f t="array" ref="AL491">"[" &amp; TEXTJOIN(", ", TRUE, IF(LEN(AM491:AQ491), CHAR(34)&amp;AM491:AQ491&amp;CHAR(34), )) &amp; "]"
</f>
        <v>["Biological resource use"]</v>
      </c>
      <c r="AM491" s="3" t="s">
        <v>52</v>
      </c>
      <c r="AN491" s="3"/>
      <c r="AO491" s="3"/>
      <c r="AP491" s="3"/>
      <c r="AQ491" s="3"/>
      <c r="AR491" s="3" t="s">
        <v>52</v>
      </c>
      <c r="AW491" s="8" t="s">
        <v>2516</v>
      </c>
    </row>
    <row r="492">
      <c r="A492" s="3">
        <v>320.0</v>
      </c>
      <c r="B492" s="3" t="s">
        <v>40</v>
      </c>
      <c r="C492" s="3" t="s">
        <v>808</v>
      </c>
      <c r="D492" s="3">
        <v>2014.0</v>
      </c>
      <c r="E492" s="3" t="s">
        <v>809</v>
      </c>
      <c r="F492" s="3" t="s">
        <v>158</v>
      </c>
      <c r="G492" s="3" t="s">
        <v>2497</v>
      </c>
      <c r="H492" s="3" t="s">
        <v>58</v>
      </c>
      <c r="I492" s="3" t="s">
        <v>2142</v>
      </c>
      <c r="J492" s="3" t="s">
        <v>58</v>
      </c>
      <c r="L492" s="3" t="s">
        <v>2517</v>
      </c>
      <c r="M492" s="3" t="s">
        <v>285</v>
      </c>
      <c r="N492" s="3" t="s">
        <v>69</v>
      </c>
      <c r="S492" s="9" t="str">
        <f t="array" ref="S492">"[" &amp; TEXTJOIN(", ", TRUE, IF(LEN(T492:AB492), CHAR(34)&amp;T492:AB492&amp;CHAR(34), )) &amp; "]"
</f>
        <v>["Hunting &amp; Collecting Terrestrial Animals"]</v>
      </c>
      <c r="T492" s="3" t="s">
        <v>2138</v>
      </c>
      <c r="U492" s="3"/>
      <c r="V492" s="3"/>
      <c r="AC492" s="3" t="s">
        <v>61</v>
      </c>
      <c r="AL492" s="9" t="str">
        <f t="array" ref="AL492">"[" &amp; TEXTJOIN(", ", TRUE, IF(LEN(AM492:AQ492), CHAR(34)&amp;AM492:AQ492&amp;CHAR(34), )) &amp; "]"
</f>
        <v>["Biological resource use"]</v>
      </c>
      <c r="AM492" s="3" t="s">
        <v>52</v>
      </c>
      <c r="AN492" s="3"/>
      <c r="AO492" s="3"/>
      <c r="AP492" s="3"/>
      <c r="AQ492" s="3"/>
      <c r="AR492" s="3" t="s">
        <v>52</v>
      </c>
      <c r="AW492" s="8" t="s">
        <v>2518</v>
      </c>
    </row>
    <row r="493">
      <c r="A493" s="3">
        <v>272.0</v>
      </c>
      <c r="B493" s="3" t="s">
        <v>40</v>
      </c>
      <c r="C493" s="3" t="s">
        <v>711</v>
      </c>
      <c r="D493" s="3">
        <v>2001.0</v>
      </c>
      <c r="E493" s="3" t="s">
        <v>712</v>
      </c>
      <c r="F493" s="3" t="s">
        <v>158</v>
      </c>
      <c r="G493" s="3" t="s">
        <v>2497</v>
      </c>
      <c r="H493" s="3" t="s">
        <v>58</v>
      </c>
      <c r="I493" s="3" t="s">
        <v>2142</v>
      </c>
      <c r="J493" s="3" t="s">
        <v>58</v>
      </c>
      <c r="L493" s="3" t="s">
        <v>2311</v>
      </c>
      <c r="M493" s="3" t="s">
        <v>69</v>
      </c>
      <c r="S493" s="9" t="str">
        <f t="array" ref="S493">"[" &amp; TEXTJOIN(", ", TRUE, IF(LEN(T493:AB493), CHAR(34)&amp;T493:AB493&amp;CHAR(34), )) &amp; "]"
</f>
        <v>["Logging &amp; Wood Harvesting"]</v>
      </c>
      <c r="T493" s="3" t="s">
        <v>2139</v>
      </c>
      <c r="U493" s="3"/>
      <c r="V493" s="3"/>
      <c r="AC493" s="3" t="s">
        <v>48</v>
      </c>
      <c r="AL493" s="9" t="str">
        <f t="array" ref="AL493">"[" &amp; TEXTJOIN(", ", TRUE, IF(LEN(AM493:AQ493), CHAR(34)&amp;AM493:AQ493&amp;CHAR(34), )) &amp; "]"
</f>
        <v>["Biological resource use"]</v>
      </c>
      <c r="AM493" s="3" t="s">
        <v>52</v>
      </c>
      <c r="AN493" s="3"/>
      <c r="AO493" s="3"/>
      <c r="AP493" s="3"/>
      <c r="AQ493" s="3"/>
      <c r="AR493" s="3" t="s">
        <v>52</v>
      </c>
      <c r="AW493" s="8" t="s">
        <v>2519</v>
      </c>
    </row>
    <row r="494">
      <c r="A494" s="3">
        <v>275.0</v>
      </c>
      <c r="B494" s="3" t="s">
        <v>40</v>
      </c>
      <c r="C494" s="3" t="s">
        <v>717</v>
      </c>
      <c r="D494" s="3">
        <v>2002.0</v>
      </c>
      <c r="E494" s="3" t="s">
        <v>718</v>
      </c>
      <c r="F494" s="3" t="s">
        <v>158</v>
      </c>
      <c r="G494" s="3" t="s">
        <v>2497</v>
      </c>
      <c r="H494" s="3" t="s">
        <v>58</v>
      </c>
      <c r="I494" s="3" t="s">
        <v>2142</v>
      </c>
      <c r="J494" s="3" t="s">
        <v>58</v>
      </c>
      <c r="L494" s="3" t="s">
        <v>2515</v>
      </c>
      <c r="M494" s="3" t="s">
        <v>69</v>
      </c>
      <c r="N494" s="3" t="s">
        <v>285</v>
      </c>
      <c r="S494" s="9" t="str">
        <f t="array" ref="S494">"[" &amp; TEXTJOIN(", ", TRUE, IF(LEN(T494:AB494), CHAR(34)&amp;T494:AB494&amp;CHAR(34), )) &amp; "]"
</f>
        <v>["Logging &amp; Wood Harvesting"]</v>
      </c>
      <c r="T494" s="3" t="s">
        <v>2139</v>
      </c>
      <c r="U494" s="3"/>
      <c r="V494" s="3"/>
      <c r="AC494" s="3" t="s">
        <v>48</v>
      </c>
      <c r="AL494" s="9" t="str">
        <f t="array" ref="AL494">"[" &amp; TEXTJOIN(", ", TRUE, IF(LEN(AM494:AQ494), CHAR(34)&amp;AM494:AQ494&amp;CHAR(34), )) &amp; "]"
</f>
        <v>["Biological resource use"]</v>
      </c>
      <c r="AM494" s="3" t="s">
        <v>52</v>
      </c>
      <c r="AN494" s="3"/>
      <c r="AO494" s="3"/>
      <c r="AP494" s="3"/>
      <c r="AQ494" s="3"/>
      <c r="AR494" s="3" t="s">
        <v>52</v>
      </c>
      <c r="AW494" s="8" t="s">
        <v>2520</v>
      </c>
    </row>
    <row r="495">
      <c r="A495" s="3">
        <v>427.0</v>
      </c>
      <c r="B495" s="3" t="s">
        <v>40</v>
      </c>
      <c r="C495" s="3" t="s">
        <v>980</v>
      </c>
      <c r="D495" s="3">
        <v>2007.0</v>
      </c>
      <c r="E495" s="3" t="s">
        <v>981</v>
      </c>
      <c r="F495" s="3" t="s">
        <v>158</v>
      </c>
      <c r="G495" s="3" t="s">
        <v>2497</v>
      </c>
      <c r="H495" s="3" t="s">
        <v>58</v>
      </c>
      <c r="I495" s="3" t="s">
        <v>2142</v>
      </c>
      <c r="J495" s="3" t="s">
        <v>58</v>
      </c>
      <c r="L495" s="3" t="s">
        <v>2143</v>
      </c>
      <c r="M495" s="3" t="s">
        <v>110</v>
      </c>
      <c r="S495" s="9" t="str">
        <f t="array" ref="S495">"[" &amp; TEXTJOIN(", ", TRUE, IF(LEN(T495:AB495), CHAR(34)&amp;T495:AB495&amp;CHAR(34), )) &amp; "]"
</f>
        <v>["Droughts"]</v>
      </c>
      <c r="T495" s="3" t="s">
        <v>322</v>
      </c>
      <c r="U495" s="3"/>
      <c r="V495" s="3"/>
      <c r="AC495" s="3" t="s">
        <v>322</v>
      </c>
      <c r="AL495" s="9" t="str">
        <f t="array" ref="AL495">"[" &amp; TEXTJOIN(", ", TRUE, IF(LEN(AM495:AQ495), CHAR(34)&amp;AM495:AQ495&amp;CHAR(34), )) &amp; "]"
</f>
        <v>["Climate change &amp; severe weather"]</v>
      </c>
      <c r="AM495" s="3" t="s">
        <v>118</v>
      </c>
      <c r="AO495" s="3"/>
      <c r="AP495" s="3"/>
      <c r="AQ495" s="3"/>
      <c r="AR495" s="3" t="s">
        <v>118</v>
      </c>
      <c r="AS495" s="3" t="s">
        <v>78</v>
      </c>
      <c r="AW495" s="8" t="s">
        <v>2521</v>
      </c>
    </row>
    <row r="496" hidden="1">
      <c r="A496" s="3">
        <v>959.0</v>
      </c>
      <c r="B496" s="3" t="s">
        <v>40</v>
      </c>
      <c r="C496" s="3" t="s">
        <v>2024</v>
      </c>
      <c r="D496" s="3">
        <v>2012.0</v>
      </c>
      <c r="E496" s="3" t="s">
        <v>2025</v>
      </c>
      <c r="F496" s="3" t="s">
        <v>311</v>
      </c>
      <c r="G496" s="3"/>
      <c r="H496" s="3" t="s">
        <v>58</v>
      </c>
      <c r="I496" s="3"/>
      <c r="J496" s="3" t="s">
        <v>58</v>
      </c>
      <c r="K496" s="3"/>
      <c r="L496" s="3"/>
      <c r="M496" s="3" t="s">
        <v>254</v>
      </c>
      <c r="S496" s="3"/>
      <c r="T496" s="3"/>
      <c r="U496" s="3"/>
      <c r="V496" s="3"/>
      <c r="W496" s="3"/>
      <c r="X496" s="3"/>
      <c r="Y496" s="3"/>
      <c r="Z496" s="3"/>
      <c r="AC496" s="3" t="s">
        <v>63</v>
      </c>
      <c r="AF496" s="3" t="s">
        <v>162</v>
      </c>
      <c r="AH496" s="3" t="s">
        <v>61</v>
      </c>
      <c r="AL496" s="3"/>
      <c r="AM496" s="3"/>
      <c r="AN496" s="3"/>
      <c r="AO496" s="3"/>
      <c r="AP496" s="3"/>
      <c r="AQ496" s="3"/>
      <c r="AR496" s="3" t="s">
        <v>65</v>
      </c>
      <c r="AS496" s="3" t="s">
        <v>121</v>
      </c>
      <c r="AT496" s="3" t="s">
        <v>52</v>
      </c>
    </row>
    <row r="497" hidden="1">
      <c r="A497" s="3">
        <v>83.0</v>
      </c>
      <c r="B497" s="3" t="s">
        <v>106</v>
      </c>
      <c r="C497" s="3" t="s">
        <v>326</v>
      </c>
      <c r="D497" s="3">
        <v>2012.0</v>
      </c>
      <c r="E497" s="3" t="s">
        <v>327</v>
      </c>
      <c r="F497" s="3" t="s">
        <v>328</v>
      </c>
      <c r="G497" s="3"/>
      <c r="H497" s="3" t="s">
        <v>58</v>
      </c>
      <c r="I497" s="3"/>
      <c r="K497" s="3"/>
      <c r="L497" s="3"/>
      <c r="M497" s="3" t="s">
        <v>110</v>
      </c>
      <c r="S497" s="3"/>
      <c r="T497" s="3"/>
      <c r="U497" s="3"/>
      <c r="V497" s="3"/>
      <c r="W497" s="3"/>
      <c r="X497" s="3"/>
      <c r="AC497" s="3" t="s">
        <v>48</v>
      </c>
      <c r="AD497" s="3" t="s">
        <v>61</v>
      </c>
      <c r="AF497" s="3" t="s">
        <v>329</v>
      </c>
      <c r="AL497" s="3"/>
      <c r="AM497" s="3"/>
      <c r="AN497" s="3"/>
      <c r="AO497" s="3"/>
      <c r="AP497" s="3"/>
      <c r="AQ497" s="3"/>
      <c r="AR497" s="3" t="s">
        <v>52</v>
      </c>
      <c r="AS497" s="3" t="s">
        <v>118</v>
      </c>
      <c r="AT497" s="3" t="s">
        <v>143</v>
      </c>
      <c r="AW497" s="8" t="s">
        <v>2135</v>
      </c>
    </row>
    <row r="498">
      <c r="A498" s="3">
        <v>554.0</v>
      </c>
      <c r="B498" s="3" t="s">
        <v>40</v>
      </c>
      <c r="C498" s="3" t="s">
        <v>1232</v>
      </c>
      <c r="D498" s="3">
        <v>2012.0</v>
      </c>
      <c r="E498" s="3" t="s">
        <v>1233</v>
      </c>
      <c r="F498" s="3" t="s">
        <v>158</v>
      </c>
      <c r="G498" s="3" t="s">
        <v>2497</v>
      </c>
      <c r="H498" s="3" t="s">
        <v>58</v>
      </c>
      <c r="I498" s="3" t="s">
        <v>2142</v>
      </c>
      <c r="J498" s="3" t="s">
        <v>58</v>
      </c>
      <c r="L498" s="3" t="s">
        <v>2340</v>
      </c>
      <c r="M498" s="3" t="s">
        <v>76</v>
      </c>
      <c r="S498" s="9" t="str">
        <f t="array" ref="S498">"[" &amp; TEXTJOIN(", ", TRUE, IF(LEN(T498:AB498), CHAR(34)&amp;T498:AB498&amp;CHAR(34), )) &amp; "]"
</f>
        <v>["Invasive non-native/alien species/diseases"]</v>
      </c>
      <c r="T498" s="3" t="s">
        <v>50</v>
      </c>
      <c r="U498" s="3"/>
      <c r="V498" s="3"/>
      <c r="AC498" s="3" t="s">
        <v>50</v>
      </c>
      <c r="AL498" s="9" t="str">
        <f t="array" ref="AL498">"[" &amp; TEXTJOIN(", ", TRUE, IF(LEN(AM498:AQ498), CHAR(34)&amp;AM498:AQ498&amp;CHAR(34), )) &amp; "]"
</f>
        <v>["Invasive &amp; other problematic species, genes &amp; diseases"]</v>
      </c>
      <c r="AM498" s="3" t="s">
        <v>54</v>
      </c>
      <c r="AN498" s="3"/>
      <c r="AO498" s="3"/>
      <c r="AP498" s="3"/>
      <c r="AQ498" s="3"/>
      <c r="AR498" s="3" t="s">
        <v>54</v>
      </c>
      <c r="AW498" s="8" t="s">
        <v>2522</v>
      </c>
    </row>
    <row r="499" hidden="1">
      <c r="A499" s="3">
        <v>157.0</v>
      </c>
      <c r="B499" s="3" t="s">
        <v>106</v>
      </c>
      <c r="C499" s="3" t="s">
        <v>481</v>
      </c>
      <c r="D499" s="3">
        <v>2010.0</v>
      </c>
      <c r="E499" s="3" t="s">
        <v>482</v>
      </c>
      <c r="F499" s="3" t="s">
        <v>328</v>
      </c>
      <c r="G499" s="3"/>
      <c r="H499" s="3" t="s">
        <v>124</v>
      </c>
      <c r="I499" s="3"/>
      <c r="K499" s="3"/>
      <c r="L499" s="3"/>
      <c r="M499" s="3" t="s">
        <v>155</v>
      </c>
      <c r="N499" s="3" t="s">
        <v>110</v>
      </c>
      <c r="S499" s="3"/>
      <c r="T499" s="3"/>
      <c r="U499" s="3"/>
      <c r="V499" s="3"/>
      <c r="W499" s="3"/>
      <c r="X499" s="3"/>
      <c r="Y499" s="3"/>
      <c r="Z499" s="3"/>
      <c r="AC499" s="3" t="s">
        <v>61</v>
      </c>
      <c r="AF499" s="3" t="s">
        <v>87</v>
      </c>
      <c r="AH499" s="3" t="s">
        <v>162</v>
      </c>
      <c r="AK499" s="3" t="s">
        <v>111</v>
      </c>
      <c r="AL499" s="3"/>
      <c r="AM499" s="3"/>
      <c r="AN499" s="3"/>
      <c r="AO499" s="3"/>
      <c r="AP499" s="3"/>
      <c r="AQ499" s="3"/>
      <c r="AR499" s="3" t="s">
        <v>52</v>
      </c>
      <c r="AS499" s="3" t="s">
        <v>64</v>
      </c>
      <c r="AT499" s="3" t="s">
        <v>121</v>
      </c>
      <c r="AU499" s="3" t="s">
        <v>143</v>
      </c>
      <c r="AV499" s="3" t="s">
        <v>51</v>
      </c>
      <c r="AW499" s="8" t="s">
        <v>2135</v>
      </c>
    </row>
    <row r="500" hidden="1">
      <c r="A500" s="3">
        <v>164.0</v>
      </c>
      <c r="B500" s="3" t="s">
        <v>106</v>
      </c>
      <c r="D500" s="3">
        <v>2009.0</v>
      </c>
      <c r="E500" s="3" t="s">
        <v>499</v>
      </c>
      <c r="F500" s="3" t="s">
        <v>328</v>
      </c>
      <c r="G500" s="3"/>
      <c r="H500" s="3" t="s">
        <v>124</v>
      </c>
      <c r="I500" s="3"/>
      <c r="K500" s="3"/>
      <c r="L500" s="3"/>
      <c r="M500" s="3" t="s">
        <v>155</v>
      </c>
      <c r="S500" s="3"/>
      <c r="T500" s="3"/>
      <c r="U500" s="3"/>
      <c r="V500" s="3"/>
      <c r="W500" s="3"/>
      <c r="X500" s="3"/>
      <c r="Y500" s="3"/>
      <c r="Z500" s="3"/>
      <c r="AA500" s="3"/>
      <c r="AB500" s="3"/>
      <c r="AC500" s="3" t="s">
        <v>61</v>
      </c>
      <c r="AD500" s="3" t="s">
        <v>267</v>
      </c>
      <c r="AF500" s="3" t="s">
        <v>259</v>
      </c>
      <c r="AG500" s="3" t="s">
        <v>147</v>
      </c>
      <c r="AH500" s="3" t="s">
        <v>250</v>
      </c>
      <c r="AJ500" s="3" t="s">
        <v>162</v>
      </c>
      <c r="AK500" s="3" t="s">
        <v>60</v>
      </c>
      <c r="AL500" s="3"/>
      <c r="AM500" s="3"/>
      <c r="AN500" s="3"/>
      <c r="AO500" s="3"/>
      <c r="AP500" s="3"/>
      <c r="AQ500" s="3"/>
      <c r="AR500" s="3" t="s">
        <v>52</v>
      </c>
      <c r="AS500" s="3" t="s">
        <v>64</v>
      </c>
      <c r="AT500" s="3" t="s">
        <v>53</v>
      </c>
      <c r="AU500" s="3" t="s">
        <v>121</v>
      </c>
      <c r="AV500" s="3" t="s">
        <v>51</v>
      </c>
      <c r="AW500" s="8" t="s">
        <v>2135</v>
      </c>
    </row>
    <row r="501" hidden="1">
      <c r="A501" s="3">
        <v>199.0</v>
      </c>
      <c r="B501" s="3" t="s">
        <v>72</v>
      </c>
      <c r="C501" s="3" t="s">
        <v>565</v>
      </c>
      <c r="D501" s="3">
        <v>2010.0</v>
      </c>
      <c r="E501" s="3" t="s">
        <v>566</v>
      </c>
      <c r="F501" s="3" t="s">
        <v>328</v>
      </c>
      <c r="G501" s="3"/>
      <c r="H501" s="3" t="s">
        <v>124</v>
      </c>
      <c r="I501" s="3"/>
      <c r="J501" s="3" t="s">
        <v>124</v>
      </c>
      <c r="K501" s="3"/>
      <c r="L501" s="3"/>
      <c r="M501" s="3" t="s">
        <v>155</v>
      </c>
      <c r="S501" s="3"/>
      <c r="T501" s="3"/>
      <c r="U501" s="3"/>
      <c r="V501" s="3"/>
      <c r="W501" s="3"/>
      <c r="X501" s="3"/>
      <c r="Y501" s="3"/>
      <c r="Z501" s="3"/>
      <c r="AA501" s="3"/>
      <c r="AB501" s="3"/>
      <c r="AC501" s="3" t="s">
        <v>61</v>
      </c>
      <c r="AD501" s="3" t="s">
        <v>48</v>
      </c>
      <c r="AE501" s="3" t="s">
        <v>247</v>
      </c>
      <c r="AF501" s="3" t="s">
        <v>567</v>
      </c>
      <c r="AH501" s="3" t="s">
        <v>47</v>
      </c>
      <c r="AJ501" s="3" t="s">
        <v>63</v>
      </c>
      <c r="AL501" s="3"/>
      <c r="AM501" s="3"/>
      <c r="AN501" s="3"/>
      <c r="AO501" s="3"/>
      <c r="AP501" s="3"/>
      <c r="AQ501" s="3"/>
      <c r="AR501" s="3" t="s">
        <v>52</v>
      </c>
      <c r="AS501" s="3" t="s">
        <v>71</v>
      </c>
      <c r="AT501" s="3" t="s">
        <v>51</v>
      </c>
      <c r="AU501" s="3" t="s">
        <v>65</v>
      </c>
      <c r="AW501" s="8" t="s">
        <v>2135</v>
      </c>
    </row>
    <row r="502">
      <c r="A502" s="3">
        <v>557.0</v>
      </c>
      <c r="B502" s="3" t="s">
        <v>40</v>
      </c>
      <c r="C502" s="3" t="s">
        <v>1238</v>
      </c>
      <c r="D502" s="3">
        <v>2013.0</v>
      </c>
      <c r="E502" s="3" t="s">
        <v>1239</v>
      </c>
      <c r="F502" s="3" t="s">
        <v>158</v>
      </c>
      <c r="G502" s="3" t="s">
        <v>2497</v>
      </c>
      <c r="H502" s="3" t="s">
        <v>58</v>
      </c>
      <c r="I502" s="3" t="s">
        <v>2142</v>
      </c>
      <c r="J502" s="3" t="s">
        <v>58</v>
      </c>
      <c r="L502" s="3" t="s">
        <v>2168</v>
      </c>
      <c r="M502" s="3" t="s">
        <v>286</v>
      </c>
      <c r="S502" s="9" t="str">
        <f t="array" ref="S502">"[" &amp; TEXTJOIN(", ", TRUE, IF(LEN(T502:AB502), CHAR(34)&amp;T502:AB502&amp;CHAR(34), )) &amp; "]"
</f>
        <v>["Invasive non-native/alien species/diseases"]</v>
      </c>
      <c r="T502" s="3" t="s">
        <v>50</v>
      </c>
      <c r="U502" s="3"/>
      <c r="V502" s="3"/>
      <c r="AC502" s="3" t="s">
        <v>50</v>
      </c>
      <c r="AL502" s="9" t="str">
        <f t="array" ref="AL502">"[" &amp; TEXTJOIN(", ", TRUE, IF(LEN(AM502:AQ502), CHAR(34)&amp;AM502:AQ502&amp;CHAR(34), )) &amp; "]"
</f>
        <v>["Invasive &amp; other problematic species, genes &amp; diseases"]</v>
      </c>
      <c r="AM502" s="3" t="s">
        <v>54</v>
      </c>
      <c r="AN502" s="3"/>
      <c r="AO502" s="3"/>
      <c r="AP502" s="3"/>
      <c r="AQ502" s="3"/>
      <c r="AR502" s="3" t="s">
        <v>54</v>
      </c>
      <c r="AW502" s="8" t="s">
        <v>2523</v>
      </c>
    </row>
    <row r="503">
      <c r="A503" s="3">
        <v>562.0</v>
      </c>
      <c r="B503" s="3" t="s">
        <v>40</v>
      </c>
      <c r="C503" s="3" t="s">
        <v>1248</v>
      </c>
      <c r="D503" s="3">
        <v>2014.0</v>
      </c>
      <c r="E503" s="3" t="s">
        <v>1249</v>
      </c>
      <c r="F503" s="3" t="s">
        <v>158</v>
      </c>
      <c r="G503" s="3" t="s">
        <v>2497</v>
      </c>
      <c r="H503" s="3" t="s">
        <v>58</v>
      </c>
      <c r="I503" s="3" t="s">
        <v>2142</v>
      </c>
      <c r="J503" s="3" t="s">
        <v>58</v>
      </c>
      <c r="L503" s="3" t="s">
        <v>2168</v>
      </c>
      <c r="M503" s="3" t="s">
        <v>286</v>
      </c>
      <c r="S503" s="9" t="str">
        <f t="array" ref="S503">"[" &amp; TEXTJOIN(", ", TRUE, IF(LEN(T503:AB503), CHAR(34)&amp;T503:AB503&amp;CHAR(34), )) &amp; "]"
</f>
        <v>["Invasive non-native/alien species/diseases"]</v>
      </c>
      <c r="T503" s="3" t="s">
        <v>50</v>
      </c>
      <c r="U503" s="3"/>
      <c r="V503" s="3"/>
      <c r="AC503" s="3" t="s">
        <v>50</v>
      </c>
      <c r="AL503" s="9" t="str">
        <f t="array" ref="AL503">"[" &amp; TEXTJOIN(", ", TRUE, IF(LEN(AM503:AQ503), CHAR(34)&amp;AM503:AQ503&amp;CHAR(34), )) &amp; "]"
</f>
        <v>["Invasive &amp; other problematic species, genes &amp; diseases"]</v>
      </c>
      <c r="AM503" s="3" t="s">
        <v>54</v>
      </c>
      <c r="AN503" s="3"/>
      <c r="AO503" s="3"/>
      <c r="AP503" s="3"/>
      <c r="AQ503" s="3"/>
      <c r="AR503" s="3" t="s">
        <v>54</v>
      </c>
      <c r="AW503" s="8" t="s">
        <v>2524</v>
      </c>
    </row>
    <row r="504">
      <c r="A504" s="3">
        <v>573.0</v>
      </c>
      <c r="B504" s="3" t="s">
        <v>40</v>
      </c>
      <c r="C504" s="3" t="s">
        <v>1271</v>
      </c>
      <c r="D504" s="3">
        <v>2016.0</v>
      </c>
      <c r="E504" s="3" t="s">
        <v>1272</v>
      </c>
      <c r="F504" s="3" t="s">
        <v>158</v>
      </c>
      <c r="G504" s="3" t="s">
        <v>2497</v>
      </c>
      <c r="H504" s="3" t="s">
        <v>58</v>
      </c>
      <c r="I504" s="3" t="s">
        <v>2142</v>
      </c>
      <c r="J504" s="3" t="s">
        <v>58</v>
      </c>
      <c r="L504" s="3" t="s">
        <v>2168</v>
      </c>
      <c r="M504" s="3" t="s">
        <v>286</v>
      </c>
      <c r="S504" s="9" t="str">
        <f t="array" ref="S504">"[" &amp; TEXTJOIN(", ", TRUE, IF(LEN(T504:AB504), CHAR(34)&amp;T504:AB504&amp;CHAR(34), )) &amp; "]"
</f>
        <v>["Invasive non-native/alien species/diseases"]</v>
      </c>
      <c r="T504" s="3" t="s">
        <v>50</v>
      </c>
      <c r="U504" s="3"/>
      <c r="V504" s="3"/>
      <c r="AC504" s="3" t="s">
        <v>50</v>
      </c>
      <c r="AL504" s="9" t="str">
        <f t="array" ref="AL504">"[" &amp; TEXTJOIN(", ", TRUE, IF(LEN(AM504:AQ504), CHAR(34)&amp;AM504:AQ504&amp;CHAR(34), )) &amp; "]"
</f>
        <v>["Invasive &amp; other problematic species, genes &amp; diseases"]</v>
      </c>
      <c r="AM504" s="3" t="s">
        <v>54</v>
      </c>
      <c r="AN504" s="3"/>
      <c r="AO504" s="3"/>
      <c r="AP504" s="3"/>
      <c r="AQ504" s="3"/>
      <c r="AR504" s="3" t="s">
        <v>54</v>
      </c>
      <c r="AW504" s="8" t="s">
        <v>2525</v>
      </c>
    </row>
    <row r="505" hidden="1">
      <c r="A505" s="3">
        <v>219.0</v>
      </c>
      <c r="B505" s="3" t="s">
        <v>55</v>
      </c>
      <c r="D505" s="3">
        <v>1991.0</v>
      </c>
      <c r="E505" s="3" t="s">
        <v>604</v>
      </c>
      <c r="F505" s="3" t="s">
        <v>605</v>
      </c>
      <c r="G505" s="3"/>
      <c r="H505" s="3" t="s">
        <v>44</v>
      </c>
      <c r="I505" s="3"/>
      <c r="J505" s="3" t="s">
        <v>45</v>
      </c>
      <c r="K505" s="3"/>
      <c r="L505" s="3"/>
      <c r="M505" s="3" t="s">
        <v>208</v>
      </c>
      <c r="N505" s="3" t="s">
        <v>275</v>
      </c>
      <c r="S505" s="3"/>
      <c r="T505" s="3"/>
      <c r="U505" s="3"/>
      <c r="V505" s="3"/>
      <c r="W505" s="3"/>
      <c r="X505" s="3"/>
      <c r="AC505" s="3" t="s">
        <v>61</v>
      </c>
      <c r="AF505" s="3" t="s">
        <v>63</v>
      </c>
      <c r="AL505" s="3"/>
      <c r="AM505" s="3"/>
      <c r="AN505" s="3"/>
      <c r="AO505" s="3"/>
      <c r="AP505" s="3"/>
      <c r="AQ505" s="3"/>
      <c r="AR505" s="3" t="s">
        <v>52</v>
      </c>
      <c r="AS505" s="3" t="s">
        <v>65</v>
      </c>
      <c r="AT505" s="3" t="s">
        <v>143</v>
      </c>
      <c r="AW505" s="8" t="s">
        <v>2135</v>
      </c>
    </row>
    <row r="506">
      <c r="A506" s="3">
        <v>594.0</v>
      </c>
      <c r="B506" s="3" t="s">
        <v>40</v>
      </c>
      <c r="C506" s="3" t="s">
        <v>1313</v>
      </c>
      <c r="D506" s="3">
        <v>2018.0</v>
      </c>
      <c r="E506" s="3" t="s">
        <v>1314</v>
      </c>
      <c r="F506" s="3" t="s">
        <v>158</v>
      </c>
      <c r="G506" s="3" t="s">
        <v>2497</v>
      </c>
      <c r="H506" s="3" t="s">
        <v>58</v>
      </c>
      <c r="I506" s="3" t="s">
        <v>2142</v>
      </c>
      <c r="J506" s="3" t="s">
        <v>58</v>
      </c>
      <c r="L506" s="3" t="s">
        <v>2168</v>
      </c>
      <c r="M506" s="3" t="s">
        <v>286</v>
      </c>
      <c r="S506" s="9" t="str">
        <f t="array" ref="S506">"[" &amp; TEXTJOIN(", ", TRUE, IF(LEN(T506:AB506), CHAR(34)&amp;T506:AB506&amp;CHAR(34), )) &amp; "]"
</f>
        <v>["Invasive non-native/alien species/diseases"]</v>
      </c>
      <c r="T506" s="3" t="s">
        <v>50</v>
      </c>
      <c r="U506" s="3"/>
      <c r="V506" s="3"/>
      <c r="AC506" s="3" t="s">
        <v>50</v>
      </c>
      <c r="AL506" s="9" t="str">
        <f t="array" ref="AL506">"[" &amp; TEXTJOIN(", ", TRUE, IF(LEN(AM506:AQ506), CHAR(34)&amp;AM506:AQ506&amp;CHAR(34), )) &amp; "]"
</f>
        <v>["Invasive &amp; other problematic species, genes &amp; diseases"]</v>
      </c>
      <c r="AM506" s="3" t="s">
        <v>54</v>
      </c>
      <c r="AN506" s="3"/>
      <c r="AO506" s="3"/>
      <c r="AP506" s="3"/>
      <c r="AQ506" s="3"/>
      <c r="AR506" s="3" t="s">
        <v>54</v>
      </c>
      <c r="AW506" s="8" t="s">
        <v>2526</v>
      </c>
    </row>
    <row r="507">
      <c r="A507" s="3">
        <v>537.0</v>
      </c>
      <c r="B507" s="3" t="s">
        <v>40</v>
      </c>
      <c r="C507" s="3" t="s">
        <v>1197</v>
      </c>
      <c r="D507" s="3">
        <v>2010.0</v>
      </c>
      <c r="E507" s="3" t="s">
        <v>1198</v>
      </c>
      <c r="F507" s="3" t="s">
        <v>158</v>
      </c>
      <c r="G507" s="3" t="s">
        <v>2497</v>
      </c>
      <c r="H507" s="3" t="s">
        <v>58</v>
      </c>
      <c r="I507" s="3" t="s">
        <v>2142</v>
      </c>
      <c r="J507" s="3" t="s">
        <v>58</v>
      </c>
      <c r="L507" s="3" t="s">
        <v>2180</v>
      </c>
      <c r="M507" s="3" t="s">
        <v>285</v>
      </c>
      <c r="S507" s="9" t="str">
        <f t="array" ref="S507">"[" &amp; TEXTJOIN(", ", TRUE, IF(LEN(T507:AB507), CHAR(34)&amp;T507:AB507&amp;CHAR(34), )) &amp; "]"
</f>
        <v>["Viral/prion-induced diseases"]</v>
      </c>
      <c r="T507" s="3" t="s">
        <v>385</v>
      </c>
      <c r="U507" s="3"/>
      <c r="V507" s="3"/>
      <c r="AC507" s="3" t="s">
        <v>385</v>
      </c>
      <c r="AL507" s="9" t="str">
        <f t="array" ref="AL507">"[" &amp; TEXTJOIN(", ", TRUE, IF(LEN(AM507:AQ507), CHAR(34)&amp;AM507:AQ507&amp;CHAR(34), )) &amp; "]"
</f>
        <v>["Invasive &amp; other problematic species, genes &amp; diseases"]</v>
      </c>
      <c r="AM507" s="3" t="s">
        <v>54</v>
      </c>
      <c r="AN507" s="3"/>
      <c r="AO507" s="3"/>
      <c r="AP507" s="3"/>
      <c r="AQ507" s="3"/>
      <c r="AR507" s="3" t="s">
        <v>54</v>
      </c>
      <c r="AW507" s="8" t="s">
        <v>2527</v>
      </c>
    </row>
    <row r="508" hidden="1">
      <c r="A508" s="3">
        <v>368.0</v>
      </c>
      <c r="B508" s="3" t="s">
        <v>106</v>
      </c>
      <c r="D508" s="3">
        <v>2002.0</v>
      </c>
      <c r="E508" s="3" t="s">
        <v>907</v>
      </c>
      <c r="F508" s="3" t="s">
        <v>341</v>
      </c>
      <c r="G508" s="3"/>
      <c r="H508" s="3" t="s">
        <v>44</v>
      </c>
      <c r="I508" s="3"/>
      <c r="K508" s="3"/>
      <c r="L508" s="3"/>
      <c r="M508" s="3" t="s">
        <v>46</v>
      </c>
      <c r="S508" s="3"/>
      <c r="T508" s="3"/>
      <c r="U508" s="3"/>
      <c r="V508" s="3"/>
      <c r="AC508" s="3" t="s">
        <v>267</v>
      </c>
      <c r="AL508" s="3"/>
      <c r="AM508" s="3"/>
      <c r="AN508" s="3"/>
      <c r="AO508" s="3"/>
      <c r="AP508" s="3"/>
      <c r="AQ508" s="3"/>
      <c r="AR508" s="3" t="s">
        <v>52</v>
      </c>
      <c r="AW508" s="8" t="s">
        <v>2135</v>
      </c>
    </row>
    <row r="509" hidden="1">
      <c r="A509" s="3">
        <v>374.0</v>
      </c>
      <c r="B509" s="3" t="s">
        <v>106</v>
      </c>
      <c r="D509" s="3">
        <v>2004.0</v>
      </c>
      <c r="E509" s="3" t="s">
        <v>914</v>
      </c>
      <c r="F509" s="3" t="s">
        <v>341</v>
      </c>
      <c r="G509" s="3"/>
      <c r="H509" s="3" t="s">
        <v>44</v>
      </c>
      <c r="I509" s="3"/>
      <c r="K509" s="3"/>
      <c r="L509" s="3"/>
      <c r="M509" s="3" t="s">
        <v>46</v>
      </c>
      <c r="S509" s="3"/>
      <c r="T509" s="3"/>
      <c r="U509" s="3"/>
      <c r="V509" s="3"/>
      <c r="AC509" s="3" t="s">
        <v>267</v>
      </c>
      <c r="AL509" s="3"/>
      <c r="AM509" s="3"/>
      <c r="AN509" s="3"/>
      <c r="AO509" s="3"/>
      <c r="AP509" s="3"/>
      <c r="AQ509" s="3"/>
      <c r="AR509" s="3" t="s">
        <v>52</v>
      </c>
      <c r="AW509" s="8" t="s">
        <v>2135</v>
      </c>
    </row>
    <row r="510" hidden="1">
      <c r="A510" s="3">
        <v>378.0</v>
      </c>
      <c r="B510" s="3" t="s">
        <v>106</v>
      </c>
      <c r="D510" s="3">
        <v>2008.0</v>
      </c>
      <c r="E510" s="3" t="s">
        <v>918</v>
      </c>
      <c r="F510" s="3" t="s">
        <v>341</v>
      </c>
      <c r="G510" s="3"/>
      <c r="H510" s="3" t="s">
        <v>44</v>
      </c>
      <c r="I510" s="3"/>
      <c r="K510" s="3"/>
      <c r="L510" s="3"/>
      <c r="M510" s="3" t="s">
        <v>46</v>
      </c>
      <c r="S510" s="3"/>
      <c r="T510" s="3"/>
      <c r="U510" s="3"/>
      <c r="V510" s="3"/>
      <c r="AC510" s="3" t="s">
        <v>247</v>
      </c>
      <c r="AL510" s="3"/>
      <c r="AM510" s="3"/>
      <c r="AN510" s="3"/>
      <c r="AO510" s="3"/>
      <c r="AP510" s="3"/>
      <c r="AQ510" s="3"/>
      <c r="AR510" s="3" t="s">
        <v>52</v>
      </c>
      <c r="AW510" s="8" t="s">
        <v>2135</v>
      </c>
    </row>
    <row r="511" hidden="1">
      <c r="A511" s="3">
        <v>379.0</v>
      </c>
      <c r="B511" s="3" t="s">
        <v>106</v>
      </c>
      <c r="D511" s="3">
        <v>2008.0</v>
      </c>
      <c r="E511" s="3" t="s">
        <v>919</v>
      </c>
      <c r="F511" s="3" t="s">
        <v>341</v>
      </c>
      <c r="G511" s="3"/>
      <c r="H511" s="3" t="s">
        <v>44</v>
      </c>
      <c r="I511" s="3"/>
      <c r="K511" s="3"/>
      <c r="L511" s="3"/>
      <c r="M511" s="3" t="s">
        <v>461</v>
      </c>
      <c r="S511" s="3"/>
      <c r="T511" s="3"/>
      <c r="U511" s="3"/>
      <c r="V511" s="3"/>
      <c r="AC511" s="3" t="s">
        <v>247</v>
      </c>
      <c r="AL511" s="3"/>
      <c r="AM511" s="3"/>
      <c r="AN511" s="3"/>
      <c r="AO511" s="3"/>
      <c r="AP511" s="3"/>
      <c r="AQ511" s="3"/>
      <c r="AR511" s="3" t="s">
        <v>52</v>
      </c>
      <c r="AW511" s="8" t="s">
        <v>2135</v>
      </c>
    </row>
    <row r="512" hidden="1">
      <c r="A512" s="3">
        <v>453.0</v>
      </c>
      <c r="B512" s="3" t="s">
        <v>106</v>
      </c>
      <c r="C512" s="3" t="s">
        <v>1033</v>
      </c>
      <c r="D512" s="3">
        <v>1999.0</v>
      </c>
      <c r="E512" s="3" t="s">
        <v>1034</v>
      </c>
      <c r="F512" s="3" t="s">
        <v>341</v>
      </c>
      <c r="G512" s="3"/>
      <c r="H512" s="3" t="s">
        <v>44</v>
      </c>
      <c r="I512" s="3"/>
      <c r="K512" s="3"/>
      <c r="L512" s="3"/>
      <c r="M512" s="3" t="s">
        <v>46</v>
      </c>
      <c r="S512" s="3"/>
      <c r="T512" s="3"/>
      <c r="U512" s="3"/>
      <c r="V512" s="3"/>
      <c r="W512" s="3"/>
      <c r="X512" s="3"/>
      <c r="AC512" s="3" t="s">
        <v>162</v>
      </c>
      <c r="AF512" s="3" t="s">
        <v>567</v>
      </c>
      <c r="AL512" s="3"/>
      <c r="AM512" s="3"/>
      <c r="AN512" s="3"/>
      <c r="AO512" s="3"/>
      <c r="AP512" s="3"/>
      <c r="AQ512" s="3"/>
      <c r="AR512" s="3" t="s">
        <v>121</v>
      </c>
      <c r="AS512" s="3" t="s">
        <v>71</v>
      </c>
      <c r="AW512" s="8" t="s">
        <v>2135</v>
      </c>
    </row>
    <row r="513" hidden="1">
      <c r="A513" s="3">
        <v>464.0</v>
      </c>
      <c r="B513" s="3" t="s">
        <v>106</v>
      </c>
      <c r="C513" s="3" t="s">
        <v>1056</v>
      </c>
      <c r="D513" s="3">
        <v>1995.0</v>
      </c>
      <c r="E513" s="3" t="s">
        <v>1057</v>
      </c>
      <c r="F513" s="3" t="s">
        <v>341</v>
      </c>
      <c r="G513" s="3"/>
      <c r="H513" s="3" t="s">
        <v>44</v>
      </c>
      <c r="I513" s="3"/>
      <c r="K513" s="3"/>
      <c r="L513" s="3"/>
      <c r="M513" s="3" t="s">
        <v>46</v>
      </c>
      <c r="S513" s="3"/>
      <c r="T513" s="3"/>
      <c r="U513" s="3"/>
      <c r="V513" s="3"/>
      <c r="AC513" s="3" t="s">
        <v>162</v>
      </c>
      <c r="AL513" s="3"/>
      <c r="AM513" s="3"/>
      <c r="AN513" s="3"/>
      <c r="AO513" s="3"/>
      <c r="AP513" s="3"/>
      <c r="AQ513" s="3"/>
      <c r="AR513" s="3" t="s">
        <v>121</v>
      </c>
      <c r="AW513" s="8" t="s">
        <v>2135</v>
      </c>
    </row>
    <row r="514" hidden="1">
      <c r="A514" s="3">
        <v>465.0</v>
      </c>
      <c r="B514" s="3" t="s">
        <v>106</v>
      </c>
      <c r="C514" s="3" t="s">
        <v>1058</v>
      </c>
      <c r="D514" s="3">
        <v>1997.0</v>
      </c>
      <c r="E514" s="3" t="s">
        <v>1059</v>
      </c>
      <c r="F514" s="3" t="s">
        <v>341</v>
      </c>
      <c r="G514" s="3"/>
      <c r="H514" s="3" t="s">
        <v>44</v>
      </c>
      <c r="I514" s="3"/>
      <c r="K514" s="3"/>
      <c r="L514" s="3"/>
      <c r="M514" s="3" t="s">
        <v>46</v>
      </c>
      <c r="S514" s="3"/>
      <c r="T514" s="3"/>
      <c r="U514" s="3"/>
      <c r="V514" s="3"/>
      <c r="AC514" s="3" t="s">
        <v>162</v>
      </c>
      <c r="AL514" s="3"/>
      <c r="AM514" s="3"/>
      <c r="AN514" s="3"/>
      <c r="AO514" s="3"/>
      <c r="AP514" s="3"/>
      <c r="AQ514" s="3"/>
      <c r="AR514" s="3" t="s">
        <v>121</v>
      </c>
      <c r="AW514" s="8" t="s">
        <v>2135</v>
      </c>
    </row>
    <row r="515" hidden="1">
      <c r="A515" s="3">
        <v>608.0</v>
      </c>
      <c r="B515" s="3" t="s">
        <v>106</v>
      </c>
      <c r="C515" s="3" t="s">
        <v>1342</v>
      </c>
      <c r="D515" s="3">
        <v>1995.0</v>
      </c>
      <c r="E515" s="3" t="s">
        <v>1343</v>
      </c>
      <c r="F515" s="3" t="s">
        <v>341</v>
      </c>
      <c r="G515" s="3"/>
      <c r="H515" s="3" t="s">
        <v>44</v>
      </c>
      <c r="I515" s="3"/>
      <c r="K515" s="3"/>
      <c r="L515" s="3"/>
      <c r="M515" s="3" t="s">
        <v>46</v>
      </c>
      <c r="S515" s="3"/>
      <c r="T515" s="3"/>
      <c r="U515" s="3"/>
      <c r="V515" s="3"/>
      <c r="AC515" s="3" t="s">
        <v>385</v>
      </c>
      <c r="AL515" s="3"/>
      <c r="AM515" s="3"/>
      <c r="AN515" s="3"/>
      <c r="AO515" s="3"/>
      <c r="AP515" s="3"/>
      <c r="AQ515" s="3"/>
      <c r="AR515" s="3" t="s">
        <v>54</v>
      </c>
      <c r="AW515" s="8" t="s">
        <v>2135</v>
      </c>
    </row>
    <row r="516" hidden="1">
      <c r="A516" s="3">
        <v>725.0</v>
      </c>
      <c r="B516" s="3" t="s">
        <v>106</v>
      </c>
      <c r="C516" s="3" t="s">
        <v>1564</v>
      </c>
      <c r="D516" s="3">
        <v>1994.0</v>
      </c>
      <c r="E516" s="3" t="s">
        <v>1565</v>
      </c>
      <c r="F516" s="3" t="s">
        <v>341</v>
      </c>
      <c r="G516" s="3"/>
      <c r="H516" s="3" t="s">
        <v>44</v>
      </c>
      <c r="I516" s="3"/>
      <c r="K516" s="3"/>
      <c r="L516" s="3"/>
      <c r="M516" s="3" t="s">
        <v>46</v>
      </c>
      <c r="S516" s="3"/>
      <c r="T516" s="3"/>
      <c r="U516" s="3"/>
      <c r="V516" s="3"/>
      <c r="W516" s="3"/>
      <c r="X516" s="3"/>
      <c r="Y516" s="3"/>
      <c r="Z516" s="3"/>
      <c r="AA516" s="3"/>
      <c r="AB516" s="3"/>
      <c r="AC516" s="3" t="s">
        <v>147</v>
      </c>
      <c r="AF516" s="3" t="s">
        <v>247</v>
      </c>
      <c r="AG516" s="3" t="s">
        <v>61</v>
      </c>
      <c r="AH516" s="3" t="s">
        <v>385</v>
      </c>
      <c r="AJ516" s="3" t="s">
        <v>162</v>
      </c>
      <c r="AL516" s="3"/>
      <c r="AM516" s="3"/>
      <c r="AN516" s="3"/>
      <c r="AO516" s="3"/>
      <c r="AP516" s="3"/>
      <c r="AQ516" s="3"/>
      <c r="AR516" s="3" t="s">
        <v>64</v>
      </c>
      <c r="AS516" s="3" t="s">
        <v>52</v>
      </c>
      <c r="AT516" s="3" t="s">
        <v>54</v>
      </c>
      <c r="AU516" s="3" t="s">
        <v>121</v>
      </c>
      <c r="AV516" s="3" t="s">
        <v>143</v>
      </c>
      <c r="AW516" s="8" t="s">
        <v>2135</v>
      </c>
    </row>
    <row r="517" hidden="1">
      <c r="A517" s="3">
        <v>900.0</v>
      </c>
      <c r="B517" s="3" t="s">
        <v>106</v>
      </c>
      <c r="C517" s="3" t="s">
        <v>1909</v>
      </c>
      <c r="D517" s="3">
        <v>1993.0</v>
      </c>
      <c r="E517" s="3" t="s">
        <v>1910</v>
      </c>
      <c r="F517" s="3" t="s">
        <v>341</v>
      </c>
      <c r="G517" s="3"/>
      <c r="H517" s="3" t="s">
        <v>44</v>
      </c>
      <c r="I517" s="3"/>
      <c r="K517" s="3"/>
      <c r="L517" s="3"/>
      <c r="M517" s="3" t="s">
        <v>46</v>
      </c>
      <c r="S517" s="3"/>
      <c r="T517" s="3"/>
      <c r="U517" s="3"/>
      <c r="V517" s="3"/>
      <c r="AC517" s="3" t="s">
        <v>147</v>
      </c>
      <c r="AL517" s="3"/>
      <c r="AM517" s="3"/>
      <c r="AN517" s="3"/>
      <c r="AO517" s="3"/>
      <c r="AP517" s="3"/>
      <c r="AQ517" s="3"/>
      <c r="AR517" s="3" t="s">
        <v>64</v>
      </c>
    </row>
    <row r="518" hidden="1">
      <c r="A518" s="3">
        <v>922.0</v>
      </c>
      <c r="B518" s="3" t="s">
        <v>106</v>
      </c>
      <c r="C518" s="3" t="s">
        <v>1946</v>
      </c>
      <c r="D518" s="3">
        <v>1992.0</v>
      </c>
      <c r="E518" s="3" t="s">
        <v>1947</v>
      </c>
      <c r="F518" s="3" t="s">
        <v>341</v>
      </c>
      <c r="G518" s="3"/>
      <c r="H518" s="3" t="s">
        <v>44</v>
      </c>
      <c r="I518" s="3"/>
      <c r="K518" s="3"/>
      <c r="L518" s="3"/>
      <c r="M518" s="3" t="s">
        <v>46</v>
      </c>
      <c r="S518" s="3"/>
      <c r="T518" s="3"/>
      <c r="U518" s="3"/>
      <c r="V518" s="3"/>
      <c r="W518" s="3"/>
      <c r="X518" s="3"/>
      <c r="AC518" s="3" t="s">
        <v>1948</v>
      </c>
      <c r="AF518" s="3" t="s">
        <v>61</v>
      </c>
      <c r="AL518" s="3"/>
      <c r="AM518" s="3"/>
      <c r="AN518" s="3"/>
      <c r="AO518" s="3"/>
      <c r="AP518" s="3"/>
      <c r="AQ518" s="3"/>
      <c r="AR518" s="3" t="s">
        <v>71</v>
      </c>
      <c r="AS518" s="3" t="s">
        <v>52</v>
      </c>
    </row>
    <row r="519">
      <c r="A519" s="3">
        <v>650.0</v>
      </c>
      <c r="B519" s="3" t="s">
        <v>40</v>
      </c>
      <c r="C519" s="3" t="s">
        <v>1413</v>
      </c>
      <c r="D519" s="3">
        <v>2013.0</v>
      </c>
      <c r="E519" s="3" t="s">
        <v>1414</v>
      </c>
      <c r="F519" s="3" t="s">
        <v>158</v>
      </c>
      <c r="G519" s="3" t="s">
        <v>2497</v>
      </c>
      <c r="H519" s="3" t="s">
        <v>58</v>
      </c>
      <c r="I519" s="3" t="s">
        <v>2142</v>
      </c>
      <c r="J519" s="3" t="s">
        <v>58</v>
      </c>
      <c r="L519" s="3" t="s">
        <v>2168</v>
      </c>
      <c r="M519" s="3" t="s">
        <v>286</v>
      </c>
      <c r="S519" s="9" t="str">
        <f t="array" ref="S519">"[" &amp; TEXTJOIN(", ", TRUE, IF(LEN(T519:AB519), CHAR(34)&amp;T519:AB519&amp;CHAR(34), )) &amp; "]"
</f>
        <v>["Dams &amp; water management/use"]</v>
      </c>
      <c r="T519" s="3" t="s">
        <v>49</v>
      </c>
      <c r="U519" s="3"/>
      <c r="V519" s="3"/>
      <c r="AC519" s="3" t="s">
        <v>49</v>
      </c>
      <c r="AL519" s="9" t="str">
        <f t="array" ref="AL519">"[" &amp; TEXTJOIN(", ", TRUE, IF(LEN(AM519:AQ519), CHAR(34)&amp;AM519:AQ519&amp;CHAR(34), )) &amp; "]"
</f>
        <v>["Natural system modifications"]</v>
      </c>
      <c r="AM519" s="3" t="s">
        <v>53</v>
      </c>
      <c r="AN519" s="3"/>
      <c r="AO519" s="3"/>
      <c r="AP519" s="3"/>
      <c r="AQ519" s="3"/>
      <c r="AR519" s="3" t="s">
        <v>53</v>
      </c>
      <c r="AW519" s="8" t="s">
        <v>2528</v>
      </c>
    </row>
    <row r="520">
      <c r="A520" s="3">
        <v>642.0</v>
      </c>
      <c r="B520" s="3" t="s">
        <v>40</v>
      </c>
      <c r="C520" s="3" t="s">
        <v>1398</v>
      </c>
      <c r="D520" s="3">
        <v>2001.0</v>
      </c>
      <c r="E520" s="3" t="s">
        <v>1399</v>
      </c>
      <c r="F520" s="3" t="s">
        <v>158</v>
      </c>
      <c r="G520" s="3" t="s">
        <v>2497</v>
      </c>
      <c r="H520" s="3" t="s">
        <v>58</v>
      </c>
      <c r="I520" s="3" t="s">
        <v>2142</v>
      </c>
      <c r="J520" s="3" t="s">
        <v>58</v>
      </c>
      <c r="L520" s="3" t="s">
        <v>2143</v>
      </c>
      <c r="M520" s="3" t="s">
        <v>110</v>
      </c>
      <c r="S520" s="9"/>
      <c r="U520" s="3"/>
      <c r="V520" s="3"/>
      <c r="AC520" s="3" t="s">
        <v>134</v>
      </c>
      <c r="AL520" s="9" t="str">
        <f t="array" ref="AL520">"[" &amp; TEXTJOIN(", ", TRUE, IF(LEN(AM520:AQ520), CHAR(34)&amp;AM520:AQ520&amp;CHAR(34), )) &amp; "]"
</f>
        <v>["Natural system modifications"]</v>
      </c>
      <c r="AM520" s="3" t="s">
        <v>53</v>
      </c>
      <c r="AN520" s="3"/>
      <c r="AO520" s="3"/>
      <c r="AP520" s="3"/>
      <c r="AQ520" s="3"/>
      <c r="AR520" s="3" t="s">
        <v>53</v>
      </c>
      <c r="AW520" s="8" t="s">
        <v>2529</v>
      </c>
    </row>
    <row r="521">
      <c r="A521" s="3">
        <v>649.0</v>
      </c>
      <c r="B521" s="3" t="s">
        <v>40</v>
      </c>
      <c r="C521" s="3" t="s">
        <v>1411</v>
      </c>
      <c r="D521" s="3">
        <v>2011.0</v>
      </c>
      <c r="E521" s="3" t="s">
        <v>1412</v>
      </c>
      <c r="F521" s="3" t="s">
        <v>158</v>
      </c>
      <c r="G521" s="3" t="s">
        <v>2497</v>
      </c>
      <c r="H521" s="3" t="s">
        <v>58</v>
      </c>
      <c r="I521" s="3" t="s">
        <v>2142</v>
      </c>
      <c r="J521" s="3" t="s">
        <v>58</v>
      </c>
      <c r="L521" s="3" t="s">
        <v>2311</v>
      </c>
      <c r="M521" s="3" t="s">
        <v>69</v>
      </c>
      <c r="S521" s="9"/>
      <c r="U521" s="3"/>
      <c r="V521" s="3"/>
      <c r="AC521" s="3" t="s">
        <v>134</v>
      </c>
      <c r="AL521" s="9" t="str">
        <f t="array" ref="AL521">"[" &amp; TEXTJOIN(", ", TRUE, IF(LEN(AM521:AQ521), CHAR(34)&amp;AM521:AQ521&amp;CHAR(34), )) &amp; "]"
</f>
        <v>["Natural system modifications"]</v>
      </c>
      <c r="AM521" s="3" t="s">
        <v>53</v>
      </c>
      <c r="AN521" s="3"/>
      <c r="AO521" s="3"/>
      <c r="AP521" s="3"/>
      <c r="AQ521" s="3"/>
      <c r="AR521" s="3" t="s">
        <v>53</v>
      </c>
      <c r="AW521" s="8" t="s">
        <v>2530</v>
      </c>
    </row>
    <row r="522" hidden="1">
      <c r="A522" s="3">
        <v>25.0</v>
      </c>
      <c r="B522" s="3" t="s">
        <v>106</v>
      </c>
      <c r="C522" s="3" t="s">
        <v>163</v>
      </c>
      <c r="D522" s="3">
        <v>1994.0</v>
      </c>
      <c r="E522" s="3" t="s">
        <v>164</v>
      </c>
      <c r="F522" s="3" t="s">
        <v>165</v>
      </c>
      <c r="G522" s="3"/>
      <c r="H522" s="3" t="s">
        <v>58</v>
      </c>
      <c r="I522" s="3"/>
      <c r="K522" s="3"/>
      <c r="L522" s="3"/>
      <c r="M522" s="3" t="s">
        <v>110</v>
      </c>
      <c r="S522" s="3"/>
      <c r="T522" s="3"/>
      <c r="U522" s="3"/>
      <c r="V522" s="3"/>
      <c r="W522" s="3"/>
      <c r="X522" s="3"/>
      <c r="AC522" s="3" t="s">
        <v>111</v>
      </c>
      <c r="AF522" s="3" t="s">
        <v>166</v>
      </c>
      <c r="AL522" s="3"/>
      <c r="AM522" s="3"/>
      <c r="AN522" s="3"/>
      <c r="AO522" s="3"/>
      <c r="AP522" s="3"/>
      <c r="AQ522" s="3"/>
      <c r="AR522" s="3" t="s">
        <v>51</v>
      </c>
      <c r="AS522" s="3" t="s">
        <v>65</v>
      </c>
      <c r="AW522" s="8" t="s">
        <v>2135</v>
      </c>
    </row>
    <row r="523">
      <c r="A523" s="3">
        <v>673.0</v>
      </c>
      <c r="B523" s="3" t="s">
        <v>40</v>
      </c>
      <c r="C523" s="3" t="s">
        <v>1458</v>
      </c>
      <c r="D523" s="3">
        <v>2001.0</v>
      </c>
      <c r="E523" s="3" t="s">
        <v>1459</v>
      </c>
      <c r="F523" s="3" t="s">
        <v>158</v>
      </c>
      <c r="G523" s="3" t="s">
        <v>2497</v>
      </c>
      <c r="H523" s="3" t="s">
        <v>58</v>
      </c>
      <c r="I523" s="3" t="s">
        <v>2142</v>
      </c>
      <c r="J523" s="3" t="s">
        <v>58</v>
      </c>
      <c r="L523" s="3" t="s">
        <v>2143</v>
      </c>
      <c r="M523" s="3" t="s">
        <v>110</v>
      </c>
      <c r="S523" s="9"/>
      <c r="T523" s="3"/>
      <c r="U523" s="3"/>
      <c r="V523" s="3"/>
      <c r="AL523" s="9" t="str">
        <f t="array" ref="AL523">"[" &amp; TEXTJOIN(", ", TRUE, IF(LEN(AM523:AQ523), CHAR(34)&amp;AM523:AQ523&amp;CHAR(34), )) &amp; "]"
</f>
        <v>[]</v>
      </c>
      <c r="AN523" s="3"/>
      <c r="AO523" s="3"/>
      <c r="AP523" s="3"/>
      <c r="AQ523" s="3"/>
      <c r="AR523" s="3" t="s">
        <v>78</v>
      </c>
      <c r="AW523" s="8" t="s">
        <v>2531</v>
      </c>
    </row>
    <row r="524" hidden="1">
      <c r="A524" s="3">
        <v>4.0</v>
      </c>
      <c r="B524" s="3" t="s">
        <v>72</v>
      </c>
      <c r="C524" s="3" t="s">
        <v>73</v>
      </c>
      <c r="D524" s="3">
        <v>2014.0</v>
      </c>
      <c r="E524" s="3" t="s">
        <v>74</v>
      </c>
      <c r="F524" s="3" t="s">
        <v>75</v>
      </c>
      <c r="G524" s="3"/>
      <c r="H524" s="3" t="s">
        <v>58</v>
      </c>
      <c r="I524" s="3"/>
      <c r="J524" s="3" t="s">
        <v>58</v>
      </c>
      <c r="K524" s="3"/>
      <c r="L524" s="3"/>
      <c r="M524" s="3" t="s">
        <v>76</v>
      </c>
      <c r="S524" s="3"/>
      <c r="T524" s="3"/>
      <c r="U524" s="3"/>
      <c r="V524" s="3"/>
      <c r="W524" s="3"/>
      <c r="X524" s="3"/>
      <c r="Y524" s="3"/>
      <c r="Z524" s="3"/>
      <c r="AA524" s="3"/>
      <c r="AB524" s="3"/>
      <c r="AC524" s="3" t="s">
        <v>60</v>
      </c>
      <c r="AD524" s="3" t="s">
        <v>47</v>
      </c>
      <c r="AF524" s="3" t="s">
        <v>61</v>
      </c>
      <c r="AH524" s="3" t="s">
        <v>63</v>
      </c>
      <c r="AJ524" s="3" t="s">
        <v>77</v>
      </c>
      <c r="AL524" s="3"/>
      <c r="AM524" s="3"/>
      <c r="AN524" s="3"/>
      <c r="AO524" s="3"/>
      <c r="AP524" s="3"/>
      <c r="AQ524" s="3"/>
      <c r="AR524" s="3" t="s">
        <v>51</v>
      </c>
      <c r="AS524" s="3" t="s">
        <v>52</v>
      </c>
      <c r="AT524" s="3" t="s">
        <v>65</v>
      </c>
      <c r="AU524" s="3" t="s">
        <v>54</v>
      </c>
      <c r="AV524" s="3" t="s">
        <v>78</v>
      </c>
      <c r="AW524" s="8" t="s">
        <v>2135</v>
      </c>
    </row>
    <row r="525">
      <c r="A525" s="3">
        <v>793.0</v>
      </c>
      <c r="B525" s="3" t="s">
        <v>40</v>
      </c>
      <c r="C525" s="3" t="s">
        <v>1699</v>
      </c>
      <c r="D525" s="3">
        <v>1994.0</v>
      </c>
      <c r="E525" s="3" t="s">
        <v>1700</v>
      </c>
      <c r="F525" s="3" t="s">
        <v>158</v>
      </c>
      <c r="G525" s="3" t="s">
        <v>2497</v>
      </c>
      <c r="H525" s="3" t="s">
        <v>58</v>
      </c>
      <c r="I525" s="3" t="s">
        <v>2142</v>
      </c>
      <c r="J525" s="3" t="s">
        <v>58</v>
      </c>
      <c r="L525" s="3" t="s">
        <v>2168</v>
      </c>
      <c r="M525" s="3" t="s">
        <v>286</v>
      </c>
      <c r="S525" s="9" t="str">
        <f t="array" ref="S525">"[" &amp; TEXTJOIN(", ", TRUE, IF(LEN(T525:AB525), CHAR(34)&amp;T525:AB525&amp;CHAR(34), )) &amp; "]"
</f>
        <v>["Industrial &amp; military effluents"]</v>
      </c>
      <c r="T525" s="3" t="s">
        <v>147</v>
      </c>
      <c r="U525" s="3"/>
      <c r="V525" s="3"/>
      <c r="AC525" s="3" t="s">
        <v>147</v>
      </c>
      <c r="AL525" s="9" t="str">
        <f t="array" ref="AL525">"[" &amp; TEXTJOIN(", ", TRUE, IF(LEN(AM525:AQ525), CHAR(34)&amp;AM525:AQ525&amp;CHAR(34), )) &amp; "]"
</f>
        <v>["Pollution"]</v>
      </c>
      <c r="AM525" s="3" t="s">
        <v>64</v>
      </c>
      <c r="AN525" s="3"/>
      <c r="AO525" s="3"/>
      <c r="AP525" s="3"/>
      <c r="AQ525" s="3"/>
      <c r="AR525" s="3" t="s">
        <v>64</v>
      </c>
      <c r="AW525" s="8" t="s">
        <v>2532</v>
      </c>
    </row>
    <row r="526">
      <c r="A526" s="3">
        <v>835.0</v>
      </c>
      <c r="B526" s="3" t="s">
        <v>40</v>
      </c>
      <c r="C526" s="3" t="s">
        <v>1784</v>
      </c>
      <c r="D526" s="3">
        <v>2008.0</v>
      </c>
      <c r="E526" s="3" t="s">
        <v>1785</v>
      </c>
      <c r="F526" s="3" t="s">
        <v>158</v>
      </c>
      <c r="G526" s="3" t="s">
        <v>2497</v>
      </c>
      <c r="H526" s="3" t="s">
        <v>58</v>
      </c>
      <c r="I526" s="3" t="s">
        <v>2142</v>
      </c>
      <c r="J526" s="3" t="s">
        <v>58</v>
      </c>
      <c r="L526" s="3" t="s">
        <v>2311</v>
      </c>
      <c r="M526" s="3" t="s">
        <v>69</v>
      </c>
      <c r="S526" s="9" t="str">
        <f t="array" ref="S526">"[" &amp; TEXTJOIN(", ", TRUE, IF(LEN(T526:AB526), CHAR(34)&amp;T526:AB526&amp;CHAR(34), )) &amp; "]"
</f>
        <v>["Industrial &amp; military effluents"]</v>
      </c>
      <c r="T526" s="3" t="s">
        <v>147</v>
      </c>
      <c r="U526" s="3"/>
      <c r="V526" s="3"/>
      <c r="AC526" s="3" t="s">
        <v>147</v>
      </c>
      <c r="AL526" s="9" t="str">
        <f t="array" ref="AL526">"[" &amp; TEXTJOIN(", ", TRUE, IF(LEN(AM526:AQ526), CHAR(34)&amp;AM526:AQ526&amp;CHAR(34), )) &amp; "]"
</f>
        <v>["Pollution"]</v>
      </c>
      <c r="AM526" s="3" t="s">
        <v>64</v>
      </c>
      <c r="AN526" s="3"/>
      <c r="AO526" s="3"/>
      <c r="AP526" s="3"/>
      <c r="AQ526" s="3"/>
      <c r="AR526" s="3" t="s">
        <v>64</v>
      </c>
      <c r="AW526" s="8" t="s">
        <v>2533</v>
      </c>
    </row>
    <row r="527">
      <c r="A527" s="3">
        <v>840.0</v>
      </c>
      <c r="B527" s="3" t="s">
        <v>40</v>
      </c>
      <c r="C527" s="3" t="s">
        <v>1794</v>
      </c>
      <c r="D527" s="3">
        <v>2009.0</v>
      </c>
      <c r="E527" s="3" t="s">
        <v>1795</v>
      </c>
      <c r="F527" s="3" t="s">
        <v>158</v>
      </c>
      <c r="G527" s="3" t="s">
        <v>2497</v>
      </c>
      <c r="H527" s="3" t="s">
        <v>58</v>
      </c>
      <c r="I527" s="3" t="s">
        <v>2142</v>
      </c>
      <c r="J527" s="3" t="s">
        <v>58</v>
      </c>
      <c r="L527" s="3" t="s">
        <v>2143</v>
      </c>
      <c r="M527" s="3" t="s">
        <v>110</v>
      </c>
      <c r="S527" s="9" t="str">
        <f t="array" ref="S527">"[" &amp; TEXTJOIN(", ", TRUE, IF(LEN(T527:AB527), CHAR(34)&amp;T527:AB527&amp;CHAR(34), )) &amp; "]"
</f>
        <v>["Industrial &amp; military effluents"]</v>
      </c>
      <c r="T527" s="3" t="s">
        <v>147</v>
      </c>
      <c r="U527" s="3"/>
      <c r="V527" s="3"/>
      <c r="AC527" s="3" t="s">
        <v>147</v>
      </c>
      <c r="AL527" s="9" t="str">
        <f t="array" ref="AL527">"[" &amp; TEXTJOIN(", ", TRUE, IF(LEN(AM527:AQ527), CHAR(34)&amp;AM527:AQ527&amp;CHAR(34), )) &amp; "]"
</f>
        <v>["Pollution"]</v>
      </c>
      <c r="AM527" s="3" t="s">
        <v>64</v>
      </c>
      <c r="AN527" s="3"/>
      <c r="AO527" s="3"/>
      <c r="AP527" s="3"/>
      <c r="AQ527" s="3"/>
      <c r="AR527" s="3" t="s">
        <v>64</v>
      </c>
      <c r="AW527" s="8" t="s">
        <v>2534</v>
      </c>
    </row>
    <row r="528" hidden="1">
      <c r="A528" s="3">
        <v>447.0</v>
      </c>
      <c r="B528" s="3" t="s">
        <v>106</v>
      </c>
      <c r="C528" s="3" t="s">
        <v>1020</v>
      </c>
      <c r="D528" s="3">
        <v>1995.0</v>
      </c>
      <c r="E528" s="3" t="s">
        <v>1021</v>
      </c>
      <c r="F528" s="3" t="s">
        <v>75</v>
      </c>
      <c r="G528" s="3"/>
      <c r="H528" s="3" t="s">
        <v>58</v>
      </c>
      <c r="I528" s="3"/>
      <c r="K528" s="3"/>
      <c r="L528" s="3"/>
      <c r="M528" s="3" t="s">
        <v>110</v>
      </c>
      <c r="S528" s="3"/>
      <c r="T528" s="3"/>
      <c r="U528" s="3"/>
      <c r="V528" s="3"/>
      <c r="W528" s="3"/>
      <c r="X528" s="3"/>
      <c r="Y528" s="3"/>
      <c r="Z528" s="3"/>
      <c r="AA528" s="3"/>
      <c r="AB528" s="3"/>
      <c r="AC528" s="3" t="s">
        <v>234</v>
      </c>
      <c r="AD528" s="3" t="s">
        <v>238</v>
      </c>
      <c r="AF528" s="3" t="s">
        <v>147</v>
      </c>
      <c r="AG528" s="3" t="s">
        <v>62</v>
      </c>
      <c r="AH528" s="3" t="s">
        <v>111</v>
      </c>
      <c r="AJ528" s="3" t="s">
        <v>250</v>
      </c>
      <c r="AK528" s="3" t="s">
        <v>61</v>
      </c>
      <c r="AL528" s="3"/>
      <c r="AM528" s="3"/>
      <c r="AN528" s="3"/>
      <c r="AO528" s="3"/>
      <c r="AP528" s="3"/>
      <c r="AQ528" s="3"/>
      <c r="AR528" s="3" t="s">
        <v>235</v>
      </c>
      <c r="AS528" s="3" t="s">
        <v>64</v>
      </c>
      <c r="AT528" s="3" t="s">
        <v>51</v>
      </c>
      <c r="AU528" s="3" t="s">
        <v>53</v>
      </c>
      <c r="AV528" s="3" t="s">
        <v>52</v>
      </c>
      <c r="AW528" s="8" t="s">
        <v>2135</v>
      </c>
    </row>
    <row r="529" hidden="1">
      <c r="A529" s="3">
        <v>621.0</v>
      </c>
      <c r="B529" s="3" t="s">
        <v>72</v>
      </c>
      <c r="C529" s="3" t="s">
        <v>1359</v>
      </c>
      <c r="D529" s="3">
        <v>2014.0</v>
      </c>
      <c r="E529" s="3" t="s">
        <v>1360</v>
      </c>
      <c r="F529" s="3" t="s">
        <v>75</v>
      </c>
      <c r="G529" s="3"/>
      <c r="H529" s="3" t="s">
        <v>58</v>
      </c>
      <c r="I529" s="3"/>
      <c r="J529" s="3" t="s">
        <v>58</v>
      </c>
      <c r="K529" s="3"/>
      <c r="L529" s="3"/>
      <c r="M529" s="3" t="s">
        <v>110</v>
      </c>
      <c r="S529" s="3"/>
      <c r="T529" s="3"/>
      <c r="U529" s="3"/>
      <c r="V529" s="3"/>
      <c r="W529" s="3"/>
      <c r="X529" s="3"/>
      <c r="Y529" s="3"/>
      <c r="Z529" s="3"/>
      <c r="AA529" s="3"/>
      <c r="AB529" s="3"/>
      <c r="AC529" s="3" t="s">
        <v>49</v>
      </c>
      <c r="AD529" s="3" t="s">
        <v>134</v>
      </c>
      <c r="AF529" s="3" t="s">
        <v>1361</v>
      </c>
      <c r="AH529" s="3" t="s">
        <v>50</v>
      </c>
      <c r="AJ529" s="3" t="s">
        <v>162</v>
      </c>
      <c r="AL529" s="3"/>
      <c r="AM529" s="3"/>
      <c r="AN529" s="3"/>
      <c r="AO529" s="3"/>
      <c r="AP529" s="3"/>
      <c r="AQ529" s="3"/>
      <c r="AR529" s="3" t="s">
        <v>53</v>
      </c>
      <c r="AS529" s="3" t="s">
        <v>51</v>
      </c>
      <c r="AT529" s="3" t="s">
        <v>54</v>
      </c>
      <c r="AU529" s="3" t="s">
        <v>121</v>
      </c>
      <c r="AW529" s="8" t="s">
        <v>2135</v>
      </c>
    </row>
    <row r="530">
      <c r="A530" s="3">
        <v>854.0</v>
      </c>
      <c r="B530" s="3" t="s">
        <v>40</v>
      </c>
      <c r="C530" s="3" t="s">
        <v>1822</v>
      </c>
      <c r="D530" s="3">
        <v>2012.0</v>
      </c>
      <c r="E530" s="3" t="s">
        <v>1823</v>
      </c>
      <c r="F530" s="3" t="s">
        <v>158</v>
      </c>
      <c r="G530" s="3" t="s">
        <v>2497</v>
      </c>
      <c r="H530" s="3" t="s">
        <v>58</v>
      </c>
      <c r="I530" s="3" t="s">
        <v>2142</v>
      </c>
      <c r="J530" s="3" t="s">
        <v>58</v>
      </c>
      <c r="L530" s="3" t="s">
        <v>2143</v>
      </c>
      <c r="M530" s="3" t="s">
        <v>110</v>
      </c>
      <c r="S530" s="9" t="str">
        <f t="array" ref="S530">"[" &amp; TEXTJOIN(", ", TRUE, IF(LEN(T530:AB530), CHAR(34)&amp;T530:AB530&amp;CHAR(34), )) &amp; "]"
</f>
        <v>["Industrial &amp; military effluents"]</v>
      </c>
      <c r="T530" s="3" t="s">
        <v>147</v>
      </c>
      <c r="U530" s="3"/>
      <c r="V530" s="3"/>
      <c r="AC530" s="3" t="s">
        <v>147</v>
      </c>
      <c r="AL530" s="9" t="str">
        <f t="array" ref="AL530">"[" &amp; TEXTJOIN(", ", TRUE, IF(LEN(AM530:AQ530), CHAR(34)&amp;AM530:AQ530&amp;CHAR(34), )) &amp; "]"
</f>
        <v>["Pollution"]</v>
      </c>
      <c r="AM530" s="3" t="s">
        <v>64</v>
      </c>
      <c r="AN530" s="3"/>
      <c r="AO530" s="3"/>
      <c r="AP530" s="3"/>
      <c r="AQ530" s="3"/>
      <c r="AR530" s="3" t="s">
        <v>64</v>
      </c>
      <c r="AW530" s="8" t="s">
        <v>2535</v>
      </c>
    </row>
    <row r="531">
      <c r="A531" s="3">
        <v>855.0</v>
      </c>
      <c r="B531" s="3" t="s">
        <v>40</v>
      </c>
      <c r="C531" s="3" t="s">
        <v>1824</v>
      </c>
      <c r="D531" s="3">
        <v>2012.0</v>
      </c>
      <c r="E531" s="3" t="s">
        <v>1825</v>
      </c>
      <c r="F531" s="3" t="s">
        <v>158</v>
      </c>
      <c r="G531" s="3" t="s">
        <v>2497</v>
      </c>
      <c r="H531" s="3" t="s">
        <v>58</v>
      </c>
      <c r="I531" s="3" t="s">
        <v>2142</v>
      </c>
      <c r="J531" s="3" t="s">
        <v>58</v>
      </c>
      <c r="L531" s="3" t="s">
        <v>2143</v>
      </c>
      <c r="M531" s="3" t="s">
        <v>110</v>
      </c>
      <c r="S531" s="9" t="str">
        <f t="array" ref="S531">"[" &amp; TEXTJOIN(", ", TRUE, IF(LEN(T531:AB531), CHAR(34)&amp;T531:AB531&amp;CHAR(34), )) &amp; "]"
</f>
        <v>["Industrial &amp; military effluents"]</v>
      </c>
      <c r="T531" s="3" t="s">
        <v>147</v>
      </c>
      <c r="U531" s="3"/>
      <c r="V531" s="3"/>
      <c r="AC531" s="3" t="s">
        <v>147</v>
      </c>
      <c r="AL531" s="9" t="str">
        <f t="array" ref="AL531">"[" &amp; TEXTJOIN(", ", TRUE, IF(LEN(AM531:AQ531), CHAR(34)&amp;AM531:AQ531&amp;CHAR(34), )) &amp; "]"
</f>
        <v>["Pollution"]</v>
      </c>
      <c r="AM531" s="3" t="s">
        <v>64</v>
      </c>
      <c r="AN531" s="3"/>
      <c r="AO531" s="3"/>
      <c r="AP531" s="3"/>
      <c r="AQ531" s="3"/>
      <c r="AR531" s="3" t="s">
        <v>64</v>
      </c>
      <c r="AW531" s="8" t="s">
        <v>2536</v>
      </c>
    </row>
    <row r="532">
      <c r="A532" s="3">
        <v>825.0</v>
      </c>
      <c r="B532" s="3" t="s">
        <v>40</v>
      </c>
      <c r="C532" s="3" t="s">
        <v>1764</v>
      </c>
      <c r="D532" s="3">
        <v>2003.0</v>
      </c>
      <c r="E532" s="3" t="s">
        <v>1765</v>
      </c>
      <c r="F532" s="3" t="s">
        <v>158</v>
      </c>
      <c r="G532" s="3" t="s">
        <v>2497</v>
      </c>
      <c r="H532" s="3" t="s">
        <v>58</v>
      </c>
      <c r="I532" s="3" t="s">
        <v>2142</v>
      </c>
      <c r="J532" s="3" t="s">
        <v>58</v>
      </c>
      <c r="L532" s="3" t="s">
        <v>2143</v>
      </c>
      <c r="M532" s="3" t="s">
        <v>110</v>
      </c>
      <c r="S532" s="9"/>
      <c r="U532" s="3"/>
      <c r="V532" s="3"/>
      <c r="AC532" s="3" t="s">
        <v>87</v>
      </c>
      <c r="AL532" s="9" t="str">
        <f t="array" ref="AL532">"[" &amp; TEXTJOIN(", ", TRUE, IF(LEN(AM532:AQ532), CHAR(34)&amp;AM532:AQ532&amp;CHAR(34), )) &amp; "]"
</f>
        <v>["Pollution"]</v>
      </c>
      <c r="AM532" s="3" t="s">
        <v>64</v>
      </c>
      <c r="AN532" s="3"/>
      <c r="AO532" s="3"/>
      <c r="AP532" s="3"/>
      <c r="AQ532" s="3"/>
      <c r="AR532" s="3" t="s">
        <v>64</v>
      </c>
      <c r="AW532" s="8" t="s">
        <v>2537</v>
      </c>
    </row>
    <row r="533">
      <c r="A533" s="3">
        <v>161.0</v>
      </c>
      <c r="B533" s="3" t="s">
        <v>40</v>
      </c>
      <c r="C533" s="3" t="s">
        <v>490</v>
      </c>
      <c r="D533" s="3">
        <v>2015.0</v>
      </c>
      <c r="E533" s="3" t="s">
        <v>491</v>
      </c>
      <c r="F533" s="3" t="s">
        <v>492</v>
      </c>
      <c r="G533" s="3" t="s">
        <v>2538</v>
      </c>
      <c r="H533" s="3" t="s">
        <v>58</v>
      </c>
      <c r="I533" s="3" t="s">
        <v>2142</v>
      </c>
      <c r="J533" s="3" t="s">
        <v>58</v>
      </c>
      <c r="L533" s="3" t="s">
        <v>2143</v>
      </c>
      <c r="M533" s="3" t="s">
        <v>110</v>
      </c>
      <c r="S533" s="9" t="str">
        <f t="array" ref="S533">"[" &amp; TEXTJOIN(", ", TRUE, IF(LEN(T533:AB533), CHAR(34)&amp;T533:AB533&amp;CHAR(34), )) &amp; "]"
</f>
        <v>["Hunting &amp; Collecting Terrestrial Animals", "Industrial &amp; military effluents"]</v>
      </c>
      <c r="T533" s="3" t="s">
        <v>2138</v>
      </c>
      <c r="U533" s="3"/>
      <c r="V533" s="3"/>
      <c r="W533" s="3" t="s">
        <v>147</v>
      </c>
      <c r="AC533" s="3" t="s">
        <v>61</v>
      </c>
      <c r="AF533" s="3" t="s">
        <v>147</v>
      </c>
      <c r="AH533" s="3" t="s">
        <v>493</v>
      </c>
      <c r="AL533" s="9" t="str">
        <f t="array" ref="AL533">"[" &amp; TEXTJOIN(", ", TRUE, IF(LEN(AM533:AQ533), CHAR(34)&amp;AM533:AQ533&amp;CHAR(34), )) &amp; "]"
</f>
        <v>["Biological resource use", "Pollution", "Invasive &amp; other problematic species, genes &amp; diseases"]</v>
      </c>
      <c r="AM533" s="3" t="s">
        <v>52</v>
      </c>
      <c r="AN533" s="3" t="s">
        <v>64</v>
      </c>
      <c r="AO533" s="3" t="s">
        <v>54</v>
      </c>
      <c r="AP533" s="3"/>
      <c r="AQ533" s="3"/>
      <c r="AR533" s="3" t="s">
        <v>52</v>
      </c>
      <c r="AS533" s="3" t="s">
        <v>64</v>
      </c>
      <c r="AT533" s="3" t="s">
        <v>54</v>
      </c>
      <c r="AW533" s="8" t="s">
        <v>2539</v>
      </c>
    </row>
    <row r="534">
      <c r="A534" s="3">
        <v>339.0</v>
      </c>
      <c r="B534" s="3" t="s">
        <v>40</v>
      </c>
      <c r="C534" s="3" t="s">
        <v>846</v>
      </c>
      <c r="D534" s="3">
        <v>2017.0</v>
      </c>
      <c r="E534" s="3" t="s">
        <v>847</v>
      </c>
      <c r="F534" s="3" t="s">
        <v>492</v>
      </c>
      <c r="G534" s="3" t="s">
        <v>2538</v>
      </c>
      <c r="H534" s="3" t="s">
        <v>58</v>
      </c>
      <c r="I534" s="3" t="s">
        <v>2142</v>
      </c>
      <c r="J534" s="3" t="s">
        <v>58</v>
      </c>
      <c r="L534" s="3" t="s">
        <v>2218</v>
      </c>
      <c r="M534" s="3" t="s">
        <v>254</v>
      </c>
      <c r="S534" s="9" t="str">
        <f t="array" ref="S534">"[" &amp; TEXTJOIN(", ", TRUE, IF(LEN(T534:AB534), CHAR(34)&amp;T534:AB534&amp;CHAR(34), )) &amp; "]"
</f>
        <v>["Hunting &amp; Collecting Terrestrial Animals"]</v>
      </c>
      <c r="T534" s="3" t="s">
        <v>2138</v>
      </c>
      <c r="U534" s="3"/>
      <c r="V534" s="3"/>
      <c r="AC534" s="3" t="s">
        <v>61</v>
      </c>
      <c r="AL534" s="9" t="str">
        <f t="array" ref="AL534">"[" &amp; TEXTJOIN(", ", TRUE, IF(LEN(AM534:AQ534), CHAR(34)&amp;AM534:AQ534&amp;CHAR(34), )) &amp; "]"
</f>
        <v>["Biological resource use"]</v>
      </c>
      <c r="AM534" s="3" t="s">
        <v>52</v>
      </c>
      <c r="AN534" s="3"/>
      <c r="AO534" s="3"/>
      <c r="AP534" s="3"/>
      <c r="AQ534" s="3"/>
      <c r="AR534" s="3" t="s">
        <v>52</v>
      </c>
      <c r="AW534" s="8" t="s">
        <v>2540</v>
      </c>
    </row>
    <row r="535" hidden="1">
      <c r="A535" s="3">
        <v>780.0</v>
      </c>
      <c r="B535" s="3" t="s">
        <v>126</v>
      </c>
      <c r="C535" s="3" t="s">
        <v>1675</v>
      </c>
      <c r="D535" s="3">
        <v>2009.0</v>
      </c>
      <c r="E535" s="3" t="s">
        <v>1676</v>
      </c>
      <c r="F535" s="3" t="s">
        <v>75</v>
      </c>
      <c r="G535" s="3"/>
      <c r="H535" s="3" t="s">
        <v>58</v>
      </c>
      <c r="I535" s="3"/>
      <c r="J535" s="3" t="s">
        <v>58</v>
      </c>
      <c r="K535" s="3"/>
      <c r="L535" s="3"/>
      <c r="M535" s="3" t="s">
        <v>110</v>
      </c>
      <c r="S535" s="3"/>
      <c r="T535" s="3"/>
      <c r="U535" s="3"/>
      <c r="V535" s="3"/>
      <c r="AC535" s="3" t="s">
        <v>493</v>
      </c>
      <c r="AL535" s="3"/>
      <c r="AM535" s="3"/>
      <c r="AN535" s="3"/>
      <c r="AO535" s="3"/>
      <c r="AP535" s="3"/>
      <c r="AQ535" s="3"/>
      <c r="AR535" s="3" t="s">
        <v>64</v>
      </c>
      <c r="AW535" s="8" t="s">
        <v>2135</v>
      </c>
    </row>
    <row r="536" hidden="1">
      <c r="A536" s="3">
        <v>949.0</v>
      </c>
      <c r="B536" s="3" t="s">
        <v>40</v>
      </c>
      <c r="C536" s="3" t="s">
        <v>2005</v>
      </c>
      <c r="D536" s="3">
        <v>2020.0</v>
      </c>
      <c r="E536" s="3" t="s">
        <v>2006</v>
      </c>
      <c r="F536" s="3" t="s">
        <v>75</v>
      </c>
      <c r="G536" s="3"/>
      <c r="H536" s="3" t="s">
        <v>58</v>
      </c>
      <c r="I536" s="3"/>
      <c r="J536" s="3" t="s">
        <v>58</v>
      </c>
      <c r="K536" s="3"/>
      <c r="L536" s="3"/>
      <c r="M536" s="3" t="s">
        <v>69</v>
      </c>
      <c r="S536" s="3"/>
      <c r="T536" s="3"/>
      <c r="U536" s="3"/>
      <c r="V536" s="3"/>
      <c r="W536" s="3"/>
      <c r="X536" s="3"/>
      <c r="AC536" s="3" t="s">
        <v>63</v>
      </c>
      <c r="AF536" s="3" t="s">
        <v>47</v>
      </c>
      <c r="AL536" s="3"/>
      <c r="AM536" s="3"/>
      <c r="AN536" s="3"/>
      <c r="AO536" s="3"/>
      <c r="AP536" s="3"/>
      <c r="AQ536" s="3"/>
      <c r="AR536" s="3" t="s">
        <v>65</v>
      </c>
      <c r="AS536" s="3" t="s">
        <v>51</v>
      </c>
    </row>
    <row r="537" hidden="1">
      <c r="A537" s="3">
        <v>981.0</v>
      </c>
      <c r="B537" s="3" t="s">
        <v>40</v>
      </c>
      <c r="C537" s="3" t="s">
        <v>2068</v>
      </c>
      <c r="D537" s="3">
        <v>2012.0</v>
      </c>
      <c r="E537" s="3" t="s">
        <v>2069</v>
      </c>
      <c r="F537" s="3" t="s">
        <v>75</v>
      </c>
      <c r="G537" s="3"/>
      <c r="H537" s="3" t="s">
        <v>58</v>
      </c>
      <c r="I537" s="3"/>
      <c r="J537" s="3" t="s">
        <v>58</v>
      </c>
      <c r="K537" s="3"/>
      <c r="L537" s="3"/>
      <c r="M537" s="3" t="s">
        <v>285</v>
      </c>
      <c r="S537" s="3"/>
      <c r="T537" s="3"/>
      <c r="U537" s="3"/>
      <c r="V537" s="3"/>
      <c r="AC537" s="3" t="s">
        <v>63</v>
      </c>
      <c r="AL537" s="3"/>
      <c r="AM537" s="3"/>
      <c r="AN537" s="3"/>
      <c r="AO537" s="3"/>
      <c r="AP537" s="3"/>
      <c r="AQ537" s="3"/>
      <c r="AR537" s="3" t="s">
        <v>65</v>
      </c>
    </row>
    <row r="538" hidden="1">
      <c r="A538" s="3">
        <v>985.0</v>
      </c>
      <c r="B538" s="3" t="s">
        <v>40</v>
      </c>
      <c r="C538" s="3" t="s">
        <v>2076</v>
      </c>
      <c r="D538" s="3">
        <v>2013.0</v>
      </c>
      <c r="E538" s="3" t="s">
        <v>2077</v>
      </c>
      <c r="F538" s="3" t="s">
        <v>75</v>
      </c>
      <c r="G538" s="3"/>
      <c r="H538" s="3" t="s">
        <v>58</v>
      </c>
      <c r="I538" s="3"/>
      <c r="J538" s="3" t="s">
        <v>58</v>
      </c>
      <c r="K538" s="3"/>
      <c r="L538" s="3"/>
      <c r="M538" s="3" t="s">
        <v>285</v>
      </c>
      <c r="N538" s="3" t="s">
        <v>69</v>
      </c>
      <c r="O538" s="3" t="s">
        <v>110</v>
      </c>
      <c r="S538" s="3"/>
      <c r="T538" s="3"/>
      <c r="U538" s="3"/>
      <c r="V538" s="3"/>
      <c r="AC538" s="3" t="s">
        <v>63</v>
      </c>
      <c r="AL538" s="3"/>
      <c r="AM538" s="3"/>
      <c r="AN538" s="3"/>
      <c r="AO538" s="3"/>
      <c r="AP538" s="3"/>
      <c r="AQ538" s="3"/>
      <c r="AR538" s="3" t="s">
        <v>65</v>
      </c>
    </row>
    <row r="539" hidden="1">
      <c r="A539" s="3">
        <v>991.0</v>
      </c>
      <c r="B539" s="3" t="s">
        <v>40</v>
      </c>
      <c r="C539" s="3" t="s">
        <v>2089</v>
      </c>
      <c r="D539" s="3">
        <v>2019.0</v>
      </c>
      <c r="E539" s="3" t="s">
        <v>2090</v>
      </c>
      <c r="F539" s="3" t="s">
        <v>75</v>
      </c>
      <c r="G539" s="3"/>
      <c r="H539" s="3" t="s">
        <v>58</v>
      </c>
      <c r="I539" s="3"/>
      <c r="J539" s="3" t="s">
        <v>58</v>
      </c>
      <c r="K539" s="3"/>
      <c r="L539" s="3"/>
      <c r="M539" s="3" t="s">
        <v>110</v>
      </c>
      <c r="S539" s="3"/>
      <c r="T539" s="3"/>
      <c r="U539" s="3"/>
      <c r="V539" s="3"/>
      <c r="AC539" s="3" t="s">
        <v>63</v>
      </c>
      <c r="AL539" s="3"/>
      <c r="AM539" s="3"/>
      <c r="AN539" s="3"/>
      <c r="AO539" s="3"/>
      <c r="AP539" s="3"/>
      <c r="AQ539" s="3"/>
      <c r="AR539" s="3" t="s">
        <v>65</v>
      </c>
    </row>
    <row r="540">
      <c r="A540" s="3">
        <v>818.0</v>
      </c>
      <c r="B540" s="3" t="s">
        <v>40</v>
      </c>
      <c r="C540" s="3" t="s">
        <v>1750</v>
      </c>
      <c r="D540" s="3">
        <v>2001.0</v>
      </c>
      <c r="E540" s="3" t="s">
        <v>1751</v>
      </c>
      <c r="F540" s="3" t="s">
        <v>492</v>
      </c>
      <c r="G540" s="3" t="s">
        <v>2538</v>
      </c>
      <c r="H540" s="3" t="s">
        <v>58</v>
      </c>
      <c r="I540" s="3" t="s">
        <v>2142</v>
      </c>
      <c r="J540" s="3" t="s">
        <v>58</v>
      </c>
      <c r="L540" s="3" t="s">
        <v>2143</v>
      </c>
      <c r="M540" s="3" t="s">
        <v>110</v>
      </c>
      <c r="S540" s="9" t="str">
        <f t="array" ref="S540">"[" &amp; TEXTJOIN(", ", TRUE, IF(LEN(T540:AB540), CHAR(34)&amp;T540:AB540&amp;CHAR(34), )) &amp; "]"
</f>
        <v>["Industrial &amp; military effluents"]</v>
      </c>
      <c r="T540" s="3" t="s">
        <v>147</v>
      </c>
      <c r="U540" s="3"/>
      <c r="V540" s="3"/>
      <c r="AC540" s="3" t="s">
        <v>147</v>
      </c>
      <c r="AL540" s="9" t="str">
        <f t="array" ref="AL540">"[" &amp; TEXTJOIN(", ", TRUE, IF(LEN(AM540:AQ540), CHAR(34)&amp;AM540:AQ540&amp;CHAR(34), )) &amp; "]"
</f>
        <v>["Pollution"]</v>
      </c>
      <c r="AM540" s="3" t="s">
        <v>64</v>
      </c>
      <c r="AN540" s="3"/>
      <c r="AO540" s="3"/>
      <c r="AP540" s="3"/>
      <c r="AQ540" s="3"/>
      <c r="AR540" s="3" t="s">
        <v>64</v>
      </c>
      <c r="AW540" s="8" t="s">
        <v>2541</v>
      </c>
    </row>
    <row r="541">
      <c r="A541" s="3">
        <v>856.0</v>
      </c>
      <c r="B541" s="3" t="s">
        <v>40</v>
      </c>
      <c r="C541" s="3" t="s">
        <v>1826</v>
      </c>
      <c r="D541" s="3">
        <v>2012.0</v>
      </c>
      <c r="E541" s="3" t="s">
        <v>1827</v>
      </c>
      <c r="F541" s="3" t="s">
        <v>492</v>
      </c>
      <c r="G541" s="3" t="s">
        <v>2538</v>
      </c>
      <c r="H541" s="3" t="s">
        <v>58</v>
      </c>
      <c r="I541" s="3" t="s">
        <v>2142</v>
      </c>
      <c r="J541" s="3" t="s">
        <v>58</v>
      </c>
      <c r="L541" s="3" t="s">
        <v>2143</v>
      </c>
      <c r="M541" s="3" t="s">
        <v>110</v>
      </c>
      <c r="S541" s="9" t="str">
        <f t="array" ref="S541">"[" &amp; TEXTJOIN(", ", TRUE, IF(LEN(T541:AB541), CHAR(34)&amp;T541:AB541&amp;CHAR(34), )) &amp; "]"
</f>
        <v>["Industrial &amp; military effluents"]</v>
      </c>
      <c r="T541" s="3" t="s">
        <v>147</v>
      </c>
      <c r="U541" s="3"/>
      <c r="V541" s="3"/>
      <c r="AC541" s="3" t="s">
        <v>147</v>
      </c>
      <c r="AL541" s="9" t="str">
        <f t="array" ref="AL541">"[" &amp; TEXTJOIN(", ", TRUE, IF(LEN(AM541:AQ541), CHAR(34)&amp;AM541:AQ541&amp;CHAR(34), )) &amp; "]"
</f>
        <v>["Pollution"]</v>
      </c>
      <c r="AM541" s="3" t="s">
        <v>64</v>
      </c>
      <c r="AN541" s="3"/>
      <c r="AO541" s="3"/>
      <c r="AP541" s="3"/>
      <c r="AQ541" s="3"/>
      <c r="AR541" s="3" t="s">
        <v>64</v>
      </c>
      <c r="AW541" s="8" t="s">
        <v>2542</v>
      </c>
    </row>
    <row r="542">
      <c r="A542" s="3">
        <v>169.0</v>
      </c>
      <c r="B542" s="3" t="s">
        <v>40</v>
      </c>
      <c r="C542" s="3" t="s">
        <v>508</v>
      </c>
      <c r="D542" s="3">
        <v>2013.0</v>
      </c>
      <c r="E542" s="3" t="s">
        <v>509</v>
      </c>
      <c r="F542" s="3" t="s">
        <v>510</v>
      </c>
      <c r="G542" s="3" t="s">
        <v>2543</v>
      </c>
      <c r="H542" s="3" t="s">
        <v>58</v>
      </c>
      <c r="I542" s="3" t="s">
        <v>2142</v>
      </c>
      <c r="J542" s="3" t="s">
        <v>58</v>
      </c>
      <c r="L542" s="3" t="s">
        <v>2143</v>
      </c>
      <c r="M542" s="3" t="s">
        <v>110</v>
      </c>
      <c r="S542" s="9" t="str">
        <f t="array" ref="S542">"[" &amp; TEXTJOIN(", ", TRUE, IF(LEN(T542:AB542), CHAR(34)&amp;T542:AB542&amp;CHAR(34), )) &amp; "]"
</f>
        <v>["Hunting &amp; Collecting Terrestrial Animals", "Industrial &amp; military effluents"]</v>
      </c>
      <c r="T542" s="3" t="s">
        <v>2138</v>
      </c>
      <c r="U542" s="3"/>
      <c r="V542" s="3"/>
      <c r="W542" s="3" t="s">
        <v>147</v>
      </c>
      <c r="AC542" s="3" t="s">
        <v>61</v>
      </c>
      <c r="AF542" s="3" t="s">
        <v>147</v>
      </c>
      <c r="AH542" s="3" t="s">
        <v>143</v>
      </c>
      <c r="AL542" s="9" t="str">
        <f t="array" ref="AL542">"[" &amp; TEXTJOIN(", ", TRUE, IF(LEN(AM542:AQ542), CHAR(34)&amp;AM542:AQ542&amp;CHAR(34), )) &amp; "]"
</f>
        <v>["Biological resource use", "Pollution", "Natural system modifications"]</v>
      </c>
      <c r="AM542" s="3" t="s">
        <v>52</v>
      </c>
      <c r="AN542" s="3" t="s">
        <v>64</v>
      </c>
      <c r="AO542" s="3" t="s">
        <v>53</v>
      </c>
      <c r="AP542" s="3"/>
      <c r="AQ542" s="3"/>
      <c r="AR542" s="3" t="s">
        <v>52</v>
      </c>
      <c r="AS542" s="3" t="s">
        <v>64</v>
      </c>
      <c r="AT542" s="3" t="s">
        <v>53</v>
      </c>
      <c r="AW542" s="8" t="s">
        <v>2544</v>
      </c>
    </row>
    <row r="543">
      <c r="A543" s="3">
        <v>243.0</v>
      </c>
      <c r="B543" s="3" t="s">
        <v>40</v>
      </c>
      <c r="C543" s="3" t="s">
        <v>653</v>
      </c>
      <c r="D543" s="3">
        <v>1990.0</v>
      </c>
      <c r="E543" s="3" t="s">
        <v>654</v>
      </c>
      <c r="F543" s="3" t="s">
        <v>265</v>
      </c>
      <c r="G543" s="3" t="s">
        <v>2545</v>
      </c>
      <c r="H543" s="3" t="s">
        <v>91</v>
      </c>
      <c r="I543" s="3" t="s">
        <v>2136</v>
      </c>
      <c r="J543" s="3" t="s">
        <v>91</v>
      </c>
      <c r="L543" s="3" t="s">
        <v>2546</v>
      </c>
      <c r="M543" s="3" t="s">
        <v>173</v>
      </c>
      <c r="N543" s="3" t="s">
        <v>92</v>
      </c>
      <c r="S543" s="9" t="str">
        <f t="array" ref="S543">"[" &amp; TEXTJOIN(", ", TRUE, IF(LEN(T543:AB543), CHAR(34)&amp;T543:AB543&amp;CHAR(34), )) &amp; "]"
</f>
        <v>["Fishing &amp; Harvesting Aquatic Resources"]</v>
      </c>
      <c r="T543" s="3" t="s">
        <v>2164</v>
      </c>
      <c r="U543" s="3"/>
      <c r="V543" s="3"/>
      <c r="AC543" s="3" t="s">
        <v>247</v>
      </c>
      <c r="AL543" s="9" t="str">
        <f t="array" ref="AL543">"[" &amp; TEXTJOIN(", ", TRUE, IF(LEN(AM543:AQ543), CHAR(34)&amp;AM543:AQ543&amp;CHAR(34), )) &amp; "]"
</f>
        <v>["Biological resource use"]</v>
      </c>
      <c r="AM543" s="3" t="s">
        <v>52</v>
      </c>
      <c r="AN543" s="3"/>
      <c r="AO543" s="3"/>
      <c r="AP543" s="3"/>
      <c r="AQ543" s="3"/>
      <c r="AR543" s="3" t="s">
        <v>52</v>
      </c>
      <c r="AW543" s="8" t="s">
        <v>2547</v>
      </c>
    </row>
    <row r="544">
      <c r="A544" s="3">
        <v>344.0</v>
      </c>
      <c r="B544" s="3" t="s">
        <v>40</v>
      </c>
      <c r="C544" s="3" t="s">
        <v>856</v>
      </c>
      <c r="D544" s="3">
        <v>2018.0</v>
      </c>
      <c r="E544" s="3" t="s">
        <v>857</v>
      </c>
      <c r="F544" s="3" t="s">
        <v>308</v>
      </c>
      <c r="G544" s="3" t="s">
        <v>2548</v>
      </c>
      <c r="H544" s="3" t="s">
        <v>101</v>
      </c>
      <c r="I544" s="3" t="s">
        <v>2283</v>
      </c>
      <c r="J544" s="3" t="s">
        <v>102</v>
      </c>
      <c r="L544" s="3" t="s">
        <v>2549</v>
      </c>
      <c r="M544" s="3" t="s">
        <v>205</v>
      </c>
      <c r="N544" s="3" t="s">
        <v>155</v>
      </c>
      <c r="S544" s="9" t="str">
        <f t="array" ref="S544">"[" &amp; TEXTJOIN(", ", TRUE, IF(LEN(T544:AB544), CHAR(34)&amp;T544:AB544&amp;CHAR(34), )) &amp; "]"
</f>
        <v>["Hunting &amp; Collecting Terrestrial Animals"]</v>
      </c>
      <c r="T544" s="3" t="s">
        <v>2138</v>
      </c>
      <c r="U544" s="3"/>
      <c r="V544" s="3"/>
      <c r="AC544" s="3" t="s">
        <v>61</v>
      </c>
      <c r="AL544" s="9" t="str">
        <f t="array" ref="AL544">"[" &amp; TEXTJOIN(", ", TRUE, IF(LEN(AM544:AQ544), CHAR(34)&amp;AM544:AQ544&amp;CHAR(34), )) &amp; "]"
</f>
        <v>["Biological resource use"]</v>
      </c>
      <c r="AM544" s="3" t="s">
        <v>52</v>
      </c>
      <c r="AN544" s="3"/>
      <c r="AO544" s="3"/>
      <c r="AP544" s="3"/>
      <c r="AQ544" s="3"/>
      <c r="AR544" s="3" t="s">
        <v>52</v>
      </c>
      <c r="AW544" s="8" t="s">
        <v>2550</v>
      </c>
    </row>
    <row r="545" hidden="1">
      <c r="A545" s="3">
        <v>614.0</v>
      </c>
      <c r="B545" s="3" t="s">
        <v>55</v>
      </c>
      <c r="D545" s="3">
        <v>1999.0</v>
      </c>
      <c r="E545" s="3" t="s">
        <v>1349</v>
      </c>
      <c r="F545" s="3" t="s">
        <v>1350</v>
      </c>
      <c r="G545" s="3"/>
      <c r="H545" s="3" t="s">
        <v>58</v>
      </c>
      <c r="I545" s="3"/>
      <c r="J545" s="3" t="s">
        <v>58</v>
      </c>
      <c r="K545" s="3"/>
      <c r="L545" s="3"/>
      <c r="M545" s="3" t="s">
        <v>286</v>
      </c>
      <c r="S545" s="3"/>
      <c r="T545" s="3"/>
      <c r="U545" s="3"/>
      <c r="V545" s="3"/>
      <c r="AC545" s="3" t="s">
        <v>50</v>
      </c>
      <c r="AL545" s="3"/>
      <c r="AM545" s="3"/>
      <c r="AN545" s="3"/>
      <c r="AO545" s="3"/>
      <c r="AP545" s="3"/>
      <c r="AQ545" s="3"/>
      <c r="AR545" s="3" t="s">
        <v>54</v>
      </c>
      <c r="AW545" s="8" t="s">
        <v>2135</v>
      </c>
    </row>
    <row r="546" hidden="1">
      <c r="A546" s="3">
        <v>118.0</v>
      </c>
      <c r="B546" s="3" t="s">
        <v>55</v>
      </c>
      <c r="D546" s="3">
        <v>1995.0</v>
      </c>
      <c r="E546" s="3" t="s">
        <v>408</v>
      </c>
      <c r="F546" s="3" t="s">
        <v>409</v>
      </c>
      <c r="H546" s="3" t="s">
        <v>58</v>
      </c>
      <c r="I546" s="3"/>
      <c r="J546" s="3" t="s">
        <v>58</v>
      </c>
      <c r="K546" s="3"/>
      <c r="L546" s="3"/>
      <c r="M546" s="3" t="s">
        <v>286</v>
      </c>
      <c r="S546" s="3"/>
      <c r="T546" s="3"/>
      <c r="U546" s="3"/>
      <c r="V546" s="3"/>
      <c r="W546" s="3"/>
      <c r="X546" s="3"/>
      <c r="AC546" s="3" t="s">
        <v>61</v>
      </c>
      <c r="AF546" s="3" t="s">
        <v>50</v>
      </c>
      <c r="AL546" s="3"/>
      <c r="AM546" s="3"/>
      <c r="AN546" s="3"/>
      <c r="AO546" s="3"/>
      <c r="AP546" s="3"/>
      <c r="AQ546" s="3"/>
      <c r="AR546" s="3" t="s">
        <v>52</v>
      </c>
      <c r="AS546" s="3" t="s">
        <v>54</v>
      </c>
      <c r="AW546" s="8" t="s">
        <v>2135</v>
      </c>
    </row>
    <row r="547" hidden="1">
      <c r="A547" s="3">
        <v>61.0</v>
      </c>
      <c r="B547" s="3" t="s">
        <v>106</v>
      </c>
      <c r="C547" s="3" t="s">
        <v>261</v>
      </c>
      <c r="D547" s="3">
        <v>1990.0</v>
      </c>
      <c r="E547" s="3" t="s">
        <v>262</v>
      </c>
      <c r="F547" s="3" t="s">
        <v>263</v>
      </c>
      <c r="G547" s="3"/>
      <c r="H547" s="3" t="s">
        <v>91</v>
      </c>
      <c r="I547" s="3"/>
      <c r="K547" s="3"/>
      <c r="L547" s="3"/>
      <c r="M547" s="3" t="s">
        <v>173</v>
      </c>
      <c r="S547" s="3"/>
      <c r="T547" s="3"/>
      <c r="U547" s="3"/>
      <c r="V547" s="3"/>
      <c r="W547" s="3"/>
      <c r="X547" s="3"/>
      <c r="Y547" s="3"/>
      <c r="Z547" s="3"/>
      <c r="AC547" s="3" t="s">
        <v>61</v>
      </c>
      <c r="AF547" s="3" t="s">
        <v>111</v>
      </c>
      <c r="AH547" s="3" t="s">
        <v>62</v>
      </c>
      <c r="AL547" s="3"/>
      <c r="AM547" s="3"/>
      <c r="AN547" s="3"/>
      <c r="AO547" s="3"/>
      <c r="AP547" s="3"/>
      <c r="AQ547" s="3"/>
      <c r="AR547" s="3" t="s">
        <v>52</v>
      </c>
      <c r="AS547" s="3" t="s">
        <v>51</v>
      </c>
      <c r="AT547" s="3" t="s">
        <v>64</v>
      </c>
      <c r="AW547" s="8" t="s">
        <v>2135</v>
      </c>
    </row>
    <row r="548">
      <c r="A548" s="3">
        <v>747.0</v>
      </c>
      <c r="B548" s="3" t="s">
        <v>40</v>
      </c>
      <c r="C548" s="3" t="s">
        <v>1609</v>
      </c>
      <c r="D548" s="3">
        <v>2019.0</v>
      </c>
      <c r="E548" s="3" t="s">
        <v>1610</v>
      </c>
      <c r="F548" s="3" t="s">
        <v>1611</v>
      </c>
      <c r="G548" s="3" t="s">
        <v>2551</v>
      </c>
      <c r="H548" s="3" t="s">
        <v>58</v>
      </c>
      <c r="I548" s="3" t="s">
        <v>2142</v>
      </c>
      <c r="J548" s="3" t="s">
        <v>58</v>
      </c>
      <c r="L548" s="3" t="s">
        <v>2143</v>
      </c>
      <c r="M548" s="3" t="s">
        <v>110</v>
      </c>
      <c r="S548" s="9" t="str">
        <f t="array" ref="S548">"[" &amp; TEXTJOIN(", ", TRUE, IF(LEN(T548:AB548), CHAR(34)&amp;T548:AB548&amp;CHAR(34), )) &amp; "]"
</f>
        <v>["Industrial &amp; military effluents", "Work &amp; other activities", "Hunting &amp; collecting terrestrial animals", "Dams &amp; water management/use"]</v>
      </c>
      <c r="T548" s="3" t="s">
        <v>147</v>
      </c>
      <c r="U548" s="3"/>
      <c r="V548" s="3"/>
      <c r="W548" s="3" t="s">
        <v>260</v>
      </c>
      <c r="Y548" s="3" t="s">
        <v>2178</v>
      </c>
      <c r="AA548" s="3" t="s">
        <v>49</v>
      </c>
      <c r="AC548" s="3" t="s">
        <v>147</v>
      </c>
      <c r="AF548" s="3" t="s">
        <v>260</v>
      </c>
      <c r="AH548" s="3" t="s">
        <v>61</v>
      </c>
      <c r="AJ548" s="3" t="s">
        <v>49</v>
      </c>
      <c r="AL548" s="9" t="str">
        <f t="array" ref="AL548">"[" &amp; TEXTJOIN(", ", TRUE, IF(LEN(AM548:AQ548), CHAR(34)&amp;AM548:AQ548&amp;CHAR(34), )) &amp; "]"
</f>
        <v>["Pollution", "Human intrusions &amp; disturbance", "Biological resource use", "Natural system modifications"]</v>
      </c>
      <c r="AM548" s="3" t="s">
        <v>64</v>
      </c>
      <c r="AN548" s="3" t="s">
        <v>121</v>
      </c>
      <c r="AO548" s="3" t="s">
        <v>52</v>
      </c>
      <c r="AP548" s="3" t="s">
        <v>53</v>
      </c>
      <c r="AQ548" s="3"/>
      <c r="AR548" s="3" t="s">
        <v>64</v>
      </c>
      <c r="AS548" s="3" t="s">
        <v>121</v>
      </c>
      <c r="AT548" s="3" t="s">
        <v>52</v>
      </c>
      <c r="AU548" s="3" t="s">
        <v>53</v>
      </c>
      <c r="AW548" s="8" t="s">
        <v>2552</v>
      </c>
    </row>
    <row r="549">
      <c r="A549" s="3">
        <v>198.0</v>
      </c>
      <c r="B549" s="3" t="s">
        <v>40</v>
      </c>
      <c r="C549" s="3" t="s">
        <v>563</v>
      </c>
      <c r="D549" s="3">
        <v>2003.0</v>
      </c>
      <c r="E549" s="3" t="s">
        <v>564</v>
      </c>
      <c r="F549" s="3" t="s">
        <v>68</v>
      </c>
      <c r="G549" s="3" t="s">
        <v>2553</v>
      </c>
      <c r="H549" s="3" t="s">
        <v>58</v>
      </c>
      <c r="I549" s="3" t="s">
        <v>2142</v>
      </c>
      <c r="J549" s="3" t="s">
        <v>58</v>
      </c>
      <c r="L549" s="3" t="s">
        <v>2166</v>
      </c>
      <c r="M549" s="3" t="s">
        <v>96</v>
      </c>
      <c r="S549" s="9" t="str">
        <f t="array" ref="S549">"[" &amp; TEXTJOIN(", ", TRUE, IF(LEN(T549:AB549), CHAR(34)&amp;T549:AB549&amp;CHAR(34), )) &amp; "]"
</f>
        <v>["Hunting &amp; Collecting Terrestrial Animals", "Logging &amp; Wood Harvesting", "Housing &amp; urban areas", "Annual &amp; perennial non-timber crops", "Livestock farming &amp; ranching", "Introduced genetic material"]</v>
      </c>
      <c r="T549" s="3" t="s">
        <v>2138</v>
      </c>
      <c r="U549" s="3" t="s">
        <v>2139</v>
      </c>
      <c r="V549" s="3"/>
      <c r="W549" s="3" t="s">
        <v>70</v>
      </c>
      <c r="Y549" s="3" t="s">
        <v>60</v>
      </c>
      <c r="Z549" s="3" t="s">
        <v>47</v>
      </c>
      <c r="AA549" s="3" t="s">
        <v>77</v>
      </c>
      <c r="AC549" s="3" t="s">
        <v>61</v>
      </c>
      <c r="AD549" s="3" t="s">
        <v>48</v>
      </c>
      <c r="AF549" s="3" t="s">
        <v>70</v>
      </c>
      <c r="AH549" s="3" t="s">
        <v>60</v>
      </c>
      <c r="AI549" s="3" t="s">
        <v>47</v>
      </c>
      <c r="AJ549" s="3" t="s">
        <v>77</v>
      </c>
      <c r="AL549" s="9" t="str">
        <f t="array" ref="AL549">"[" &amp; TEXTJOIN(", ", TRUE, IF(LEN(AM549:AQ549), CHAR(34)&amp;AM549:AQ549&amp;CHAR(34), )) &amp; "]"
</f>
        <v>["Biological resource use", "Residential &amp; commercial development", "Agriculture &amp; aquaculture", "Invasive &amp; other problematic species, genes &amp; diseases"]</v>
      </c>
      <c r="AM549" s="3" t="s">
        <v>52</v>
      </c>
      <c r="AN549" s="3" t="s">
        <v>71</v>
      </c>
      <c r="AO549" s="3" t="s">
        <v>51</v>
      </c>
      <c r="AP549" s="3" t="s">
        <v>54</v>
      </c>
      <c r="AQ549" s="3"/>
      <c r="AR549" s="3" t="s">
        <v>52</v>
      </c>
      <c r="AS549" s="3" t="s">
        <v>71</v>
      </c>
      <c r="AT549" s="3" t="s">
        <v>51</v>
      </c>
      <c r="AU549" s="3" t="s">
        <v>54</v>
      </c>
      <c r="AW549" s="8" t="s">
        <v>2554</v>
      </c>
    </row>
    <row r="550">
      <c r="A550" s="3">
        <v>727.0</v>
      </c>
      <c r="B550" s="3" t="s">
        <v>40</v>
      </c>
      <c r="C550" s="3" t="s">
        <v>1568</v>
      </c>
      <c r="D550" s="3">
        <v>1997.0</v>
      </c>
      <c r="E550" s="3" t="s">
        <v>1569</v>
      </c>
      <c r="F550" s="3" t="s">
        <v>68</v>
      </c>
      <c r="G550" s="3" t="s">
        <v>2553</v>
      </c>
      <c r="H550" s="3" t="s">
        <v>58</v>
      </c>
      <c r="I550" s="3" t="s">
        <v>2142</v>
      </c>
      <c r="J550" s="3" t="s">
        <v>58</v>
      </c>
      <c r="L550" s="3" t="s">
        <v>2143</v>
      </c>
      <c r="M550" s="3" t="s">
        <v>110</v>
      </c>
      <c r="S550" s="9" t="str">
        <f t="array" ref="S550">"[" &amp; TEXTJOIN(", ", TRUE, IF(LEN(T550:AB550), CHAR(34)&amp;T550:AB550&amp;CHAR(34), )) &amp; "]"
</f>
        <v>["Hunting &amp; collecting terrestrial animals"]</v>
      </c>
      <c r="U550" s="3"/>
      <c r="V550" s="3"/>
      <c r="W550" s="3" t="s">
        <v>2178</v>
      </c>
      <c r="AC550" s="3" t="s">
        <v>87</v>
      </c>
      <c r="AF550" s="3" t="s">
        <v>61</v>
      </c>
      <c r="AH550" s="3" t="s">
        <v>1570</v>
      </c>
      <c r="AL550" s="9" t="str">
        <f t="array" ref="AL550">"[" &amp; TEXTJOIN(", ", TRUE, IF(LEN(AM550:AQ550), CHAR(34)&amp;AM550:AQ550&amp;CHAR(34), )) &amp; "]"
</f>
        <v>["Pollution", "Biological resource use", "Natural system modifications"]</v>
      </c>
      <c r="AM550" s="3" t="s">
        <v>64</v>
      </c>
      <c r="AN550" s="3" t="s">
        <v>52</v>
      </c>
      <c r="AO550" s="3" t="s">
        <v>53</v>
      </c>
      <c r="AP550" s="3"/>
      <c r="AQ550" s="3"/>
      <c r="AR550" s="3" t="s">
        <v>64</v>
      </c>
      <c r="AS550" s="3" t="s">
        <v>52</v>
      </c>
      <c r="AT550" s="3" t="s">
        <v>53</v>
      </c>
      <c r="AW550" s="8" t="s">
        <v>2555</v>
      </c>
    </row>
    <row r="551">
      <c r="A551" s="3">
        <v>625.0</v>
      </c>
      <c r="B551" s="3" t="s">
        <v>40</v>
      </c>
      <c r="C551" s="3" t="s">
        <v>1367</v>
      </c>
      <c r="D551" s="3">
        <v>2011.0</v>
      </c>
      <c r="E551" s="3" t="s">
        <v>1368</v>
      </c>
      <c r="F551" s="3" t="s">
        <v>68</v>
      </c>
      <c r="G551" s="3" t="s">
        <v>2553</v>
      </c>
      <c r="H551" s="3" t="s">
        <v>58</v>
      </c>
      <c r="I551" s="3" t="s">
        <v>2142</v>
      </c>
      <c r="J551" s="3" t="s">
        <v>58</v>
      </c>
      <c r="L551" s="3" t="s">
        <v>2143</v>
      </c>
      <c r="M551" s="3" t="s">
        <v>110</v>
      </c>
      <c r="S551" s="9" t="str">
        <f t="array" ref="S551">"[" &amp; TEXTJOIN(", ", TRUE, IF(LEN(T551:AB551), CHAR(34)&amp;T551:AB551&amp;CHAR(34), )) &amp; "]"
</f>
        <v>["Hunting &amp; collecting terrestrial animals"]</v>
      </c>
      <c r="U551" s="3"/>
      <c r="V551" s="3"/>
      <c r="W551" s="3" t="s">
        <v>2178</v>
      </c>
      <c r="AC551" s="3" t="s">
        <v>143</v>
      </c>
      <c r="AF551" s="3" t="s">
        <v>61</v>
      </c>
      <c r="AH551" s="3" t="s">
        <v>87</v>
      </c>
      <c r="AL551" s="9" t="str">
        <f t="array" ref="AL551">"[" &amp; TEXTJOIN(", ", TRUE, IF(LEN(AM551:AQ551), CHAR(34)&amp;AM551:AQ551&amp;CHAR(34), )) &amp; "]"
</f>
        <v>["Natural system modifications", "Biological resource use", "Pollution"]</v>
      </c>
      <c r="AM551" s="3" t="s">
        <v>53</v>
      </c>
      <c r="AN551" s="3" t="s">
        <v>52</v>
      </c>
      <c r="AO551" s="3" t="s">
        <v>64</v>
      </c>
      <c r="AP551" s="3"/>
      <c r="AQ551" s="3"/>
      <c r="AR551" s="3" t="s">
        <v>53</v>
      </c>
      <c r="AS551" s="3" t="s">
        <v>52</v>
      </c>
      <c r="AT551" s="3" t="s">
        <v>64</v>
      </c>
      <c r="AW551" s="8" t="s">
        <v>2556</v>
      </c>
    </row>
    <row r="552">
      <c r="A552" s="3">
        <v>108.0</v>
      </c>
      <c r="B552" s="3" t="s">
        <v>40</v>
      </c>
      <c r="C552" s="3" t="s">
        <v>386</v>
      </c>
      <c r="D552" s="3">
        <v>2019.0</v>
      </c>
      <c r="E552" s="3" t="s">
        <v>387</v>
      </c>
      <c r="F552" s="3" t="s">
        <v>68</v>
      </c>
      <c r="G552" s="3" t="s">
        <v>2553</v>
      </c>
      <c r="H552" s="3" t="s">
        <v>58</v>
      </c>
      <c r="I552" s="3" t="s">
        <v>2142</v>
      </c>
      <c r="J552" s="3" t="s">
        <v>58</v>
      </c>
      <c r="L552" s="3" t="s">
        <v>2557</v>
      </c>
      <c r="M552" s="3" t="s">
        <v>110</v>
      </c>
      <c r="N552" s="3" t="s">
        <v>96</v>
      </c>
      <c r="O552" s="3" t="s">
        <v>388</v>
      </c>
      <c r="P552" s="3" t="s">
        <v>287</v>
      </c>
      <c r="Q552" s="3" t="s">
        <v>76</v>
      </c>
      <c r="R552" s="3" t="s">
        <v>69</v>
      </c>
      <c r="S552" s="9" t="str">
        <f t="array" ref="S552">"[" &amp; TEXTJOIN(", ", TRUE, IF(LEN(T552:AB552), CHAR(34)&amp;T552:AB552&amp;CHAR(34), )) &amp; "]"
</f>
        <v>["Hunting &amp; Collecting Terrestrial Animals", "Invasive non-native/alien species/diseases", "Viral/prion-induced diseases", "Agricultural &amp; forestry effluents"]</v>
      </c>
      <c r="T552" s="3" t="s">
        <v>2138</v>
      </c>
      <c r="U552" s="3"/>
      <c r="V552" s="3"/>
      <c r="W552" s="3" t="s">
        <v>50</v>
      </c>
      <c r="X552" s="3" t="s">
        <v>385</v>
      </c>
      <c r="Y552" s="3" t="s">
        <v>62</v>
      </c>
      <c r="AC552" s="3" t="s">
        <v>61</v>
      </c>
      <c r="AF552" s="3" t="s">
        <v>50</v>
      </c>
      <c r="AG552" s="3" t="s">
        <v>385</v>
      </c>
      <c r="AH552" s="3" t="s">
        <v>62</v>
      </c>
      <c r="AJ552" s="3" t="s">
        <v>143</v>
      </c>
      <c r="AL552" s="9" t="str">
        <f t="array" ref="AL552">"[" &amp; TEXTJOIN(", ", TRUE, IF(LEN(AM552:AQ552), CHAR(34)&amp;AM552:AQ552&amp;CHAR(34), )) &amp; "]"
</f>
        <v>["Biological resource use", "Invasive &amp; other problematic species, genes &amp; diseases", "Pollution", "Natural system modifications"]</v>
      </c>
      <c r="AM552" s="3" t="s">
        <v>52</v>
      </c>
      <c r="AN552" s="3" t="s">
        <v>54</v>
      </c>
      <c r="AO552" s="3" t="s">
        <v>64</v>
      </c>
      <c r="AP552" s="3" t="s">
        <v>53</v>
      </c>
      <c r="AQ552" s="3"/>
      <c r="AR552" s="3" t="s">
        <v>52</v>
      </c>
      <c r="AS552" s="3" t="s">
        <v>54</v>
      </c>
      <c r="AT552" s="3" t="s">
        <v>64</v>
      </c>
      <c r="AU552" s="3" t="s">
        <v>53</v>
      </c>
      <c r="AW552" s="8" t="s">
        <v>2558</v>
      </c>
    </row>
    <row r="553">
      <c r="A553" s="3">
        <v>3.0</v>
      </c>
      <c r="B553" s="3" t="s">
        <v>40</v>
      </c>
      <c r="C553" s="3" t="s">
        <v>66</v>
      </c>
      <c r="D553" s="3">
        <v>1998.0</v>
      </c>
      <c r="E553" s="3" t="s">
        <v>67</v>
      </c>
      <c r="F553" s="3" t="s">
        <v>68</v>
      </c>
      <c r="G553" s="3" t="s">
        <v>2553</v>
      </c>
      <c r="H553" s="3" t="s">
        <v>58</v>
      </c>
      <c r="I553" s="3" t="s">
        <v>2142</v>
      </c>
      <c r="J553" s="3" t="s">
        <v>58</v>
      </c>
      <c r="L553" s="3" t="s">
        <v>2311</v>
      </c>
      <c r="M553" s="3" t="s">
        <v>69</v>
      </c>
      <c r="S553" s="9" t="str">
        <f t="array" ref="S553">"[" &amp; TEXTJOIN(", ", TRUE, IF(LEN(T553:AB553), CHAR(34)&amp;T553:AB553&amp;CHAR(34), )) &amp; "]"
</f>
        <v>["Annual &amp; perennial non-timber crops", "Hunting &amp; collecting terrestrial animals", "Housing &amp; urban areas", "Roads &amp; railroads"]</v>
      </c>
      <c r="T553" s="3" t="s">
        <v>60</v>
      </c>
      <c r="U553" s="3"/>
      <c r="V553" s="3"/>
      <c r="W553" s="3" t="s">
        <v>2178</v>
      </c>
      <c r="Z553" s="3" t="s">
        <v>70</v>
      </c>
      <c r="AA553" s="3" t="s">
        <v>63</v>
      </c>
      <c r="AC553" s="3" t="s">
        <v>60</v>
      </c>
      <c r="AF553" s="3" t="s">
        <v>61</v>
      </c>
      <c r="AI553" s="3" t="s">
        <v>70</v>
      </c>
      <c r="AJ553" s="3" t="s">
        <v>63</v>
      </c>
      <c r="AL553" s="9" t="str">
        <f t="array" ref="AL553">"[" &amp; TEXTJOIN(", ", TRUE, IF(LEN(AM553:AQ553), CHAR(34)&amp;AM553:AQ553&amp;CHAR(34), )) &amp; "]"
</f>
        <v>["Agriculture &amp; aquaculture", "Biological resource use", "Residential &amp; commercial development", "Transportation &amp; service corridors"]</v>
      </c>
      <c r="AM553" s="3" t="s">
        <v>51</v>
      </c>
      <c r="AN553" s="3" t="s">
        <v>52</v>
      </c>
      <c r="AO553" s="3" t="s">
        <v>71</v>
      </c>
      <c r="AP553" s="3" t="s">
        <v>65</v>
      </c>
      <c r="AQ553" s="3"/>
      <c r="AR553" s="3" t="s">
        <v>51</v>
      </c>
      <c r="AS553" s="3" t="s">
        <v>52</v>
      </c>
      <c r="AT553" s="3" t="s">
        <v>71</v>
      </c>
      <c r="AU553" s="3" t="s">
        <v>65</v>
      </c>
      <c r="AW553" s="8" t="s">
        <v>2559</v>
      </c>
    </row>
    <row r="554">
      <c r="A554" s="3">
        <v>66.0</v>
      </c>
      <c r="B554" s="3" t="s">
        <v>40</v>
      </c>
      <c r="C554" s="3" t="s">
        <v>276</v>
      </c>
      <c r="D554" s="3">
        <v>1991.0</v>
      </c>
      <c r="E554" s="3" t="s">
        <v>277</v>
      </c>
      <c r="F554" s="3" t="s">
        <v>68</v>
      </c>
      <c r="G554" s="3" t="s">
        <v>2553</v>
      </c>
      <c r="H554" s="3" t="s">
        <v>58</v>
      </c>
      <c r="I554" s="3" t="s">
        <v>2142</v>
      </c>
      <c r="J554" s="3" t="s">
        <v>58</v>
      </c>
      <c r="L554" s="3" t="s">
        <v>2311</v>
      </c>
      <c r="M554" s="3" t="s">
        <v>69</v>
      </c>
      <c r="S554" s="9" t="str">
        <f t="array" ref="S554">"[" &amp; TEXTJOIN(", ", TRUE, IF(LEN(T554:AB554), CHAR(34)&amp;T554:AB554&amp;CHAR(34), )) &amp; "]"
</f>
        <v>["Hunting &amp; Collecting Terrestrial Animals", "Annual &amp; perennial non-timber crops", "Livestock farming &amp; ranching", "Roads &amp; railroads", "Agricultural &amp; forestry effluents"]</v>
      </c>
      <c r="T554" s="3" t="s">
        <v>2138</v>
      </c>
      <c r="U554" s="3"/>
      <c r="V554" s="3"/>
      <c r="W554" s="3" t="s">
        <v>60</v>
      </c>
      <c r="X554" s="3" t="s">
        <v>47</v>
      </c>
      <c r="Y554" s="3" t="s">
        <v>63</v>
      </c>
      <c r="AA554" s="3" t="s">
        <v>62</v>
      </c>
      <c r="AC554" s="3" t="s">
        <v>61</v>
      </c>
      <c r="AF554" s="3" t="s">
        <v>60</v>
      </c>
      <c r="AG554" s="3" t="s">
        <v>47</v>
      </c>
      <c r="AH554" s="3" t="s">
        <v>63</v>
      </c>
      <c r="AJ554" s="3" t="s">
        <v>62</v>
      </c>
      <c r="AL554" s="9" t="str">
        <f t="array" ref="AL554">"[" &amp; TEXTJOIN(", ", TRUE, IF(LEN(AM554:AQ554), CHAR(34)&amp;AM554:AQ554&amp;CHAR(34), )) &amp; "]"
</f>
        <v>["Biological resource use", "Agriculture &amp; aquaculture", "Transportation &amp; service corridors", "Pollution"]</v>
      </c>
      <c r="AM554" s="3" t="s">
        <v>52</v>
      </c>
      <c r="AN554" s="3" t="s">
        <v>51</v>
      </c>
      <c r="AO554" s="3" t="s">
        <v>65</v>
      </c>
      <c r="AP554" s="3" t="s">
        <v>64</v>
      </c>
      <c r="AQ554" s="3"/>
      <c r="AR554" s="3" t="s">
        <v>52</v>
      </c>
      <c r="AS554" s="3" t="s">
        <v>51</v>
      </c>
      <c r="AT554" s="3" t="s">
        <v>65</v>
      </c>
      <c r="AU554" s="3" t="s">
        <v>64</v>
      </c>
      <c r="AW554" s="8" t="s">
        <v>2560</v>
      </c>
    </row>
    <row r="555">
      <c r="A555" s="3">
        <v>734.0</v>
      </c>
      <c r="B555" s="3" t="s">
        <v>40</v>
      </c>
      <c r="C555" s="3" t="s">
        <v>1584</v>
      </c>
      <c r="D555" s="3">
        <v>2004.0</v>
      </c>
      <c r="E555" s="3" t="s">
        <v>1585</v>
      </c>
      <c r="F555" s="3" t="s">
        <v>68</v>
      </c>
      <c r="G555" s="3" t="s">
        <v>2553</v>
      </c>
      <c r="H555" s="3" t="s">
        <v>58</v>
      </c>
      <c r="I555" s="3" t="s">
        <v>2142</v>
      </c>
      <c r="J555" s="3" t="s">
        <v>58</v>
      </c>
      <c r="L555" s="3" t="s">
        <v>2143</v>
      </c>
      <c r="M555" s="3" t="s">
        <v>110</v>
      </c>
      <c r="S555" s="9" t="str">
        <f t="array" ref="S555">"[" &amp; TEXTJOIN(", ", TRUE, IF(LEN(T555:AB555), CHAR(34)&amp;T555:AB555&amp;CHAR(34), )) &amp; "]"
</f>
        <v>["Hunting &amp; collecting terrestrial animals", "Fishing &amp; harvesting aquatic resources", "Roads &amp; railroads"]</v>
      </c>
      <c r="U555" s="3"/>
      <c r="V555" s="3"/>
      <c r="W555" s="3" t="s">
        <v>2178</v>
      </c>
      <c r="X555" s="3" t="s">
        <v>2468</v>
      </c>
      <c r="Y555" s="3" t="s">
        <v>63</v>
      </c>
      <c r="AC555" s="3" t="s">
        <v>87</v>
      </c>
      <c r="AF555" s="3" t="s">
        <v>61</v>
      </c>
      <c r="AG555" s="3" t="s">
        <v>247</v>
      </c>
      <c r="AH555" s="3" t="s">
        <v>63</v>
      </c>
      <c r="AJ555" s="3" t="s">
        <v>143</v>
      </c>
      <c r="AL555" s="9" t="str">
        <f t="array" ref="AL555">"[" &amp; TEXTJOIN(", ", TRUE, IF(LEN(AM555:AQ555), CHAR(34)&amp;AM555:AQ555&amp;CHAR(34), )) &amp; "]"
</f>
        <v>["Pollution", "Biological resource use", "Transportation &amp; service corridors", "Natural system modifications"]</v>
      </c>
      <c r="AM555" s="3" t="s">
        <v>64</v>
      </c>
      <c r="AN555" s="3" t="s">
        <v>52</v>
      </c>
      <c r="AO555" s="3" t="s">
        <v>65</v>
      </c>
      <c r="AP555" s="3" t="s">
        <v>53</v>
      </c>
      <c r="AQ555" s="3"/>
      <c r="AR555" s="3" t="s">
        <v>64</v>
      </c>
      <c r="AS555" s="3" t="s">
        <v>52</v>
      </c>
      <c r="AT555" s="3" t="s">
        <v>65</v>
      </c>
      <c r="AU555" s="3" t="s">
        <v>53</v>
      </c>
      <c r="AW555" s="8" t="s">
        <v>2561</v>
      </c>
    </row>
    <row r="556">
      <c r="A556" s="3">
        <v>68.0</v>
      </c>
      <c r="B556" s="3" t="s">
        <v>40</v>
      </c>
      <c r="C556" s="3" t="s">
        <v>280</v>
      </c>
      <c r="D556" s="3">
        <v>1993.0</v>
      </c>
      <c r="E556" s="3" t="s">
        <v>281</v>
      </c>
      <c r="F556" s="3" t="s">
        <v>68</v>
      </c>
      <c r="G556" s="3" t="s">
        <v>2553</v>
      </c>
      <c r="H556" s="3" t="s">
        <v>58</v>
      </c>
      <c r="I556" s="3" t="s">
        <v>2142</v>
      </c>
      <c r="J556" s="3" t="s">
        <v>58</v>
      </c>
      <c r="L556" s="3" t="s">
        <v>2311</v>
      </c>
      <c r="M556" s="3" t="s">
        <v>69</v>
      </c>
      <c r="S556" s="9" t="str">
        <f t="array" ref="S556">"[" &amp; TEXTJOIN(", ", TRUE, IF(LEN(T556:AB556), CHAR(34)&amp;T556:AB556&amp;CHAR(34), )) &amp; "]"
</f>
        <v>["Hunting &amp; Collecting Terrestrial Animals", "Annual &amp; perennial non-timber crops"]</v>
      </c>
      <c r="T556" s="3" t="s">
        <v>2138</v>
      </c>
      <c r="U556" s="3"/>
      <c r="V556" s="3"/>
      <c r="W556" s="3" t="s">
        <v>60</v>
      </c>
      <c r="AC556" s="3" t="s">
        <v>61</v>
      </c>
      <c r="AF556" s="3" t="s">
        <v>60</v>
      </c>
      <c r="AL556" s="9" t="str">
        <f t="array" ref="AL556">"[" &amp; TEXTJOIN(", ", TRUE, IF(LEN(AM556:AQ556), CHAR(34)&amp;AM556:AQ556&amp;CHAR(34), )) &amp; "]"
</f>
        <v>["Biological resource use", "Agriculture &amp; aquaculture"]</v>
      </c>
      <c r="AM556" s="3" t="s">
        <v>52</v>
      </c>
      <c r="AN556" s="3" t="s">
        <v>51</v>
      </c>
      <c r="AO556" s="3"/>
      <c r="AP556" s="3"/>
      <c r="AQ556" s="3"/>
      <c r="AR556" s="3" t="s">
        <v>52</v>
      </c>
      <c r="AS556" s="3" t="s">
        <v>51</v>
      </c>
      <c r="AW556" s="8" t="s">
        <v>2562</v>
      </c>
    </row>
    <row r="557">
      <c r="A557" s="3">
        <v>59.0</v>
      </c>
      <c r="B557" s="3" t="s">
        <v>40</v>
      </c>
      <c r="C557" s="3" t="s">
        <v>255</v>
      </c>
      <c r="D557" s="3">
        <v>2001.0</v>
      </c>
      <c r="E557" s="3" t="s">
        <v>256</v>
      </c>
      <c r="F557" s="3" t="s">
        <v>68</v>
      </c>
      <c r="G557" s="3" t="s">
        <v>2553</v>
      </c>
      <c r="H557" s="3" t="s">
        <v>58</v>
      </c>
      <c r="I557" s="3" t="s">
        <v>2142</v>
      </c>
      <c r="J557" s="3" t="s">
        <v>58</v>
      </c>
      <c r="L557" s="3" t="s">
        <v>2166</v>
      </c>
      <c r="M557" s="3" t="s">
        <v>96</v>
      </c>
      <c r="S557" s="9" t="str">
        <f t="array" ref="S557">"[" &amp; TEXTJOIN(", ", TRUE, IF(LEN(T557:AB557), CHAR(34)&amp;T557:AB557&amp;CHAR(34), )) &amp; "]"
</f>
        <v>["Hunting &amp; Collecting Terrestrial Animals", "Logging &amp; Wood Harvesting", "Annual &amp; perennial non-timber crops", "Livestock farming &amp; ranching"]</v>
      </c>
      <c r="T557" s="3" t="s">
        <v>2138</v>
      </c>
      <c r="U557" s="3" t="s">
        <v>2139</v>
      </c>
      <c r="V557" s="3"/>
      <c r="W557" s="3" t="s">
        <v>60</v>
      </c>
      <c r="X557" s="3" t="s">
        <v>47</v>
      </c>
      <c r="AC557" s="3" t="s">
        <v>61</v>
      </c>
      <c r="AD557" s="3" t="s">
        <v>48</v>
      </c>
      <c r="AF557" s="3" t="s">
        <v>60</v>
      </c>
      <c r="AG557" s="3" t="s">
        <v>47</v>
      </c>
      <c r="AL557" s="9" t="str">
        <f t="array" ref="AL557">"[" &amp; TEXTJOIN(", ", TRUE, IF(LEN(AM557:AQ557), CHAR(34)&amp;AM557:AQ557&amp;CHAR(34), )) &amp; "]"
</f>
        <v>["Biological resource use", "Agriculture &amp; aquaculture"]</v>
      </c>
      <c r="AM557" s="3" t="s">
        <v>52</v>
      </c>
      <c r="AN557" s="3" t="s">
        <v>51</v>
      </c>
      <c r="AP557" s="3"/>
      <c r="AQ557" s="3"/>
      <c r="AR557" s="3" t="s">
        <v>52</v>
      </c>
      <c r="AS557" s="3" t="s">
        <v>51</v>
      </c>
      <c r="AT557" s="3" t="s">
        <v>78</v>
      </c>
      <c r="AW557" s="8" t="s">
        <v>2563</v>
      </c>
    </row>
    <row r="558">
      <c r="A558" s="3">
        <v>12.0</v>
      </c>
      <c r="B558" s="3" t="s">
        <v>40</v>
      </c>
      <c r="C558" s="3" t="s">
        <v>115</v>
      </c>
      <c r="D558" s="3">
        <v>2012.0</v>
      </c>
      <c r="E558" s="3" t="s">
        <v>116</v>
      </c>
      <c r="F558" s="3" t="s">
        <v>68</v>
      </c>
      <c r="G558" s="3" t="s">
        <v>2553</v>
      </c>
      <c r="H558" s="3" t="s">
        <v>58</v>
      </c>
      <c r="I558" s="3" t="s">
        <v>2142</v>
      </c>
      <c r="J558" s="3" t="s">
        <v>58</v>
      </c>
      <c r="L558" s="3" t="s">
        <v>2311</v>
      </c>
      <c r="M558" s="3" t="s">
        <v>69</v>
      </c>
      <c r="S558" s="9" t="str">
        <f t="array" ref="S558">"[" &amp; TEXTJOIN(", ", TRUE, IF(LEN(T558:AB558), CHAR(34)&amp;T558:AB558&amp;CHAR(34), )) &amp; "]"
</f>
        <v>["Annual &amp; perennial non-timber crops", "Livestock farming &amp; ranching", "Habitat shifting &amp; alteration"]</v>
      </c>
      <c r="T558" s="3" t="s">
        <v>60</v>
      </c>
      <c r="U558" s="3" t="s">
        <v>47</v>
      </c>
      <c r="V558" s="3"/>
      <c r="W558" s="3" t="s">
        <v>117</v>
      </c>
      <c r="AC558" s="3" t="s">
        <v>60</v>
      </c>
      <c r="AD558" s="3" t="s">
        <v>47</v>
      </c>
      <c r="AF558" s="3" t="s">
        <v>117</v>
      </c>
      <c r="AL558" s="9" t="str">
        <f t="array" ref="AL558">"[" &amp; TEXTJOIN(", ", TRUE, IF(LEN(AM558:AQ558), CHAR(34)&amp;AM558:AQ558&amp;CHAR(34), )) &amp; "]"
</f>
        <v>["Agriculture &amp; aquaculture", "Climate change &amp; severe weather"]</v>
      </c>
      <c r="AM558" s="3" t="s">
        <v>51</v>
      </c>
      <c r="AN558" s="3" t="s">
        <v>118</v>
      </c>
      <c r="AO558" s="3"/>
      <c r="AP558" s="3"/>
      <c r="AQ558" s="3"/>
      <c r="AR558" s="3" t="s">
        <v>51</v>
      </c>
      <c r="AS558" s="3" t="s">
        <v>118</v>
      </c>
      <c r="AW558" s="8" t="s">
        <v>2564</v>
      </c>
    </row>
    <row r="559">
      <c r="A559" s="3">
        <v>212.0</v>
      </c>
      <c r="B559" s="3" t="s">
        <v>40</v>
      </c>
      <c r="C559" s="3" t="s">
        <v>591</v>
      </c>
      <c r="D559" s="3">
        <v>2001.0</v>
      </c>
      <c r="E559" s="3" t="s">
        <v>592</v>
      </c>
      <c r="F559" s="3" t="s">
        <v>68</v>
      </c>
      <c r="G559" s="3" t="s">
        <v>2553</v>
      </c>
      <c r="H559" s="3" t="s">
        <v>58</v>
      </c>
      <c r="I559" s="3" t="s">
        <v>2142</v>
      </c>
      <c r="J559" s="3" t="s">
        <v>58</v>
      </c>
      <c r="L559" s="3" t="s">
        <v>2166</v>
      </c>
      <c r="M559" s="3" t="s">
        <v>96</v>
      </c>
      <c r="S559" s="9" t="str">
        <f t="array" ref="S559">"[" &amp; TEXTJOIN(", ", TRUE, IF(LEN(T559:AB559), CHAR(34)&amp;T559:AB559&amp;CHAR(34), )) &amp; "]"
</f>
        <v>["Hunting &amp; Collecting Terrestrial Animals", "Logging &amp; Wood Harvesting", "Roads &amp; railroads"]</v>
      </c>
      <c r="T559" s="3" t="s">
        <v>2138</v>
      </c>
      <c r="U559" s="3" t="s">
        <v>2139</v>
      </c>
      <c r="V559" s="3"/>
      <c r="W559" s="3" t="s">
        <v>63</v>
      </c>
      <c r="AC559" s="3" t="s">
        <v>61</v>
      </c>
      <c r="AD559" s="3" t="s">
        <v>48</v>
      </c>
      <c r="AF559" s="3" t="s">
        <v>63</v>
      </c>
      <c r="AL559" s="9" t="str">
        <f t="array" ref="AL559">"[" &amp; TEXTJOIN(", ", TRUE, IF(LEN(AM559:AQ559), CHAR(34)&amp;AM559:AQ559&amp;CHAR(34), )) &amp; "]"
</f>
        <v>["Biological resource use", "Transportation &amp; service corridors"]</v>
      </c>
      <c r="AM559" s="3" t="s">
        <v>52</v>
      </c>
      <c r="AN559" s="3" t="s">
        <v>65</v>
      </c>
      <c r="AP559" s="3"/>
      <c r="AQ559" s="3"/>
      <c r="AR559" s="3" t="s">
        <v>52</v>
      </c>
      <c r="AS559" s="3" t="s">
        <v>65</v>
      </c>
      <c r="AT559" s="3" t="s">
        <v>78</v>
      </c>
      <c r="AW559" s="8" t="s">
        <v>2565</v>
      </c>
    </row>
    <row r="560" hidden="1">
      <c r="A560" s="3">
        <v>927.0</v>
      </c>
      <c r="B560" s="3" t="s">
        <v>40</v>
      </c>
      <c r="C560" s="3" t="s">
        <v>1957</v>
      </c>
      <c r="D560" s="3">
        <v>2006.0</v>
      </c>
      <c r="E560" s="3" t="s">
        <v>1958</v>
      </c>
      <c r="F560" s="3" t="s">
        <v>253</v>
      </c>
      <c r="H560" s="3" t="s">
        <v>58</v>
      </c>
      <c r="I560" s="3"/>
      <c r="J560" s="3" t="s">
        <v>58</v>
      </c>
      <c r="K560" s="3"/>
      <c r="L560" s="3"/>
      <c r="M560" s="3" t="s">
        <v>254</v>
      </c>
      <c r="S560" s="3"/>
      <c r="T560" s="3"/>
      <c r="U560" s="3"/>
      <c r="V560" s="3"/>
      <c r="W560" s="3"/>
      <c r="X560" s="3"/>
      <c r="Y560" s="3"/>
      <c r="Z560" s="3"/>
      <c r="AC560" s="3" t="s">
        <v>87</v>
      </c>
      <c r="AF560" s="3" t="s">
        <v>87</v>
      </c>
      <c r="AH560" s="3" t="s">
        <v>63</v>
      </c>
      <c r="AL560" s="3"/>
      <c r="AM560" s="3"/>
      <c r="AN560" s="3"/>
      <c r="AO560" s="3"/>
      <c r="AP560" s="3"/>
      <c r="AQ560" s="3"/>
      <c r="AR560" s="3" t="s">
        <v>71</v>
      </c>
      <c r="AS560" s="3" t="s">
        <v>121</v>
      </c>
      <c r="AT560" s="3" t="s">
        <v>65</v>
      </c>
    </row>
    <row r="561" hidden="1">
      <c r="A561" s="3">
        <v>472.0</v>
      </c>
      <c r="B561" s="3" t="s">
        <v>55</v>
      </c>
      <c r="D561" s="3">
        <v>1997.0</v>
      </c>
      <c r="E561" s="3" t="s">
        <v>1070</v>
      </c>
      <c r="F561" s="3" t="s">
        <v>1071</v>
      </c>
      <c r="G561" s="3"/>
      <c r="H561" s="3" t="s">
        <v>91</v>
      </c>
      <c r="I561" s="3"/>
      <c r="J561" s="3" t="s">
        <v>91</v>
      </c>
      <c r="K561" s="3"/>
      <c r="L561" s="3"/>
      <c r="M561" s="3" t="s">
        <v>225</v>
      </c>
      <c r="N561" s="3" t="s">
        <v>92</v>
      </c>
      <c r="S561" s="3"/>
      <c r="T561" s="3"/>
      <c r="U561" s="3"/>
      <c r="V561" s="3"/>
      <c r="W561" s="3"/>
      <c r="X561" s="3"/>
      <c r="AC561" s="3" t="s">
        <v>50</v>
      </c>
      <c r="AF561" s="3" t="s">
        <v>247</v>
      </c>
      <c r="AL561" s="3"/>
      <c r="AM561" s="3"/>
      <c r="AN561" s="3"/>
      <c r="AO561" s="3"/>
      <c r="AP561" s="3"/>
      <c r="AQ561" s="3"/>
      <c r="AR561" s="3" t="s">
        <v>54</v>
      </c>
      <c r="AS561" s="3" t="s">
        <v>52</v>
      </c>
      <c r="AW561" s="8" t="s">
        <v>2135</v>
      </c>
    </row>
    <row r="562">
      <c r="A562" s="3">
        <v>430.0</v>
      </c>
      <c r="B562" s="3" t="s">
        <v>40</v>
      </c>
      <c r="C562" s="3" t="s">
        <v>985</v>
      </c>
      <c r="D562" s="3">
        <v>2010.0</v>
      </c>
      <c r="E562" s="3" t="s">
        <v>986</v>
      </c>
      <c r="F562" s="3" t="s">
        <v>68</v>
      </c>
      <c r="G562" s="3" t="s">
        <v>2553</v>
      </c>
      <c r="H562" s="3" t="s">
        <v>58</v>
      </c>
      <c r="I562" s="3" t="s">
        <v>2142</v>
      </c>
      <c r="J562" s="3" t="s">
        <v>58</v>
      </c>
      <c r="L562" s="3" t="s">
        <v>2311</v>
      </c>
      <c r="M562" s="3" t="s">
        <v>69</v>
      </c>
      <c r="S562" s="9" t="str">
        <f t="array" ref="S562">"[" &amp; TEXTJOIN(", ", TRUE, IF(LEN(T562:AB562), CHAR(34)&amp;T562:AB562&amp;CHAR(34), )) &amp; "]"
</f>
        <v>["Habitat shifting &amp; alteration", "Roads &amp; railroads"]</v>
      </c>
      <c r="T562" s="3" t="s">
        <v>117</v>
      </c>
      <c r="U562" s="3"/>
      <c r="V562" s="3"/>
      <c r="W562" s="3" t="s">
        <v>63</v>
      </c>
      <c r="AC562" s="3" t="s">
        <v>117</v>
      </c>
      <c r="AF562" s="3" t="s">
        <v>63</v>
      </c>
      <c r="AL562" s="9" t="str">
        <f t="array" ref="AL562">"[" &amp; TEXTJOIN(", ", TRUE, IF(LEN(AM562:AQ562), CHAR(34)&amp;AM562:AQ562&amp;CHAR(34), )) &amp; "]"
</f>
        <v>["Climate change &amp; severe weather", "Transportation &amp; service corridors"]</v>
      </c>
      <c r="AM562" s="3" t="s">
        <v>118</v>
      </c>
      <c r="AN562" s="3" t="s">
        <v>65</v>
      </c>
      <c r="AO562" s="3"/>
      <c r="AP562" s="3"/>
      <c r="AQ562" s="3"/>
      <c r="AR562" s="3" t="s">
        <v>118</v>
      </c>
      <c r="AS562" s="3" t="s">
        <v>65</v>
      </c>
      <c r="AW562" s="8" t="s">
        <v>2566</v>
      </c>
    </row>
    <row r="563">
      <c r="A563" s="3">
        <v>352.0</v>
      </c>
      <c r="B563" s="3" t="s">
        <v>40</v>
      </c>
      <c r="C563" s="3" t="s">
        <v>873</v>
      </c>
      <c r="D563" s="3">
        <v>2019.0</v>
      </c>
      <c r="E563" s="3" t="s">
        <v>874</v>
      </c>
      <c r="F563" s="3" t="s">
        <v>68</v>
      </c>
      <c r="G563" s="3" t="s">
        <v>2553</v>
      </c>
      <c r="H563" s="3" t="s">
        <v>58</v>
      </c>
      <c r="I563" s="3" t="s">
        <v>2142</v>
      </c>
      <c r="J563" s="3" t="s">
        <v>58</v>
      </c>
      <c r="L563" s="3" t="s">
        <v>2166</v>
      </c>
      <c r="M563" s="3" t="s">
        <v>96</v>
      </c>
      <c r="S563" s="9" t="str">
        <f t="array" ref="S563">"[" &amp; TEXTJOIN(", ", TRUE, IF(LEN(T563:AB563), CHAR(34)&amp;T563:AB563&amp;CHAR(34), )) &amp; "]"
</f>
        <v>["Hunting &amp; Collecting Terrestrial Animals", "Logging &amp; Wood Harvesting"]</v>
      </c>
      <c r="T563" s="3" t="s">
        <v>2138</v>
      </c>
      <c r="U563" s="3" t="s">
        <v>2139</v>
      </c>
      <c r="V563" s="3"/>
      <c r="AC563" s="3" t="s">
        <v>61</v>
      </c>
      <c r="AD563" s="3" t="s">
        <v>48</v>
      </c>
      <c r="AL563" s="9" t="str">
        <f t="array" ref="AL563">"[" &amp; TEXTJOIN(", ", TRUE, IF(LEN(AM563:AQ563), CHAR(34)&amp;AM563:AQ563&amp;CHAR(34), )) &amp; "]"
</f>
        <v>["Biological resource use"]</v>
      </c>
      <c r="AM563" s="3" t="s">
        <v>52</v>
      </c>
      <c r="AN563" s="3"/>
      <c r="AO563" s="3"/>
      <c r="AP563" s="3"/>
      <c r="AQ563" s="3"/>
      <c r="AR563" s="3" t="s">
        <v>52</v>
      </c>
      <c r="AW563" s="8" t="s">
        <v>2567</v>
      </c>
    </row>
    <row r="564" hidden="1">
      <c r="A564" s="3">
        <v>180.0</v>
      </c>
      <c r="B564" s="3" t="s">
        <v>106</v>
      </c>
      <c r="C564" s="3" t="s">
        <v>531</v>
      </c>
      <c r="D564" s="3">
        <v>2013.0</v>
      </c>
      <c r="E564" s="3" t="s">
        <v>532</v>
      </c>
      <c r="F564" s="3" t="s">
        <v>533</v>
      </c>
      <c r="G564" s="3"/>
      <c r="H564" s="3" t="s">
        <v>58</v>
      </c>
      <c r="I564" s="3"/>
      <c r="K564" s="3"/>
      <c r="L564" s="3"/>
      <c r="M564" s="3" t="s">
        <v>110</v>
      </c>
      <c r="S564" s="3"/>
      <c r="T564" s="3"/>
      <c r="U564" s="3"/>
      <c r="V564" s="3"/>
      <c r="W564" s="3"/>
      <c r="X564" s="3"/>
      <c r="AC564" s="3" t="s">
        <v>61</v>
      </c>
      <c r="AF564" s="3" t="s">
        <v>87</v>
      </c>
      <c r="AL564" s="3"/>
      <c r="AM564" s="3"/>
      <c r="AN564" s="3"/>
      <c r="AO564" s="3"/>
      <c r="AP564" s="3"/>
      <c r="AQ564" s="3"/>
      <c r="AR564" s="3" t="s">
        <v>52</v>
      </c>
      <c r="AS564" s="3" t="s">
        <v>64</v>
      </c>
      <c r="AT564" s="3" t="s">
        <v>143</v>
      </c>
      <c r="AW564" s="8" t="s">
        <v>2135</v>
      </c>
    </row>
    <row r="565" hidden="1">
      <c r="A565" s="3">
        <v>195.0</v>
      </c>
      <c r="B565" s="3" t="s">
        <v>106</v>
      </c>
      <c r="C565" s="3" t="s">
        <v>557</v>
      </c>
      <c r="D565" s="3">
        <v>2011.0</v>
      </c>
      <c r="E565" s="3" t="s">
        <v>558</v>
      </c>
      <c r="F565" s="3" t="s">
        <v>559</v>
      </c>
      <c r="H565" s="3" t="s">
        <v>58</v>
      </c>
      <c r="I565" s="3"/>
      <c r="K565" s="3"/>
      <c r="L565" s="3"/>
      <c r="M565" s="3" t="s">
        <v>110</v>
      </c>
      <c r="S565" s="3"/>
      <c r="T565" s="3"/>
      <c r="U565" s="3"/>
      <c r="V565" s="3"/>
      <c r="W565" s="3"/>
      <c r="X565" s="3"/>
      <c r="AC565" s="3" t="s">
        <v>61</v>
      </c>
      <c r="AF565" s="3" t="s">
        <v>147</v>
      </c>
      <c r="AL565" s="3"/>
      <c r="AM565" s="3"/>
      <c r="AN565" s="3"/>
      <c r="AO565" s="3"/>
      <c r="AP565" s="3"/>
      <c r="AQ565" s="3"/>
      <c r="AR565" s="3" t="s">
        <v>52</v>
      </c>
      <c r="AS565" s="3" t="s">
        <v>64</v>
      </c>
      <c r="AW565" s="8" t="s">
        <v>2135</v>
      </c>
    </row>
    <row r="566">
      <c r="A566" s="3">
        <v>242.0</v>
      </c>
      <c r="B566" s="3" t="s">
        <v>40</v>
      </c>
      <c r="C566" s="3" t="s">
        <v>651</v>
      </c>
      <c r="D566" s="3">
        <v>1989.0</v>
      </c>
      <c r="E566" s="3" t="s">
        <v>652</v>
      </c>
      <c r="F566" s="3" t="s">
        <v>68</v>
      </c>
      <c r="G566" s="3" t="s">
        <v>2553</v>
      </c>
      <c r="H566" s="3" t="s">
        <v>58</v>
      </c>
      <c r="I566" s="3" t="s">
        <v>2142</v>
      </c>
      <c r="J566" s="3" t="s">
        <v>58</v>
      </c>
      <c r="L566" s="3" t="s">
        <v>2311</v>
      </c>
      <c r="M566" s="3" t="s">
        <v>69</v>
      </c>
      <c r="S566" s="9" t="str">
        <f t="array" ref="S566">"[" &amp; TEXTJOIN(", ", TRUE, IF(LEN(T566:AB566), CHAR(34)&amp;T566:AB566&amp;CHAR(34), )) &amp; "]"
</f>
        <v>["Hunting &amp; Collecting Terrestrial Animals"]</v>
      </c>
      <c r="T566" s="3" t="s">
        <v>2138</v>
      </c>
      <c r="U566" s="3"/>
      <c r="V566" s="3"/>
      <c r="AC566" s="3" t="s">
        <v>61</v>
      </c>
      <c r="AL566" s="9" t="str">
        <f t="array" ref="AL566">"[" &amp; TEXTJOIN(", ", TRUE, IF(LEN(AM566:AQ566), CHAR(34)&amp;AM566:AQ566&amp;CHAR(34), )) &amp; "]"
</f>
        <v>["Biological resource use"]</v>
      </c>
      <c r="AM566" s="3" t="s">
        <v>52</v>
      </c>
      <c r="AN566" s="3"/>
      <c r="AO566" s="3"/>
      <c r="AP566" s="3"/>
      <c r="AQ566" s="3"/>
      <c r="AR566" s="3" t="s">
        <v>52</v>
      </c>
      <c r="AW566" s="8" t="s">
        <v>2568</v>
      </c>
    </row>
    <row r="567">
      <c r="A567" s="3">
        <v>258.0</v>
      </c>
      <c r="B567" s="3" t="s">
        <v>40</v>
      </c>
      <c r="C567" s="3" t="s">
        <v>683</v>
      </c>
      <c r="D567" s="3">
        <v>1998.0</v>
      </c>
      <c r="E567" s="3" t="s">
        <v>684</v>
      </c>
      <c r="F567" s="3" t="s">
        <v>68</v>
      </c>
      <c r="G567" s="3" t="s">
        <v>2553</v>
      </c>
      <c r="H567" s="3" t="s">
        <v>58</v>
      </c>
      <c r="I567" s="3" t="s">
        <v>2142</v>
      </c>
      <c r="J567" s="3" t="s">
        <v>58</v>
      </c>
      <c r="L567" s="3" t="s">
        <v>2311</v>
      </c>
      <c r="M567" s="3" t="s">
        <v>69</v>
      </c>
      <c r="S567" s="9" t="str">
        <f t="array" ref="S567">"[" &amp; TEXTJOIN(", ", TRUE, IF(LEN(T567:AB567), CHAR(34)&amp;T567:AB567&amp;CHAR(34), )) &amp; "]"
</f>
        <v>["Hunting &amp; Collecting Terrestrial Animals"]</v>
      </c>
      <c r="T567" s="3" t="s">
        <v>2138</v>
      </c>
      <c r="U567" s="3"/>
      <c r="V567" s="3"/>
      <c r="AC567" s="3" t="s">
        <v>61</v>
      </c>
      <c r="AL567" s="9" t="str">
        <f t="array" ref="AL567">"[" &amp; TEXTJOIN(", ", TRUE, IF(LEN(AM567:AQ567), CHAR(34)&amp;AM567:AQ567&amp;CHAR(34), )) &amp; "]"
</f>
        <v>["Biological resource use"]</v>
      </c>
      <c r="AM567" s="3" t="s">
        <v>52</v>
      </c>
      <c r="AN567" s="3"/>
      <c r="AO567" s="3"/>
      <c r="AP567" s="3"/>
      <c r="AQ567" s="3"/>
      <c r="AR567" s="3" t="s">
        <v>52</v>
      </c>
      <c r="AW567" s="8" t="s">
        <v>2569</v>
      </c>
    </row>
    <row r="568" hidden="1">
      <c r="A568" s="3">
        <v>211.0</v>
      </c>
      <c r="B568" s="3" t="s">
        <v>55</v>
      </c>
      <c r="D568" s="3">
        <v>1993.0</v>
      </c>
      <c r="E568" s="3" t="s">
        <v>590</v>
      </c>
      <c r="F568" s="3" t="s">
        <v>305</v>
      </c>
      <c r="G568" s="3"/>
      <c r="H568" s="3" t="s">
        <v>58</v>
      </c>
      <c r="I568" s="3"/>
      <c r="J568" s="3" t="s">
        <v>58</v>
      </c>
      <c r="K568" s="3"/>
      <c r="L568" s="3"/>
      <c r="M568" s="3" t="s">
        <v>69</v>
      </c>
      <c r="S568" s="3"/>
      <c r="T568" s="3"/>
      <c r="U568" s="3"/>
      <c r="V568" s="3"/>
      <c r="W568" s="3"/>
      <c r="X568" s="3"/>
      <c r="Y568" s="3"/>
      <c r="Z568" s="3"/>
      <c r="AC568" s="3" t="s">
        <v>61</v>
      </c>
      <c r="AF568" s="3" t="s">
        <v>63</v>
      </c>
      <c r="AH568" s="3" t="s">
        <v>244</v>
      </c>
      <c r="AL568" s="3"/>
      <c r="AM568" s="3"/>
      <c r="AN568" s="3"/>
      <c r="AO568" s="3"/>
      <c r="AP568" s="3"/>
      <c r="AQ568" s="3"/>
      <c r="AR568" s="3" t="s">
        <v>52</v>
      </c>
      <c r="AS568" s="3" t="s">
        <v>65</v>
      </c>
      <c r="AT568" s="3" t="s">
        <v>54</v>
      </c>
      <c r="AW568" s="8" t="s">
        <v>2135</v>
      </c>
    </row>
    <row r="569" hidden="1">
      <c r="A569" s="3">
        <v>233.0</v>
      </c>
      <c r="B569" s="3" t="s">
        <v>106</v>
      </c>
      <c r="C569" s="3" t="s">
        <v>629</v>
      </c>
      <c r="D569" s="3">
        <v>2011.0</v>
      </c>
      <c r="E569" s="3" t="s">
        <v>630</v>
      </c>
      <c r="F569" s="3" t="s">
        <v>305</v>
      </c>
      <c r="G569" s="3"/>
      <c r="H569" s="3" t="s">
        <v>58</v>
      </c>
      <c r="I569" s="3"/>
      <c r="K569" s="3"/>
      <c r="L569" s="3"/>
      <c r="M569" s="3" t="s">
        <v>110</v>
      </c>
      <c r="S569" s="3"/>
      <c r="T569" s="3"/>
      <c r="U569" s="3"/>
      <c r="V569" s="3"/>
      <c r="W569" s="3"/>
      <c r="X569" s="3"/>
      <c r="AC569" s="3" t="s">
        <v>61</v>
      </c>
      <c r="AF569" s="3" t="s">
        <v>631</v>
      </c>
      <c r="AL569" s="3"/>
      <c r="AM569" s="3"/>
      <c r="AN569" s="3"/>
      <c r="AO569" s="3"/>
      <c r="AP569" s="3"/>
      <c r="AQ569" s="3"/>
      <c r="AR569" s="3" t="s">
        <v>52</v>
      </c>
      <c r="AS569" s="3" t="s">
        <v>65</v>
      </c>
      <c r="AW569" s="8" t="s">
        <v>2135</v>
      </c>
    </row>
    <row r="570">
      <c r="A570" s="3">
        <v>263.0</v>
      </c>
      <c r="B570" s="3" t="s">
        <v>40</v>
      </c>
      <c r="C570" s="3" t="s">
        <v>693</v>
      </c>
      <c r="D570" s="3">
        <v>1999.0</v>
      </c>
      <c r="E570" s="3" t="s">
        <v>694</v>
      </c>
      <c r="F570" s="3" t="s">
        <v>68</v>
      </c>
      <c r="G570" s="3" t="s">
        <v>2553</v>
      </c>
      <c r="H570" s="3" t="s">
        <v>58</v>
      </c>
      <c r="I570" s="3" t="s">
        <v>2142</v>
      </c>
      <c r="J570" s="3" t="s">
        <v>58</v>
      </c>
      <c r="L570" s="3" t="s">
        <v>2340</v>
      </c>
      <c r="M570" s="3" t="s">
        <v>76</v>
      </c>
      <c r="S570" s="9" t="str">
        <f t="array" ref="S570">"[" &amp; TEXTJOIN(", ", TRUE, IF(LEN(T570:AB570), CHAR(34)&amp;T570:AB570&amp;CHAR(34), )) &amp; "]"
</f>
        <v>["Hunting &amp; Collecting Terrestrial Animals"]</v>
      </c>
      <c r="T570" s="3" t="s">
        <v>2138</v>
      </c>
      <c r="U570" s="3"/>
      <c r="V570" s="3"/>
      <c r="AC570" s="3" t="s">
        <v>61</v>
      </c>
      <c r="AL570" s="9" t="str">
        <f t="array" ref="AL570">"[" &amp; TEXTJOIN(", ", TRUE, IF(LEN(AM570:AQ570), CHAR(34)&amp;AM570:AQ570&amp;CHAR(34), )) &amp; "]"
</f>
        <v>["Biological resource use"]</v>
      </c>
      <c r="AM570" s="3" t="s">
        <v>52</v>
      </c>
      <c r="AN570" s="3"/>
      <c r="AO570" s="3"/>
      <c r="AP570" s="3"/>
      <c r="AQ570" s="3"/>
      <c r="AR570" s="3" t="s">
        <v>52</v>
      </c>
      <c r="AW570" s="8" t="s">
        <v>2570</v>
      </c>
    </row>
    <row r="571" hidden="1">
      <c r="A571" s="3">
        <v>55.0</v>
      </c>
      <c r="B571" s="3" t="s">
        <v>55</v>
      </c>
      <c r="D571" s="3">
        <v>1990.0</v>
      </c>
      <c r="E571" s="3" t="s">
        <v>242</v>
      </c>
      <c r="F571" s="3" t="s">
        <v>172</v>
      </c>
      <c r="H571" s="3" t="s">
        <v>91</v>
      </c>
      <c r="I571" s="3"/>
      <c r="J571" s="3" t="s">
        <v>91</v>
      </c>
      <c r="K571" s="3"/>
      <c r="L571" s="3"/>
      <c r="M571" s="3" t="s">
        <v>243</v>
      </c>
      <c r="S571" s="3"/>
      <c r="T571" s="3"/>
      <c r="U571" s="3"/>
      <c r="V571" s="3"/>
      <c r="W571" s="3"/>
      <c r="X571" s="3"/>
      <c r="Y571" s="3"/>
      <c r="Z571" s="3"/>
      <c r="AC571" s="3" t="s">
        <v>61</v>
      </c>
      <c r="AF571" s="3" t="s">
        <v>60</v>
      </c>
      <c r="AG571" s="3" t="s">
        <v>47</v>
      </c>
      <c r="AH571" s="3" t="s">
        <v>244</v>
      </c>
      <c r="AL571" s="3"/>
      <c r="AM571" s="3"/>
      <c r="AN571" s="3"/>
      <c r="AO571" s="3"/>
      <c r="AP571" s="3"/>
      <c r="AQ571" s="3"/>
      <c r="AR571" s="3" t="s">
        <v>52</v>
      </c>
      <c r="AS571" s="3" t="s">
        <v>51</v>
      </c>
      <c r="AT571" s="3" t="s">
        <v>54</v>
      </c>
      <c r="AW571" s="8" t="s">
        <v>2135</v>
      </c>
    </row>
    <row r="572">
      <c r="A572" s="3">
        <v>279.0</v>
      </c>
      <c r="B572" s="3" t="s">
        <v>40</v>
      </c>
      <c r="C572" s="3" t="s">
        <v>724</v>
      </c>
      <c r="D572" s="3">
        <v>2004.0</v>
      </c>
      <c r="E572" s="3" t="s">
        <v>725</v>
      </c>
      <c r="F572" s="3" t="s">
        <v>68</v>
      </c>
      <c r="G572" s="3" t="s">
        <v>2553</v>
      </c>
      <c r="H572" s="3" t="s">
        <v>58</v>
      </c>
      <c r="I572" s="3" t="s">
        <v>2142</v>
      </c>
      <c r="J572" s="3" t="s">
        <v>58</v>
      </c>
      <c r="L572" s="3" t="s">
        <v>2311</v>
      </c>
      <c r="M572" s="3" t="s">
        <v>69</v>
      </c>
      <c r="S572" s="9" t="str">
        <f t="array" ref="S572">"[" &amp; TEXTJOIN(", ", TRUE, IF(LEN(T572:AB572), CHAR(34)&amp;T572:AB572&amp;CHAR(34), )) &amp; "]"
</f>
        <v>["Hunting &amp; Collecting Terrestrial Animals"]</v>
      </c>
      <c r="T572" s="3" t="s">
        <v>2138</v>
      </c>
      <c r="U572" s="3"/>
      <c r="V572" s="3"/>
      <c r="AC572" s="3" t="s">
        <v>61</v>
      </c>
      <c r="AL572" s="9" t="str">
        <f t="array" ref="AL572">"[" &amp; TEXTJOIN(", ", TRUE, IF(LEN(AM572:AQ572), CHAR(34)&amp;AM572:AQ572&amp;CHAR(34), )) &amp; "]"
</f>
        <v>["Biological resource use"]</v>
      </c>
      <c r="AM572" s="3" t="s">
        <v>52</v>
      </c>
      <c r="AN572" s="3"/>
      <c r="AO572" s="3"/>
      <c r="AP572" s="3"/>
      <c r="AQ572" s="3"/>
      <c r="AR572" s="3" t="s">
        <v>52</v>
      </c>
      <c r="AW572" s="8" t="s">
        <v>2571</v>
      </c>
    </row>
    <row r="573">
      <c r="A573" s="3">
        <v>287.0</v>
      </c>
      <c r="B573" s="3" t="s">
        <v>40</v>
      </c>
      <c r="C573" s="3" t="s">
        <v>740</v>
      </c>
      <c r="D573" s="3">
        <v>2006.0</v>
      </c>
      <c r="E573" s="3" t="s">
        <v>741</v>
      </c>
      <c r="F573" s="3" t="s">
        <v>68</v>
      </c>
      <c r="G573" s="3" t="s">
        <v>2553</v>
      </c>
      <c r="H573" s="3" t="s">
        <v>58</v>
      </c>
      <c r="I573" s="3" t="s">
        <v>2142</v>
      </c>
      <c r="J573" s="3" t="s">
        <v>58</v>
      </c>
      <c r="L573" s="3" t="s">
        <v>2340</v>
      </c>
      <c r="M573" s="3" t="s">
        <v>76</v>
      </c>
      <c r="S573" s="9" t="str">
        <f t="array" ref="S573">"[" &amp; TEXTJOIN(", ", TRUE, IF(LEN(T573:AB573), CHAR(34)&amp;T573:AB573&amp;CHAR(34), )) &amp; "]"
</f>
        <v>["Hunting &amp; Collecting Terrestrial Animals"]</v>
      </c>
      <c r="T573" s="3" t="s">
        <v>2138</v>
      </c>
      <c r="U573" s="3"/>
      <c r="V573" s="3"/>
      <c r="AC573" s="3" t="s">
        <v>61</v>
      </c>
      <c r="AL573" s="9" t="str">
        <f t="array" ref="AL573">"[" &amp; TEXTJOIN(", ", TRUE, IF(LEN(AM573:AQ573), CHAR(34)&amp;AM573:AQ573&amp;CHAR(34), )) &amp; "]"
</f>
        <v>["Biological resource use"]</v>
      </c>
      <c r="AM573" s="3" t="s">
        <v>52</v>
      </c>
      <c r="AN573" s="3"/>
      <c r="AO573" s="3"/>
      <c r="AP573" s="3"/>
      <c r="AQ573" s="3"/>
      <c r="AR573" s="3" t="s">
        <v>52</v>
      </c>
      <c r="AW573" s="8" t="s">
        <v>2572</v>
      </c>
    </row>
    <row r="574">
      <c r="A574" s="3">
        <v>316.0</v>
      </c>
      <c r="B574" s="3" t="s">
        <v>40</v>
      </c>
      <c r="C574" s="3" t="s">
        <v>800</v>
      </c>
      <c r="D574" s="3">
        <v>2013.0</v>
      </c>
      <c r="E574" s="3" t="s">
        <v>801</v>
      </c>
      <c r="F574" s="3" t="s">
        <v>68</v>
      </c>
      <c r="G574" s="3" t="s">
        <v>2553</v>
      </c>
      <c r="H574" s="3" t="s">
        <v>58</v>
      </c>
      <c r="I574" s="3" t="s">
        <v>2142</v>
      </c>
      <c r="J574" s="3" t="s">
        <v>58</v>
      </c>
      <c r="L574" s="3" t="s">
        <v>2311</v>
      </c>
      <c r="M574" s="3" t="s">
        <v>69</v>
      </c>
      <c r="S574" s="9" t="str">
        <f t="array" ref="S574">"[" &amp; TEXTJOIN(", ", TRUE, IF(LEN(T574:AB574), CHAR(34)&amp;T574:AB574&amp;CHAR(34), )) &amp; "]"
</f>
        <v>["Hunting &amp; Collecting Terrestrial Animals"]</v>
      </c>
      <c r="T574" s="3" t="s">
        <v>2138</v>
      </c>
      <c r="U574" s="3"/>
      <c r="V574" s="3"/>
      <c r="AC574" s="3" t="s">
        <v>61</v>
      </c>
      <c r="AL574" s="9" t="str">
        <f t="array" ref="AL574">"[" &amp; TEXTJOIN(", ", TRUE, IF(LEN(AM574:AQ574), CHAR(34)&amp;AM574:AQ574&amp;CHAR(34), )) &amp; "]"
</f>
        <v>["Biological resource use"]</v>
      </c>
      <c r="AM574" s="3" t="s">
        <v>52</v>
      </c>
      <c r="AN574" s="3"/>
      <c r="AO574" s="3"/>
      <c r="AP574" s="3"/>
      <c r="AQ574" s="3"/>
      <c r="AR574" s="3" t="s">
        <v>52</v>
      </c>
      <c r="AW574" s="8" t="s">
        <v>2573</v>
      </c>
    </row>
    <row r="575">
      <c r="A575" s="3">
        <v>443.0</v>
      </c>
      <c r="B575" s="3" t="s">
        <v>40</v>
      </c>
      <c r="C575" s="3" t="s">
        <v>1012</v>
      </c>
      <c r="D575" s="3">
        <v>2019.0</v>
      </c>
      <c r="E575" s="3" t="s">
        <v>1013</v>
      </c>
      <c r="F575" s="3" t="s">
        <v>68</v>
      </c>
      <c r="G575" s="3" t="s">
        <v>2553</v>
      </c>
      <c r="H575" s="3" t="s">
        <v>58</v>
      </c>
      <c r="I575" s="3" t="s">
        <v>2142</v>
      </c>
      <c r="J575" s="3" t="s">
        <v>58</v>
      </c>
      <c r="L575" s="3" t="s">
        <v>2506</v>
      </c>
      <c r="M575" s="3" t="s">
        <v>388</v>
      </c>
      <c r="S575" s="9" t="str">
        <f t="array" ref="S575">"[" &amp; TEXTJOIN(", ", TRUE, IF(LEN(T575:AB575), CHAR(34)&amp;T575:AB575&amp;CHAR(34), )) &amp; "]"
</f>
        <v>["Habitat shifting &amp; alteration"]</v>
      </c>
      <c r="T575" s="3" t="s">
        <v>117</v>
      </c>
      <c r="U575" s="3"/>
      <c r="V575" s="3"/>
      <c r="AC575" s="3" t="s">
        <v>117</v>
      </c>
      <c r="AL575" s="9" t="str">
        <f t="array" ref="AL575">"[" &amp; TEXTJOIN(", ", TRUE, IF(LEN(AM575:AQ575), CHAR(34)&amp;AM575:AQ575&amp;CHAR(34), )) &amp; "]"
</f>
        <v>["Climate change &amp; severe weather"]</v>
      </c>
      <c r="AM575" s="3" t="s">
        <v>118</v>
      </c>
      <c r="AN575" s="3"/>
      <c r="AO575" s="3"/>
      <c r="AP575" s="3"/>
      <c r="AQ575" s="3"/>
      <c r="AR575" s="3" t="s">
        <v>118</v>
      </c>
      <c r="AW575" s="8" t="s">
        <v>2574</v>
      </c>
    </row>
    <row r="576" hidden="1">
      <c r="A576" s="3">
        <v>880.0</v>
      </c>
      <c r="B576" s="3" t="s">
        <v>40</v>
      </c>
      <c r="C576" s="3" t="s">
        <v>1874</v>
      </c>
      <c r="D576" s="3">
        <v>2019.0</v>
      </c>
      <c r="E576" s="3" t="s">
        <v>1875</v>
      </c>
      <c r="F576" s="3" t="s">
        <v>172</v>
      </c>
      <c r="H576" s="3" t="s">
        <v>91</v>
      </c>
      <c r="I576" s="3"/>
      <c r="J576" s="3" t="s">
        <v>91</v>
      </c>
      <c r="K576" s="3"/>
      <c r="L576" s="3"/>
      <c r="M576" s="3" t="s">
        <v>92</v>
      </c>
      <c r="N576" s="3" t="s">
        <v>225</v>
      </c>
      <c r="S576" s="3"/>
      <c r="T576" s="3"/>
      <c r="U576" s="3"/>
      <c r="V576" s="3"/>
      <c r="AC576" s="3" t="s">
        <v>62</v>
      </c>
      <c r="AL576" s="3"/>
      <c r="AM576" s="3"/>
      <c r="AN576" s="3"/>
      <c r="AO576" s="3"/>
      <c r="AP576" s="3"/>
      <c r="AQ576" s="3"/>
      <c r="AR576" s="3" t="s">
        <v>64</v>
      </c>
    </row>
    <row r="577" hidden="1">
      <c r="A577" s="3">
        <v>933.0</v>
      </c>
      <c r="B577" s="3" t="s">
        <v>106</v>
      </c>
      <c r="C577" s="3" t="s">
        <v>1970</v>
      </c>
      <c r="D577" s="3">
        <v>1990.0</v>
      </c>
      <c r="E577" s="3" t="s">
        <v>1971</v>
      </c>
      <c r="F577" s="3" t="s">
        <v>172</v>
      </c>
      <c r="H577" s="3" t="s">
        <v>91</v>
      </c>
      <c r="I577" s="3"/>
      <c r="K577" s="3"/>
      <c r="L577" s="3"/>
      <c r="M577" s="3" t="s">
        <v>173</v>
      </c>
      <c r="N577" s="3" t="s">
        <v>92</v>
      </c>
      <c r="S577" s="3"/>
      <c r="T577" s="3"/>
      <c r="U577" s="3"/>
      <c r="V577" s="3"/>
      <c r="W577" s="3"/>
      <c r="X577" s="3"/>
      <c r="Y577" s="3"/>
      <c r="Z577" s="3"/>
      <c r="AC577" s="3" t="s">
        <v>87</v>
      </c>
      <c r="AF577" s="3" t="s">
        <v>147</v>
      </c>
      <c r="AH577" s="3" t="s">
        <v>47</v>
      </c>
      <c r="AL577" s="3"/>
      <c r="AM577" s="3"/>
      <c r="AN577" s="3"/>
      <c r="AO577" s="3"/>
      <c r="AP577" s="3"/>
      <c r="AQ577" s="3"/>
      <c r="AR577" s="3" t="s">
        <v>71</v>
      </c>
      <c r="AS577" s="3" t="s">
        <v>64</v>
      </c>
      <c r="AT577" s="3" t="s">
        <v>51</v>
      </c>
    </row>
    <row r="578" hidden="1">
      <c r="A578" s="3">
        <v>945.0</v>
      </c>
      <c r="B578" s="3" t="s">
        <v>40</v>
      </c>
      <c r="C578" s="3" t="s">
        <v>1996</v>
      </c>
      <c r="D578" s="3">
        <v>2017.0</v>
      </c>
      <c r="E578" s="3" t="s">
        <v>1997</v>
      </c>
      <c r="F578" s="3" t="s">
        <v>172</v>
      </c>
      <c r="H578" s="3" t="s">
        <v>91</v>
      </c>
      <c r="I578" s="3"/>
      <c r="J578" s="3" t="s">
        <v>91</v>
      </c>
      <c r="K578" s="3"/>
      <c r="L578" s="3"/>
      <c r="M578" s="3" t="s">
        <v>92</v>
      </c>
      <c r="S578" s="3"/>
      <c r="T578" s="3"/>
      <c r="U578" s="3"/>
      <c r="V578" s="3"/>
      <c r="AC578" s="3" t="s">
        <v>1998</v>
      </c>
      <c r="AL578" s="3"/>
      <c r="AM578" s="3"/>
      <c r="AN578" s="3"/>
      <c r="AO578" s="3"/>
      <c r="AP578" s="3"/>
      <c r="AQ578" s="3"/>
      <c r="AR578" s="3" t="s">
        <v>71</v>
      </c>
    </row>
    <row r="579" hidden="1">
      <c r="A579" s="3">
        <v>961.0</v>
      </c>
      <c r="B579" s="3" t="s">
        <v>40</v>
      </c>
      <c r="C579" s="3" t="s">
        <v>2028</v>
      </c>
      <c r="D579" s="3">
        <v>1987.0</v>
      </c>
      <c r="E579" s="3" t="s">
        <v>2029</v>
      </c>
      <c r="F579" s="3" t="s">
        <v>172</v>
      </c>
      <c r="H579" s="3" t="s">
        <v>91</v>
      </c>
      <c r="I579" s="3"/>
      <c r="J579" s="3" t="s">
        <v>91</v>
      </c>
      <c r="K579" s="3"/>
      <c r="L579" s="3"/>
      <c r="M579" s="3" t="s">
        <v>92</v>
      </c>
      <c r="S579" s="3"/>
      <c r="T579" s="3"/>
      <c r="U579" s="3"/>
      <c r="V579" s="3"/>
      <c r="W579" s="3"/>
      <c r="X579" s="3"/>
      <c r="AC579" s="3" t="s">
        <v>63</v>
      </c>
      <c r="AF579" s="3" t="s">
        <v>162</v>
      </c>
      <c r="AL579" s="3"/>
      <c r="AM579" s="3"/>
      <c r="AN579" s="3"/>
      <c r="AO579" s="3"/>
      <c r="AP579" s="3"/>
      <c r="AQ579" s="3"/>
      <c r="AR579" s="3" t="s">
        <v>65</v>
      </c>
      <c r="AS579" s="3" t="s">
        <v>121</v>
      </c>
    </row>
    <row r="580">
      <c r="A580" s="3">
        <v>509.0</v>
      </c>
      <c r="B580" s="3" t="s">
        <v>40</v>
      </c>
      <c r="C580" s="3" t="s">
        <v>1141</v>
      </c>
      <c r="D580" s="3">
        <v>2001.0</v>
      </c>
      <c r="E580" s="3" t="s">
        <v>1142</v>
      </c>
      <c r="F580" s="3" t="s">
        <v>68</v>
      </c>
      <c r="G580" s="3" t="s">
        <v>2553</v>
      </c>
      <c r="H580" s="3" t="s">
        <v>58</v>
      </c>
      <c r="I580" s="3" t="s">
        <v>2142</v>
      </c>
      <c r="J580" s="3" t="s">
        <v>58</v>
      </c>
      <c r="L580" s="3" t="s">
        <v>2575</v>
      </c>
      <c r="M580" s="3" t="s">
        <v>110</v>
      </c>
      <c r="N580" s="3" t="s">
        <v>76</v>
      </c>
      <c r="O580" s="3" t="s">
        <v>1001</v>
      </c>
      <c r="S580" s="9" t="str">
        <f t="array" ref="S580">"[" &amp; TEXTJOIN(", ", TRUE, IF(LEN(T580:AB580), CHAR(34)&amp;T580:AB580&amp;CHAR(34), )) &amp; "]"
</f>
        <v>["Invasive non-native/alien species/diseases"]</v>
      </c>
      <c r="T580" s="3" t="s">
        <v>50</v>
      </c>
      <c r="U580" s="3"/>
      <c r="V580" s="3"/>
      <c r="AC580" s="3" t="s">
        <v>50</v>
      </c>
      <c r="AL580" s="9" t="str">
        <f t="array" ref="AL580">"[" &amp; TEXTJOIN(", ", TRUE, IF(LEN(AM580:AQ580), CHAR(34)&amp;AM580:AQ580&amp;CHAR(34), )) &amp; "]"
</f>
        <v>["Invasive &amp; other problematic species, genes &amp; diseases"]</v>
      </c>
      <c r="AM580" s="3" t="s">
        <v>54</v>
      </c>
      <c r="AN580" s="3"/>
      <c r="AO580" s="3"/>
      <c r="AP580" s="3"/>
      <c r="AQ580" s="3"/>
      <c r="AR580" s="3" t="s">
        <v>54</v>
      </c>
      <c r="AW580" s="8" t="s">
        <v>2576</v>
      </c>
    </row>
    <row r="581">
      <c r="A581" s="3">
        <v>535.0</v>
      </c>
      <c r="B581" s="3" t="s">
        <v>40</v>
      </c>
      <c r="C581" s="3" t="s">
        <v>1193</v>
      </c>
      <c r="D581" s="3">
        <v>2009.0</v>
      </c>
      <c r="E581" s="3" t="s">
        <v>1194</v>
      </c>
      <c r="F581" s="3" t="s">
        <v>68</v>
      </c>
      <c r="G581" s="3" t="s">
        <v>2553</v>
      </c>
      <c r="H581" s="3" t="s">
        <v>58</v>
      </c>
      <c r="I581" s="3" t="s">
        <v>2142</v>
      </c>
      <c r="J581" s="3" t="s">
        <v>58</v>
      </c>
      <c r="L581" s="3" t="s">
        <v>2143</v>
      </c>
      <c r="M581" s="3" t="s">
        <v>110</v>
      </c>
      <c r="S581" s="9" t="str">
        <f t="array" ref="S581">"[" &amp; TEXTJOIN(", ", TRUE, IF(LEN(T581:AB581), CHAR(34)&amp;T581:AB581&amp;CHAR(34), )) &amp; "]"
</f>
        <v>["Invasive non-native/alien species/diseases"]</v>
      </c>
      <c r="T581" s="3" t="s">
        <v>50</v>
      </c>
      <c r="U581" s="3"/>
      <c r="V581" s="3"/>
      <c r="AC581" s="3" t="s">
        <v>50</v>
      </c>
      <c r="AL581" s="9" t="str">
        <f t="array" ref="AL581">"[" &amp; TEXTJOIN(", ", TRUE, IF(LEN(AM581:AQ581), CHAR(34)&amp;AM581:AQ581&amp;CHAR(34), )) &amp; "]"
</f>
        <v>["Invasive &amp; other problematic species, genes &amp; diseases"]</v>
      </c>
      <c r="AM581" s="3" t="s">
        <v>54</v>
      </c>
      <c r="AN581" s="3"/>
      <c r="AO581" s="3"/>
      <c r="AP581" s="3"/>
      <c r="AQ581" s="3"/>
      <c r="AR581" s="3" t="s">
        <v>54</v>
      </c>
      <c r="AW581" s="8" t="s">
        <v>2577</v>
      </c>
    </row>
    <row r="582">
      <c r="A582" s="3">
        <v>536.0</v>
      </c>
      <c r="B582" s="3" t="s">
        <v>40</v>
      </c>
      <c r="C582" s="3" t="s">
        <v>1195</v>
      </c>
      <c r="D582" s="3">
        <v>2009.0</v>
      </c>
      <c r="E582" s="3" t="s">
        <v>1196</v>
      </c>
      <c r="F582" s="3" t="s">
        <v>68</v>
      </c>
      <c r="G582" s="3" t="s">
        <v>2553</v>
      </c>
      <c r="H582" s="3" t="s">
        <v>58</v>
      </c>
      <c r="I582" s="3" t="s">
        <v>2142</v>
      </c>
      <c r="J582" s="3" t="s">
        <v>58</v>
      </c>
      <c r="L582" s="3" t="s">
        <v>2143</v>
      </c>
      <c r="M582" s="3" t="s">
        <v>110</v>
      </c>
      <c r="S582" s="9" t="str">
        <f t="array" ref="S582">"[" &amp; TEXTJOIN(", ", TRUE, IF(LEN(T582:AB582), CHAR(34)&amp;T582:AB582&amp;CHAR(34), )) &amp; "]"
</f>
        <v>["Invasive non-native/alien species/diseases"]</v>
      </c>
      <c r="T582" s="3" t="s">
        <v>50</v>
      </c>
      <c r="U582" s="3"/>
      <c r="V582" s="3"/>
      <c r="AC582" s="3" t="s">
        <v>50</v>
      </c>
      <c r="AL582" s="9" t="str">
        <f t="array" ref="AL582">"[" &amp; TEXTJOIN(", ", TRUE, IF(LEN(AM582:AQ582), CHAR(34)&amp;AM582:AQ582&amp;CHAR(34), )) &amp; "]"
</f>
        <v>["Invasive &amp; other problematic species, genes &amp; diseases"]</v>
      </c>
      <c r="AM582" s="3" t="s">
        <v>54</v>
      </c>
      <c r="AN582" s="3"/>
      <c r="AO582" s="3"/>
      <c r="AP582" s="3"/>
      <c r="AQ582" s="3"/>
      <c r="AR582" s="3" t="s">
        <v>54</v>
      </c>
      <c r="AW582" s="8" t="s">
        <v>2578</v>
      </c>
    </row>
    <row r="583">
      <c r="A583" s="3">
        <v>505.0</v>
      </c>
      <c r="B583" s="3" t="s">
        <v>40</v>
      </c>
      <c r="C583" s="3" t="s">
        <v>1133</v>
      </c>
      <c r="D583" s="3">
        <v>2000.0</v>
      </c>
      <c r="E583" s="3" t="s">
        <v>1134</v>
      </c>
      <c r="F583" s="3" t="s">
        <v>68</v>
      </c>
      <c r="G583" s="3" t="s">
        <v>2553</v>
      </c>
      <c r="H583" s="3" t="s">
        <v>58</v>
      </c>
      <c r="I583" s="3" t="s">
        <v>2142</v>
      </c>
      <c r="J583" s="3" t="s">
        <v>58</v>
      </c>
      <c r="L583" s="3" t="s">
        <v>2311</v>
      </c>
      <c r="M583" s="3" t="s">
        <v>69</v>
      </c>
      <c r="S583" s="9" t="str">
        <f t="array" ref="S583">"[" &amp; TEXTJOIN(", ", TRUE, IF(LEN(T583:AB583), CHAR(34)&amp;T583:AB583&amp;CHAR(34), )) &amp; "]"
</f>
        <v>["Problematic native species/diseases"]</v>
      </c>
      <c r="T583" s="3" t="s">
        <v>244</v>
      </c>
      <c r="U583" s="3"/>
      <c r="V583" s="3"/>
      <c r="AC583" s="3" t="s">
        <v>244</v>
      </c>
      <c r="AL583" s="9" t="str">
        <f t="array" ref="AL583">"[" &amp; TEXTJOIN(", ", TRUE, IF(LEN(AM583:AQ583), CHAR(34)&amp;AM583:AQ583&amp;CHAR(34), )) &amp; "]"
</f>
        <v>["Invasive &amp; other problematic species, genes &amp; diseases"]</v>
      </c>
      <c r="AM583" s="3" t="s">
        <v>54</v>
      </c>
      <c r="AN583" s="3"/>
      <c r="AO583" s="3"/>
      <c r="AP583" s="3"/>
      <c r="AQ583" s="3"/>
      <c r="AR583" s="3" t="s">
        <v>54</v>
      </c>
      <c r="AW583" s="8" t="s">
        <v>2579</v>
      </c>
    </row>
    <row r="584">
      <c r="A584" s="3">
        <v>498.0</v>
      </c>
      <c r="B584" s="3" t="s">
        <v>40</v>
      </c>
      <c r="C584" s="3" t="s">
        <v>1120</v>
      </c>
      <c r="D584" s="3">
        <v>1989.0</v>
      </c>
      <c r="E584" s="3" t="s">
        <v>1121</v>
      </c>
      <c r="F584" s="3" t="s">
        <v>68</v>
      </c>
      <c r="G584" s="3" t="s">
        <v>2553</v>
      </c>
      <c r="H584" s="3" t="s">
        <v>58</v>
      </c>
      <c r="I584" s="3" t="s">
        <v>2142</v>
      </c>
      <c r="J584" s="3" t="s">
        <v>58</v>
      </c>
      <c r="L584" s="3" t="s">
        <v>2143</v>
      </c>
      <c r="M584" s="3" t="s">
        <v>110</v>
      </c>
      <c r="S584" s="9" t="str">
        <f t="array" ref="S584">"[" &amp; TEXTJOIN(", ", TRUE, IF(LEN(T584:AB584), CHAR(34)&amp;T584:AB584&amp;CHAR(34), )) &amp; "]"
</f>
        <v>["Viral/prion-induced diseases"]</v>
      </c>
      <c r="T584" s="3" t="s">
        <v>385</v>
      </c>
      <c r="U584" s="3"/>
      <c r="V584" s="3"/>
      <c r="AC584" s="3" t="s">
        <v>385</v>
      </c>
      <c r="AL584" s="9" t="str">
        <f t="array" ref="AL584">"[" &amp; TEXTJOIN(", ", TRUE, IF(LEN(AM584:AQ584), CHAR(34)&amp;AM584:AQ584&amp;CHAR(34), )) &amp; "]"
</f>
        <v>["Invasive &amp; other problematic species, genes &amp; diseases"]</v>
      </c>
      <c r="AM584" s="3" t="s">
        <v>54</v>
      </c>
      <c r="AN584" s="3"/>
      <c r="AO584" s="3"/>
      <c r="AP584" s="3"/>
      <c r="AQ584" s="3"/>
      <c r="AR584" s="3" t="s">
        <v>54</v>
      </c>
      <c r="AW584" s="8" t="s">
        <v>2580</v>
      </c>
    </row>
    <row r="585">
      <c r="A585" s="3">
        <v>561.0</v>
      </c>
      <c r="B585" s="3" t="s">
        <v>40</v>
      </c>
      <c r="C585" s="3" t="s">
        <v>1246</v>
      </c>
      <c r="D585" s="3">
        <v>2013.0</v>
      </c>
      <c r="E585" s="3" t="s">
        <v>1247</v>
      </c>
      <c r="F585" s="3" t="s">
        <v>68</v>
      </c>
      <c r="G585" s="3" t="s">
        <v>2553</v>
      </c>
      <c r="H585" s="3" t="s">
        <v>58</v>
      </c>
      <c r="I585" s="3" t="s">
        <v>2142</v>
      </c>
      <c r="J585" s="3" t="s">
        <v>58</v>
      </c>
      <c r="L585" s="3" t="s">
        <v>2143</v>
      </c>
      <c r="M585" s="3" t="s">
        <v>110</v>
      </c>
      <c r="S585" s="9" t="str">
        <f t="array" ref="S585">"[" &amp; TEXTJOIN(", ", TRUE, IF(LEN(T585:AB585), CHAR(34)&amp;T585:AB585&amp;CHAR(34), )) &amp; "]"
</f>
        <v>["Viral/prion-induced diseases"]</v>
      </c>
      <c r="T585" s="3" t="s">
        <v>385</v>
      </c>
      <c r="U585" s="3"/>
      <c r="V585" s="3"/>
      <c r="AC585" s="3" t="s">
        <v>385</v>
      </c>
      <c r="AL585" s="9" t="str">
        <f t="array" ref="AL585">"[" &amp; TEXTJOIN(", ", TRUE, IF(LEN(AM585:AQ585), CHAR(34)&amp;AM585:AQ585&amp;CHAR(34), )) &amp; "]"
</f>
        <v>["Invasive &amp; other problematic species, genes &amp; diseases"]</v>
      </c>
      <c r="AM585" s="3" t="s">
        <v>54</v>
      </c>
      <c r="AN585" s="3"/>
      <c r="AO585" s="3"/>
      <c r="AP585" s="3"/>
      <c r="AQ585" s="3"/>
      <c r="AR585" s="3" t="s">
        <v>54</v>
      </c>
      <c r="AW585" s="8" t="s">
        <v>2581</v>
      </c>
    </row>
    <row r="586" hidden="1">
      <c r="A586" s="3">
        <v>878.0</v>
      </c>
      <c r="B586" s="3" t="s">
        <v>40</v>
      </c>
      <c r="C586" s="3" t="s">
        <v>1870</v>
      </c>
      <c r="D586" s="3">
        <v>2018.0</v>
      </c>
      <c r="E586" s="3" t="s">
        <v>1871</v>
      </c>
      <c r="F586" s="3" t="s">
        <v>433</v>
      </c>
      <c r="H586" s="3" t="s">
        <v>44</v>
      </c>
      <c r="I586" s="3"/>
      <c r="J586" s="3" t="s">
        <v>45</v>
      </c>
      <c r="K586" s="3"/>
      <c r="L586" s="3"/>
      <c r="M586" s="3" t="s">
        <v>461</v>
      </c>
      <c r="S586" s="3"/>
      <c r="T586" s="3"/>
      <c r="U586" s="3"/>
      <c r="V586" s="3"/>
      <c r="AC586" s="3" t="s">
        <v>1563</v>
      </c>
      <c r="AL586" s="3"/>
      <c r="AM586" s="3"/>
      <c r="AN586" s="3"/>
      <c r="AO586" s="3"/>
      <c r="AP586" s="3"/>
      <c r="AQ586" s="3"/>
      <c r="AR586" s="3" t="s">
        <v>64</v>
      </c>
    </row>
    <row r="587" hidden="1">
      <c r="A587" s="3">
        <v>929.0</v>
      </c>
      <c r="B587" s="3" t="s">
        <v>40</v>
      </c>
      <c r="C587" s="3" t="s">
        <v>1961</v>
      </c>
      <c r="D587" s="3">
        <v>2014.0</v>
      </c>
      <c r="E587" s="3" t="s">
        <v>1962</v>
      </c>
      <c r="F587" s="3" t="s">
        <v>433</v>
      </c>
      <c r="H587" s="3" t="s">
        <v>44</v>
      </c>
      <c r="I587" s="3"/>
      <c r="J587" s="3" t="s">
        <v>45</v>
      </c>
      <c r="K587" s="3"/>
      <c r="L587" s="3"/>
      <c r="M587" s="3" t="s">
        <v>485</v>
      </c>
      <c r="S587" s="3"/>
      <c r="T587" s="3"/>
      <c r="U587" s="3"/>
      <c r="V587" s="3"/>
      <c r="W587" s="3"/>
      <c r="X587" s="3"/>
      <c r="AC587" s="3" t="s">
        <v>70</v>
      </c>
      <c r="AF587" s="3" t="s">
        <v>1270</v>
      </c>
      <c r="AL587" s="3"/>
      <c r="AM587" s="3"/>
      <c r="AN587" s="3"/>
      <c r="AO587" s="3"/>
      <c r="AP587" s="3"/>
      <c r="AQ587" s="3"/>
      <c r="AR587" s="3" t="s">
        <v>71</v>
      </c>
      <c r="AS587" s="3" t="s">
        <v>121</v>
      </c>
    </row>
    <row r="588" hidden="1">
      <c r="A588" s="3">
        <v>941.0</v>
      </c>
      <c r="B588" s="3" t="s">
        <v>40</v>
      </c>
      <c r="C588" s="3" t="s">
        <v>1988</v>
      </c>
      <c r="D588" s="3">
        <v>2014.0</v>
      </c>
      <c r="E588" s="3" t="s">
        <v>1989</v>
      </c>
      <c r="F588" s="3" t="s">
        <v>433</v>
      </c>
      <c r="H588" s="3" t="s">
        <v>44</v>
      </c>
      <c r="I588" s="3"/>
      <c r="J588" s="3" t="s">
        <v>45</v>
      </c>
      <c r="K588" s="3"/>
      <c r="L588" s="3"/>
      <c r="M588" s="3" t="s">
        <v>485</v>
      </c>
      <c r="S588" s="3"/>
      <c r="T588" s="3"/>
      <c r="U588" s="3"/>
      <c r="V588" s="3"/>
      <c r="AC588" s="3" t="s">
        <v>493</v>
      </c>
      <c r="AL588" s="3"/>
      <c r="AM588" s="3"/>
      <c r="AN588" s="3"/>
      <c r="AO588" s="3"/>
      <c r="AP588" s="3"/>
      <c r="AQ588" s="3"/>
      <c r="AR588" s="3" t="s">
        <v>71</v>
      </c>
    </row>
    <row r="589">
      <c r="A589" s="3">
        <v>671.0</v>
      </c>
      <c r="B589" s="3" t="s">
        <v>40</v>
      </c>
      <c r="C589" s="3" t="s">
        <v>1454</v>
      </c>
      <c r="D589" s="3">
        <v>2000.0</v>
      </c>
      <c r="E589" s="3" t="s">
        <v>1455</v>
      </c>
      <c r="F589" s="3" t="s">
        <v>68</v>
      </c>
      <c r="G589" s="3" t="s">
        <v>2553</v>
      </c>
      <c r="H589" s="3" t="s">
        <v>58</v>
      </c>
      <c r="I589" s="3" t="s">
        <v>2142</v>
      </c>
      <c r="J589" s="3" t="s">
        <v>58</v>
      </c>
      <c r="L589" s="3" t="s">
        <v>2143</v>
      </c>
      <c r="M589" s="3" t="s">
        <v>110</v>
      </c>
      <c r="S589" s="9"/>
      <c r="T589" s="3"/>
      <c r="U589" s="3"/>
      <c r="V589" s="3"/>
      <c r="AL589" s="9" t="str">
        <f t="array" ref="AL589">"[" &amp; TEXTJOIN(", ", TRUE, IF(LEN(AM589:AQ589), CHAR(34)&amp;AM589:AQ589&amp;CHAR(34), )) &amp; "]"
</f>
        <v>[]</v>
      </c>
      <c r="AN589" s="3"/>
      <c r="AO589" s="3"/>
      <c r="AP589" s="3"/>
      <c r="AQ589" s="3"/>
      <c r="AR589" s="3" t="s">
        <v>78</v>
      </c>
      <c r="AW589" s="8" t="s">
        <v>2582</v>
      </c>
    </row>
    <row r="590">
      <c r="A590" s="3">
        <v>699.0</v>
      </c>
      <c r="B590" s="3" t="s">
        <v>40</v>
      </c>
      <c r="C590" s="3" t="s">
        <v>1510</v>
      </c>
      <c r="D590" s="3">
        <v>2013.0</v>
      </c>
      <c r="E590" s="3" t="s">
        <v>1511</v>
      </c>
      <c r="F590" s="3" t="s">
        <v>68</v>
      </c>
      <c r="G590" s="3" t="s">
        <v>2553</v>
      </c>
      <c r="H590" s="3" t="s">
        <v>58</v>
      </c>
      <c r="I590" s="3" t="s">
        <v>2142</v>
      </c>
      <c r="J590" s="3" t="s">
        <v>58</v>
      </c>
      <c r="L590" s="3" t="s">
        <v>2340</v>
      </c>
      <c r="M590" s="3" t="s">
        <v>76</v>
      </c>
      <c r="S590" s="9"/>
      <c r="T590" s="3"/>
      <c r="U590" s="3"/>
      <c r="V590" s="3"/>
      <c r="AL590" s="9" t="str">
        <f t="array" ref="AL590">"[" &amp; TEXTJOIN(", ", TRUE, IF(LEN(AM590:AQ590), CHAR(34)&amp;AM590:AQ590&amp;CHAR(34), )) &amp; "]"
</f>
        <v>[]</v>
      </c>
      <c r="AN590" s="3"/>
      <c r="AO590" s="3"/>
      <c r="AP590" s="3"/>
      <c r="AQ590" s="3"/>
      <c r="AR590" s="3" t="s">
        <v>78</v>
      </c>
      <c r="AW590" s="8" t="s">
        <v>2583</v>
      </c>
    </row>
    <row r="591">
      <c r="A591" s="3">
        <v>789.0</v>
      </c>
      <c r="B591" s="3" t="s">
        <v>40</v>
      </c>
      <c r="C591" s="3" t="s">
        <v>1693</v>
      </c>
      <c r="D591" s="3">
        <v>1992.0</v>
      </c>
      <c r="E591" s="3" t="s">
        <v>1694</v>
      </c>
      <c r="F591" s="3" t="s">
        <v>68</v>
      </c>
      <c r="G591" s="3" t="s">
        <v>2553</v>
      </c>
      <c r="H591" s="3" t="s">
        <v>58</v>
      </c>
      <c r="I591" s="3" t="s">
        <v>2142</v>
      </c>
      <c r="J591" s="3" t="s">
        <v>58</v>
      </c>
      <c r="L591" s="3" t="s">
        <v>2143</v>
      </c>
      <c r="M591" s="3" t="s">
        <v>110</v>
      </c>
      <c r="S591" s="9" t="str">
        <f t="array" ref="S591">"[" &amp; TEXTJOIN(", ", TRUE, IF(LEN(T591:AB591), CHAR(34)&amp;T591:AB591&amp;CHAR(34), )) &amp; "]"
</f>
        <v>["Agricultural &amp; forestry effluents", "Industrial &amp; military effluents"]</v>
      </c>
      <c r="T591" s="3" t="s">
        <v>62</v>
      </c>
      <c r="U591" s="3" t="s">
        <v>147</v>
      </c>
      <c r="V591" s="3"/>
      <c r="AC591" s="3" t="s">
        <v>62</v>
      </c>
      <c r="AD591" s="3" t="s">
        <v>147</v>
      </c>
      <c r="AL591" s="9" t="str">
        <f t="array" ref="AL591">"[" &amp; TEXTJOIN(", ", TRUE, IF(LEN(AM591:AQ591), CHAR(34)&amp;AM591:AQ591&amp;CHAR(34), )) &amp; "]"
</f>
        <v>["Pollution"]</v>
      </c>
      <c r="AM591" s="3" t="s">
        <v>64</v>
      </c>
      <c r="AN591" s="3"/>
      <c r="AO591" s="3"/>
      <c r="AP591" s="3"/>
      <c r="AQ591" s="3"/>
      <c r="AR591" s="3" t="s">
        <v>64</v>
      </c>
      <c r="AW591" s="8" t="s">
        <v>2584</v>
      </c>
    </row>
    <row r="592">
      <c r="A592" s="3">
        <v>767.0</v>
      </c>
      <c r="B592" s="3" t="s">
        <v>40</v>
      </c>
      <c r="C592" s="3" t="s">
        <v>1647</v>
      </c>
      <c r="D592" s="3">
        <v>2020.0</v>
      </c>
      <c r="E592" s="3" t="s">
        <v>1648</v>
      </c>
      <c r="F592" s="3" t="s">
        <v>68</v>
      </c>
      <c r="G592" s="3" t="s">
        <v>2553</v>
      </c>
      <c r="H592" s="3" t="s">
        <v>58</v>
      </c>
      <c r="I592" s="3" t="s">
        <v>2142</v>
      </c>
      <c r="J592" s="3" t="s">
        <v>58</v>
      </c>
      <c r="L592" s="3" t="s">
        <v>2340</v>
      </c>
      <c r="M592" s="3" t="s">
        <v>76</v>
      </c>
      <c r="S592" s="9" t="str">
        <f t="array" ref="S592">"[" &amp; TEXTJOIN(", ", TRUE, IF(LEN(T592:AB592), CHAR(34)&amp;T592:AB592&amp;CHAR(34), )) &amp; "]"
</f>
        <v>["Agricultural &amp; forestry effluents"]</v>
      </c>
      <c r="T592" s="3" t="s">
        <v>62</v>
      </c>
      <c r="U592" s="3"/>
      <c r="V592" s="3"/>
      <c r="AC592" s="3" t="s">
        <v>62</v>
      </c>
      <c r="AL592" s="9" t="str">
        <f t="array" ref="AL592">"[" &amp; TEXTJOIN(", ", TRUE, IF(LEN(AM592:AQ592), CHAR(34)&amp;AM592:AQ592&amp;CHAR(34), )) &amp; "]"
</f>
        <v>["Pollution"]</v>
      </c>
      <c r="AM592" s="3" t="s">
        <v>64</v>
      </c>
      <c r="AO592" s="3"/>
      <c r="AP592" s="3"/>
      <c r="AQ592" s="3"/>
      <c r="AR592" s="3" t="s">
        <v>64</v>
      </c>
      <c r="AS592" s="3" t="s">
        <v>78</v>
      </c>
      <c r="AW592" s="8" t="s">
        <v>2585</v>
      </c>
    </row>
    <row r="593">
      <c r="A593" s="3">
        <v>776.0</v>
      </c>
      <c r="B593" s="3" t="s">
        <v>40</v>
      </c>
      <c r="C593" s="3" t="s">
        <v>1666</v>
      </c>
      <c r="D593" s="3">
        <v>1983.0</v>
      </c>
      <c r="E593" s="3" t="s">
        <v>1667</v>
      </c>
      <c r="F593" s="3" t="s">
        <v>68</v>
      </c>
      <c r="G593" s="3" t="s">
        <v>2553</v>
      </c>
      <c r="H593" s="3" t="s">
        <v>58</v>
      </c>
      <c r="I593" s="3" t="s">
        <v>2142</v>
      </c>
      <c r="J593" s="3" t="s">
        <v>58</v>
      </c>
      <c r="L593" s="3" t="s">
        <v>2143</v>
      </c>
      <c r="M593" s="3" t="s">
        <v>110</v>
      </c>
      <c r="S593" s="9" t="str">
        <f t="array" ref="S593">"[" &amp; TEXTJOIN(", ", TRUE, IF(LEN(T593:AB593), CHAR(34)&amp;T593:AB593&amp;CHAR(34), )) &amp; "]"
</f>
        <v>["Agricultural &amp; forestry effluents"]</v>
      </c>
      <c r="T593" s="3" t="s">
        <v>62</v>
      </c>
      <c r="U593" s="3"/>
      <c r="V593" s="3"/>
      <c r="AC593" s="3" t="s">
        <v>62</v>
      </c>
      <c r="AL593" s="9" t="str">
        <f t="array" ref="AL593">"[" &amp; TEXTJOIN(", ", TRUE, IF(LEN(AM593:AQ593), CHAR(34)&amp;AM593:AQ593&amp;CHAR(34), )) &amp; "]"
</f>
        <v>["Pollution"]</v>
      </c>
      <c r="AM593" s="3" t="s">
        <v>64</v>
      </c>
      <c r="AO593" s="3"/>
      <c r="AP593" s="3"/>
      <c r="AQ593" s="3"/>
      <c r="AR593" s="3" t="s">
        <v>64</v>
      </c>
      <c r="AS593" s="3" t="s">
        <v>143</v>
      </c>
      <c r="AW593" s="8" t="s">
        <v>2586</v>
      </c>
    </row>
    <row r="594">
      <c r="A594" s="3">
        <v>805.0</v>
      </c>
      <c r="B594" s="3" t="s">
        <v>40</v>
      </c>
      <c r="C594" s="3" t="s">
        <v>1724</v>
      </c>
      <c r="D594" s="3">
        <v>1998.0</v>
      </c>
      <c r="E594" s="3" t="s">
        <v>1725</v>
      </c>
      <c r="F594" s="3" t="s">
        <v>68</v>
      </c>
      <c r="G594" s="3" t="s">
        <v>2553</v>
      </c>
      <c r="H594" s="3" t="s">
        <v>58</v>
      </c>
      <c r="I594" s="3" t="s">
        <v>2142</v>
      </c>
      <c r="J594" s="3" t="s">
        <v>58</v>
      </c>
      <c r="L594" s="3" t="s">
        <v>2587</v>
      </c>
      <c r="M594" s="3" t="s">
        <v>287</v>
      </c>
      <c r="N594" s="3" t="s">
        <v>388</v>
      </c>
      <c r="S594" s="9" t="str">
        <f t="array" ref="S594">"[" &amp; TEXTJOIN(", ", TRUE, IF(LEN(T594:AB594), CHAR(34)&amp;T594:AB594&amp;CHAR(34), )) &amp; "]"
</f>
        <v>["Agricultural &amp; forestry effluents"]</v>
      </c>
      <c r="T594" s="3" t="s">
        <v>62</v>
      </c>
      <c r="U594" s="3"/>
      <c r="V594" s="3"/>
      <c r="AC594" s="3" t="s">
        <v>62</v>
      </c>
      <c r="AL594" s="9" t="str">
        <f t="array" ref="AL594">"[" &amp; TEXTJOIN(", ", TRUE, IF(LEN(AM594:AQ594), CHAR(34)&amp;AM594:AQ594&amp;CHAR(34), )) &amp; "]"
</f>
        <v>["Pollution"]</v>
      </c>
      <c r="AM594" s="3" t="s">
        <v>64</v>
      </c>
      <c r="AN594" s="3"/>
      <c r="AO594" s="3"/>
      <c r="AP594" s="3"/>
      <c r="AQ594" s="3"/>
      <c r="AR594" s="3" t="s">
        <v>64</v>
      </c>
      <c r="AW594" s="8" t="s">
        <v>2588</v>
      </c>
    </row>
    <row r="595">
      <c r="A595" s="3">
        <v>807.0</v>
      </c>
      <c r="B595" s="3" t="s">
        <v>40</v>
      </c>
      <c r="C595" s="3" t="s">
        <v>1728</v>
      </c>
      <c r="D595" s="3">
        <v>1998.0</v>
      </c>
      <c r="E595" s="3" t="s">
        <v>1729</v>
      </c>
      <c r="F595" s="3" t="s">
        <v>68</v>
      </c>
      <c r="G595" s="3" t="s">
        <v>2553</v>
      </c>
      <c r="H595" s="3" t="s">
        <v>58</v>
      </c>
      <c r="I595" s="3" t="s">
        <v>2142</v>
      </c>
      <c r="J595" s="3" t="s">
        <v>58</v>
      </c>
      <c r="L595" s="3" t="s">
        <v>2340</v>
      </c>
      <c r="M595" s="3" t="s">
        <v>76</v>
      </c>
      <c r="S595" s="9" t="str">
        <f t="array" ref="S595">"[" &amp; TEXTJOIN(", ", TRUE, IF(LEN(T595:AB595), CHAR(34)&amp;T595:AB595&amp;CHAR(34), )) &amp; "]"
</f>
        <v>["Agricultural &amp; forestry effluents"]</v>
      </c>
      <c r="T595" s="3" t="s">
        <v>62</v>
      </c>
      <c r="U595" s="3"/>
      <c r="V595" s="3"/>
      <c r="AC595" s="3" t="s">
        <v>62</v>
      </c>
      <c r="AL595" s="9" t="str">
        <f t="array" ref="AL595">"[" &amp; TEXTJOIN(", ", TRUE, IF(LEN(AM595:AQ595), CHAR(34)&amp;AM595:AQ595&amp;CHAR(34), )) &amp; "]"
</f>
        <v>["Pollution"]</v>
      </c>
      <c r="AM595" s="3" t="s">
        <v>64</v>
      </c>
      <c r="AN595" s="3"/>
      <c r="AO595" s="3"/>
      <c r="AP595" s="3"/>
      <c r="AQ595" s="3"/>
      <c r="AR595" s="3" t="s">
        <v>64</v>
      </c>
      <c r="AW595" s="8" t="s">
        <v>2589</v>
      </c>
    </row>
    <row r="596">
      <c r="A596" s="3">
        <v>811.0</v>
      </c>
      <c r="B596" s="3" t="s">
        <v>40</v>
      </c>
      <c r="C596" s="3" t="s">
        <v>1736</v>
      </c>
      <c r="D596" s="3">
        <v>1999.0</v>
      </c>
      <c r="E596" s="3" t="s">
        <v>1737</v>
      </c>
      <c r="F596" s="3" t="s">
        <v>68</v>
      </c>
      <c r="G596" s="3" t="s">
        <v>2553</v>
      </c>
      <c r="H596" s="3" t="s">
        <v>58</v>
      </c>
      <c r="I596" s="3" t="s">
        <v>2142</v>
      </c>
      <c r="J596" s="3" t="s">
        <v>58</v>
      </c>
      <c r="L596" s="3" t="s">
        <v>2143</v>
      </c>
      <c r="M596" s="3" t="s">
        <v>110</v>
      </c>
      <c r="S596" s="9" t="str">
        <f t="array" ref="S596">"[" &amp; TEXTJOIN(", ", TRUE, IF(LEN(T596:AB596), CHAR(34)&amp;T596:AB596&amp;CHAR(34), )) &amp; "]"
</f>
        <v>["Agricultural &amp; forestry effluents"]</v>
      </c>
      <c r="T596" s="3" t="s">
        <v>62</v>
      </c>
      <c r="U596" s="3"/>
      <c r="V596" s="3"/>
      <c r="AC596" s="3" t="s">
        <v>62</v>
      </c>
      <c r="AL596" s="9" t="str">
        <f t="array" ref="AL596">"[" &amp; TEXTJOIN(", ", TRUE, IF(LEN(AM596:AQ596), CHAR(34)&amp;AM596:AQ596&amp;CHAR(34), )) &amp; "]"
</f>
        <v>["Pollution"]</v>
      </c>
      <c r="AM596" s="3" t="s">
        <v>64</v>
      </c>
      <c r="AN596" s="3"/>
      <c r="AO596" s="3"/>
      <c r="AP596" s="3"/>
      <c r="AQ596" s="3"/>
      <c r="AR596" s="3" t="s">
        <v>64</v>
      </c>
      <c r="AW596" s="8" t="s">
        <v>2590</v>
      </c>
    </row>
    <row r="597">
      <c r="A597" s="3">
        <v>819.0</v>
      </c>
      <c r="B597" s="3" t="s">
        <v>40</v>
      </c>
      <c r="C597" s="3" t="s">
        <v>1752</v>
      </c>
      <c r="D597" s="3">
        <v>2002.0</v>
      </c>
      <c r="E597" s="3" t="s">
        <v>1753</v>
      </c>
      <c r="F597" s="3" t="s">
        <v>68</v>
      </c>
      <c r="G597" s="3" t="s">
        <v>2553</v>
      </c>
      <c r="H597" s="3" t="s">
        <v>58</v>
      </c>
      <c r="I597" s="3" t="s">
        <v>2142</v>
      </c>
      <c r="J597" s="3" t="s">
        <v>58</v>
      </c>
      <c r="L597" s="3" t="s">
        <v>2591</v>
      </c>
      <c r="M597" s="3" t="s">
        <v>388</v>
      </c>
      <c r="N597" s="3" t="s">
        <v>287</v>
      </c>
      <c r="S597" s="9" t="str">
        <f t="array" ref="S597">"[" &amp; TEXTJOIN(", ", TRUE, IF(LEN(T597:AB597), CHAR(34)&amp;T597:AB597&amp;CHAR(34), )) &amp; "]"
</f>
        <v>["Agricultural &amp; forestry effluents"]</v>
      </c>
      <c r="T597" s="3" t="s">
        <v>62</v>
      </c>
      <c r="U597" s="3"/>
      <c r="V597" s="3"/>
      <c r="AC597" s="3" t="s">
        <v>62</v>
      </c>
      <c r="AL597" s="9" t="str">
        <f t="array" ref="AL597">"[" &amp; TEXTJOIN(", ", TRUE, IF(LEN(AM597:AQ597), CHAR(34)&amp;AM597:AQ597&amp;CHAR(34), )) &amp; "]"
</f>
        <v>["Pollution"]</v>
      </c>
      <c r="AM597" s="3" t="s">
        <v>64</v>
      </c>
      <c r="AN597" s="3"/>
      <c r="AO597" s="3"/>
      <c r="AP597" s="3"/>
      <c r="AQ597" s="3"/>
      <c r="AR597" s="3" t="s">
        <v>64</v>
      </c>
      <c r="AW597" s="8" t="s">
        <v>2592</v>
      </c>
    </row>
    <row r="598">
      <c r="A598" s="3">
        <v>873.0</v>
      </c>
      <c r="B598" s="3" t="s">
        <v>40</v>
      </c>
      <c r="C598" s="3" t="s">
        <v>1860</v>
      </c>
      <c r="D598" s="3">
        <v>2018.0</v>
      </c>
      <c r="E598" s="3" t="s">
        <v>1861</v>
      </c>
      <c r="F598" s="3" t="s">
        <v>68</v>
      </c>
      <c r="G598" s="3" t="s">
        <v>2553</v>
      </c>
      <c r="H598" s="3" t="s">
        <v>58</v>
      </c>
      <c r="I598" s="3" t="s">
        <v>2142</v>
      </c>
      <c r="J598" s="3" t="s">
        <v>58</v>
      </c>
      <c r="L598" s="3" t="s">
        <v>2340</v>
      </c>
      <c r="M598" s="3" t="s">
        <v>76</v>
      </c>
      <c r="S598" s="9" t="str">
        <f t="array" ref="S598">"[" &amp; TEXTJOIN(", ", TRUE, IF(LEN(T598:AB598), CHAR(34)&amp;T598:AB598&amp;CHAR(34), )) &amp; "]"
</f>
        <v>["Agricultural &amp; forestry effluents"]</v>
      </c>
      <c r="T598" s="3" t="s">
        <v>62</v>
      </c>
      <c r="U598" s="3"/>
      <c r="V598" s="3"/>
      <c r="AC598" s="3" t="s">
        <v>62</v>
      </c>
      <c r="AL598" s="9" t="str">
        <f t="array" ref="AL598">"[" &amp; TEXTJOIN(", ", TRUE, IF(LEN(AM598:AQ598), CHAR(34)&amp;AM598:AQ598&amp;CHAR(34), )) &amp; "]"
</f>
        <v>["Pollution"]</v>
      </c>
      <c r="AM598" s="3" t="s">
        <v>64</v>
      </c>
      <c r="AN598" s="3"/>
      <c r="AO598" s="3"/>
      <c r="AP598" s="3"/>
      <c r="AQ598" s="3"/>
      <c r="AR598" s="3" t="s">
        <v>64</v>
      </c>
      <c r="AW598" s="8" t="s">
        <v>2593</v>
      </c>
    </row>
    <row r="599">
      <c r="A599" s="3">
        <v>783.0</v>
      </c>
      <c r="B599" s="3" t="s">
        <v>40</v>
      </c>
      <c r="C599" s="3" t="s">
        <v>1681</v>
      </c>
      <c r="D599" s="3">
        <v>1978.0</v>
      </c>
      <c r="E599" s="3" t="s">
        <v>1682</v>
      </c>
      <c r="F599" s="3" t="s">
        <v>68</v>
      </c>
      <c r="G599" s="3" t="s">
        <v>2553</v>
      </c>
      <c r="H599" s="3" t="s">
        <v>58</v>
      </c>
      <c r="I599" s="3" t="s">
        <v>2142</v>
      </c>
      <c r="J599" s="3" t="s">
        <v>58</v>
      </c>
      <c r="L599" s="3" t="s">
        <v>2143</v>
      </c>
      <c r="M599" s="3" t="s">
        <v>110</v>
      </c>
      <c r="S599" s="9" t="str">
        <f t="array" ref="S599">"[" &amp; TEXTJOIN(", ", TRUE, IF(LEN(T599:AB599), CHAR(34)&amp;T599:AB599&amp;CHAR(34), )) &amp; "]"
</f>
        <v>["Industrial &amp; military effluents", "Agricultural &amp; forestry effluents"]</v>
      </c>
      <c r="T599" s="3" t="s">
        <v>147</v>
      </c>
      <c r="U599" s="3" t="s">
        <v>62</v>
      </c>
      <c r="V599" s="3"/>
      <c r="AC599" s="3" t="s">
        <v>147</v>
      </c>
      <c r="AD599" s="3" t="s">
        <v>62</v>
      </c>
      <c r="AL599" s="9" t="str">
        <f t="array" ref="AL599">"[" &amp; TEXTJOIN(", ", TRUE, IF(LEN(AM599:AQ599), CHAR(34)&amp;AM599:AQ599&amp;CHAR(34), )) &amp; "]"
</f>
        <v>["Pollution"]</v>
      </c>
      <c r="AM599" s="3" t="s">
        <v>64</v>
      </c>
      <c r="AN599" s="3"/>
      <c r="AO599" s="3"/>
      <c r="AP599" s="3"/>
      <c r="AQ599" s="3"/>
      <c r="AR599" s="3" t="s">
        <v>64</v>
      </c>
      <c r="AW599" s="8" t="s">
        <v>2594</v>
      </c>
    </row>
    <row r="600" hidden="1">
      <c r="A600" s="3">
        <v>136.0</v>
      </c>
      <c r="B600" s="3" t="s">
        <v>106</v>
      </c>
      <c r="D600" s="3">
        <v>1987.0</v>
      </c>
      <c r="E600" s="3" t="s">
        <v>442</v>
      </c>
      <c r="F600" s="3" t="s">
        <v>158</v>
      </c>
      <c r="G600" s="3"/>
      <c r="H600" s="3" t="s">
        <v>58</v>
      </c>
      <c r="I600" s="3"/>
      <c r="K600" s="3"/>
      <c r="L600" s="3"/>
      <c r="M600" s="3" t="s">
        <v>110</v>
      </c>
      <c r="S600" s="3"/>
      <c r="T600" s="3"/>
      <c r="U600" s="3"/>
      <c r="V600" s="3"/>
      <c r="W600" s="3"/>
      <c r="X600" s="3"/>
      <c r="AC600" s="3" t="s">
        <v>61</v>
      </c>
      <c r="AF600" s="3" t="s">
        <v>49</v>
      </c>
      <c r="AL600" s="3"/>
      <c r="AM600" s="3"/>
      <c r="AN600" s="3"/>
      <c r="AO600" s="3"/>
      <c r="AP600" s="3"/>
      <c r="AQ600" s="3"/>
      <c r="AR600" s="3" t="s">
        <v>52</v>
      </c>
      <c r="AS600" s="3" t="s">
        <v>53</v>
      </c>
      <c r="AW600" s="8" t="s">
        <v>2135</v>
      </c>
    </row>
    <row r="601">
      <c r="A601" s="3">
        <v>784.0</v>
      </c>
      <c r="B601" s="3" t="s">
        <v>40</v>
      </c>
      <c r="C601" s="3" t="s">
        <v>1683</v>
      </c>
      <c r="D601" s="3">
        <v>1981.0</v>
      </c>
      <c r="E601" s="3" t="s">
        <v>1684</v>
      </c>
      <c r="F601" s="3" t="s">
        <v>68</v>
      </c>
      <c r="G601" s="3" t="s">
        <v>2553</v>
      </c>
      <c r="H601" s="3" t="s">
        <v>58</v>
      </c>
      <c r="I601" s="3" t="s">
        <v>2142</v>
      </c>
      <c r="J601" s="3" t="s">
        <v>58</v>
      </c>
      <c r="L601" s="3" t="s">
        <v>2143</v>
      </c>
      <c r="M601" s="3" t="s">
        <v>110</v>
      </c>
      <c r="S601" s="9" t="str">
        <f t="array" ref="S601">"[" &amp; TEXTJOIN(", ", TRUE, IF(LEN(T601:AB601), CHAR(34)&amp;T601:AB601&amp;CHAR(34), )) &amp; "]"
</f>
        <v>["Industrial &amp; military effluents"]</v>
      </c>
      <c r="T601" s="3" t="s">
        <v>147</v>
      </c>
      <c r="U601" s="3"/>
      <c r="V601" s="3"/>
      <c r="AC601" s="3" t="s">
        <v>147</v>
      </c>
      <c r="AL601" s="9" t="str">
        <f t="array" ref="AL601">"[" &amp; TEXTJOIN(", ", TRUE, IF(LEN(AM601:AQ601), CHAR(34)&amp;AM601:AQ601&amp;CHAR(34), )) &amp; "]"
</f>
        <v>["Pollution"]</v>
      </c>
      <c r="AM601" s="3" t="s">
        <v>64</v>
      </c>
      <c r="AN601" s="3"/>
      <c r="AO601" s="3"/>
      <c r="AP601" s="3"/>
      <c r="AQ601" s="3"/>
      <c r="AR601" s="3" t="s">
        <v>64</v>
      </c>
      <c r="AW601" s="8" t="s">
        <v>2595</v>
      </c>
    </row>
    <row r="602">
      <c r="A602" s="3">
        <v>792.0</v>
      </c>
      <c r="B602" s="3" t="s">
        <v>40</v>
      </c>
      <c r="C602" s="3" t="s">
        <v>1584</v>
      </c>
      <c r="D602" s="3">
        <v>1993.0</v>
      </c>
      <c r="E602" s="3" t="s">
        <v>1698</v>
      </c>
      <c r="F602" s="3" t="s">
        <v>68</v>
      </c>
      <c r="G602" s="3" t="s">
        <v>2553</v>
      </c>
      <c r="H602" s="3" t="s">
        <v>58</v>
      </c>
      <c r="I602" s="3" t="s">
        <v>2142</v>
      </c>
      <c r="J602" s="3" t="s">
        <v>58</v>
      </c>
      <c r="L602" s="3" t="s">
        <v>2143</v>
      </c>
      <c r="M602" s="3" t="s">
        <v>110</v>
      </c>
      <c r="S602" s="9" t="str">
        <f t="array" ref="S602">"[" &amp; TEXTJOIN(", ", TRUE, IF(LEN(T602:AB602), CHAR(34)&amp;T602:AB602&amp;CHAR(34), )) &amp; "]"
</f>
        <v>["Industrial &amp; military effluents"]</v>
      </c>
      <c r="T602" s="3" t="s">
        <v>147</v>
      </c>
      <c r="U602" s="3"/>
      <c r="V602" s="3"/>
      <c r="AC602" s="3" t="s">
        <v>147</v>
      </c>
      <c r="AL602" s="9" t="str">
        <f t="array" ref="AL602">"[" &amp; TEXTJOIN(", ", TRUE, IF(LEN(AM602:AQ602), CHAR(34)&amp;AM602:AQ602&amp;CHAR(34), )) &amp; "]"
</f>
        <v>["Pollution"]</v>
      </c>
      <c r="AM602" s="3" t="s">
        <v>64</v>
      </c>
      <c r="AN602" s="3"/>
      <c r="AO602" s="3"/>
      <c r="AP602" s="3"/>
      <c r="AQ602" s="3"/>
      <c r="AR602" s="3" t="s">
        <v>64</v>
      </c>
      <c r="AW602" s="8" t="s">
        <v>2596</v>
      </c>
    </row>
    <row r="603">
      <c r="A603" s="3">
        <v>810.0</v>
      </c>
      <c r="B603" s="3" t="s">
        <v>40</v>
      </c>
      <c r="C603" s="3" t="s">
        <v>1734</v>
      </c>
      <c r="D603" s="3">
        <v>1998.0</v>
      </c>
      <c r="E603" s="3" t="s">
        <v>1735</v>
      </c>
      <c r="F603" s="3" t="s">
        <v>68</v>
      </c>
      <c r="G603" s="3" t="s">
        <v>2553</v>
      </c>
      <c r="H603" s="3" t="s">
        <v>58</v>
      </c>
      <c r="I603" s="3" t="s">
        <v>2142</v>
      </c>
      <c r="J603" s="3" t="s">
        <v>58</v>
      </c>
      <c r="L603" s="3" t="s">
        <v>2143</v>
      </c>
      <c r="M603" s="3" t="s">
        <v>110</v>
      </c>
      <c r="S603" s="9" t="str">
        <f t="array" ref="S603">"[" &amp; TEXTJOIN(", ", TRUE, IF(LEN(T603:AB603), CHAR(34)&amp;T603:AB603&amp;CHAR(34), )) &amp; "]"
</f>
        <v>["Industrial &amp; military effluents"]</v>
      </c>
      <c r="T603" s="3" t="s">
        <v>147</v>
      </c>
      <c r="U603" s="3"/>
      <c r="V603" s="3"/>
      <c r="AC603" s="3" t="s">
        <v>147</v>
      </c>
      <c r="AL603" s="9" t="str">
        <f t="array" ref="AL603">"[" &amp; TEXTJOIN(", ", TRUE, IF(LEN(AM603:AQ603), CHAR(34)&amp;AM603:AQ603&amp;CHAR(34), )) &amp; "]"
</f>
        <v>["Pollution"]</v>
      </c>
      <c r="AM603" s="3" t="s">
        <v>64</v>
      </c>
      <c r="AN603" s="3"/>
      <c r="AO603" s="3"/>
      <c r="AP603" s="3"/>
      <c r="AQ603" s="3"/>
      <c r="AR603" s="3" t="s">
        <v>64</v>
      </c>
      <c r="AW603" s="8" t="s">
        <v>2597</v>
      </c>
    </row>
    <row r="604">
      <c r="A604" s="3">
        <v>850.0</v>
      </c>
      <c r="B604" s="3" t="s">
        <v>40</v>
      </c>
      <c r="C604" s="3" t="s">
        <v>1814</v>
      </c>
      <c r="D604" s="3">
        <v>2011.0</v>
      </c>
      <c r="E604" s="3" t="s">
        <v>1815</v>
      </c>
      <c r="F604" s="3" t="s">
        <v>68</v>
      </c>
      <c r="G604" s="3" t="s">
        <v>2553</v>
      </c>
      <c r="H604" s="3" t="s">
        <v>58</v>
      </c>
      <c r="I604" s="3" t="s">
        <v>2142</v>
      </c>
      <c r="J604" s="3" t="s">
        <v>58</v>
      </c>
      <c r="L604" s="3" t="s">
        <v>2143</v>
      </c>
      <c r="M604" s="3" t="s">
        <v>110</v>
      </c>
      <c r="S604" s="9" t="str">
        <f t="array" ref="S604">"[" &amp; TEXTJOIN(", ", TRUE, IF(LEN(T604:AB604), CHAR(34)&amp;T604:AB604&amp;CHAR(34), )) &amp; "]"
</f>
        <v>["Industrial &amp; military effluents"]</v>
      </c>
      <c r="T604" s="3" t="s">
        <v>147</v>
      </c>
      <c r="U604" s="3"/>
      <c r="V604" s="3"/>
      <c r="AC604" s="3" t="s">
        <v>147</v>
      </c>
      <c r="AL604" s="9" t="str">
        <f t="array" ref="AL604">"[" &amp; TEXTJOIN(", ", TRUE, IF(LEN(AM604:AQ604), CHAR(34)&amp;AM604:AQ604&amp;CHAR(34), )) &amp; "]"
</f>
        <v>["Pollution"]</v>
      </c>
      <c r="AM604" s="3" t="s">
        <v>64</v>
      </c>
      <c r="AN604" s="3"/>
      <c r="AO604" s="3"/>
      <c r="AP604" s="3"/>
      <c r="AQ604" s="3"/>
      <c r="AR604" s="3" t="s">
        <v>64</v>
      </c>
      <c r="AW604" s="8" t="s">
        <v>2598</v>
      </c>
    </row>
    <row r="605">
      <c r="A605" s="3">
        <v>865.0</v>
      </c>
      <c r="B605" s="3" t="s">
        <v>40</v>
      </c>
      <c r="C605" s="3" t="s">
        <v>1843</v>
      </c>
      <c r="D605" s="3">
        <v>2015.0</v>
      </c>
      <c r="E605" s="3" t="s">
        <v>1844</v>
      </c>
      <c r="F605" s="3" t="s">
        <v>68</v>
      </c>
      <c r="G605" s="3" t="s">
        <v>2553</v>
      </c>
      <c r="H605" s="3" t="s">
        <v>58</v>
      </c>
      <c r="I605" s="3" t="s">
        <v>2142</v>
      </c>
      <c r="J605" s="3" t="s">
        <v>58</v>
      </c>
      <c r="L605" s="3" t="s">
        <v>2143</v>
      </c>
      <c r="M605" s="3" t="s">
        <v>110</v>
      </c>
      <c r="S605" s="9" t="str">
        <f t="array" ref="S605">"[" &amp; TEXTJOIN(", ", TRUE, IF(LEN(T605:AB605), CHAR(34)&amp;T605:AB605&amp;CHAR(34), )) &amp; "]"
</f>
        <v>["Industrial &amp; military effluents"]</v>
      </c>
      <c r="T605" s="3" t="s">
        <v>147</v>
      </c>
      <c r="U605" s="3"/>
      <c r="V605" s="3"/>
      <c r="AC605" s="3" t="s">
        <v>147</v>
      </c>
      <c r="AL605" s="9" t="str">
        <f t="array" ref="AL605">"[" &amp; TEXTJOIN(", ", TRUE, IF(LEN(AM605:AQ605), CHAR(34)&amp;AM605:AQ605&amp;CHAR(34), )) &amp; "]"
</f>
        <v>["Pollution"]</v>
      </c>
      <c r="AM605" s="3" t="s">
        <v>64</v>
      </c>
      <c r="AN605" s="3"/>
      <c r="AO605" s="3"/>
      <c r="AP605" s="3"/>
      <c r="AQ605" s="3"/>
      <c r="AR605" s="3" t="s">
        <v>64</v>
      </c>
      <c r="AW605" s="8" t="s">
        <v>2599</v>
      </c>
    </row>
    <row r="606">
      <c r="A606" s="3">
        <v>663.0</v>
      </c>
      <c r="B606" s="3" t="s">
        <v>40</v>
      </c>
      <c r="C606" s="3" t="s">
        <v>1438</v>
      </c>
      <c r="D606" s="3">
        <v>2000.0</v>
      </c>
      <c r="E606" s="3" t="s">
        <v>1439</v>
      </c>
      <c r="F606" s="3" t="s">
        <v>129</v>
      </c>
      <c r="G606" s="3" t="s">
        <v>2600</v>
      </c>
      <c r="H606" s="3" t="s">
        <v>82</v>
      </c>
      <c r="I606" s="3" t="s">
        <v>2147</v>
      </c>
      <c r="J606" s="3" t="s">
        <v>82</v>
      </c>
      <c r="K606" s="3" t="s">
        <v>2217</v>
      </c>
      <c r="L606" s="3" t="s">
        <v>2601</v>
      </c>
      <c r="M606" s="3" t="s">
        <v>130</v>
      </c>
      <c r="S606" s="9"/>
      <c r="T606" s="3"/>
      <c r="U606" s="3"/>
      <c r="V606" s="3"/>
      <c r="AL606" s="9" t="str">
        <f t="array" ref="AL606">"[" &amp; TEXTJOIN(", ", TRUE, IF(LEN(AM606:AQ606), CHAR(34)&amp;AM606:AQ606&amp;CHAR(34), )) &amp; "]"
</f>
        <v>["Invasive &amp; other problematic species, genes &amp; diseases", "Agriculture &amp; aquaculture"]</v>
      </c>
      <c r="AN606" s="3" t="s">
        <v>54</v>
      </c>
      <c r="AO606" s="3" t="s">
        <v>51</v>
      </c>
      <c r="AP606" s="3"/>
      <c r="AQ606" s="3"/>
      <c r="AR606" s="3" t="s">
        <v>78</v>
      </c>
      <c r="AS606" s="3" t="s">
        <v>54</v>
      </c>
      <c r="AT606" s="3" t="s">
        <v>51</v>
      </c>
      <c r="AW606" s="8" t="s">
        <v>2602</v>
      </c>
    </row>
    <row r="607">
      <c r="A607" s="3">
        <v>664.0</v>
      </c>
      <c r="B607" s="3" t="s">
        <v>40</v>
      </c>
      <c r="C607" s="3" t="s">
        <v>1440</v>
      </c>
      <c r="D607" s="3">
        <v>2002.0</v>
      </c>
      <c r="E607" s="3" t="s">
        <v>1441</v>
      </c>
      <c r="F607" s="3" t="s">
        <v>129</v>
      </c>
      <c r="G607" s="3" t="s">
        <v>2600</v>
      </c>
      <c r="H607" s="3" t="s">
        <v>82</v>
      </c>
      <c r="I607" s="3" t="s">
        <v>2147</v>
      </c>
      <c r="J607" s="3" t="s">
        <v>82</v>
      </c>
      <c r="K607" s="3" t="s">
        <v>2217</v>
      </c>
      <c r="L607" s="3" t="s">
        <v>2601</v>
      </c>
      <c r="M607" s="3" t="s">
        <v>130</v>
      </c>
      <c r="S607" s="9"/>
      <c r="T607" s="3"/>
      <c r="U607" s="3"/>
      <c r="V607" s="3"/>
      <c r="AL607" s="9" t="str">
        <f t="array" ref="AL607">"[" &amp; TEXTJOIN(", ", TRUE, IF(LEN(AM607:AQ607), CHAR(34)&amp;AM607:AQ607&amp;CHAR(34), )) &amp; "]"
</f>
        <v>["Invasive &amp; other problematic species, genes &amp; diseases", "Agriculture &amp; aquaculture"]</v>
      </c>
      <c r="AN607" s="3" t="s">
        <v>54</v>
      </c>
      <c r="AO607" s="3" t="s">
        <v>51</v>
      </c>
      <c r="AP607" s="3"/>
      <c r="AQ607" s="3"/>
      <c r="AR607" s="3" t="s">
        <v>78</v>
      </c>
      <c r="AS607" s="3" t="s">
        <v>54</v>
      </c>
      <c r="AT607" s="3" t="s">
        <v>51</v>
      </c>
      <c r="AW607" s="8" t="s">
        <v>2603</v>
      </c>
    </row>
    <row r="608">
      <c r="A608" s="3">
        <v>479.0</v>
      </c>
      <c r="B608" s="3" t="s">
        <v>40</v>
      </c>
      <c r="C608" s="3" t="s">
        <v>1082</v>
      </c>
      <c r="D608" s="3">
        <v>2003.0</v>
      </c>
      <c r="E608" s="3" t="s">
        <v>1083</v>
      </c>
      <c r="F608" s="3" t="s">
        <v>129</v>
      </c>
      <c r="G608" s="3" t="s">
        <v>2600</v>
      </c>
      <c r="H608" s="3" t="s">
        <v>82</v>
      </c>
      <c r="I608" s="3" t="s">
        <v>2147</v>
      </c>
      <c r="J608" s="3" t="s">
        <v>82</v>
      </c>
      <c r="K608" s="3" t="s">
        <v>2217</v>
      </c>
      <c r="L608" s="3" t="s">
        <v>2601</v>
      </c>
      <c r="M608" s="3" t="s">
        <v>130</v>
      </c>
      <c r="S608" s="9" t="str">
        <f t="array" ref="S608">"[" &amp; TEXTJOIN(", ", TRUE, IF(LEN(T608:AB608), CHAR(34)&amp;T608:AB608&amp;CHAR(34), )) &amp; "]"
</f>
        <v>["Problematic native species/diseases", "Annual &amp; perennial non-timber crops", "Livestock farming &amp; ranching"]</v>
      </c>
      <c r="T608" s="3" t="s">
        <v>244</v>
      </c>
      <c r="U608" s="3"/>
      <c r="V608" s="3"/>
      <c r="Y608" s="3" t="s">
        <v>60</v>
      </c>
      <c r="Z608" s="3" t="s">
        <v>47</v>
      </c>
      <c r="AC608" s="3" t="s">
        <v>244</v>
      </c>
      <c r="AH608" s="3" t="s">
        <v>60</v>
      </c>
      <c r="AI608" s="3" t="s">
        <v>47</v>
      </c>
      <c r="AL608" s="9" t="str">
        <f t="array" ref="AL608">"[" &amp; TEXTJOIN(", ", TRUE, IF(LEN(AM608:AQ608), CHAR(34)&amp;AM608:AQ608&amp;CHAR(34), )) &amp; "]"
</f>
        <v>["Invasive &amp; other problematic species, genes &amp; diseases", "Agriculture &amp; aquaculture"]</v>
      </c>
      <c r="AM608" s="3" t="s">
        <v>54</v>
      </c>
      <c r="AO608" s="3" t="s">
        <v>51</v>
      </c>
      <c r="AP608" s="3"/>
      <c r="AQ608" s="3"/>
      <c r="AR608" s="3" t="s">
        <v>54</v>
      </c>
      <c r="AS608" s="3" t="s">
        <v>78</v>
      </c>
      <c r="AT608" s="3" t="s">
        <v>51</v>
      </c>
      <c r="AW608" s="8" t="s">
        <v>2604</v>
      </c>
    </row>
    <row r="609" hidden="1">
      <c r="A609" s="3">
        <v>394.0</v>
      </c>
      <c r="B609" s="3" t="s">
        <v>55</v>
      </c>
      <c r="D609" s="3">
        <v>1993.0</v>
      </c>
      <c r="E609" s="3" t="s">
        <v>943</v>
      </c>
      <c r="F609" s="3" t="s">
        <v>158</v>
      </c>
      <c r="G609" s="3"/>
      <c r="H609" s="3" t="s">
        <v>58</v>
      </c>
      <c r="I609" s="3"/>
      <c r="J609" s="3" t="s">
        <v>58</v>
      </c>
      <c r="K609" s="3"/>
      <c r="L609" s="3"/>
      <c r="M609" s="3" t="s">
        <v>96</v>
      </c>
      <c r="N609" s="3" t="s">
        <v>285</v>
      </c>
      <c r="S609" s="3"/>
      <c r="T609" s="3"/>
      <c r="U609" s="3"/>
      <c r="V609" s="3"/>
      <c r="AC609" s="3" t="s">
        <v>61</v>
      </c>
      <c r="AL609" s="3"/>
      <c r="AM609" s="3"/>
      <c r="AN609" s="3"/>
      <c r="AO609" s="3"/>
      <c r="AP609" s="3"/>
      <c r="AQ609" s="3"/>
      <c r="AR609" s="3" t="s">
        <v>52</v>
      </c>
      <c r="AW609" s="8" t="s">
        <v>2135</v>
      </c>
    </row>
    <row r="610">
      <c r="A610" s="3">
        <v>480.0</v>
      </c>
      <c r="B610" s="3" t="s">
        <v>40</v>
      </c>
      <c r="C610" s="3" t="s">
        <v>1084</v>
      </c>
      <c r="D610" s="3">
        <v>2011.0</v>
      </c>
      <c r="E610" s="3" t="s">
        <v>1085</v>
      </c>
      <c r="F610" s="3" t="s">
        <v>129</v>
      </c>
      <c r="G610" s="3" t="s">
        <v>2600</v>
      </c>
      <c r="H610" s="3" t="s">
        <v>82</v>
      </c>
      <c r="I610" s="3" t="s">
        <v>2147</v>
      </c>
      <c r="J610" s="3" t="s">
        <v>82</v>
      </c>
      <c r="K610" s="3" t="s">
        <v>2217</v>
      </c>
      <c r="L610" s="3" t="s">
        <v>2601</v>
      </c>
      <c r="M610" s="3" t="s">
        <v>130</v>
      </c>
      <c r="S610" s="9" t="str">
        <f t="array" ref="S610">"[" &amp; TEXTJOIN(", ", TRUE, IF(LEN(T610:AB610), CHAR(34)&amp;T610:AB610&amp;CHAR(34), )) &amp; "]"
</f>
        <v>["Problematic native species/diseases", "Annual &amp; perennial non-timber crops", "Livestock farming &amp; ranching"]</v>
      </c>
      <c r="T610" s="3" t="s">
        <v>244</v>
      </c>
      <c r="U610" s="3"/>
      <c r="V610" s="3"/>
      <c r="Y610" s="3" t="s">
        <v>60</v>
      </c>
      <c r="Z610" s="3" t="s">
        <v>47</v>
      </c>
      <c r="AC610" s="3" t="s">
        <v>244</v>
      </c>
      <c r="AH610" s="3" t="s">
        <v>60</v>
      </c>
      <c r="AI610" s="3" t="s">
        <v>47</v>
      </c>
      <c r="AL610" s="9" t="str">
        <f t="array" ref="AL610">"[" &amp; TEXTJOIN(", ", TRUE, IF(LEN(AM610:AQ610), CHAR(34)&amp;AM610:AQ610&amp;CHAR(34), )) &amp; "]"
</f>
        <v>["Invasive &amp; other problematic species, genes &amp; diseases", "Agriculture &amp; aquaculture"]</v>
      </c>
      <c r="AM610" s="3" t="s">
        <v>54</v>
      </c>
      <c r="AO610" s="3" t="s">
        <v>51</v>
      </c>
      <c r="AP610" s="3"/>
      <c r="AQ610" s="3"/>
      <c r="AR610" s="3" t="s">
        <v>54</v>
      </c>
      <c r="AS610" s="3" t="s">
        <v>78</v>
      </c>
      <c r="AT610" s="3" t="s">
        <v>51</v>
      </c>
      <c r="AW610" s="8" t="s">
        <v>2605</v>
      </c>
    </row>
    <row r="611">
      <c r="A611" s="3">
        <v>481.0</v>
      </c>
      <c r="B611" s="3" t="s">
        <v>40</v>
      </c>
      <c r="C611" s="3" t="s">
        <v>1086</v>
      </c>
      <c r="D611" s="3">
        <v>2012.0</v>
      </c>
      <c r="E611" s="3" t="s">
        <v>1087</v>
      </c>
      <c r="F611" s="3" t="s">
        <v>129</v>
      </c>
      <c r="G611" s="3" t="s">
        <v>2600</v>
      </c>
      <c r="H611" s="3" t="s">
        <v>82</v>
      </c>
      <c r="I611" s="3" t="s">
        <v>2147</v>
      </c>
      <c r="J611" s="3" t="s">
        <v>82</v>
      </c>
      <c r="K611" s="3" t="s">
        <v>2217</v>
      </c>
      <c r="L611" s="3" t="s">
        <v>2601</v>
      </c>
      <c r="M611" s="3" t="s">
        <v>130</v>
      </c>
      <c r="S611" s="9" t="str">
        <f t="array" ref="S611">"[" &amp; TEXTJOIN(", ", TRUE, IF(LEN(T611:AB611), CHAR(34)&amp;T611:AB611&amp;CHAR(34), )) &amp; "]"
</f>
        <v>["Problematic native species/diseases", "Annual &amp; perennial non-timber crops", "Livestock farming &amp; ranching"]</v>
      </c>
      <c r="T611" s="3" t="s">
        <v>244</v>
      </c>
      <c r="U611" s="3"/>
      <c r="V611" s="3"/>
      <c r="Y611" s="3" t="s">
        <v>60</v>
      </c>
      <c r="Z611" s="3" t="s">
        <v>47</v>
      </c>
      <c r="AC611" s="3" t="s">
        <v>244</v>
      </c>
      <c r="AH611" s="3" t="s">
        <v>60</v>
      </c>
      <c r="AI611" s="3" t="s">
        <v>47</v>
      </c>
      <c r="AL611" s="9" t="str">
        <f t="array" ref="AL611">"[" &amp; TEXTJOIN(", ", TRUE, IF(LEN(AM611:AQ611), CHAR(34)&amp;AM611:AQ611&amp;CHAR(34), )) &amp; "]"
</f>
        <v>["Invasive &amp; other problematic species, genes &amp; diseases", "Agriculture &amp; aquaculture"]</v>
      </c>
      <c r="AM611" s="3" t="s">
        <v>54</v>
      </c>
      <c r="AO611" s="3" t="s">
        <v>51</v>
      </c>
      <c r="AP611" s="3"/>
      <c r="AQ611" s="3"/>
      <c r="AR611" s="3" t="s">
        <v>54</v>
      </c>
      <c r="AS611" s="3" t="s">
        <v>78</v>
      </c>
      <c r="AT611" s="3" t="s">
        <v>51</v>
      </c>
      <c r="AW611" s="8" t="s">
        <v>2606</v>
      </c>
    </row>
    <row r="612">
      <c r="A612" s="3">
        <v>482.0</v>
      </c>
      <c r="B612" s="3" t="s">
        <v>40</v>
      </c>
      <c r="C612" s="3" t="s">
        <v>1088</v>
      </c>
      <c r="D612" s="3">
        <v>2012.0</v>
      </c>
      <c r="E612" s="3" t="s">
        <v>1089</v>
      </c>
      <c r="F612" s="3" t="s">
        <v>129</v>
      </c>
      <c r="G612" s="3" t="s">
        <v>2600</v>
      </c>
      <c r="H612" s="3" t="s">
        <v>82</v>
      </c>
      <c r="I612" s="3" t="s">
        <v>2147</v>
      </c>
      <c r="J612" s="3" t="s">
        <v>82</v>
      </c>
      <c r="K612" s="3" t="s">
        <v>2217</v>
      </c>
      <c r="L612" s="3" t="s">
        <v>2601</v>
      </c>
      <c r="M612" s="3" t="s">
        <v>130</v>
      </c>
      <c r="S612" s="9" t="str">
        <f t="array" ref="S612">"[" &amp; TEXTJOIN(", ", TRUE, IF(LEN(T612:AB612), CHAR(34)&amp;T612:AB612&amp;CHAR(34), )) &amp; "]"
</f>
        <v>["Problematic native species/diseases", "Annual &amp; perennial non-timber crops", "Livestock farming &amp; ranching"]</v>
      </c>
      <c r="T612" s="3" t="s">
        <v>244</v>
      </c>
      <c r="U612" s="3"/>
      <c r="V612" s="3"/>
      <c r="Y612" s="3" t="s">
        <v>60</v>
      </c>
      <c r="Z612" s="3" t="s">
        <v>47</v>
      </c>
      <c r="AC612" s="3" t="s">
        <v>244</v>
      </c>
      <c r="AH612" s="3" t="s">
        <v>60</v>
      </c>
      <c r="AI612" s="3" t="s">
        <v>47</v>
      </c>
      <c r="AL612" s="9" t="str">
        <f t="array" ref="AL612">"[" &amp; TEXTJOIN(", ", TRUE, IF(LEN(AM612:AQ612), CHAR(34)&amp;AM612:AQ612&amp;CHAR(34), )) &amp; "]"
</f>
        <v>["Invasive &amp; other problematic species, genes &amp; diseases", "Agriculture &amp; aquaculture"]</v>
      </c>
      <c r="AM612" s="3" t="s">
        <v>54</v>
      </c>
      <c r="AO612" s="3" t="s">
        <v>51</v>
      </c>
      <c r="AP612" s="3"/>
      <c r="AQ612" s="3"/>
      <c r="AR612" s="3" t="s">
        <v>54</v>
      </c>
      <c r="AS612" s="3" t="s">
        <v>78</v>
      </c>
      <c r="AT612" s="3" t="s">
        <v>51</v>
      </c>
      <c r="AW612" s="8" t="s">
        <v>2607</v>
      </c>
    </row>
    <row r="613" hidden="1">
      <c r="A613" s="3">
        <v>475.0</v>
      </c>
      <c r="B613" s="3" t="s">
        <v>55</v>
      </c>
      <c r="D613" s="3">
        <v>2007.0</v>
      </c>
      <c r="E613" s="3" t="s">
        <v>1075</v>
      </c>
      <c r="F613" s="3" t="s">
        <v>158</v>
      </c>
      <c r="G613" s="3"/>
      <c r="H613" s="3" t="s">
        <v>58</v>
      </c>
      <c r="I613" s="3"/>
      <c r="J613" s="3" t="s">
        <v>58</v>
      </c>
      <c r="K613" s="3"/>
      <c r="L613" s="3"/>
      <c r="M613" s="3" t="s">
        <v>286</v>
      </c>
      <c r="S613" s="3"/>
      <c r="T613" s="3"/>
      <c r="U613" s="3"/>
      <c r="V613" s="3"/>
      <c r="W613" s="3"/>
      <c r="X613" s="3"/>
      <c r="Y613" s="3"/>
      <c r="Z613" s="3"/>
      <c r="AC613" s="3" t="s">
        <v>50</v>
      </c>
      <c r="AF613" s="3" t="s">
        <v>49</v>
      </c>
      <c r="AH613" s="3" t="s">
        <v>70</v>
      </c>
      <c r="AL613" s="3"/>
      <c r="AM613" s="3"/>
      <c r="AN613" s="3"/>
      <c r="AO613" s="3"/>
      <c r="AP613" s="3"/>
      <c r="AQ613" s="3"/>
      <c r="AR613" s="3" t="s">
        <v>54</v>
      </c>
      <c r="AS613" s="3" t="s">
        <v>53</v>
      </c>
      <c r="AT613" s="3" t="s">
        <v>71</v>
      </c>
      <c r="AW613" s="8" t="s">
        <v>2135</v>
      </c>
    </row>
    <row r="614">
      <c r="A614" s="3">
        <v>483.0</v>
      </c>
      <c r="B614" s="3" t="s">
        <v>40</v>
      </c>
      <c r="C614" s="3" t="s">
        <v>1090</v>
      </c>
      <c r="D614" s="3">
        <v>2014.0</v>
      </c>
      <c r="E614" s="3" t="s">
        <v>1091</v>
      </c>
      <c r="F614" s="3" t="s">
        <v>129</v>
      </c>
      <c r="G614" s="3" t="s">
        <v>2600</v>
      </c>
      <c r="H614" s="3" t="s">
        <v>82</v>
      </c>
      <c r="I614" s="3" t="s">
        <v>2147</v>
      </c>
      <c r="J614" s="3" t="s">
        <v>82</v>
      </c>
      <c r="K614" s="3" t="s">
        <v>2217</v>
      </c>
      <c r="L614" s="3" t="s">
        <v>2601</v>
      </c>
      <c r="M614" s="3" t="s">
        <v>130</v>
      </c>
      <c r="S614" s="9" t="str">
        <f t="array" ref="S614">"[" &amp; TEXTJOIN(", ", TRUE, IF(LEN(T614:AB614), CHAR(34)&amp;T614:AB614&amp;CHAR(34), )) &amp; "]"
</f>
        <v>["Problematic native species/diseases", "Annual &amp; perennial non-timber crops", "Livestock farming &amp; ranching"]</v>
      </c>
      <c r="T614" s="3" t="s">
        <v>244</v>
      </c>
      <c r="U614" s="3"/>
      <c r="V614" s="3"/>
      <c r="Y614" s="3" t="s">
        <v>60</v>
      </c>
      <c r="Z614" s="3" t="s">
        <v>47</v>
      </c>
      <c r="AC614" s="3" t="s">
        <v>244</v>
      </c>
      <c r="AH614" s="3" t="s">
        <v>60</v>
      </c>
      <c r="AI614" s="3" t="s">
        <v>47</v>
      </c>
      <c r="AL614" s="9" t="str">
        <f t="array" ref="AL614">"[" &amp; TEXTJOIN(", ", TRUE, IF(LEN(AM614:AQ614), CHAR(34)&amp;AM614:AQ614&amp;CHAR(34), )) &amp; "]"
</f>
        <v>["Invasive &amp; other problematic species, genes &amp; diseases", "Agriculture &amp; aquaculture"]</v>
      </c>
      <c r="AM614" s="3" t="s">
        <v>54</v>
      </c>
      <c r="AO614" s="3" t="s">
        <v>51</v>
      </c>
      <c r="AP614" s="3"/>
      <c r="AQ614" s="3"/>
      <c r="AR614" s="3" t="s">
        <v>54</v>
      </c>
      <c r="AS614" s="3" t="s">
        <v>78</v>
      </c>
      <c r="AT614" s="3" t="s">
        <v>51</v>
      </c>
      <c r="AW614" s="8" t="s">
        <v>2608</v>
      </c>
    </row>
    <row r="615" hidden="1">
      <c r="A615" s="3">
        <v>490.0</v>
      </c>
      <c r="B615" s="3" t="s">
        <v>72</v>
      </c>
      <c r="C615" s="3" t="s">
        <v>1105</v>
      </c>
      <c r="D615" s="3">
        <v>2014.0</v>
      </c>
      <c r="E615" s="3" t="s">
        <v>1106</v>
      </c>
      <c r="F615" s="3" t="s">
        <v>158</v>
      </c>
      <c r="G615" s="3"/>
      <c r="H615" s="3" t="s">
        <v>58</v>
      </c>
      <c r="I615" s="3"/>
      <c r="J615" s="3" t="s">
        <v>58</v>
      </c>
      <c r="K615" s="3"/>
      <c r="L615" s="3"/>
      <c r="M615" s="3" t="s">
        <v>286</v>
      </c>
      <c r="S615" s="3"/>
      <c r="T615" s="3"/>
      <c r="U615" s="3"/>
      <c r="V615" s="3"/>
      <c r="W615" s="3"/>
      <c r="X615" s="3"/>
      <c r="Y615" s="3"/>
      <c r="Z615" s="3"/>
      <c r="AC615" s="3" t="s">
        <v>50</v>
      </c>
      <c r="AF615" s="3" t="s">
        <v>147</v>
      </c>
      <c r="AH615" s="3" t="s">
        <v>49</v>
      </c>
      <c r="AL615" s="3"/>
      <c r="AM615" s="3"/>
      <c r="AN615" s="3"/>
      <c r="AO615" s="3"/>
      <c r="AP615" s="3"/>
      <c r="AQ615" s="3"/>
      <c r="AR615" s="3" t="s">
        <v>54</v>
      </c>
      <c r="AS615" s="3" t="s">
        <v>64</v>
      </c>
      <c r="AT615" s="3" t="s">
        <v>53</v>
      </c>
      <c r="AW615" s="8" t="s">
        <v>2135</v>
      </c>
    </row>
    <row r="616" hidden="1">
      <c r="A616" s="3">
        <v>491.0</v>
      </c>
      <c r="B616" s="3" t="s">
        <v>55</v>
      </c>
      <c r="D616" s="3">
        <v>2002.0</v>
      </c>
      <c r="E616" s="3" t="s">
        <v>1107</v>
      </c>
      <c r="F616" s="3" t="s">
        <v>158</v>
      </c>
      <c r="G616" s="3"/>
      <c r="H616" s="3" t="s">
        <v>58</v>
      </c>
      <c r="I616" s="3"/>
      <c r="J616" s="3" t="s">
        <v>58</v>
      </c>
      <c r="K616" s="3"/>
      <c r="L616" s="3"/>
      <c r="M616" s="3" t="s">
        <v>286</v>
      </c>
      <c r="S616" s="3"/>
      <c r="T616" s="3"/>
      <c r="U616" s="3"/>
      <c r="V616" s="3"/>
      <c r="W616" s="3"/>
      <c r="X616" s="3"/>
      <c r="Y616" s="3"/>
      <c r="Z616" s="3"/>
      <c r="AA616" s="3"/>
      <c r="AB616" s="3"/>
      <c r="AC616" s="3" t="s">
        <v>50</v>
      </c>
      <c r="AD616" s="3" t="s">
        <v>77</v>
      </c>
      <c r="AF616" s="3" t="s">
        <v>147</v>
      </c>
      <c r="AH616" s="3" t="s">
        <v>63</v>
      </c>
      <c r="AJ616" s="3" t="s">
        <v>49</v>
      </c>
      <c r="AL616" s="3"/>
      <c r="AM616" s="3"/>
      <c r="AN616" s="3"/>
      <c r="AO616" s="3"/>
      <c r="AP616" s="3"/>
      <c r="AQ616" s="3"/>
      <c r="AR616" s="3" t="s">
        <v>54</v>
      </c>
      <c r="AS616" s="3" t="s">
        <v>64</v>
      </c>
      <c r="AT616" s="3" t="s">
        <v>65</v>
      </c>
      <c r="AU616" s="3" t="s">
        <v>53</v>
      </c>
      <c r="AW616" s="8" t="s">
        <v>2135</v>
      </c>
    </row>
    <row r="617">
      <c r="A617" s="3">
        <v>428.0</v>
      </c>
      <c r="B617" s="3" t="s">
        <v>40</v>
      </c>
      <c r="C617" s="3" t="s">
        <v>978</v>
      </c>
      <c r="D617" s="3">
        <v>2019.0</v>
      </c>
      <c r="E617" s="3" t="s">
        <v>982</v>
      </c>
      <c r="F617" s="3" t="s">
        <v>129</v>
      </c>
      <c r="G617" s="3" t="s">
        <v>2600</v>
      </c>
      <c r="H617" s="3" t="s">
        <v>82</v>
      </c>
      <c r="I617" s="3" t="s">
        <v>2147</v>
      </c>
      <c r="J617" s="3" t="s">
        <v>82</v>
      </c>
      <c r="K617" s="3" t="s">
        <v>2217</v>
      </c>
      <c r="L617" s="3" t="s">
        <v>2221</v>
      </c>
      <c r="M617" s="3" t="s">
        <v>317</v>
      </c>
      <c r="S617" s="9" t="str">
        <f t="array" ref="S617">"[" &amp; TEXTJOIN(", ", TRUE, IF(LEN(T617:AB617), CHAR(34)&amp;T617:AB617&amp;CHAR(34), )) &amp; "]"
</f>
        <v>["Habitat shifting &amp; alteration", "Housing &amp; urban areas", "Logging &amp; wood harvesting"]</v>
      </c>
      <c r="T617" s="3" t="s">
        <v>117</v>
      </c>
      <c r="U617" s="3"/>
      <c r="V617" s="3"/>
      <c r="W617" s="3" t="s">
        <v>70</v>
      </c>
      <c r="Y617" s="3" t="s">
        <v>2188</v>
      </c>
      <c r="AC617" s="3" t="s">
        <v>117</v>
      </c>
      <c r="AF617" s="3" t="s">
        <v>70</v>
      </c>
      <c r="AH617" s="3" t="s">
        <v>48</v>
      </c>
      <c r="AL617" s="9" t="str">
        <f t="array" ref="AL617">"[" &amp; TEXTJOIN(", ", TRUE, IF(LEN(AM617:AQ617), CHAR(34)&amp;AM617:AQ617&amp;CHAR(34), )) &amp; "]"
</f>
        <v>["Climate change &amp; severe weather", "Residential &amp; commercial development", "Biological resource use"]</v>
      </c>
      <c r="AM617" s="3" t="s">
        <v>118</v>
      </c>
      <c r="AN617" s="3" t="s">
        <v>71</v>
      </c>
      <c r="AO617" s="3" t="s">
        <v>52</v>
      </c>
      <c r="AP617" s="3"/>
      <c r="AQ617" s="3"/>
      <c r="AR617" s="3" t="s">
        <v>118</v>
      </c>
      <c r="AS617" s="3" t="s">
        <v>71</v>
      </c>
      <c r="AT617" s="3" t="s">
        <v>52</v>
      </c>
      <c r="AW617" s="8" t="s">
        <v>2609</v>
      </c>
    </row>
    <row r="618">
      <c r="A618" s="3">
        <v>620.0</v>
      </c>
      <c r="B618" s="3" t="s">
        <v>40</v>
      </c>
      <c r="C618" s="3" t="s">
        <v>1357</v>
      </c>
      <c r="D618" s="3">
        <v>2014.0</v>
      </c>
      <c r="E618" s="3" t="s">
        <v>1358</v>
      </c>
      <c r="F618" s="3" t="s">
        <v>129</v>
      </c>
      <c r="G618" s="3" t="s">
        <v>2600</v>
      </c>
      <c r="H618" s="3" t="s">
        <v>82</v>
      </c>
      <c r="I618" s="3" t="s">
        <v>2147</v>
      </c>
      <c r="J618" s="3" t="s">
        <v>82</v>
      </c>
      <c r="K618" s="3" t="s">
        <v>2217</v>
      </c>
      <c r="L618" s="3" t="s">
        <v>2173</v>
      </c>
      <c r="M618" s="3" t="s">
        <v>287</v>
      </c>
      <c r="S618" s="9" t="str">
        <f t="array" ref="S618">"[" &amp; TEXTJOIN(", ", TRUE, IF(LEN(T618:AB618), CHAR(34)&amp;T618:AB618&amp;CHAR(34), )) &amp; "]"
</f>
        <v>["Dams &amp; water management/use", "Livestock farming &amp; ranching", "Habitat shifting &amp; alteration"]</v>
      </c>
      <c r="T618" s="3" t="s">
        <v>49</v>
      </c>
      <c r="U618" s="3"/>
      <c r="V618" s="3"/>
      <c r="W618" s="3" t="s">
        <v>47</v>
      </c>
      <c r="Y618" s="3" t="s">
        <v>117</v>
      </c>
      <c r="AC618" s="3" t="s">
        <v>49</v>
      </c>
      <c r="AF618" s="3" t="s">
        <v>47</v>
      </c>
      <c r="AH618" s="3" t="s">
        <v>117</v>
      </c>
      <c r="AL618" s="9" t="str">
        <f t="array" ref="AL618">"[" &amp; TEXTJOIN(", ", TRUE, IF(LEN(AM618:AQ618), CHAR(34)&amp;AM618:AQ618&amp;CHAR(34), )) &amp; "]"
</f>
        <v>["Natural system modifications", "Agriculture &amp; aquaculture", "Climate change &amp; severe weather"]</v>
      </c>
      <c r="AM618" s="3" t="s">
        <v>53</v>
      </c>
      <c r="AN618" s="3" t="s">
        <v>51</v>
      </c>
      <c r="AO618" s="3" t="s">
        <v>118</v>
      </c>
      <c r="AQ618" s="3"/>
      <c r="AR618" s="3" t="s">
        <v>53</v>
      </c>
      <c r="AS618" s="3" t="s">
        <v>51</v>
      </c>
      <c r="AT618" s="3" t="s">
        <v>118</v>
      </c>
      <c r="AU618" s="3" t="s">
        <v>78</v>
      </c>
      <c r="AW618" s="8" t="s">
        <v>2610</v>
      </c>
    </row>
    <row r="619">
      <c r="A619" s="3">
        <v>208.0</v>
      </c>
      <c r="B619" s="3" t="s">
        <v>40</v>
      </c>
      <c r="C619" s="3" t="s">
        <v>584</v>
      </c>
      <c r="D619" s="3">
        <v>2018.0</v>
      </c>
      <c r="E619" s="3" t="s">
        <v>585</v>
      </c>
      <c r="F619" s="3" t="s">
        <v>129</v>
      </c>
      <c r="G619" s="3" t="s">
        <v>2600</v>
      </c>
      <c r="H619" s="3" t="s">
        <v>82</v>
      </c>
      <c r="I619" s="3" t="s">
        <v>2147</v>
      </c>
      <c r="J619" s="3" t="s">
        <v>82</v>
      </c>
      <c r="K619" s="3" t="s">
        <v>2217</v>
      </c>
      <c r="L619" s="3" t="s">
        <v>2221</v>
      </c>
      <c r="M619" s="3" t="s">
        <v>317</v>
      </c>
      <c r="S619" s="9" t="str">
        <f t="array" ref="S619">"[" &amp; TEXTJOIN(", ", TRUE, IF(LEN(T619:AB619), CHAR(34)&amp;T619:AB619&amp;CHAR(34), )) &amp; "]"
</f>
        <v>["Hunting &amp; Collecting Terrestrial Animals", "Logging &amp; Wood Harvesting", "Roads &amp; railroads", "Habitat shifting &amp; alteration"]</v>
      </c>
      <c r="T619" s="3" t="s">
        <v>2138</v>
      </c>
      <c r="U619" s="3" t="s">
        <v>2139</v>
      </c>
      <c r="V619" s="3"/>
      <c r="W619" s="3" t="s">
        <v>63</v>
      </c>
      <c r="Y619" s="3" t="s">
        <v>117</v>
      </c>
      <c r="AC619" s="3" t="s">
        <v>61</v>
      </c>
      <c r="AD619" s="3" t="s">
        <v>48</v>
      </c>
      <c r="AF619" s="3" t="s">
        <v>63</v>
      </c>
      <c r="AH619" s="3" t="s">
        <v>117</v>
      </c>
      <c r="AL619" s="9" t="str">
        <f t="array" ref="AL619">"[" &amp; TEXTJOIN(", ", TRUE, IF(LEN(AM619:AQ619), CHAR(34)&amp;AM619:AQ619&amp;CHAR(34), )) &amp; "]"
</f>
        <v>["Biological resource use", "Transportation &amp; service corridors", "Climate change &amp; severe weather"]</v>
      </c>
      <c r="AM619" s="3" t="s">
        <v>52</v>
      </c>
      <c r="AN619" s="3" t="s">
        <v>65</v>
      </c>
      <c r="AO619" s="3" t="s">
        <v>118</v>
      </c>
      <c r="AP619" s="3"/>
      <c r="AQ619" s="3"/>
      <c r="AR619" s="3" t="s">
        <v>52</v>
      </c>
      <c r="AS619" s="3" t="s">
        <v>65</v>
      </c>
      <c r="AT619" s="3" t="s">
        <v>118</v>
      </c>
      <c r="AW619" s="8" t="s">
        <v>2611</v>
      </c>
    </row>
    <row r="620">
      <c r="A620" s="3">
        <v>749.0</v>
      </c>
      <c r="B620" s="3" t="s">
        <v>40</v>
      </c>
      <c r="C620" s="3" t="s">
        <v>1614</v>
      </c>
      <c r="D620" s="3">
        <v>2019.0</v>
      </c>
      <c r="E620" s="3" t="s">
        <v>1615</v>
      </c>
      <c r="F620" s="3" t="s">
        <v>129</v>
      </c>
      <c r="G620" s="3" t="s">
        <v>2600</v>
      </c>
      <c r="H620" s="3" t="s">
        <v>82</v>
      </c>
      <c r="I620" s="3" t="s">
        <v>2147</v>
      </c>
      <c r="J620" s="3" t="s">
        <v>82</v>
      </c>
      <c r="K620" s="3" t="s">
        <v>2217</v>
      </c>
      <c r="L620" s="3" t="s">
        <v>2237</v>
      </c>
      <c r="M620" s="3" t="s">
        <v>384</v>
      </c>
      <c r="S620" s="9" t="str">
        <f t="array" ref="S620">"[" &amp; TEXTJOIN(", ", TRUE, IF(LEN(T620:AB620), CHAR(34)&amp;T620:AB620&amp;CHAR(34), )) &amp; "]"
</f>
        <v>["Industrial &amp; military effluents", "Recreational activities", "Mining &amp; quarrying", "Invasive non-native/alien species/diseases"]</v>
      </c>
      <c r="T620" s="3" t="s">
        <v>147</v>
      </c>
      <c r="U620" s="3"/>
      <c r="V620" s="3"/>
      <c r="W620" s="3" t="s">
        <v>162</v>
      </c>
      <c r="Y620" s="3" t="s">
        <v>238</v>
      </c>
      <c r="AA620" s="3" t="s">
        <v>50</v>
      </c>
      <c r="AC620" s="3" t="s">
        <v>147</v>
      </c>
      <c r="AF620" s="3" t="s">
        <v>162</v>
      </c>
      <c r="AH620" s="3" t="s">
        <v>238</v>
      </c>
      <c r="AJ620" s="3" t="s">
        <v>50</v>
      </c>
      <c r="AL620" s="9" t="str">
        <f t="array" ref="AL620">"[" &amp; TEXTJOIN(", ", TRUE, IF(LEN(AM620:AQ620), CHAR(34)&amp;AM620:AQ620&amp;CHAR(34), )) &amp; "]"
</f>
        <v>["Pollution", "Human intrusions &amp; disturbance", "Energy production &amp; mining", "Invasive &amp; other problematic species, genes &amp; diseases"]</v>
      </c>
      <c r="AM620" s="3" t="s">
        <v>64</v>
      </c>
      <c r="AN620" s="3" t="s">
        <v>121</v>
      </c>
      <c r="AO620" s="3" t="s">
        <v>235</v>
      </c>
      <c r="AP620" s="3" t="s">
        <v>54</v>
      </c>
      <c r="AQ620" s="3"/>
      <c r="AR620" s="3" t="s">
        <v>64</v>
      </c>
      <c r="AS620" s="3" t="s">
        <v>121</v>
      </c>
      <c r="AT620" s="3" t="s">
        <v>235</v>
      </c>
      <c r="AU620" s="3" t="s">
        <v>54</v>
      </c>
      <c r="AW620" s="8" t="s">
        <v>2612</v>
      </c>
    </row>
    <row r="621">
      <c r="A621" s="3">
        <v>107.0</v>
      </c>
      <c r="B621" s="3" t="s">
        <v>40</v>
      </c>
      <c r="C621" s="3" t="s">
        <v>382</v>
      </c>
      <c r="D621" s="3">
        <v>2004.0</v>
      </c>
      <c r="E621" s="3" t="s">
        <v>383</v>
      </c>
      <c r="F621" s="3" t="s">
        <v>129</v>
      </c>
      <c r="G621" s="3" t="s">
        <v>2600</v>
      </c>
      <c r="H621" s="3" t="s">
        <v>82</v>
      </c>
      <c r="I621" s="3" t="s">
        <v>2147</v>
      </c>
      <c r="J621" s="3" t="s">
        <v>82</v>
      </c>
      <c r="K621" s="3" t="s">
        <v>2217</v>
      </c>
      <c r="L621" s="3" t="s">
        <v>2237</v>
      </c>
      <c r="M621" s="3" t="s">
        <v>384</v>
      </c>
      <c r="S621" s="9" t="str">
        <f t="array" ref="S621">"[" &amp; TEXTJOIN(", ", TRUE, IF(LEN(T621:AB621), CHAR(34)&amp;T621:AB621&amp;CHAR(34), )) &amp; "]"
</f>
        <v>["Fishing &amp; Harvesting Aquatic Resources", "Viral/prion-induced diseases", "Recreational activities", "Industrial &amp; military effluents"]</v>
      </c>
      <c r="T621" s="3" t="s">
        <v>2164</v>
      </c>
      <c r="U621" s="3"/>
      <c r="V621" s="3"/>
      <c r="W621" s="3" t="s">
        <v>385</v>
      </c>
      <c r="Y621" s="3" t="s">
        <v>162</v>
      </c>
      <c r="AA621" s="3" t="s">
        <v>147</v>
      </c>
      <c r="AC621" s="3" t="s">
        <v>247</v>
      </c>
      <c r="AF621" s="3" t="s">
        <v>385</v>
      </c>
      <c r="AH621" s="3" t="s">
        <v>162</v>
      </c>
      <c r="AJ621" s="3" t="s">
        <v>147</v>
      </c>
      <c r="AL621" s="9" t="str">
        <f t="array" ref="AL621">"[" &amp; TEXTJOIN(", ", TRUE, IF(LEN(AM621:AQ621), CHAR(34)&amp;AM621:AQ621&amp;CHAR(34), )) &amp; "]"
</f>
        <v>["Biological resource use", "Invasive &amp; other problematic species, genes &amp; diseases", "Human intrusions &amp; disturbance", "Pollution"]</v>
      </c>
      <c r="AM621" s="3" t="s">
        <v>52</v>
      </c>
      <c r="AN621" s="3" t="s">
        <v>54</v>
      </c>
      <c r="AO621" s="3" t="s">
        <v>121</v>
      </c>
      <c r="AP621" s="3" t="s">
        <v>64</v>
      </c>
      <c r="AR621" s="3" t="s">
        <v>52</v>
      </c>
      <c r="AS621" s="3" t="s">
        <v>54</v>
      </c>
      <c r="AT621" s="3" t="s">
        <v>121</v>
      </c>
      <c r="AU621" s="3" t="s">
        <v>64</v>
      </c>
      <c r="AV621" s="3" t="s">
        <v>78</v>
      </c>
      <c r="AW621" s="8" t="s">
        <v>2613</v>
      </c>
    </row>
    <row r="622">
      <c r="A622" s="3">
        <v>665.0</v>
      </c>
      <c r="B622" s="3" t="s">
        <v>40</v>
      </c>
      <c r="C622" s="3" t="s">
        <v>1442</v>
      </c>
      <c r="D622" s="3">
        <v>2018.0</v>
      </c>
      <c r="E622" s="3" t="s">
        <v>1443</v>
      </c>
      <c r="F622" s="3" t="s">
        <v>129</v>
      </c>
      <c r="G622" s="3" t="s">
        <v>2600</v>
      </c>
      <c r="H622" s="3" t="s">
        <v>82</v>
      </c>
      <c r="I622" s="3" t="s">
        <v>2147</v>
      </c>
      <c r="J622" s="3" t="s">
        <v>82</v>
      </c>
      <c r="K622" s="3" t="s">
        <v>2217</v>
      </c>
      <c r="L622" s="3" t="s">
        <v>2237</v>
      </c>
      <c r="M622" s="3" t="s">
        <v>384</v>
      </c>
      <c r="S622" s="9" t="str">
        <f t="array" ref="S622">"[" &amp; TEXTJOIN(", ", TRUE, IF(LEN(T622:AB622), CHAR(34)&amp;T622:AB622&amp;CHAR(34), )) &amp; "]"
</f>
        <v>["Problematic native species/diseases"]</v>
      </c>
      <c r="T622" s="3"/>
      <c r="U622" s="3"/>
      <c r="V622" s="3"/>
      <c r="W622" s="3" t="s">
        <v>244</v>
      </c>
      <c r="AF622" s="3" t="s">
        <v>244</v>
      </c>
      <c r="AH622" s="3" t="s">
        <v>87</v>
      </c>
      <c r="AL622" s="9" t="str">
        <f t="array" ref="AL622">"[" &amp; TEXTJOIN(", ", TRUE, IF(LEN(AM622:AQ622), CHAR(34)&amp;AM622:AQ622&amp;CHAR(34), )) &amp; "]"
</f>
        <v>["Invasive &amp; other problematic species, genes &amp; diseases", "Human intrusions &amp; disturbance"]</v>
      </c>
      <c r="AN622" s="3" t="s">
        <v>54</v>
      </c>
      <c r="AO622" s="3" t="s">
        <v>121</v>
      </c>
      <c r="AP622" s="3"/>
      <c r="AQ622" s="3"/>
      <c r="AR622" s="3" t="s">
        <v>78</v>
      </c>
      <c r="AS622" s="3" t="s">
        <v>54</v>
      </c>
      <c r="AT622" s="3" t="s">
        <v>121</v>
      </c>
      <c r="AW622" s="8" t="s">
        <v>2614</v>
      </c>
    </row>
    <row r="623">
      <c r="A623" s="3">
        <v>764.0</v>
      </c>
      <c r="B623" s="3" t="s">
        <v>40</v>
      </c>
      <c r="C623" s="3" t="s">
        <v>1642</v>
      </c>
      <c r="D623" s="3">
        <v>2013.0</v>
      </c>
      <c r="E623" s="3" t="s">
        <v>1643</v>
      </c>
      <c r="F623" s="3" t="s">
        <v>129</v>
      </c>
      <c r="G623" s="3" t="s">
        <v>2600</v>
      </c>
      <c r="H623" s="3" t="s">
        <v>82</v>
      </c>
      <c r="I623" s="3" t="s">
        <v>2147</v>
      </c>
      <c r="J623" s="3" t="s">
        <v>82</v>
      </c>
      <c r="K623" s="3" t="s">
        <v>2217</v>
      </c>
      <c r="L623" s="3" t="s">
        <v>2237</v>
      </c>
      <c r="M623" s="3" t="s">
        <v>384</v>
      </c>
      <c r="S623" s="9" t="str">
        <f t="array" ref="S623">"[" &amp; TEXTJOIN(", ", TRUE, IF(LEN(T623:AB623), CHAR(34)&amp;T623:AB623&amp;CHAR(34), )) &amp; "]"
</f>
        <v>["Industrial &amp; military effluents"]</v>
      </c>
      <c r="T623" s="3" t="s">
        <v>147</v>
      </c>
      <c r="U623" s="3"/>
      <c r="V623" s="3"/>
      <c r="AC623" s="3" t="s">
        <v>147</v>
      </c>
      <c r="AH623" s="3" t="s">
        <v>87</v>
      </c>
      <c r="AJ623" s="3" t="s">
        <v>134</v>
      </c>
      <c r="AL623" s="9" t="str">
        <f t="array" ref="AL623">"[" &amp; TEXTJOIN(", ", TRUE, IF(LEN(AM623:AQ623), CHAR(34)&amp;AM623:AQ623&amp;CHAR(34), )) &amp; "]"
</f>
        <v>["Pollution", "Human intrusions &amp; disturbance", "Natural system modifications"]</v>
      </c>
      <c r="AM623" s="3" t="s">
        <v>64</v>
      </c>
      <c r="AO623" s="3" t="s">
        <v>121</v>
      </c>
      <c r="AP623" s="3" t="s">
        <v>53</v>
      </c>
      <c r="AQ623" s="3"/>
      <c r="AR623" s="3" t="s">
        <v>64</v>
      </c>
      <c r="AS623" s="3" t="s">
        <v>78</v>
      </c>
      <c r="AT623" s="3" t="s">
        <v>121</v>
      </c>
      <c r="AU623" s="3" t="s">
        <v>53</v>
      </c>
      <c r="AW623" s="8" t="s">
        <v>2615</v>
      </c>
    </row>
    <row r="624">
      <c r="A624" s="3">
        <v>54.0</v>
      </c>
      <c r="B624" s="3" t="s">
        <v>40</v>
      </c>
      <c r="C624" s="3" t="s">
        <v>240</v>
      </c>
      <c r="D624" s="3">
        <v>2003.0</v>
      </c>
      <c r="E624" s="3" t="s">
        <v>241</v>
      </c>
      <c r="F624" s="3" t="s">
        <v>129</v>
      </c>
      <c r="G624" s="3" t="s">
        <v>2600</v>
      </c>
      <c r="H624" s="3" t="s">
        <v>82</v>
      </c>
      <c r="I624" s="3" t="s">
        <v>2147</v>
      </c>
      <c r="J624" s="3" t="s">
        <v>82</v>
      </c>
      <c r="K624" s="3" t="s">
        <v>2217</v>
      </c>
      <c r="L624" s="3" t="s">
        <v>2601</v>
      </c>
      <c r="M624" s="3" t="s">
        <v>130</v>
      </c>
      <c r="S624" s="9" t="str">
        <f t="array" ref="S624">"[" &amp; TEXTJOIN(", ", TRUE, IF(LEN(T624:AB624), CHAR(34)&amp;T624:AB624&amp;CHAR(34), )) &amp; "]"
</f>
        <v>["Hunting &amp; Collecting Terrestrial Animals", "Annual &amp; perennial non-timber crops", "Livestock farming &amp; ranching", "Invasive non-native/alien species/diseases"]</v>
      </c>
      <c r="T624" s="3" t="s">
        <v>2138</v>
      </c>
      <c r="U624" s="3"/>
      <c r="V624" s="3"/>
      <c r="W624" s="3" t="s">
        <v>60</v>
      </c>
      <c r="X624" s="3" t="s">
        <v>47</v>
      </c>
      <c r="Y624" s="3" t="s">
        <v>50</v>
      </c>
      <c r="AC624" s="3" t="s">
        <v>61</v>
      </c>
      <c r="AF624" s="3" t="s">
        <v>60</v>
      </c>
      <c r="AG624" s="3" t="s">
        <v>47</v>
      </c>
      <c r="AH624" s="3" t="s">
        <v>50</v>
      </c>
      <c r="AL624" s="9" t="str">
        <f t="array" ref="AL624">"[" &amp; TEXTJOIN(", ", TRUE, IF(LEN(AM624:AQ624), CHAR(34)&amp;AM624:AQ624&amp;CHAR(34), )) &amp; "]"
</f>
        <v>["Biological resource use", "Agriculture &amp; aquaculture", "Invasive &amp; other problematic species, genes &amp; diseases"]</v>
      </c>
      <c r="AM624" s="3" t="s">
        <v>52</v>
      </c>
      <c r="AN624" s="3" t="s">
        <v>51</v>
      </c>
      <c r="AO624" s="3" t="s">
        <v>54</v>
      </c>
      <c r="AP624" s="3"/>
      <c r="AQ624" s="3"/>
      <c r="AR624" s="3" t="s">
        <v>52</v>
      </c>
      <c r="AS624" s="3" t="s">
        <v>51</v>
      </c>
      <c r="AT624" s="3" t="s">
        <v>54</v>
      </c>
      <c r="AW624" s="8" t="s">
        <v>2616</v>
      </c>
    </row>
    <row r="625">
      <c r="A625" s="3">
        <v>624.0</v>
      </c>
      <c r="B625" s="3" t="s">
        <v>40</v>
      </c>
      <c r="C625" s="3" t="s">
        <v>1365</v>
      </c>
      <c r="D625" s="3">
        <v>2011.0</v>
      </c>
      <c r="E625" s="3" t="s">
        <v>1366</v>
      </c>
      <c r="F625" s="3" t="s">
        <v>129</v>
      </c>
      <c r="G625" s="3" t="s">
        <v>2600</v>
      </c>
      <c r="H625" s="3" t="s">
        <v>82</v>
      </c>
      <c r="I625" s="3" t="s">
        <v>2147</v>
      </c>
      <c r="J625" s="3" t="s">
        <v>82</v>
      </c>
      <c r="K625" s="3" t="s">
        <v>2217</v>
      </c>
      <c r="L625" s="3" t="s">
        <v>2224</v>
      </c>
      <c r="M625" s="3" t="s">
        <v>314</v>
      </c>
      <c r="S625" s="9" t="str">
        <f t="array" ref="S625">"[" &amp; TEXTJOIN(", ", TRUE, IF(LEN(T625:AB625), CHAR(34)&amp;T625:AB625&amp;CHAR(34), )) &amp; "]"
</f>
        <v>["Fire &amp; fire suppression", "Hunting &amp; collecting terrestrial animals", "Logging &amp; wood harvesting", "Problematic native species/diseases", "Roads &amp; railroads"]</v>
      </c>
      <c r="T625" s="3" t="s">
        <v>250</v>
      </c>
      <c r="U625" s="3"/>
      <c r="V625" s="3"/>
      <c r="W625" s="3" t="s">
        <v>2178</v>
      </c>
      <c r="X625" s="3" t="s">
        <v>2188</v>
      </c>
      <c r="Y625" s="3" t="s">
        <v>244</v>
      </c>
      <c r="AA625" s="3" t="s">
        <v>63</v>
      </c>
      <c r="AC625" s="3" t="s">
        <v>250</v>
      </c>
      <c r="AF625" s="3" t="s">
        <v>61</v>
      </c>
      <c r="AG625" s="3" t="s">
        <v>48</v>
      </c>
      <c r="AH625" s="3" t="s">
        <v>244</v>
      </c>
      <c r="AJ625" s="3" t="s">
        <v>63</v>
      </c>
      <c r="AL625" s="9" t="str">
        <f t="array" ref="AL625">"[" &amp; TEXTJOIN(", ", TRUE, IF(LEN(AM625:AQ625), CHAR(34)&amp;AM625:AQ625&amp;CHAR(34), )) &amp; "]"
</f>
        <v>["Natural system modifications", "Biological resource use", "Invasive &amp; other problematic species, genes &amp; diseases", "Transportation &amp; service corridors"]</v>
      </c>
      <c r="AM625" s="3" t="s">
        <v>53</v>
      </c>
      <c r="AN625" s="3" t="s">
        <v>52</v>
      </c>
      <c r="AO625" s="3" t="s">
        <v>54</v>
      </c>
      <c r="AP625" s="3" t="s">
        <v>65</v>
      </c>
      <c r="AQ625" s="3"/>
      <c r="AR625" s="3" t="s">
        <v>53</v>
      </c>
      <c r="AS625" s="3" t="s">
        <v>52</v>
      </c>
      <c r="AT625" s="3" t="s">
        <v>54</v>
      </c>
      <c r="AU625" s="3" t="s">
        <v>65</v>
      </c>
      <c r="AW625" s="8" t="s">
        <v>2617</v>
      </c>
    </row>
    <row r="626">
      <c r="A626" s="3">
        <v>489.0</v>
      </c>
      <c r="B626" s="3" t="s">
        <v>40</v>
      </c>
      <c r="C626" s="3" t="s">
        <v>1103</v>
      </c>
      <c r="D626" s="3">
        <v>2010.0</v>
      </c>
      <c r="E626" s="3" t="s">
        <v>1104</v>
      </c>
      <c r="F626" s="3" t="s">
        <v>129</v>
      </c>
      <c r="G626" s="3" t="s">
        <v>2600</v>
      </c>
      <c r="H626" s="3" t="s">
        <v>82</v>
      </c>
      <c r="I626" s="3" t="s">
        <v>2147</v>
      </c>
      <c r="J626" s="3" t="s">
        <v>82</v>
      </c>
      <c r="K626" s="3" t="s">
        <v>2217</v>
      </c>
      <c r="L626" s="3" t="s">
        <v>2237</v>
      </c>
      <c r="M626" s="3" t="s">
        <v>384</v>
      </c>
      <c r="S626" s="9" t="str">
        <f t="array" ref="S626">"[" &amp; TEXTJOIN(", ", TRUE, IF(LEN(T626:AB626), CHAR(34)&amp;T626:AB626&amp;CHAR(34), )) &amp; "]"
</f>
        <v>["Problematic native species/diseases", "Industrial &amp; military effluents"]</v>
      </c>
      <c r="T626" s="3" t="s">
        <v>244</v>
      </c>
      <c r="U626" s="3"/>
      <c r="V626" s="3"/>
      <c r="W626" s="3" t="s">
        <v>147</v>
      </c>
      <c r="AC626" s="3" t="s">
        <v>244</v>
      </c>
      <c r="AF626" s="3" t="s">
        <v>147</v>
      </c>
      <c r="AL626" s="9" t="str">
        <f t="array" ref="AL626">"[" &amp; TEXTJOIN(", ", TRUE, IF(LEN(AM626:AQ626), CHAR(34)&amp;AM626:AQ626&amp;CHAR(34), )) &amp; "]"
</f>
        <v>["Invasive &amp; other problematic species, genes &amp; diseases", "Pollution", "Invasive &amp; other problematic species, genes &amp; diseases"]</v>
      </c>
      <c r="AM626" s="3" t="s">
        <v>54</v>
      </c>
      <c r="AN626" s="3" t="s">
        <v>64</v>
      </c>
      <c r="AO626" s="3" t="s">
        <v>54</v>
      </c>
      <c r="AP626" s="3"/>
      <c r="AQ626" s="3"/>
      <c r="AR626" s="3" t="s">
        <v>54</v>
      </c>
      <c r="AS626" s="3" t="s">
        <v>64</v>
      </c>
      <c r="AT626" s="3" t="s">
        <v>54</v>
      </c>
      <c r="AW626" s="8" t="s">
        <v>2618</v>
      </c>
    </row>
    <row r="627">
      <c r="A627" s="3">
        <v>497.0</v>
      </c>
      <c r="B627" s="3" t="s">
        <v>40</v>
      </c>
      <c r="C627" s="3" t="s">
        <v>1118</v>
      </c>
      <c r="D627" s="3">
        <v>2016.0</v>
      </c>
      <c r="E627" s="3" t="s">
        <v>1119</v>
      </c>
      <c r="F627" s="3" t="s">
        <v>129</v>
      </c>
      <c r="G627" s="3" t="s">
        <v>2600</v>
      </c>
      <c r="H627" s="3" t="s">
        <v>82</v>
      </c>
      <c r="I627" s="3" t="s">
        <v>2147</v>
      </c>
      <c r="J627" s="3" t="s">
        <v>82</v>
      </c>
      <c r="K627" s="3" t="s">
        <v>2217</v>
      </c>
      <c r="L627" s="3" t="s">
        <v>2224</v>
      </c>
      <c r="M627" s="3" t="s">
        <v>314</v>
      </c>
      <c r="S627" s="9" t="str">
        <f t="array" ref="S627">"[" &amp; TEXTJOIN(", ", TRUE, IF(LEN(T627:AB627), CHAR(34)&amp;T627:AB627&amp;CHAR(34), )) &amp; "]"
</f>
        <v>["Viral/prion-induced diseases", "Roads &amp; railroads", "Agricultural &amp; forestry effluents"]</v>
      </c>
      <c r="T627" s="3" t="s">
        <v>385</v>
      </c>
      <c r="U627" s="3"/>
      <c r="V627" s="3"/>
      <c r="W627" s="3" t="s">
        <v>63</v>
      </c>
      <c r="Y627" s="3" t="s">
        <v>62</v>
      </c>
      <c r="AC627" s="3" t="s">
        <v>385</v>
      </c>
      <c r="AF627" s="3" t="s">
        <v>63</v>
      </c>
      <c r="AH627" s="3" t="s">
        <v>62</v>
      </c>
      <c r="AL627" s="9" t="str">
        <f t="array" ref="AL627">"[" &amp; TEXTJOIN(", ", TRUE, IF(LEN(AM627:AQ627), CHAR(34)&amp;AM627:AQ627&amp;CHAR(34), )) &amp; "]"
</f>
        <v>["Invasive &amp; other problematic species, genes &amp; diseases", "Transportation &amp; service corridors", "Pollution"]</v>
      </c>
      <c r="AM627" s="3" t="s">
        <v>54</v>
      </c>
      <c r="AN627" s="3" t="s">
        <v>65</v>
      </c>
      <c r="AO627" s="3" t="s">
        <v>64</v>
      </c>
      <c r="AP627" s="3"/>
      <c r="AQ627" s="3"/>
      <c r="AR627" s="3" t="s">
        <v>54</v>
      </c>
      <c r="AS627" s="3" t="s">
        <v>65</v>
      </c>
      <c r="AT627" s="3" t="s">
        <v>64</v>
      </c>
      <c r="AW627" s="8" t="s">
        <v>2619</v>
      </c>
    </row>
    <row r="628" hidden="1">
      <c r="A628" s="3">
        <v>657.0</v>
      </c>
      <c r="B628" s="3" t="s">
        <v>106</v>
      </c>
      <c r="C628" s="3" t="s">
        <v>1427</v>
      </c>
      <c r="D628" s="3">
        <v>1993.0</v>
      </c>
      <c r="E628" s="3" t="s">
        <v>1428</v>
      </c>
      <c r="F628" s="3" t="s">
        <v>158</v>
      </c>
      <c r="G628" s="3"/>
      <c r="H628" s="3" t="s">
        <v>58</v>
      </c>
      <c r="I628" s="3"/>
      <c r="K628" s="3"/>
      <c r="L628" s="3"/>
      <c r="M628" s="3" t="s">
        <v>110</v>
      </c>
      <c r="S628" s="3"/>
      <c r="T628" s="3"/>
      <c r="U628" s="3"/>
      <c r="V628" s="3"/>
      <c r="AC628" s="3" t="s">
        <v>49</v>
      </c>
      <c r="AL628" s="3"/>
      <c r="AM628" s="3"/>
      <c r="AN628" s="3"/>
      <c r="AO628" s="3"/>
      <c r="AP628" s="3"/>
      <c r="AQ628" s="3"/>
      <c r="AR628" s="3" t="s">
        <v>53</v>
      </c>
      <c r="AW628" s="8" t="s">
        <v>2135</v>
      </c>
    </row>
    <row r="629">
      <c r="A629" s="3">
        <v>426.0</v>
      </c>
      <c r="B629" s="3" t="s">
        <v>40</v>
      </c>
      <c r="C629" s="3" t="s">
        <v>978</v>
      </c>
      <c r="D629" s="3">
        <v>2020.0</v>
      </c>
      <c r="E629" s="3" t="s">
        <v>979</v>
      </c>
      <c r="F629" s="3" t="s">
        <v>129</v>
      </c>
      <c r="G629" s="3" t="s">
        <v>2600</v>
      </c>
      <c r="H629" s="3" t="s">
        <v>82</v>
      </c>
      <c r="I629" s="3" t="s">
        <v>2147</v>
      </c>
      <c r="J629" s="3" t="s">
        <v>82</v>
      </c>
      <c r="K629" s="3" t="s">
        <v>2217</v>
      </c>
      <c r="L629" s="3" t="s">
        <v>2221</v>
      </c>
      <c r="M629" s="3" t="s">
        <v>317</v>
      </c>
      <c r="S629" s="9" t="str">
        <f t="array" ref="S629">"[" &amp; TEXTJOIN(", ", TRUE, IF(LEN(T629:AB629), CHAR(34)&amp;T629:AB629&amp;CHAR(34), )) &amp; "]"
</f>
        <v>["Habitat shifting &amp; alteration", "Logging &amp; wood harvesting", "Housing &amp; urban areas"]</v>
      </c>
      <c r="T629" s="3" t="s">
        <v>117</v>
      </c>
      <c r="U629" s="3"/>
      <c r="V629" s="3"/>
      <c r="W629" s="3" t="s">
        <v>2188</v>
      </c>
      <c r="Y629" s="3" t="s">
        <v>70</v>
      </c>
      <c r="AC629" s="3" t="s">
        <v>117</v>
      </c>
      <c r="AF629" s="3" t="s">
        <v>48</v>
      </c>
      <c r="AH629" s="3" t="s">
        <v>70</v>
      </c>
      <c r="AL629" s="9" t="str">
        <f t="array" ref="AL629">"[" &amp; TEXTJOIN(", ", TRUE, IF(LEN(AM629:AQ629), CHAR(34)&amp;AM629:AQ629&amp;CHAR(34), )) &amp; "]"
</f>
        <v>["Climate change &amp; severe weather", "Biological resource use", "Residential &amp; commercial development"]</v>
      </c>
      <c r="AM629" s="3" t="s">
        <v>118</v>
      </c>
      <c r="AN629" s="3" t="s">
        <v>52</v>
      </c>
      <c r="AO629" s="3" t="s">
        <v>71</v>
      </c>
      <c r="AP629" s="3"/>
      <c r="AQ629" s="3"/>
      <c r="AR629" s="3" t="s">
        <v>118</v>
      </c>
      <c r="AS629" s="3" t="s">
        <v>52</v>
      </c>
      <c r="AT629" s="3" t="s">
        <v>71</v>
      </c>
      <c r="AW629" s="8" t="s">
        <v>2620</v>
      </c>
    </row>
    <row r="630">
      <c r="A630" s="3">
        <v>103.0</v>
      </c>
      <c r="B630" s="3" t="s">
        <v>40</v>
      </c>
      <c r="C630" s="3" t="s">
        <v>374</v>
      </c>
      <c r="D630" s="3">
        <v>2007.0</v>
      </c>
      <c r="E630" s="3" t="s">
        <v>375</v>
      </c>
      <c r="F630" s="3" t="s">
        <v>129</v>
      </c>
      <c r="G630" s="3" t="s">
        <v>2600</v>
      </c>
      <c r="H630" s="3" t="s">
        <v>82</v>
      </c>
      <c r="I630" s="3" t="s">
        <v>2147</v>
      </c>
      <c r="J630" s="3" t="s">
        <v>82</v>
      </c>
      <c r="K630" s="3" t="s">
        <v>2217</v>
      </c>
      <c r="L630" s="3" t="s">
        <v>2224</v>
      </c>
      <c r="M630" s="3" t="s">
        <v>314</v>
      </c>
      <c r="S630" s="9" t="str">
        <f t="array" ref="S630">"[" &amp; TEXTJOIN(", ", TRUE, IF(LEN(T630:AB630), CHAR(34)&amp;T630:AB630&amp;CHAR(34), )) &amp; "]"
</f>
        <v>["Hunting &amp; Collecting Terrestrial Animals", "Logging &amp; Wood Harvesting", "Recreational activities", "Housing &amp; urban areas"]</v>
      </c>
      <c r="T630" s="3" t="s">
        <v>2138</v>
      </c>
      <c r="U630" s="3" t="s">
        <v>2139</v>
      </c>
      <c r="V630" s="3"/>
      <c r="W630" s="3" t="s">
        <v>162</v>
      </c>
      <c r="Y630" s="3" t="s">
        <v>70</v>
      </c>
      <c r="AC630" s="3" t="s">
        <v>61</v>
      </c>
      <c r="AD630" s="3" t="s">
        <v>48</v>
      </c>
      <c r="AF630" s="3" t="s">
        <v>162</v>
      </c>
      <c r="AH630" s="3" t="s">
        <v>70</v>
      </c>
      <c r="AL630" s="9" t="str">
        <f t="array" ref="AL630">"[" &amp; TEXTJOIN(", ", TRUE, IF(LEN(AM630:AQ630), CHAR(34)&amp;AM630:AQ630&amp;CHAR(34), )) &amp; "]"
</f>
        <v>["Biological resource use", "Human intrusions &amp; disturbance", "Residential &amp; commercial development"]</v>
      </c>
      <c r="AM630" s="3" t="s">
        <v>52</v>
      </c>
      <c r="AN630" s="3" t="s">
        <v>121</v>
      </c>
      <c r="AO630" s="3" t="s">
        <v>71</v>
      </c>
      <c r="AP630" s="3"/>
      <c r="AQ630" s="3"/>
      <c r="AR630" s="3" t="s">
        <v>52</v>
      </c>
      <c r="AS630" s="3" t="s">
        <v>121</v>
      </c>
      <c r="AT630" s="3" t="s">
        <v>71</v>
      </c>
      <c r="AW630" s="8" t="s">
        <v>2621</v>
      </c>
    </row>
    <row r="631">
      <c r="A631" s="3">
        <v>104.0</v>
      </c>
      <c r="B631" s="3" t="s">
        <v>40</v>
      </c>
      <c r="C631" s="3" t="s">
        <v>376</v>
      </c>
      <c r="D631" s="3">
        <v>2013.0</v>
      </c>
      <c r="E631" s="3" t="s">
        <v>377</v>
      </c>
      <c r="F631" s="3" t="s">
        <v>129</v>
      </c>
      <c r="G631" s="3" t="s">
        <v>2600</v>
      </c>
      <c r="H631" s="3" t="s">
        <v>82</v>
      </c>
      <c r="I631" s="3" t="s">
        <v>2147</v>
      </c>
      <c r="J631" s="3" t="s">
        <v>82</v>
      </c>
      <c r="K631" s="3" t="s">
        <v>2217</v>
      </c>
      <c r="L631" s="3" t="s">
        <v>2224</v>
      </c>
      <c r="M631" s="3" t="s">
        <v>314</v>
      </c>
      <c r="S631" s="9" t="str">
        <f t="array" ref="S631">"[" &amp; TEXTJOIN(", ", TRUE, IF(LEN(T631:AB631), CHAR(34)&amp;T631:AB631&amp;CHAR(34), )) &amp; "]"
</f>
        <v>["Logging &amp; Wood Harvesting"]</v>
      </c>
      <c r="T631" s="3" t="s">
        <v>2139</v>
      </c>
      <c r="U631" s="3"/>
      <c r="V631" s="3"/>
      <c r="AC631" s="3" t="s">
        <v>48</v>
      </c>
      <c r="AL631" s="9" t="str">
        <f t="array" ref="AL631">"[" &amp; TEXTJOIN(", ", TRUE, IF(LEN(AM631:AQ631), CHAR(34)&amp;AM631:AQ631&amp;CHAR(34), )) &amp; "]"
</f>
        <v>["Biological resource use", "Human intrusions &amp; disturbance", "Residential &amp; commercial development"]</v>
      </c>
      <c r="AM631" s="3" t="s">
        <v>52</v>
      </c>
      <c r="AN631" s="3" t="s">
        <v>121</v>
      </c>
      <c r="AO631" s="3" t="s">
        <v>71</v>
      </c>
      <c r="AP631" s="3"/>
      <c r="AQ631" s="3"/>
      <c r="AR631" s="3" t="s">
        <v>52</v>
      </c>
      <c r="AS631" s="3" t="s">
        <v>121</v>
      </c>
      <c r="AT631" s="3" t="s">
        <v>71</v>
      </c>
      <c r="AW631" s="8" t="s">
        <v>2622</v>
      </c>
    </row>
    <row r="632">
      <c r="A632" s="3">
        <v>175.0</v>
      </c>
      <c r="B632" s="3" t="s">
        <v>40</v>
      </c>
      <c r="C632" s="3" t="s">
        <v>523</v>
      </c>
      <c r="D632" s="3">
        <v>2008.0</v>
      </c>
      <c r="E632" s="3" t="s">
        <v>524</v>
      </c>
      <c r="F632" s="3" t="s">
        <v>129</v>
      </c>
      <c r="G632" s="3" t="s">
        <v>2600</v>
      </c>
      <c r="H632" s="3" t="s">
        <v>82</v>
      </c>
      <c r="I632" s="3" t="s">
        <v>2147</v>
      </c>
      <c r="J632" s="3" t="s">
        <v>82</v>
      </c>
      <c r="K632" s="3" t="s">
        <v>2217</v>
      </c>
      <c r="L632" s="3" t="s">
        <v>2234</v>
      </c>
      <c r="M632" s="3" t="s">
        <v>453</v>
      </c>
      <c r="S632" s="9" t="str">
        <f t="array" ref="S632">"[" &amp; TEXTJOIN(", ", TRUE, IF(LEN(T632:AB632), CHAR(34)&amp;T632:AB632&amp;CHAR(34), )) &amp; "]"
</f>
        <v>["Hunting &amp; Collecting Terrestrial Animals"]</v>
      </c>
      <c r="T632" s="3" t="s">
        <v>2138</v>
      </c>
      <c r="U632" s="3"/>
      <c r="V632" s="3"/>
      <c r="AC632" s="3" t="s">
        <v>61</v>
      </c>
      <c r="AF632" s="3" t="s">
        <v>87</v>
      </c>
      <c r="AH632" s="3" t="s">
        <v>87</v>
      </c>
      <c r="AL632" s="9" t="str">
        <f t="array" ref="AL632">"[" &amp; TEXTJOIN(", ", TRUE, IF(LEN(AM632:AQ632), CHAR(34)&amp;AM632:AQ632&amp;CHAR(34), )) &amp; "]"
</f>
        <v>["Biological resource use", "Pollution", "Residential &amp; commercial development"]</v>
      </c>
      <c r="AM632" s="3" t="s">
        <v>52</v>
      </c>
      <c r="AN632" s="3" t="s">
        <v>64</v>
      </c>
      <c r="AO632" s="3" t="s">
        <v>71</v>
      </c>
      <c r="AP632" s="3"/>
      <c r="AQ632" s="3"/>
      <c r="AR632" s="3" t="s">
        <v>52</v>
      </c>
      <c r="AS632" s="3" t="s">
        <v>64</v>
      </c>
      <c r="AT632" s="3" t="s">
        <v>71</v>
      </c>
      <c r="AW632" s="8" t="s">
        <v>2623</v>
      </c>
    </row>
    <row r="633">
      <c r="A633" s="3">
        <v>492.0</v>
      </c>
      <c r="B633" s="3" t="s">
        <v>40</v>
      </c>
      <c r="C633" s="3" t="s">
        <v>1108</v>
      </c>
      <c r="D633" s="3">
        <v>2015.0</v>
      </c>
      <c r="E633" s="3" t="s">
        <v>1109</v>
      </c>
      <c r="F633" s="3" t="s">
        <v>129</v>
      </c>
      <c r="G633" s="3" t="s">
        <v>2600</v>
      </c>
      <c r="H633" s="3" t="s">
        <v>82</v>
      </c>
      <c r="I633" s="3" t="s">
        <v>2147</v>
      </c>
      <c r="J633" s="3" t="s">
        <v>82</v>
      </c>
      <c r="K633" s="3" t="s">
        <v>2217</v>
      </c>
      <c r="L633" s="3" t="s">
        <v>2224</v>
      </c>
      <c r="M633" s="3" t="s">
        <v>314</v>
      </c>
      <c r="S633" s="9" t="str">
        <f t="array" ref="S633">"[" &amp; TEXTJOIN(", ", TRUE, IF(LEN(T633:AB633), CHAR(34)&amp;T633:AB633&amp;CHAR(34), )) &amp; "]"
</f>
        <v>["Problematic native species/diseases", "Agricultural &amp; forestry effluents", "Roads &amp; railroads"]</v>
      </c>
      <c r="T633" s="3" t="s">
        <v>244</v>
      </c>
      <c r="U633" s="3"/>
      <c r="V633" s="3"/>
      <c r="W633" s="3" t="s">
        <v>62</v>
      </c>
      <c r="Y633" s="3" t="s">
        <v>63</v>
      </c>
      <c r="AC633" s="3" t="s">
        <v>244</v>
      </c>
      <c r="AF633" s="3" t="s">
        <v>62</v>
      </c>
      <c r="AH633" s="3" t="s">
        <v>63</v>
      </c>
      <c r="AL633" s="9" t="str">
        <f t="array" ref="AL633">"[" &amp; TEXTJOIN(", ", TRUE, IF(LEN(AM633:AQ633), CHAR(34)&amp;AM633:AQ633&amp;CHAR(34), )) &amp; "]"
</f>
        <v>["Invasive &amp; other problematic species, genes &amp; diseases", "Pollution", "Transportation &amp; service corridors"]</v>
      </c>
      <c r="AM633" s="3" t="s">
        <v>54</v>
      </c>
      <c r="AN633" s="3" t="s">
        <v>64</v>
      </c>
      <c r="AO633" s="3" t="s">
        <v>65</v>
      </c>
      <c r="AP633" s="3"/>
      <c r="AQ633" s="3"/>
      <c r="AR633" s="3" t="s">
        <v>54</v>
      </c>
      <c r="AS633" s="3" t="s">
        <v>64</v>
      </c>
      <c r="AT633" s="3" t="s">
        <v>65</v>
      </c>
      <c r="AW633" s="8" t="s">
        <v>2624</v>
      </c>
    </row>
    <row r="634">
      <c r="A634" s="3">
        <v>493.0</v>
      </c>
      <c r="B634" s="3" t="s">
        <v>40</v>
      </c>
      <c r="C634" s="3" t="s">
        <v>1110</v>
      </c>
      <c r="D634" s="3">
        <v>2015.0</v>
      </c>
      <c r="E634" s="3" t="s">
        <v>1111</v>
      </c>
      <c r="F634" s="3" t="s">
        <v>129</v>
      </c>
      <c r="G634" s="3" t="s">
        <v>2600</v>
      </c>
      <c r="H634" s="3" t="s">
        <v>82</v>
      </c>
      <c r="I634" s="3" t="s">
        <v>2147</v>
      </c>
      <c r="J634" s="3" t="s">
        <v>82</v>
      </c>
      <c r="K634" s="3" t="s">
        <v>2217</v>
      </c>
      <c r="L634" s="3" t="s">
        <v>2224</v>
      </c>
      <c r="M634" s="3" t="s">
        <v>314</v>
      </c>
      <c r="S634" s="9" t="str">
        <f t="array" ref="S634">"[" &amp; TEXTJOIN(", ", TRUE, IF(LEN(T634:AB634), CHAR(34)&amp;T634:AB634&amp;CHAR(34), )) &amp; "]"
</f>
        <v>["Problematic native species/diseases", "Agricultural &amp; forestry effluents", "Roads &amp; railroads"]</v>
      </c>
      <c r="T634" s="3" t="s">
        <v>244</v>
      </c>
      <c r="U634" s="3"/>
      <c r="V634" s="3"/>
      <c r="W634" s="3" t="s">
        <v>62</v>
      </c>
      <c r="Y634" s="3" t="s">
        <v>63</v>
      </c>
      <c r="AC634" s="3" t="s">
        <v>244</v>
      </c>
      <c r="AF634" s="3" t="s">
        <v>62</v>
      </c>
      <c r="AH634" s="3" t="s">
        <v>63</v>
      </c>
      <c r="AL634" s="9" t="str">
        <f t="array" ref="AL634">"[" &amp; TEXTJOIN(", ", TRUE, IF(LEN(AM634:AQ634), CHAR(34)&amp;AM634:AQ634&amp;CHAR(34), )) &amp; "]"
</f>
        <v>["Invasive &amp; other problematic species, genes &amp; diseases", "Pollution", "Transportation &amp; service corridors"]</v>
      </c>
      <c r="AM634" s="3" t="s">
        <v>54</v>
      </c>
      <c r="AN634" s="3" t="s">
        <v>64</v>
      </c>
      <c r="AO634" s="3" t="s">
        <v>65</v>
      </c>
      <c r="AP634" s="3"/>
      <c r="AQ634" s="3"/>
      <c r="AR634" s="3" t="s">
        <v>54</v>
      </c>
      <c r="AS634" s="3" t="s">
        <v>64</v>
      </c>
      <c r="AT634" s="3" t="s">
        <v>65</v>
      </c>
      <c r="AW634" s="8" t="s">
        <v>2625</v>
      </c>
    </row>
    <row r="635" hidden="1">
      <c r="A635" s="3">
        <v>758.0</v>
      </c>
      <c r="B635" s="3" t="s">
        <v>72</v>
      </c>
      <c r="C635" s="3" t="s">
        <v>1630</v>
      </c>
      <c r="D635" s="3">
        <v>2014.0</v>
      </c>
      <c r="E635" s="3" t="s">
        <v>1631</v>
      </c>
      <c r="F635" s="3" t="s">
        <v>158</v>
      </c>
      <c r="G635" s="3"/>
      <c r="H635" s="3" t="s">
        <v>58</v>
      </c>
      <c r="I635" s="3"/>
      <c r="J635" s="3" t="s">
        <v>58</v>
      </c>
      <c r="K635" s="3"/>
      <c r="L635" s="3"/>
      <c r="M635" s="3" t="s">
        <v>286</v>
      </c>
      <c r="S635" s="3"/>
      <c r="T635" s="3"/>
      <c r="U635" s="3"/>
      <c r="V635" s="3"/>
      <c r="W635" s="3"/>
      <c r="X635" s="3"/>
      <c r="Y635" s="3"/>
      <c r="Z635" s="3"/>
      <c r="AA635" s="3"/>
      <c r="AB635" s="3"/>
      <c r="AC635" s="3" t="s">
        <v>147</v>
      </c>
      <c r="AF635" s="3" t="s">
        <v>49</v>
      </c>
      <c r="AH635" s="3" t="s">
        <v>50</v>
      </c>
      <c r="AJ635" s="3" t="s">
        <v>63</v>
      </c>
      <c r="AL635" s="3"/>
      <c r="AM635" s="3"/>
      <c r="AN635" s="3"/>
      <c r="AO635" s="3"/>
      <c r="AP635" s="3"/>
      <c r="AQ635" s="3"/>
      <c r="AR635" s="3" t="s">
        <v>64</v>
      </c>
      <c r="AS635" s="3" t="s">
        <v>53</v>
      </c>
      <c r="AT635" s="3" t="s">
        <v>54</v>
      </c>
      <c r="AU635" s="3" t="s">
        <v>65</v>
      </c>
      <c r="AW635" s="8" t="s">
        <v>2135</v>
      </c>
    </row>
    <row r="636">
      <c r="A636" s="3">
        <v>429.0</v>
      </c>
      <c r="B636" s="3" t="s">
        <v>40</v>
      </c>
      <c r="C636" s="3" t="s">
        <v>983</v>
      </c>
      <c r="D636" s="3">
        <v>2017.0</v>
      </c>
      <c r="E636" s="3" t="s">
        <v>984</v>
      </c>
      <c r="F636" s="3" t="s">
        <v>129</v>
      </c>
      <c r="G636" s="3" t="s">
        <v>2600</v>
      </c>
      <c r="H636" s="3" t="s">
        <v>82</v>
      </c>
      <c r="I636" s="3" t="s">
        <v>2147</v>
      </c>
      <c r="J636" s="3" t="s">
        <v>82</v>
      </c>
      <c r="K636" s="3" t="s">
        <v>2217</v>
      </c>
      <c r="L636" s="3" t="s">
        <v>2218</v>
      </c>
      <c r="M636" s="3" t="s">
        <v>254</v>
      </c>
      <c r="S636" s="9" t="str">
        <f t="array" ref="S636">"[" &amp; TEXTJOIN(", ", TRUE, IF(LEN(T636:AB636), CHAR(34)&amp;T636:AB636&amp;CHAR(34), )) &amp; "]"
</f>
        <v>["Habitat shifting &amp; alteration", "Roads &amp; railroads"]</v>
      </c>
      <c r="T636" s="3" t="s">
        <v>117</v>
      </c>
      <c r="U636" s="3"/>
      <c r="V636" s="3"/>
      <c r="Y636" s="3" t="s">
        <v>63</v>
      </c>
      <c r="AC636" s="3" t="s">
        <v>117</v>
      </c>
      <c r="AF636" s="3" t="s">
        <v>87</v>
      </c>
      <c r="AH636" s="3" t="s">
        <v>63</v>
      </c>
      <c r="AL636" s="9" t="str">
        <f t="array" ref="AL636">"[" &amp; TEXTJOIN(", ", TRUE, IF(LEN(AM636:AQ636), CHAR(34)&amp;AM636:AQ636&amp;CHAR(34), )) &amp; "]"
</f>
        <v>["Climate change &amp; severe weather", "Residential &amp; commercial development", "Transportation &amp; service corridors"]</v>
      </c>
      <c r="AM636" s="3" t="s">
        <v>118</v>
      </c>
      <c r="AN636" s="3" t="s">
        <v>71</v>
      </c>
      <c r="AO636" s="3" t="s">
        <v>65</v>
      </c>
      <c r="AP636" s="3"/>
      <c r="AQ636" s="3"/>
      <c r="AR636" s="3" t="s">
        <v>118</v>
      </c>
      <c r="AS636" s="3" t="s">
        <v>71</v>
      </c>
      <c r="AT636" s="3" t="s">
        <v>65</v>
      </c>
      <c r="AW636" s="8" t="s">
        <v>2626</v>
      </c>
    </row>
    <row r="637">
      <c r="A637" s="3">
        <v>661.0</v>
      </c>
      <c r="B637" s="3" t="s">
        <v>40</v>
      </c>
      <c r="C637" s="3" t="s">
        <v>1434</v>
      </c>
      <c r="D637" s="3">
        <v>2000.0</v>
      </c>
      <c r="E637" s="3" t="s">
        <v>1435</v>
      </c>
      <c r="F637" s="3" t="s">
        <v>129</v>
      </c>
      <c r="G637" s="3" t="s">
        <v>2600</v>
      </c>
      <c r="H637" s="3" t="s">
        <v>82</v>
      </c>
      <c r="I637" s="3" t="s">
        <v>2147</v>
      </c>
      <c r="J637" s="3" t="s">
        <v>82</v>
      </c>
      <c r="K637" s="3" t="s">
        <v>2217</v>
      </c>
      <c r="L637" s="3" t="s">
        <v>2601</v>
      </c>
      <c r="M637" s="3" t="s">
        <v>130</v>
      </c>
      <c r="S637" s="9"/>
      <c r="T637" s="3"/>
      <c r="U637" s="3"/>
      <c r="V637" s="3"/>
      <c r="AL637" s="9" t="str">
        <f t="array" ref="AL637">"[" &amp; TEXTJOIN(", ", TRUE, IF(LEN(AM637:AQ637), CHAR(34)&amp;AM637:AQ637&amp;CHAR(34), )) &amp; "]"
</f>
        <v>["Agriculture &amp; aquaculture"]</v>
      </c>
      <c r="AN637" s="3" t="s">
        <v>51</v>
      </c>
      <c r="AO637" s="3"/>
      <c r="AP637" s="3"/>
      <c r="AQ637" s="3"/>
      <c r="AR637" s="3" t="s">
        <v>78</v>
      </c>
      <c r="AS637" s="3" t="s">
        <v>51</v>
      </c>
      <c r="AW637" s="8" t="s">
        <v>2627</v>
      </c>
    </row>
    <row r="638">
      <c r="A638" s="3">
        <v>662.0</v>
      </c>
      <c r="B638" s="3" t="s">
        <v>40</v>
      </c>
      <c r="C638" s="3" t="s">
        <v>1436</v>
      </c>
      <c r="D638" s="3">
        <v>2011.0</v>
      </c>
      <c r="E638" s="3" t="s">
        <v>1437</v>
      </c>
      <c r="F638" s="3" t="s">
        <v>129</v>
      </c>
      <c r="G638" s="3" t="s">
        <v>2600</v>
      </c>
      <c r="H638" s="3" t="s">
        <v>82</v>
      </c>
      <c r="I638" s="3" t="s">
        <v>2147</v>
      </c>
      <c r="J638" s="3" t="s">
        <v>82</v>
      </c>
      <c r="K638" s="3" t="s">
        <v>2217</v>
      </c>
      <c r="L638" s="3" t="s">
        <v>2601</v>
      </c>
      <c r="M638" s="3" t="s">
        <v>130</v>
      </c>
      <c r="S638" s="9"/>
      <c r="T638" s="3"/>
      <c r="U638" s="3"/>
      <c r="V638" s="3"/>
      <c r="AL638" s="9" t="str">
        <f t="array" ref="AL638">"[" &amp; TEXTJOIN(", ", TRUE, IF(LEN(AM638:AQ638), CHAR(34)&amp;AM638:AQ638&amp;CHAR(34), )) &amp; "]"
</f>
        <v>["Agriculture &amp; aquaculture"]</v>
      </c>
      <c r="AN638" s="3" t="s">
        <v>51</v>
      </c>
      <c r="AO638" s="3"/>
      <c r="AP638" s="3"/>
      <c r="AQ638" s="3"/>
      <c r="AR638" s="3" t="s">
        <v>78</v>
      </c>
      <c r="AS638" s="3" t="s">
        <v>51</v>
      </c>
      <c r="AW638" s="8" t="s">
        <v>2628</v>
      </c>
    </row>
    <row r="639">
      <c r="A639" s="3">
        <v>742.0</v>
      </c>
      <c r="B639" s="3" t="s">
        <v>40</v>
      </c>
      <c r="C639" s="3" t="s">
        <v>1600</v>
      </c>
      <c r="D639" s="3">
        <v>2015.0</v>
      </c>
      <c r="E639" s="3" t="s">
        <v>1601</v>
      </c>
      <c r="F639" s="3" t="s">
        <v>129</v>
      </c>
      <c r="G639" s="3" t="s">
        <v>2600</v>
      </c>
      <c r="H639" s="3" t="s">
        <v>82</v>
      </c>
      <c r="I639" s="3" t="s">
        <v>2147</v>
      </c>
      <c r="J639" s="3" t="s">
        <v>82</v>
      </c>
      <c r="K639" s="3" t="s">
        <v>2217</v>
      </c>
      <c r="L639" s="3" t="s">
        <v>2237</v>
      </c>
      <c r="M639" s="3" t="s">
        <v>384</v>
      </c>
      <c r="S639" s="9" t="str">
        <f t="array" ref="S639">"[" &amp; TEXTJOIN(", ", TRUE, IF(LEN(T639:AB639), CHAR(34)&amp;T639:AB639&amp;CHAR(34), )) &amp; "]"
</f>
        <v>["Industrial &amp; military effluents", "Fishing &amp; harvesting aquatic resources"]</v>
      </c>
      <c r="T639" s="3" t="s">
        <v>147</v>
      </c>
      <c r="U639" s="3"/>
      <c r="V639" s="3"/>
      <c r="W639" s="3" t="s">
        <v>2468</v>
      </c>
      <c r="AC639" s="3" t="s">
        <v>147</v>
      </c>
      <c r="AF639" s="3" t="s">
        <v>247</v>
      </c>
      <c r="AL639" s="9" t="str">
        <f t="array" ref="AL639">"[" &amp; TEXTJOIN(", ", TRUE, IF(LEN(AM639:AQ639), CHAR(34)&amp;AM639:AQ639&amp;CHAR(34), )) &amp; "]"
</f>
        <v>["Pollution", "Biological resource use"]</v>
      </c>
      <c r="AM639" s="3" t="s">
        <v>64</v>
      </c>
      <c r="AN639" s="3" t="s">
        <v>52</v>
      </c>
      <c r="AO639" s="3"/>
      <c r="AP639" s="3"/>
      <c r="AQ639" s="3"/>
      <c r="AR639" s="3" t="s">
        <v>64</v>
      </c>
      <c r="AS639" s="3" t="s">
        <v>52</v>
      </c>
      <c r="AW639" s="8" t="s">
        <v>2629</v>
      </c>
    </row>
    <row r="640">
      <c r="A640" s="3">
        <v>739.0</v>
      </c>
      <c r="B640" s="3" t="s">
        <v>40</v>
      </c>
      <c r="C640" s="3" t="s">
        <v>1594</v>
      </c>
      <c r="D640" s="3">
        <v>2012.0</v>
      </c>
      <c r="E640" s="3" t="s">
        <v>1595</v>
      </c>
      <c r="F640" s="3" t="s">
        <v>129</v>
      </c>
      <c r="G640" s="3" t="s">
        <v>2600</v>
      </c>
      <c r="H640" s="3" t="s">
        <v>82</v>
      </c>
      <c r="I640" s="3" t="s">
        <v>2147</v>
      </c>
      <c r="J640" s="3" t="s">
        <v>82</v>
      </c>
      <c r="K640" s="3" t="s">
        <v>2217</v>
      </c>
      <c r="L640" s="3" t="s">
        <v>2237</v>
      </c>
      <c r="M640" s="3" t="s">
        <v>384</v>
      </c>
      <c r="S640" s="9" t="str">
        <f t="array" ref="S640">"[" &amp; TEXTJOIN(", ", TRUE, IF(LEN(T640:AB640), CHAR(34)&amp;T640:AB640&amp;CHAR(34), )) &amp; "]"
</f>
        <v>["Industrial &amp; military effluents", "Hunting &amp; collecting terrestrial animals"]</v>
      </c>
      <c r="T640" s="3" t="s">
        <v>147</v>
      </c>
      <c r="U640" s="3"/>
      <c r="V640" s="3"/>
      <c r="W640" s="3" t="s">
        <v>2178</v>
      </c>
      <c r="AC640" s="3" t="s">
        <v>147</v>
      </c>
      <c r="AF640" s="3" t="s">
        <v>61</v>
      </c>
      <c r="AL640" s="9" t="str">
        <f t="array" ref="AL640">"[" &amp; TEXTJOIN(", ", TRUE, IF(LEN(AM640:AQ640), CHAR(34)&amp;AM640:AQ640&amp;CHAR(34), )) &amp; "]"
</f>
        <v>["Pollution", "Biological resource use"]</v>
      </c>
      <c r="AM640" s="3" t="s">
        <v>64</v>
      </c>
      <c r="AN640" s="3" t="s">
        <v>52</v>
      </c>
      <c r="AO640" s="3"/>
      <c r="AP640" s="3"/>
      <c r="AQ640" s="3"/>
      <c r="AR640" s="3" t="s">
        <v>64</v>
      </c>
      <c r="AS640" s="3" t="s">
        <v>52</v>
      </c>
      <c r="AW640" s="8" t="s">
        <v>2630</v>
      </c>
    </row>
    <row r="641">
      <c r="A641" s="3">
        <v>740.0</v>
      </c>
      <c r="B641" s="3" t="s">
        <v>40</v>
      </c>
      <c r="C641" s="3" t="s">
        <v>1596</v>
      </c>
      <c r="D641" s="3">
        <v>2012.0</v>
      </c>
      <c r="E641" s="3" t="s">
        <v>1597</v>
      </c>
      <c r="F641" s="3" t="s">
        <v>129</v>
      </c>
      <c r="G641" s="3" t="s">
        <v>2600</v>
      </c>
      <c r="H641" s="3" t="s">
        <v>82</v>
      </c>
      <c r="I641" s="3" t="s">
        <v>2147</v>
      </c>
      <c r="J641" s="3" t="s">
        <v>82</v>
      </c>
      <c r="K641" s="3" t="s">
        <v>2217</v>
      </c>
      <c r="L641" s="3" t="s">
        <v>2237</v>
      </c>
      <c r="M641" s="3" t="s">
        <v>384</v>
      </c>
      <c r="S641" s="9" t="str">
        <f t="array" ref="S641">"[" &amp; TEXTJOIN(", ", TRUE, IF(LEN(T641:AB641), CHAR(34)&amp;T641:AB641&amp;CHAR(34), )) &amp; "]"
</f>
        <v>["Industrial &amp; military effluents", "Hunting &amp; collecting terrestrial animals"]</v>
      </c>
      <c r="T641" s="3" t="s">
        <v>147</v>
      </c>
      <c r="U641" s="3"/>
      <c r="V641" s="3"/>
      <c r="W641" s="3" t="s">
        <v>2178</v>
      </c>
      <c r="AC641" s="3" t="s">
        <v>147</v>
      </c>
      <c r="AF641" s="3" t="s">
        <v>61</v>
      </c>
      <c r="AL641" s="9" t="str">
        <f t="array" ref="AL641">"[" &amp; TEXTJOIN(", ", TRUE, IF(LEN(AM641:AQ641), CHAR(34)&amp;AM641:AQ641&amp;CHAR(34), )) &amp; "]"
</f>
        <v>["Pollution", "Biological resource use"]</v>
      </c>
      <c r="AM641" s="3" t="s">
        <v>64</v>
      </c>
      <c r="AN641" s="3" t="s">
        <v>52</v>
      </c>
      <c r="AO641" s="3"/>
      <c r="AP641" s="3"/>
      <c r="AQ641" s="3"/>
      <c r="AR641" s="3" t="s">
        <v>64</v>
      </c>
      <c r="AS641" s="3" t="s">
        <v>52</v>
      </c>
      <c r="AW641" s="8" t="s">
        <v>2631</v>
      </c>
    </row>
    <row r="642" hidden="1">
      <c r="A642" s="3">
        <v>937.0</v>
      </c>
      <c r="B642" s="3" t="s">
        <v>40</v>
      </c>
      <c r="C642" s="3" t="s">
        <v>1978</v>
      </c>
      <c r="D642" s="3">
        <v>2014.0</v>
      </c>
      <c r="E642" s="3" t="s">
        <v>1979</v>
      </c>
      <c r="F642" s="3" t="s">
        <v>158</v>
      </c>
      <c r="G642" s="3"/>
      <c r="H642" s="3" t="s">
        <v>58</v>
      </c>
      <c r="I642" s="3"/>
      <c r="J642" s="3" t="s">
        <v>58</v>
      </c>
      <c r="K642" s="3"/>
      <c r="L642" s="3"/>
      <c r="M642" s="3" t="s">
        <v>96</v>
      </c>
      <c r="S642" s="3"/>
      <c r="T642" s="3"/>
      <c r="U642" s="3"/>
      <c r="V642" s="3"/>
      <c r="W642" s="3"/>
      <c r="X642" s="3"/>
      <c r="AC642" s="3" t="s">
        <v>70</v>
      </c>
      <c r="AF642" s="3" t="s">
        <v>63</v>
      </c>
      <c r="AL642" s="3"/>
      <c r="AM642" s="3"/>
      <c r="AN642" s="3"/>
      <c r="AO642" s="3"/>
      <c r="AP642" s="3"/>
      <c r="AQ642" s="3"/>
      <c r="AR642" s="3" t="s">
        <v>71</v>
      </c>
      <c r="AS642" s="3" t="s">
        <v>65</v>
      </c>
    </row>
    <row r="643" hidden="1">
      <c r="A643" s="3">
        <v>962.0</v>
      </c>
      <c r="B643" s="3" t="s">
        <v>40</v>
      </c>
      <c r="C643" s="3" t="s">
        <v>2030</v>
      </c>
      <c r="D643" s="3">
        <v>2015.0</v>
      </c>
      <c r="E643" s="3" t="s">
        <v>2031</v>
      </c>
      <c r="F643" s="3" t="s">
        <v>158</v>
      </c>
      <c r="G643" s="3"/>
      <c r="H643" s="3" t="s">
        <v>58</v>
      </c>
      <c r="I643" s="3"/>
      <c r="J643" s="3" t="s">
        <v>58</v>
      </c>
      <c r="K643" s="3"/>
      <c r="L643" s="3"/>
      <c r="M643" s="3" t="s">
        <v>286</v>
      </c>
      <c r="S643" s="3"/>
      <c r="T643" s="3"/>
      <c r="U643" s="3"/>
      <c r="V643" s="3"/>
      <c r="W643" s="3"/>
      <c r="X643" s="3"/>
      <c r="AC643" s="3" t="s">
        <v>63</v>
      </c>
      <c r="AF643" s="3" t="s">
        <v>50</v>
      </c>
      <c r="AL643" s="3"/>
      <c r="AM643" s="3"/>
      <c r="AN643" s="3"/>
      <c r="AO643" s="3"/>
      <c r="AP643" s="3"/>
      <c r="AQ643" s="3"/>
      <c r="AR643" s="3" t="s">
        <v>65</v>
      </c>
      <c r="AS643" s="3" t="s">
        <v>54</v>
      </c>
    </row>
    <row r="644" hidden="1">
      <c r="A644" s="3">
        <v>964.0</v>
      </c>
      <c r="B644" s="3" t="s">
        <v>40</v>
      </c>
      <c r="C644" s="3" t="s">
        <v>2033</v>
      </c>
      <c r="D644" s="3">
        <v>2018.0</v>
      </c>
      <c r="E644" s="3" t="s">
        <v>2034</v>
      </c>
      <c r="F644" s="3" t="s">
        <v>158</v>
      </c>
      <c r="G644" s="3"/>
      <c r="H644" s="3" t="s">
        <v>58</v>
      </c>
      <c r="I644" s="3"/>
      <c r="J644" s="3" t="s">
        <v>58</v>
      </c>
      <c r="K644" s="3"/>
      <c r="L644" s="3"/>
      <c r="M644" s="3" t="s">
        <v>76</v>
      </c>
      <c r="N644" s="3" t="s">
        <v>388</v>
      </c>
      <c r="O644" s="3" t="s">
        <v>285</v>
      </c>
      <c r="P644" s="3" t="s">
        <v>69</v>
      </c>
      <c r="Q644" s="3" t="s">
        <v>110</v>
      </c>
      <c r="S644" s="3"/>
      <c r="T644" s="3"/>
      <c r="U644" s="3"/>
      <c r="V644" s="3"/>
      <c r="AC644" s="3" t="s">
        <v>63</v>
      </c>
      <c r="AL644" s="3"/>
      <c r="AM644" s="3"/>
      <c r="AN644" s="3"/>
      <c r="AO644" s="3"/>
      <c r="AP644" s="3"/>
      <c r="AQ644" s="3"/>
      <c r="AR644" s="3" t="s">
        <v>65</v>
      </c>
      <c r="AS644" s="3" t="s">
        <v>53</v>
      </c>
    </row>
    <row r="645" hidden="1">
      <c r="A645" s="3">
        <v>983.0</v>
      </c>
      <c r="B645" s="3" t="s">
        <v>40</v>
      </c>
      <c r="C645" s="3" t="s">
        <v>2072</v>
      </c>
      <c r="D645" s="3">
        <v>2012.0</v>
      </c>
      <c r="E645" s="3" t="s">
        <v>2073</v>
      </c>
      <c r="F645" s="3" t="s">
        <v>158</v>
      </c>
      <c r="G645" s="3"/>
      <c r="H645" s="3" t="s">
        <v>58</v>
      </c>
      <c r="I645" s="3"/>
      <c r="J645" s="3" t="s">
        <v>58</v>
      </c>
      <c r="K645" s="3"/>
      <c r="L645" s="3"/>
      <c r="M645" s="3" t="s">
        <v>286</v>
      </c>
      <c r="S645" s="3"/>
      <c r="T645" s="3"/>
      <c r="U645" s="3"/>
      <c r="V645" s="3"/>
      <c r="AC645" s="3" t="s">
        <v>63</v>
      </c>
      <c r="AL645" s="3"/>
      <c r="AM645" s="3"/>
      <c r="AN645" s="3"/>
      <c r="AO645" s="3"/>
      <c r="AP645" s="3"/>
      <c r="AQ645" s="3"/>
      <c r="AR645" s="3" t="s">
        <v>65</v>
      </c>
    </row>
    <row r="646" hidden="1">
      <c r="A646" s="3">
        <v>732.0</v>
      </c>
      <c r="B646" s="3" t="s">
        <v>106</v>
      </c>
      <c r="C646" s="3" t="s">
        <v>221</v>
      </c>
      <c r="D646" s="3">
        <v>1991.0</v>
      </c>
      <c r="E646" s="3" t="s">
        <v>1580</v>
      </c>
      <c r="F646" s="3" t="s">
        <v>1581</v>
      </c>
      <c r="G646" s="3"/>
      <c r="H646" s="3" t="s">
        <v>124</v>
      </c>
      <c r="I646" s="3"/>
      <c r="K646" s="3"/>
      <c r="L646" s="3"/>
      <c r="M646" s="3" t="s">
        <v>110</v>
      </c>
      <c r="S646" s="3"/>
      <c r="T646" s="3"/>
      <c r="U646" s="3"/>
      <c r="V646" s="3"/>
      <c r="W646" s="3"/>
      <c r="X646" s="3"/>
      <c r="Y646" s="3"/>
      <c r="Z646" s="3"/>
      <c r="AC646" s="3" t="s">
        <v>62</v>
      </c>
      <c r="AF646" s="3" t="s">
        <v>61</v>
      </c>
      <c r="AH646" s="3" t="s">
        <v>49</v>
      </c>
      <c r="AL646" s="3"/>
      <c r="AM646" s="3"/>
      <c r="AN646" s="3"/>
      <c r="AO646" s="3"/>
      <c r="AP646" s="3"/>
      <c r="AQ646" s="3"/>
      <c r="AR646" s="3" t="s">
        <v>64</v>
      </c>
      <c r="AS646" s="3" t="s">
        <v>52</v>
      </c>
      <c r="AT646" s="3" t="s">
        <v>53</v>
      </c>
      <c r="AW646" s="8" t="s">
        <v>2135</v>
      </c>
    </row>
    <row r="647">
      <c r="A647" s="3">
        <v>85.0</v>
      </c>
      <c r="B647" s="3" t="s">
        <v>40</v>
      </c>
      <c r="C647" s="3" t="s">
        <v>333</v>
      </c>
      <c r="D647" s="3">
        <v>2007.0</v>
      </c>
      <c r="E647" s="3" t="s">
        <v>334</v>
      </c>
      <c r="F647" s="3" t="s">
        <v>129</v>
      </c>
      <c r="G647" s="3" t="s">
        <v>2600</v>
      </c>
      <c r="H647" s="3" t="s">
        <v>82</v>
      </c>
      <c r="I647" s="3" t="s">
        <v>2147</v>
      </c>
      <c r="J647" s="3" t="s">
        <v>82</v>
      </c>
      <c r="K647" s="3" t="s">
        <v>2217</v>
      </c>
      <c r="L647" s="3" t="s">
        <v>2218</v>
      </c>
      <c r="M647" s="3" t="s">
        <v>254</v>
      </c>
      <c r="S647" s="9" t="str">
        <f t="array" ref="S647">"[" &amp; TEXTJOIN(", ", TRUE, IF(LEN(T647:AB647), CHAR(34)&amp;T647:AB647&amp;CHAR(34), )) &amp; "]"
</f>
        <v>["Habitat shifting &amp; alteration"]</v>
      </c>
      <c r="T647" s="3"/>
      <c r="U647" s="3"/>
      <c r="V647" s="3"/>
      <c r="W647" s="3" t="s">
        <v>117</v>
      </c>
      <c r="AF647" s="3" t="s">
        <v>117</v>
      </c>
      <c r="AL647" s="9" t="str">
        <f t="array" ref="AL647">"[" &amp; TEXTJOIN(", ", TRUE, IF(LEN(AM647:AQ647), CHAR(34)&amp;AM647:AQ647&amp;CHAR(34), )) &amp; "]"
</f>
        <v>["Biological resource use", "Climate change &amp; severe weather"]</v>
      </c>
      <c r="AM647" s="3" t="s">
        <v>52</v>
      </c>
      <c r="AN647" s="3" t="s">
        <v>118</v>
      </c>
      <c r="AO647" s="3"/>
      <c r="AP647" s="3"/>
      <c r="AQ647" s="3"/>
      <c r="AR647" s="3" t="s">
        <v>52</v>
      </c>
      <c r="AS647" s="3" t="s">
        <v>118</v>
      </c>
      <c r="AW647" s="8" t="s">
        <v>2632</v>
      </c>
    </row>
    <row r="648">
      <c r="A648" s="3">
        <v>80.0</v>
      </c>
      <c r="B648" s="3" t="s">
        <v>40</v>
      </c>
      <c r="C648" s="3" t="s">
        <v>318</v>
      </c>
      <c r="D648" s="3">
        <v>2009.0</v>
      </c>
      <c r="E648" s="3" t="s">
        <v>319</v>
      </c>
      <c r="F648" s="3" t="s">
        <v>129</v>
      </c>
      <c r="G648" s="3" t="s">
        <v>2600</v>
      </c>
      <c r="H648" s="3" t="s">
        <v>82</v>
      </c>
      <c r="I648" s="3" t="s">
        <v>2147</v>
      </c>
      <c r="J648" s="3" t="s">
        <v>82</v>
      </c>
      <c r="K648" s="3" t="s">
        <v>2217</v>
      </c>
      <c r="L648" s="3" t="s">
        <v>2221</v>
      </c>
      <c r="M648" s="3" t="s">
        <v>317</v>
      </c>
      <c r="S648" s="9" t="str">
        <f t="array" ref="S648">"[" &amp; TEXTJOIN(", ", TRUE, IF(LEN(T648:AB648), CHAR(34)&amp;T648:AB648&amp;CHAR(34), )) &amp; "]"
</f>
        <v>["Hunting &amp; Collecting Terrestrial Animals", "Logging &amp; Wood Harvesting", "Habitat shifting &amp; alteration"]</v>
      </c>
      <c r="T648" s="3" t="s">
        <v>2138</v>
      </c>
      <c r="U648" s="3" t="s">
        <v>2139</v>
      </c>
      <c r="V648" s="3"/>
      <c r="W648" s="3" t="s">
        <v>117</v>
      </c>
      <c r="AC648" s="3" t="s">
        <v>61</v>
      </c>
      <c r="AD648" s="3" t="s">
        <v>48</v>
      </c>
      <c r="AF648" s="3" t="s">
        <v>117</v>
      </c>
      <c r="AL648" s="9" t="str">
        <f t="array" ref="AL648">"[" &amp; TEXTJOIN(", ", TRUE, IF(LEN(AM648:AQ648), CHAR(34)&amp;AM648:AQ648&amp;CHAR(34), )) &amp; "]"
</f>
        <v>["Biological resource use", "Climate change &amp; severe weather"]</v>
      </c>
      <c r="AM648" s="3" t="s">
        <v>52</v>
      </c>
      <c r="AN648" s="3" t="s">
        <v>118</v>
      </c>
      <c r="AP648" s="3"/>
      <c r="AQ648" s="3"/>
      <c r="AR648" s="3" t="s">
        <v>52</v>
      </c>
      <c r="AS648" s="3" t="s">
        <v>118</v>
      </c>
      <c r="AT648" s="3" t="s">
        <v>78</v>
      </c>
      <c r="AW648" s="8" t="s">
        <v>2633</v>
      </c>
    </row>
    <row r="649" hidden="1">
      <c r="A649" s="3">
        <v>382.0</v>
      </c>
      <c r="B649" s="3" t="s">
        <v>106</v>
      </c>
      <c r="C649" s="3" t="s">
        <v>924</v>
      </c>
      <c r="D649" s="3">
        <v>2011.0</v>
      </c>
      <c r="E649" s="3" t="s">
        <v>925</v>
      </c>
      <c r="F649" s="3" t="s">
        <v>492</v>
      </c>
      <c r="G649" s="3"/>
      <c r="H649" s="3" t="s">
        <v>58</v>
      </c>
      <c r="I649" s="3"/>
      <c r="K649" s="3"/>
      <c r="L649" s="3"/>
      <c r="M649" s="3" t="s">
        <v>110</v>
      </c>
      <c r="S649" s="3"/>
      <c r="T649" s="3"/>
      <c r="U649" s="3"/>
      <c r="V649" s="3"/>
      <c r="AC649" s="3" t="s">
        <v>61</v>
      </c>
      <c r="AL649" s="3"/>
      <c r="AM649" s="3"/>
      <c r="AN649" s="3"/>
      <c r="AO649" s="3"/>
      <c r="AP649" s="3"/>
      <c r="AQ649" s="3"/>
      <c r="AR649" s="3" t="s">
        <v>52</v>
      </c>
      <c r="AW649" s="8" t="s">
        <v>2135</v>
      </c>
    </row>
    <row r="650">
      <c r="A650" s="3">
        <v>86.0</v>
      </c>
      <c r="B650" s="3" t="s">
        <v>40</v>
      </c>
      <c r="C650" s="3" t="s">
        <v>335</v>
      </c>
      <c r="D650" s="3">
        <v>2013.0</v>
      </c>
      <c r="E650" s="3" t="s">
        <v>336</v>
      </c>
      <c r="F650" s="3" t="s">
        <v>129</v>
      </c>
      <c r="G650" s="3" t="s">
        <v>2600</v>
      </c>
      <c r="H650" s="3" t="s">
        <v>82</v>
      </c>
      <c r="I650" s="3" t="s">
        <v>2147</v>
      </c>
      <c r="J650" s="3" t="s">
        <v>82</v>
      </c>
      <c r="K650" s="3" t="s">
        <v>2217</v>
      </c>
      <c r="L650" s="3" t="s">
        <v>2221</v>
      </c>
      <c r="M650" s="3" t="s">
        <v>317</v>
      </c>
      <c r="S650" s="9" t="str">
        <f t="array" ref="S650">"[" &amp; TEXTJOIN(", ", TRUE, IF(LEN(T650:AB650), CHAR(34)&amp;T650:AB650&amp;CHAR(34), )) &amp; "]"
</f>
        <v>["Logging &amp; Wood Harvesting", "Habitat shifting &amp; alteration"]</v>
      </c>
      <c r="T650" s="3" t="s">
        <v>2139</v>
      </c>
      <c r="U650" s="3"/>
      <c r="V650" s="3"/>
      <c r="W650" s="3" t="s">
        <v>117</v>
      </c>
      <c r="AC650" s="3" t="s">
        <v>48</v>
      </c>
      <c r="AF650" s="3" t="s">
        <v>117</v>
      </c>
      <c r="AL650" s="9" t="str">
        <f t="array" ref="AL650">"[" &amp; TEXTJOIN(", ", TRUE, IF(LEN(AM650:AQ650), CHAR(34)&amp;AM650:AQ650&amp;CHAR(34), )) &amp; "]"
</f>
        <v>["Biological resource use", "Climate change &amp; severe weather"]</v>
      </c>
      <c r="AM650" s="3" t="s">
        <v>52</v>
      </c>
      <c r="AN650" s="3" t="s">
        <v>118</v>
      </c>
      <c r="AO650" s="3"/>
      <c r="AP650" s="3"/>
      <c r="AQ650" s="3"/>
      <c r="AR650" s="3" t="s">
        <v>52</v>
      </c>
      <c r="AS650" s="3" t="s">
        <v>118</v>
      </c>
      <c r="AW650" s="8" t="s">
        <v>2634</v>
      </c>
    </row>
    <row r="651">
      <c r="A651" s="3">
        <v>87.0</v>
      </c>
      <c r="B651" s="3" t="s">
        <v>40</v>
      </c>
      <c r="C651" s="3" t="s">
        <v>337</v>
      </c>
      <c r="D651" s="3">
        <v>2019.0</v>
      </c>
      <c r="E651" s="3" t="s">
        <v>338</v>
      </c>
      <c r="F651" s="3" t="s">
        <v>129</v>
      </c>
      <c r="G651" s="3" t="s">
        <v>2600</v>
      </c>
      <c r="H651" s="3" t="s">
        <v>82</v>
      </c>
      <c r="I651" s="3" t="s">
        <v>2147</v>
      </c>
      <c r="J651" s="3" t="s">
        <v>82</v>
      </c>
      <c r="K651" s="3" t="s">
        <v>2217</v>
      </c>
      <c r="L651" s="3" t="s">
        <v>2221</v>
      </c>
      <c r="M651" s="3" t="s">
        <v>317</v>
      </c>
      <c r="S651" s="9" t="str">
        <f t="array" ref="S651">"[" &amp; TEXTJOIN(", ", TRUE, IF(LEN(T651:AB651), CHAR(34)&amp;T651:AB651&amp;CHAR(34), )) &amp; "]"
</f>
        <v>["Logging &amp; Wood Harvesting", "Habitat shifting &amp; alteration"]</v>
      </c>
      <c r="T651" s="3" t="s">
        <v>2139</v>
      </c>
      <c r="U651" s="3"/>
      <c r="V651" s="3"/>
      <c r="W651" s="3" t="s">
        <v>117</v>
      </c>
      <c r="AC651" s="3" t="s">
        <v>48</v>
      </c>
      <c r="AF651" s="3" t="s">
        <v>117</v>
      </c>
      <c r="AL651" s="9" t="str">
        <f t="array" ref="AL651">"[" &amp; TEXTJOIN(", ", TRUE, IF(LEN(AM651:AQ651), CHAR(34)&amp;AM651:AQ651&amp;CHAR(34), )) &amp; "]"
</f>
        <v>["Biological resource use", "Climate change &amp; severe weather"]</v>
      </c>
      <c r="AM651" s="3" t="s">
        <v>52</v>
      </c>
      <c r="AN651" s="3" t="s">
        <v>118</v>
      </c>
      <c r="AO651" s="3"/>
      <c r="AP651" s="3"/>
      <c r="AQ651" s="3"/>
      <c r="AR651" s="3" t="s">
        <v>52</v>
      </c>
      <c r="AS651" s="3" t="s">
        <v>118</v>
      </c>
      <c r="AW651" s="8" t="s">
        <v>2635</v>
      </c>
    </row>
    <row r="652" hidden="1">
      <c r="A652" s="3">
        <v>954.0</v>
      </c>
      <c r="B652" s="3" t="s">
        <v>40</v>
      </c>
      <c r="C652" s="3" t="s">
        <v>2015</v>
      </c>
      <c r="D652" s="3">
        <v>2008.0</v>
      </c>
      <c r="E652" s="3" t="s">
        <v>2016</v>
      </c>
      <c r="F652" s="3" t="s">
        <v>492</v>
      </c>
      <c r="G652" s="3"/>
      <c r="H652" s="3" t="s">
        <v>58</v>
      </c>
      <c r="I652" s="3"/>
      <c r="J652" s="3" t="s">
        <v>58</v>
      </c>
      <c r="K652" s="3"/>
      <c r="L652" s="3"/>
      <c r="M652" s="3" t="s">
        <v>110</v>
      </c>
      <c r="S652" s="3"/>
      <c r="T652" s="3"/>
      <c r="U652" s="3"/>
      <c r="V652" s="3"/>
      <c r="W652" s="3"/>
      <c r="X652" s="3"/>
      <c r="AC652" s="3" t="s">
        <v>63</v>
      </c>
      <c r="AF652" s="3" t="s">
        <v>247</v>
      </c>
      <c r="AL652" s="3"/>
      <c r="AM652" s="3"/>
      <c r="AN652" s="3"/>
      <c r="AO652" s="3"/>
      <c r="AP652" s="3"/>
      <c r="AQ652" s="3"/>
      <c r="AR652" s="3" t="s">
        <v>65</v>
      </c>
      <c r="AS652" s="3" t="s">
        <v>52</v>
      </c>
    </row>
    <row r="653">
      <c r="A653" s="3">
        <v>114.0</v>
      </c>
      <c r="B653" s="3" t="s">
        <v>40</v>
      </c>
      <c r="C653" s="3" t="s">
        <v>400</v>
      </c>
      <c r="D653" s="3">
        <v>2003.0</v>
      </c>
      <c r="E653" s="3" t="s">
        <v>401</v>
      </c>
      <c r="F653" s="3" t="s">
        <v>129</v>
      </c>
      <c r="G653" s="3" t="s">
        <v>2600</v>
      </c>
      <c r="H653" s="3" t="s">
        <v>82</v>
      </c>
      <c r="I653" s="3" t="s">
        <v>2147</v>
      </c>
      <c r="J653" s="3" t="s">
        <v>82</v>
      </c>
      <c r="K653" s="3" t="s">
        <v>2217</v>
      </c>
      <c r="L653" s="3" t="s">
        <v>2237</v>
      </c>
      <c r="M653" s="3" t="s">
        <v>384</v>
      </c>
      <c r="S653" s="9" t="str">
        <f t="array" ref="S653">"[" &amp; TEXTJOIN(", ", TRUE, IF(LEN(T653:AB653), CHAR(34)&amp;T653:AB653&amp;CHAR(34), )) &amp; "]"
</f>
        <v>["Fishing &amp; Harvesting Aquatic Resources", "Viral/prion-induced diseases"]</v>
      </c>
      <c r="T653" s="3" t="s">
        <v>2164</v>
      </c>
      <c r="U653" s="3"/>
      <c r="V653" s="3"/>
      <c r="W653" s="3" t="s">
        <v>385</v>
      </c>
      <c r="AC653" s="3" t="s">
        <v>247</v>
      </c>
      <c r="AF653" s="3" t="s">
        <v>385</v>
      </c>
      <c r="AL653" s="9" t="str">
        <f t="array" ref="AL653">"[" &amp; TEXTJOIN(", ", TRUE, IF(LEN(AM653:AQ653), CHAR(34)&amp;AM653:AQ653&amp;CHAR(34), )) &amp; "]"
</f>
        <v>["Biological resource use", "Invasive &amp; other problematic species, genes &amp; diseases"]</v>
      </c>
      <c r="AM653" s="3" t="s">
        <v>52</v>
      </c>
      <c r="AN653" s="3" t="s">
        <v>54</v>
      </c>
      <c r="AO653" s="3"/>
      <c r="AP653" s="3"/>
      <c r="AQ653" s="3"/>
      <c r="AR653" s="3" t="s">
        <v>52</v>
      </c>
      <c r="AS653" s="3" t="s">
        <v>54</v>
      </c>
      <c r="AW653" s="8" t="s">
        <v>2636</v>
      </c>
    </row>
    <row r="654" hidden="1">
      <c r="A654" s="3">
        <v>894.0</v>
      </c>
      <c r="B654" s="3" t="s">
        <v>106</v>
      </c>
      <c r="C654" s="3" t="s">
        <v>1897</v>
      </c>
      <c r="D654" s="3">
        <v>1990.0</v>
      </c>
      <c r="E654" s="3" t="s">
        <v>1898</v>
      </c>
      <c r="F654" s="3" t="s">
        <v>510</v>
      </c>
      <c r="G654" s="3"/>
      <c r="H654" s="3" t="s">
        <v>58</v>
      </c>
      <c r="I654" s="3"/>
      <c r="K654" s="3"/>
      <c r="L654" s="3"/>
      <c r="M654" s="3" t="s">
        <v>110</v>
      </c>
      <c r="S654" s="3"/>
      <c r="T654" s="3"/>
      <c r="U654" s="3"/>
      <c r="V654" s="3"/>
      <c r="AC654" s="3" t="s">
        <v>62</v>
      </c>
      <c r="AL654" s="3"/>
      <c r="AM654" s="3"/>
      <c r="AN654" s="3"/>
      <c r="AO654" s="3"/>
      <c r="AP654" s="3"/>
      <c r="AQ654" s="3"/>
      <c r="AR654" s="3" t="s">
        <v>64</v>
      </c>
    </row>
    <row r="655" hidden="1">
      <c r="A655" s="3">
        <v>658.0</v>
      </c>
      <c r="B655" s="3" t="s">
        <v>106</v>
      </c>
      <c r="C655" s="3" t="s">
        <v>1429</v>
      </c>
      <c r="D655" s="3">
        <v>1998.0</v>
      </c>
      <c r="E655" s="3" t="s">
        <v>1430</v>
      </c>
      <c r="F655" s="3" t="s">
        <v>1431</v>
      </c>
      <c r="G655" s="3"/>
      <c r="H655" s="3" t="s">
        <v>142</v>
      </c>
      <c r="I655" s="3"/>
      <c r="K655" s="3"/>
      <c r="L655" s="3"/>
      <c r="M655" s="3" t="s">
        <v>110</v>
      </c>
      <c r="S655" s="3"/>
      <c r="T655" s="3"/>
      <c r="U655" s="3"/>
      <c r="V655" s="3"/>
      <c r="AC655" s="3" t="s">
        <v>49</v>
      </c>
      <c r="AL655" s="3"/>
      <c r="AM655" s="3"/>
      <c r="AN655" s="3"/>
      <c r="AO655" s="3"/>
      <c r="AP655" s="3"/>
      <c r="AQ655" s="3"/>
      <c r="AR655" s="3" t="s">
        <v>53</v>
      </c>
      <c r="AW655" s="8" t="s">
        <v>2135</v>
      </c>
    </row>
    <row r="656" hidden="1">
      <c r="A656" s="3">
        <v>883.0</v>
      </c>
      <c r="B656" s="3" t="s">
        <v>40</v>
      </c>
      <c r="C656" s="3" t="s">
        <v>1880</v>
      </c>
      <c r="D656" s="3">
        <v>2020.0</v>
      </c>
      <c r="E656" s="3" t="s">
        <v>1881</v>
      </c>
      <c r="F656" s="3" t="s">
        <v>1882</v>
      </c>
      <c r="G656" s="3"/>
      <c r="H656" s="3" t="s">
        <v>101</v>
      </c>
      <c r="I656" s="3"/>
      <c r="J656" s="3" t="s">
        <v>102</v>
      </c>
      <c r="K656" s="3"/>
      <c r="L656" s="3"/>
      <c r="M656" s="3" t="s">
        <v>1883</v>
      </c>
      <c r="S656" s="3"/>
      <c r="T656" s="3"/>
      <c r="U656" s="3"/>
      <c r="V656" s="3"/>
      <c r="AC656" s="3" t="s">
        <v>147</v>
      </c>
      <c r="AL656" s="3"/>
      <c r="AM656" s="3"/>
      <c r="AN656" s="3"/>
      <c r="AO656" s="3"/>
      <c r="AP656" s="3"/>
      <c r="AQ656" s="3"/>
      <c r="AR656" s="3" t="s">
        <v>64</v>
      </c>
    </row>
    <row r="657" hidden="1">
      <c r="A657" s="3">
        <v>62.0</v>
      </c>
      <c r="B657" s="3" t="s">
        <v>106</v>
      </c>
      <c r="D657" s="3">
        <v>2018.0</v>
      </c>
      <c r="E657" s="3" t="s">
        <v>264</v>
      </c>
      <c r="F657" s="3" t="s">
        <v>265</v>
      </c>
      <c r="G657" s="3"/>
      <c r="H657" s="3" t="s">
        <v>91</v>
      </c>
      <c r="I657" s="3"/>
      <c r="K657" s="3"/>
      <c r="L657" s="3"/>
      <c r="M657" s="3" t="s">
        <v>266</v>
      </c>
      <c r="S657" s="3"/>
      <c r="T657" s="3"/>
      <c r="U657" s="3"/>
      <c r="V657" s="3"/>
      <c r="W657" s="3"/>
      <c r="X657" s="3"/>
      <c r="Y657" s="3"/>
      <c r="Z657" s="3"/>
      <c r="AC657" s="3" t="s">
        <v>61</v>
      </c>
      <c r="AD657" s="3" t="s">
        <v>267</v>
      </c>
      <c r="AF657" s="3" t="s">
        <v>47</v>
      </c>
      <c r="AH657" s="3" t="s">
        <v>62</v>
      </c>
      <c r="AL657" s="3"/>
      <c r="AM657" s="3"/>
      <c r="AN657" s="3"/>
      <c r="AO657" s="3"/>
      <c r="AP657" s="3"/>
      <c r="AQ657" s="3"/>
      <c r="AR657" s="3" t="s">
        <v>52</v>
      </c>
      <c r="AS657" s="3" t="s">
        <v>51</v>
      </c>
      <c r="AT657" s="3" t="s">
        <v>64</v>
      </c>
      <c r="AW657" s="8" t="s">
        <v>2135</v>
      </c>
    </row>
    <row r="658" hidden="1">
      <c r="A658" s="3">
        <v>140.0</v>
      </c>
      <c r="B658" s="3" t="s">
        <v>55</v>
      </c>
      <c r="D658" s="3">
        <v>2013.0</v>
      </c>
      <c r="E658" s="3" t="s">
        <v>450</v>
      </c>
      <c r="F658" s="3" t="s">
        <v>265</v>
      </c>
      <c r="G658" s="3"/>
      <c r="H658" s="3" t="s">
        <v>91</v>
      </c>
      <c r="I658" s="3"/>
      <c r="J658" s="3" t="s">
        <v>91</v>
      </c>
      <c r="K658" s="3"/>
      <c r="L658" s="3"/>
      <c r="M658" s="3" t="s">
        <v>243</v>
      </c>
      <c r="N658" s="3" t="s">
        <v>92</v>
      </c>
      <c r="O658" s="3" t="s">
        <v>225</v>
      </c>
      <c r="S658" s="3"/>
      <c r="T658" s="3"/>
      <c r="U658" s="3"/>
      <c r="V658" s="3"/>
      <c r="W658" s="3"/>
      <c r="X658" s="3"/>
      <c r="AC658" s="3" t="s">
        <v>61</v>
      </c>
      <c r="AD658" s="3" t="s">
        <v>48</v>
      </c>
      <c r="AF658" s="3" t="s">
        <v>250</v>
      </c>
      <c r="AL658" s="3"/>
      <c r="AM658" s="3"/>
      <c r="AN658" s="3"/>
      <c r="AO658" s="3"/>
      <c r="AP658" s="3"/>
      <c r="AQ658" s="3"/>
      <c r="AR658" s="3" t="s">
        <v>52</v>
      </c>
      <c r="AS658" s="3" t="s">
        <v>53</v>
      </c>
      <c r="AW658" s="8" t="s">
        <v>2135</v>
      </c>
    </row>
    <row r="659">
      <c r="A659" s="3">
        <v>115.0</v>
      </c>
      <c r="B659" s="3" t="s">
        <v>40</v>
      </c>
      <c r="C659" s="3" t="s">
        <v>402</v>
      </c>
      <c r="D659" s="3">
        <v>2004.0</v>
      </c>
      <c r="E659" s="3" t="s">
        <v>403</v>
      </c>
      <c r="F659" s="3" t="s">
        <v>129</v>
      </c>
      <c r="G659" s="3" t="s">
        <v>2600</v>
      </c>
      <c r="H659" s="3" t="s">
        <v>82</v>
      </c>
      <c r="I659" s="3" t="s">
        <v>2147</v>
      </c>
      <c r="J659" s="3" t="s">
        <v>82</v>
      </c>
      <c r="K659" s="3" t="s">
        <v>2217</v>
      </c>
      <c r="L659" s="3" t="s">
        <v>2256</v>
      </c>
      <c r="M659" s="3" t="s">
        <v>83</v>
      </c>
      <c r="S659" s="9" t="str">
        <f t="array" ref="S659">"[" &amp; TEXTJOIN(", ", TRUE, IF(LEN(T659:AB659), CHAR(34)&amp;T659:AB659&amp;CHAR(34), )) &amp; "]"
</f>
        <v>["Hunting &amp; Collecting Terrestrial Animals", "Problematic native species/diseases"]</v>
      </c>
      <c r="T659" s="3" t="s">
        <v>2138</v>
      </c>
      <c r="U659" s="3"/>
      <c r="V659" s="3"/>
      <c r="W659" s="3" t="s">
        <v>244</v>
      </c>
      <c r="AC659" s="3" t="s">
        <v>61</v>
      </c>
      <c r="AF659" s="3" t="s">
        <v>244</v>
      </c>
      <c r="AL659" s="9" t="str">
        <f t="array" ref="AL659">"[" &amp; TEXTJOIN(", ", TRUE, IF(LEN(AM659:AQ659), CHAR(34)&amp;AM659:AQ659&amp;CHAR(34), )) &amp; "]"
</f>
        <v>["Biological resource use", "Invasive &amp; other problematic species, genes &amp; diseases"]</v>
      </c>
      <c r="AM659" s="3" t="s">
        <v>52</v>
      </c>
      <c r="AN659" s="3" t="s">
        <v>54</v>
      </c>
      <c r="AO659" s="3"/>
      <c r="AP659" s="3"/>
      <c r="AQ659" s="3"/>
      <c r="AR659" s="3" t="s">
        <v>52</v>
      </c>
      <c r="AS659" s="3" t="s">
        <v>54</v>
      </c>
      <c r="AW659" s="8" t="s">
        <v>2637</v>
      </c>
    </row>
    <row r="660" hidden="1">
      <c r="A660" s="3">
        <v>76.0</v>
      </c>
      <c r="B660" s="3" t="s">
        <v>106</v>
      </c>
      <c r="C660" s="3" t="s">
        <v>306</v>
      </c>
      <c r="D660" s="3">
        <v>2011.0</v>
      </c>
      <c r="E660" s="3" t="s">
        <v>2638</v>
      </c>
      <c r="F660" s="3" t="s">
        <v>308</v>
      </c>
      <c r="G660" s="3"/>
      <c r="H660" s="3" t="s">
        <v>101</v>
      </c>
      <c r="I660" s="3"/>
      <c r="K660" s="3"/>
      <c r="L660" s="3"/>
      <c r="M660" s="3" t="s">
        <v>309</v>
      </c>
      <c r="N660" s="3" t="s">
        <v>205</v>
      </c>
      <c r="S660" s="3"/>
      <c r="T660" s="3"/>
      <c r="U660" s="3"/>
      <c r="V660" s="3"/>
      <c r="W660" s="3"/>
      <c r="X660" s="3"/>
      <c r="AC660" s="3" t="s">
        <v>61</v>
      </c>
      <c r="AF660" s="3" t="s">
        <v>97</v>
      </c>
      <c r="AL660" s="3"/>
      <c r="AM660" s="3"/>
      <c r="AN660" s="3"/>
      <c r="AO660" s="3"/>
      <c r="AP660" s="3"/>
      <c r="AQ660" s="3"/>
      <c r="AR660" s="3" t="s">
        <v>52</v>
      </c>
      <c r="AS660" s="3" t="s">
        <v>51</v>
      </c>
      <c r="AW660" s="8" t="s">
        <v>2135</v>
      </c>
    </row>
    <row r="661">
      <c r="A661" s="3">
        <v>117.0</v>
      </c>
      <c r="B661" s="3" t="s">
        <v>40</v>
      </c>
      <c r="C661" s="3" t="s">
        <v>406</v>
      </c>
      <c r="D661" s="3">
        <v>2015.0</v>
      </c>
      <c r="E661" s="3" t="s">
        <v>407</v>
      </c>
      <c r="F661" s="3" t="s">
        <v>129</v>
      </c>
      <c r="G661" s="3" t="s">
        <v>2600</v>
      </c>
      <c r="H661" s="3" t="s">
        <v>82</v>
      </c>
      <c r="I661" s="3" t="s">
        <v>2147</v>
      </c>
      <c r="J661" s="3" t="s">
        <v>82</v>
      </c>
      <c r="K661" s="3" t="s">
        <v>2217</v>
      </c>
      <c r="L661" s="3" t="s">
        <v>2224</v>
      </c>
      <c r="M661" s="3" t="s">
        <v>314</v>
      </c>
      <c r="S661" s="9" t="str">
        <f t="array" ref="S661">"[" &amp; TEXTJOIN(", ", TRUE, IF(LEN(T661:AB661), CHAR(34)&amp;T661:AB661&amp;CHAR(34), )) &amp; "]"
</f>
        <v>["Logging &amp; Wood Harvesting", "Problematic native species/diseases"]</v>
      </c>
      <c r="T661" s="3" t="s">
        <v>2139</v>
      </c>
      <c r="U661" s="3"/>
      <c r="V661" s="3"/>
      <c r="W661" s="3" t="s">
        <v>244</v>
      </c>
      <c r="AC661" s="3" t="s">
        <v>48</v>
      </c>
      <c r="AF661" s="3" t="s">
        <v>244</v>
      </c>
      <c r="AL661" s="9" t="str">
        <f t="array" ref="AL661">"[" &amp; TEXTJOIN(", ", TRUE, IF(LEN(AM661:AQ661), CHAR(34)&amp;AM661:AQ661&amp;CHAR(34), )) &amp; "]"
</f>
        <v>["Biological resource use", "Invasive &amp; other problematic species, genes &amp; diseases"]</v>
      </c>
      <c r="AM661" s="3" t="s">
        <v>52</v>
      </c>
      <c r="AN661" s="3" t="s">
        <v>54</v>
      </c>
      <c r="AO661" s="3"/>
      <c r="AP661" s="3"/>
      <c r="AQ661" s="3"/>
      <c r="AR661" s="3" t="s">
        <v>52</v>
      </c>
      <c r="AS661" s="3" t="s">
        <v>54</v>
      </c>
      <c r="AW661" s="8" t="s">
        <v>2639</v>
      </c>
    </row>
    <row r="662" hidden="1">
      <c r="A662" s="3">
        <v>405.0</v>
      </c>
      <c r="B662" s="3" t="s">
        <v>55</v>
      </c>
      <c r="D662" s="3">
        <v>2014.0</v>
      </c>
      <c r="E662" s="3" t="s">
        <v>956</v>
      </c>
      <c r="F662" s="3" t="s">
        <v>308</v>
      </c>
      <c r="G662" s="3"/>
      <c r="H662" s="3" t="s">
        <v>101</v>
      </c>
      <c r="I662" s="3"/>
      <c r="J662" s="3" t="s">
        <v>102</v>
      </c>
      <c r="K662" s="3"/>
      <c r="L662" s="3"/>
      <c r="M662" s="3" t="s">
        <v>205</v>
      </c>
      <c r="S662" s="3"/>
      <c r="T662" s="3"/>
      <c r="U662" s="3"/>
      <c r="V662" s="3"/>
      <c r="AC662" s="3" t="s">
        <v>61</v>
      </c>
      <c r="AL662" s="3"/>
      <c r="AM662" s="3"/>
      <c r="AN662" s="3"/>
      <c r="AO662" s="3"/>
      <c r="AP662" s="3"/>
      <c r="AQ662" s="3"/>
      <c r="AR662" s="3" t="s">
        <v>52</v>
      </c>
      <c r="AW662" s="8" t="s">
        <v>2135</v>
      </c>
    </row>
    <row r="663" hidden="1">
      <c r="A663" s="3">
        <v>385.0</v>
      </c>
      <c r="B663" s="3" t="s">
        <v>106</v>
      </c>
      <c r="C663" s="3" t="s">
        <v>931</v>
      </c>
      <c r="D663" s="3">
        <v>2013.0</v>
      </c>
      <c r="E663" s="3" t="s">
        <v>932</v>
      </c>
      <c r="F663" s="3" t="s">
        <v>308</v>
      </c>
      <c r="G663" s="3"/>
      <c r="H663" s="3" t="s">
        <v>124</v>
      </c>
      <c r="I663" s="3"/>
      <c r="K663" s="3"/>
      <c r="L663" s="3"/>
      <c r="M663" s="3" t="s">
        <v>155</v>
      </c>
      <c r="N663" s="3" t="s">
        <v>205</v>
      </c>
      <c r="S663" s="3"/>
      <c r="T663" s="3"/>
      <c r="U663" s="3"/>
      <c r="V663" s="3"/>
      <c r="AC663" s="3" t="s">
        <v>61</v>
      </c>
      <c r="AL663" s="3"/>
      <c r="AM663" s="3"/>
      <c r="AN663" s="3"/>
      <c r="AO663" s="3"/>
      <c r="AP663" s="3"/>
      <c r="AQ663" s="3"/>
      <c r="AR663" s="3" t="s">
        <v>52</v>
      </c>
      <c r="AW663" s="8" t="s">
        <v>2135</v>
      </c>
    </row>
    <row r="664">
      <c r="A664" s="3">
        <v>634.0</v>
      </c>
      <c r="B664" s="3" t="s">
        <v>40</v>
      </c>
      <c r="C664" s="3" t="s">
        <v>1384</v>
      </c>
      <c r="D664" s="3">
        <v>2014.0</v>
      </c>
      <c r="E664" s="3" t="s">
        <v>1385</v>
      </c>
      <c r="F664" s="3" t="s">
        <v>129</v>
      </c>
      <c r="G664" s="3" t="s">
        <v>2600</v>
      </c>
      <c r="H664" s="3" t="s">
        <v>82</v>
      </c>
      <c r="I664" s="3" t="s">
        <v>2147</v>
      </c>
      <c r="J664" s="3" t="s">
        <v>82</v>
      </c>
      <c r="K664" s="3" t="s">
        <v>2217</v>
      </c>
      <c r="L664" s="3" t="s">
        <v>2155</v>
      </c>
      <c r="M664" s="3" t="s">
        <v>1001</v>
      </c>
      <c r="S664" s="9" t="str">
        <f t="array" ref="S664">"[" &amp; TEXTJOIN(", ", TRUE, IF(LEN(T664:AB664), CHAR(34)&amp;T664:AB664&amp;CHAR(34), )) &amp; "]"
</f>
        <v>["Dams &amp; water management/use", "Invasive non-native/alien species/diseases"]</v>
      </c>
      <c r="T664" s="3" t="s">
        <v>49</v>
      </c>
      <c r="U664" s="3"/>
      <c r="V664" s="3"/>
      <c r="W664" s="3" t="s">
        <v>50</v>
      </c>
      <c r="AC664" s="3" t="s">
        <v>49</v>
      </c>
      <c r="AF664" s="3" t="s">
        <v>50</v>
      </c>
      <c r="AL664" s="9" t="str">
        <f t="array" ref="AL664">"[" &amp; TEXTJOIN(", ", TRUE, IF(LEN(AM664:AQ664), CHAR(34)&amp;AM664:AQ664&amp;CHAR(34), )) &amp; "]"
</f>
        <v>["Natural system modifications", "Invasive &amp; other problematic species, genes &amp; diseases"]</v>
      </c>
      <c r="AM664" s="3" t="s">
        <v>53</v>
      </c>
      <c r="AN664" s="3" t="s">
        <v>54</v>
      </c>
      <c r="AO664" s="3"/>
      <c r="AP664" s="3"/>
      <c r="AQ664" s="3"/>
      <c r="AR664" s="3" t="s">
        <v>53</v>
      </c>
      <c r="AS664" s="3" t="s">
        <v>54</v>
      </c>
      <c r="AW664" s="8" t="s">
        <v>2640</v>
      </c>
    </row>
    <row r="665" hidden="1">
      <c r="A665" s="3">
        <v>448.0</v>
      </c>
      <c r="B665" s="3" t="s">
        <v>106</v>
      </c>
      <c r="C665" s="3" t="s">
        <v>1022</v>
      </c>
      <c r="D665" s="3">
        <v>1994.0</v>
      </c>
      <c r="E665" s="3" t="s">
        <v>1023</v>
      </c>
      <c r="F665" s="3" t="s">
        <v>1024</v>
      </c>
      <c r="G665" s="3"/>
      <c r="H665" s="3" t="s">
        <v>58</v>
      </c>
      <c r="I665" s="3"/>
      <c r="K665" s="3"/>
      <c r="L665" s="3"/>
      <c r="M665" s="3" t="s">
        <v>110</v>
      </c>
      <c r="S665" s="3"/>
      <c r="T665" s="3"/>
      <c r="U665" s="3"/>
      <c r="V665" s="3"/>
      <c r="AC665" s="3" t="s">
        <v>238</v>
      </c>
      <c r="AL665" s="3"/>
      <c r="AM665" s="3"/>
      <c r="AN665" s="3"/>
      <c r="AO665" s="3"/>
      <c r="AP665" s="3"/>
      <c r="AQ665" s="3"/>
      <c r="AR665" s="3" t="s">
        <v>235</v>
      </c>
      <c r="AW665" s="8" t="s">
        <v>2135</v>
      </c>
    </row>
    <row r="666" hidden="1">
      <c r="A666" s="3">
        <v>901.0</v>
      </c>
      <c r="B666" s="3" t="s">
        <v>106</v>
      </c>
      <c r="C666" s="3" t="s">
        <v>1911</v>
      </c>
      <c r="D666" s="3">
        <v>1993.0</v>
      </c>
      <c r="E666" s="3" t="s">
        <v>1912</v>
      </c>
      <c r="F666" s="3" t="s">
        <v>1024</v>
      </c>
      <c r="G666" s="3"/>
      <c r="H666" s="3" t="s">
        <v>58</v>
      </c>
      <c r="I666" s="3"/>
      <c r="K666" s="3"/>
      <c r="L666" s="3"/>
      <c r="M666" s="3" t="s">
        <v>110</v>
      </c>
      <c r="S666" s="3"/>
      <c r="T666" s="3"/>
      <c r="U666" s="3"/>
      <c r="V666" s="3"/>
      <c r="AC666" s="3" t="s">
        <v>62</v>
      </c>
      <c r="AL666" s="3"/>
      <c r="AM666" s="3"/>
      <c r="AN666" s="3"/>
      <c r="AO666" s="3"/>
      <c r="AP666" s="3"/>
      <c r="AQ666" s="3"/>
      <c r="AR666" s="3" t="s">
        <v>64</v>
      </c>
    </row>
    <row r="667" hidden="1">
      <c r="A667" s="3">
        <v>905.0</v>
      </c>
      <c r="B667" s="3" t="s">
        <v>106</v>
      </c>
      <c r="C667" s="3" t="s">
        <v>1918</v>
      </c>
      <c r="D667" s="3">
        <v>1994.0</v>
      </c>
      <c r="E667" s="3" t="s">
        <v>1919</v>
      </c>
      <c r="F667" s="3" t="s">
        <v>1024</v>
      </c>
      <c r="G667" s="3"/>
      <c r="H667" s="3" t="s">
        <v>58</v>
      </c>
      <c r="I667" s="3"/>
      <c r="K667" s="3"/>
      <c r="L667" s="3"/>
      <c r="M667" s="3" t="s">
        <v>110</v>
      </c>
      <c r="S667" s="3"/>
      <c r="T667" s="3"/>
      <c r="U667" s="3"/>
      <c r="V667" s="3"/>
      <c r="AC667" s="3" t="s">
        <v>62</v>
      </c>
      <c r="AL667" s="3"/>
      <c r="AM667" s="3"/>
      <c r="AN667" s="3"/>
      <c r="AO667" s="3"/>
      <c r="AP667" s="3"/>
      <c r="AQ667" s="3"/>
      <c r="AR667" s="3" t="s">
        <v>64</v>
      </c>
    </row>
    <row r="668" hidden="1">
      <c r="A668" s="3">
        <v>1000.0</v>
      </c>
      <c r="B668" s="3" t="s">
        <v>106</v>
      </c>
      <c r="C668" s="3" t="s">
        <v>2105</v>
      </c>
      <c r="D668" s="3">
        <v>2013.0</v>
      </c>
      <c r="E668" s="3" t="s">
        <v>2106</v>
      </c>
      <c r="F668" s="3" t="s">
        <v>1024</v>
      </c>
      <c r="G668" s="3"/>
      <c r="H668" s="3" t="s">
        <v>58</v>
      </c>
      <c r="I668" s="3"/>
      <c r="K668" s="3"/>
      <c r="L668" s="3"/>
      <c r="M668" s="3" t="s">
        <v>110</v>
      </c>
      <c r="S668" s="3"/>
      <c r="T668" s="3"/>
      <c r="U668" s="3"/>
      <c r="V668" s="3"/>
      <c r="AC668" s="3" t="s">
        <v>63</v>
      </c>
      <c r="AL668" s="3"/>
      <c r="AM668" s="3"/>
      <c r="AN668" s="3"/>
      <c r="AO668" s="3"/>
      <c r="AP668" s="3"/>
      <c r="AQ668" s="3"/>
      <c r="AR668" s="3" t="s">
        <v>65</v>
      </c>
    </row>
    <row r="669">
      <c r="A669" s="3">
        <v>632.0</v>
      </c>
      <c r="B669" s="3" t="s">
        <v>40</v>
      </c>
      <c r="C669" s="3" t="s">
        <v>1380</v>
      </c>
      <c r="D669" s="3">
        <v>2011.0</v>
      </c>
      <c r="E669" s="3" t="s">
        <v>1381</v>
      </c>
      <c r="F669" s="3" t="s">
        <v>129</v>
      </c>
      <c r="G669" s="3" t="s">
        <v>2600</v>
      </c>
      <c r="H669" s="3" t="s">
        <v>82</v>
      </c>
      <c r="I669" s="3" t="s">
        <v>2147</v>
      </c>
      <c r="J669" s="3" t="s">
        <v>82</v>
      </c>
      <c r="K669" s="3" t="s">
        <v>2217</v>
      </c>
      <c r="L669" s="3" t="s">
        <v>2224</v>
      </c>
      <c r="M669" s="3" t="s">
        <v>314</v>
      </c>
      <c r="S669" s="9" t="str">
        <f t="array" ref="S669">"[" &amp; TEXTJOIN(", ", TRUE, IF(LEN(T669:AB669), CHAR(34)&amp;T669:AB669&amp;CHAR(34), )) &amp; "]"
</f>
        <v>["Fire &amp; fire suppression", "Viral/prion-induced diseases"]</v>
      </c>
      <c r="T669" s="3" t="s">
        <v>250</v>
      </c>
      <c r="U669" s="3"/>
      <c r="V669" s="3"/>
      <c r="W669" s="3" t="s">
        <v>385</v>
      </c>
      <c r="AC669" s="3" t="s">
        <v>250</v>
      </c>
      <c r="AF669" s="3" t="s">
        <v>385</v>
      </c>
      <c r="AL669" s="9" t="str">
        <f t="array" ref="AL669">"[" &amp; TEXTJOIN(", ", TRUE, IF(LEN(AM669:AQ669), CHAR(34)&amp;AM669:AQ669&amp;CHAR(34), )) &amp; "]"
</f>
        <v>["Natural system modifications", "Invasive &amp; other problematic species, genes &amp; diseases"]</v>
      </c>
      <c r="AM669" s="3" t="s">
        <v>53</v>
      </c>
      <c r="AN669" s="3" t="s">
        <v>54</v>
      </c>
      <c r="AO669" s="3"/>
      <c r="AP669" s="3"/>
      <c r="AQ669" s="3"/>
      <c r="AR669" s="3" t="s">
        <v>53</v>
      </c>
      <c r="AS669" s="3" t="s">
        <v>54</v>
      </c>
      <c r="AW669" s="8" t="s">
        <v>2641</v>
      </c>
    </row>
    <row r="670">
      <c r="A670" s="3">
        <v>633.0</v>
      </c>
      <c r="B670" s="3" t="s">
        <v>40</v>
      </c>
      <c r="C670" s="3" t="s">
        <v>1382</v>
      </c>
      <c r="D670" s="3">
        <v>2012.0</v>
      </c>
      <c r="E670" s="3" t="s">
        <v>1383</v>
      </c>
      <c r="F670" s="3" t="s">
        <v>129</v>
      </c>
      <c r="G670" s="3" t="s">
        <v>2600</v>
      </c>
      <c r="H670" s="3" t="s">
        <v>82</v>
      </c>
      <c r="I670" s="3" t="s">
        <v>2147</v>
      </c>
      <c r="J670" s="3" t="s">
        <v>82</v>
      </c>
      <c r="K670" s="3" t="s">
        <v>2217</v>
      </c>
      <c r="L670" s="3" t="s">
        <v>2237</v>
      </c>
      <c r="M670" s="3" t="s">
        <v>384</v>
      </c>
      <c r="S670" s="9" t="str">
        <f t="array" ref="S670">"[" &amp; TEXTJOIN(", ", TRUE, IF(LEN(T670:AB670), CHAR(34)&amp;T670:AB670&amp;CHAR(34), )) &amp; "]"
</f>
        <v>["Viral/prion-induced diseases"]</v>
      </c>
      <c r="U670" s="3"/>
      <c r="V670" s="3"/>
      <c r="W670" s="3" t="s">
        <v>385</v>
      </c>
      <c r="AC670" s="3" t="s">
        <v>134</v>
      </c>
      <c r="AF670" s="3" t="s">
        <v>385</v>
      </c>
      <c r="AL670" s="9" t="str">
        <f t="array" ref="AL670">"[" &amp; TEXTJOIN(", ", TRUE, IF(LEN(AM670:AQ670), CHAR(34)&amp;AM670:AQ670&amp;CHAR(34), )) &amp; "]"
</f>
        <v>["Natural system modifications", "Invasive &amp; other problematic species, genes &amp; diseases"]</v>
      </c>
      <c r="AM670" s="3" t="s">
        <v>53</v>
      </c>
      <c r="AN670" s="3" t="s">
        <v>54</v>
      </c>
      <c r="AO670" s="3"/>
      <c r="AP670" s="3"/>
      <c r="AQ670" s="3"/>
      <c r="AR670" s="3" t="s">
        <v>53</v>
      </c>
      <c r="AS670" s="3" t="s">
        <v>54</v>
      </c>
      <c r="AW670" s="8" t="s">
        <v>2642</v>
      </c>
    </row>
    <row r="671">
      <c r="A671" s="3">
        <v>666.0</v>
      </c>
      <c r="B671" s="3" t="s">
        <v>40</v>
      </c>
      <c r="C671" s="3" t="s">
        <v>1444</v>
      </c>
      <c r="D671" s="3">
        <v>2011.0</v>
      </c>
      <c r="E671" s="3" t="s">
        <v>1445</v>
      </c>
      <c r="F671" s="3" t="s">
        <v>129</v>
      </c>
      <c r="G671" s="3" t="s">
        <v>2600</v>
      </c>
      <c r="H671" s="3" t="s">
        <v>82</v>
      </c>
      <c r="I671" s="3" t="s">
        <v>2147</v>
      </c>
      <c r="J671" s="3" t="s">
        <v>82</v>
      </c>
      <c r="K671" s="3" t="s">
        <v>2217</v>
      </c>
      <c r="L671" s="3" t="s">
        <v>2601</v>
      </c>
      <c r="M671" s="3" t="s">
        <v>130</v>
      </c>
      <c r="S671" s="9"/>
      <c r="T671" s="3"/>
      <c r="U671" s="3"/>
      <c r="V671" s="3"/>
      <c r="AL671" s="9" t="str">
        <f t="array" ref="AL671">"[" &amp; TEXTJOIN(", ", TRUE, IF(LEN(AM671:AQ671), CHAR(34)&amp;AM671:AQ671&amp;CHAR(34), )) &amp; "]"
</f>
        <v>["Invasive &amp; other problematic species, genes &amp; diseases"]</v>
      </c>
      <c r="AN671" s="3" t="s">
        <v>54</v>
      </c>
      <c r="AO671" s="3"/>
      <c r="AP671" s="3"/>
      <c r="AQ671" s="3"/>
      <c r="AR671" s="3" t="s">
        <v>78</v>
      </c>
      <c r="AS671" s="3" t="s">
        <v>54</v>
      </c>
      <c r="AW671" s="8" t="s">
        <v>2643</v>
      </c>
    </row>
    <row r="672">
      <c r="A672" s="3">
        <v>752.0</v>
      </c>
      <c r="B672" s="3" t="s">
        <v>40</v>
      </c>
      <c r="C672" s="3" t="s">
        <v>1618</v>
      </c>
      <c r="D672" s="3">
        <v>2000.0</v>
      </c>
      <c r="E672" s="3" t="s">
        <v>1619</v>
      </c>
      <c r="F672" s="3" t="s">
        <v>129</v>
      </c>
      <c r="G672" s="3" t="s">
        <v>2600</v>
      </c>
      <c r="H672" s="3" t="s">
        <v>82</v>
      </c>
      <c r="I672" s="3" t="s">
        <v>2147</v>
      </c>
      <c r="J672" s="3" t="s">
        <v>82</v>
      </c>
      <c r="K672" s="3" t="s">
        <v>2217</v>
      </c>
      <c r="L672" s="3" t="s">
        <v>2237</v>
      </c>
      <c r="M672" s="3" t="s">
        <v>384</v>
      </c>
      <c r="S672" s="9" t="str">
        <f t="array" ref="S672">"[" &amp; TEXTJOIN(", ", TRUE, IF(LEN(T672:AB672), CHAR(34)&amp;T672:AB672&amp;CHAR(34), )) &amp; "]"
</f>
        <v>["Industrial &amp; military effluents", "Problematic native species/diseases"]</v>
      </c>
      <c r="T672" s="3" t="s">
        <v>147</v>
      </c>
      <c r="U672" s="3"/>
      <c r="V672" s="3"/>
      <c r="W672" s="3" t="s">
        <v>244</v>
      </c>
      <c r="AC672" s="3" t="s">
        <v>147</v>
      </c>
      <c r="AF672" s="3" t="s">
        <v>244</v>
      </c>
      <c r="AL672" s="9" t="str">
        <f t="array" ref="AL672">"[" &amp; TEXTJOIN(", ", TRUE, IF(LEN(AM672:AQ672), CHAR(34)&amp;AM672:AQ672&amp;CHAR(34), )) &amp; "]"
</f>
        <v>["Pollution", "Invasive &amp; other problematic species, genes &amp; diseases"]</v>
      </c>
      <c r="AM672" s="3" t="s">
        <v>64</v>
      </c>
      <c r="AN672" s="3" t="s">
        <v>54</v>
      </c>
      <c r="AO672" s="3"/>
      <c r="AP672" s="3"/>
      <c r="AQ672" s="3"/>
      <c r="AR672" s="3" t="s">
        <v>64</v>
      </c>
      <c r="AS672" s="3" t="s">
        <v>54</v>
      </c>
      <c r="AW672" s="8" t="s">
        <v>2644</v>
      </c>
    </row>
    <row r="673">
      <c r="A673" s="3">
        <v>753.0</v>
      </c>
      <c r="B673" s="3" t="s">
        <v>40</v>
      </c>
      <c r="C673" s="3" t="s">
        <v>1620</v>
      </c>
      <c r="D673" s="3">
        <v>2003.0</v>
      </c>
      <c r="E673" s="3" t="s">
        <v>1621</v>
      </c>
      <c r="F673" s="3" t="s">
        <v>129</v>
      </c>
      <c r="G673" s="3" t="s">
        <v>2600</v>
      </c>
      <c r="H673" s="3" t="s">
        <v>82</v>
      </c>
      <c r="I673" s="3" t="s">
        <v>2147</v>
      </c>
      <c r="J673" s="3" t="s">
        <v>82</v>
      </c>
      <c r="K673" s="3" t="s">
        <v>2217</v>
      </c>
      <c r="L673" s="3" t="s">
        <v>2237</v>
      </c>
      <c r="M673" s="3" t="s">
        <v>384</v>
      </c>
      <c r="S673" s="9" t="str">
        <f t="array" ref="S673">"[" &amp; TEXTJOIN(", ", TRUE, IF(LEN(T673:AB673), CHAR(34)&amp;T673:AB673&amp;CHAR(34), )) &amp; "]"
</f>
        <v>["Industrial &amp; military effluents", "Viral/prion-induced diseases"]</v>
      </c>
      <c r="T673" s="3" t="s">
        <v>147</v>
      </c>
      <c r="U673" s="3"/>
      <c r="V673" s="3"/>
      <c r="W673" s="3" t="s">
        <v>385</v>
      </c>
      <c r="AC673" s="3" t="s">
        <v>147</v>
      </c>
      <c r="AF673" s="3" t="s">
        <v>385</v>
      </c>
      <c r="AL673" s="9" t="str">
        <f t="array" ref="AL673">"[" &amp; TEXTJOIN(", ", TRUE, IF(LEN(AM673:AQ673), CHAR(34)&amp;AM673:AQ673&amp;CHAR(34), )) &amp; "]"
</f>
        <v>["Pollution", "Invasive &amp; other problematic species, genes &amp; diseases"]</v>
      </c>
      <c r="AM673" s="3" t="s">
        <v>64</v>
      </c>
      <c r="AN673" s="3" t="s">
        <v>54</v>
      </c>
      <c r="AO673" s="3"/>
      <c r="AP673" s="3"/>
      <c r="AQ673" s="3"/>
      <c r="AR673" s="3" t="s">
        <v>64</v>
      </c>
      <c r="AS673" s="3" t="s">
        <v>54</v>
      </c>
      <c r="AW673" s="8" t="s">
        <v>2645</v>
      </c>
    </row>
    <row r="674">
      <c r="A674" s="3">
        <v>754.0</v>
      </c>
      <c r="B674" s="3" t="s">
        <v>40</v>
      </c>
      <c r="C674" s="3" t="s">
        <v>1622</v>
      </c>
      <c r="D674" s="3">
        <v>2007.0</v>
      </c>
      <c r="E674" s="3" t="s">
        <v>1623</v>
      </c>
      <c r="F674" s="3" t="s">
        <v>129</v>
      </c>
      <c r="G674" s="3" t="s">
        <v>2600</v>
      </c>
      <c r="H674" s="3" t="s">
        <v>82</v>
      </c>
      <c r="I674" s="3" t="s">
        <v>2147</v>
      </c>
      <c r="J674" s="3" t="s">
        <v>82</v>
      </c>
      <c r="K674" s="3" t="s">
        <v>2217</v>
      </c>
      <c r="L674" s="3" t="s">
        <v>2237</v>
      </c>
      <c r="M674" s="3" t="s">
        <v>384</v>
      </c>
      <c r="S674" s="9" t="str">
        <f t="array" ref="S674">"[" &amp; TEXTJOIN(", ", TRUE, IF(LEN(T674:AB674), CHAR(34)&amp;T674:AB674&amp;CHAR(34), )) &amp; "]"
</f>
        <v>["Industrial &amp; military effluents", "Viral/prion-induced diseases"]</v>
      </c>
      <c r="T674" s="3" t="s">
        <v>147</v>
      </c>
      <c r="U674" s="3"/>
      <c r="V674" s="3"/>
      <c r="W674" s="3" t="s">
        <v>385</v>
      </c>
      <c r="AC674" s="3" t="s">
        <v>147</v>
      </c>
      <c r="AF674" s="3" t="s">
        <v>385</v>
      </c>
      <c r="AL674" s="9" t="str">
        <f t="array" ref="AL674">"[" &amp; TEXTJOIN(", ", TRUE, IF(LEN(AM674:AQ674), CHAR(34)&amp;AM674:AQ674&amp;CHAR(34), )) &amp; "]"
</f>
        <v>["Pollution", "Invasive &amp; other problematic species, genes &amp; diseases"]</v>
      </c>
      <c r="AM674" s="3" t="s">
        <v>64</v>
      </c>
      <c r="AN674" s="3" t="s">
        <v>54</v>
      </c>
      <c r="AO674" s="3"/>
      <c r="AP674" s="3"/>
      <c r="AQ674" s="3"/>
      <c r="AR674" s="3" t="s">
        <v>64</v>
      </c>
      <c r="AS674" s="3" t="s">
        <v>54</v>
      </c>
      <c r="AW674" s="8" t="s">
        <v>2646</v>
      </c>
    </row>
    <row r="675" hidden="1">
      <c r="A675" s="3">
        <v>119.0</v>
      </c>
      <c r="B675" s="3" t="s">
        <v>55</v>
      </c>
      <c r="D675" s="3">
        <v>1995.0</v>
      </c>
      <c r="E675" s="3" t="s">
        <v>410</v>
      </c>
      <c r="F675" s="3" t="s">
        <v>68</v>
      </c>
      <c r="G675" s="3"/>
      <c r="H675" s="3" t="s">
        <v>58</v>
      </c>
      <c r="I675" s="3"/>
      <c r="J675" s="3" t="s">
        <v>58</v>
      </c>
      <c r="K675" s="3"/>
      <c r="L675" s="3"/>
      <c r="M675" s="3" t="s">
        <v>76</v>
      </c>
      <c r="S675" s="3"/>
      <c r="T675" s="3"/>
      <c r="U675" s="3"/>
      <c r="V675" s="3"/>
      <c r="W675" s="3"/>
      <c r="X675" s="3"/>
      <c r="AC675" s="3" t="s">
        <v>61</v>
      </c>
      <c r="AF675" s="3" t="s">
        <v>77</v>
      </c>
      <c r="AL675" s="3"/>
      <c r="AM675" s="3"/>
      <c r="AN675" s="3"/>
      <c r="AO675" s="3"/>
      <c r="AP675" s="3"/>
      <c r="AQ675" s="3"/>
      <c r="AR675" s="3" t="s">
        <v>52</v>
      </c>
      <c r="AS675" s="3" t="s">
        <v>54</v>
      </c>
      <c r="AW675" s="8" t="s">
        <v>2135</v>
      </c>
    </row>
    <row r="676">
      <c r="A676" s="3">
        <v>756.0</v>
      </c>
      <c r="B676" s="3" t="s">
        <v>40</v>
      </c>
      <c r="C676" s="3" t="s">
        <v>1626</v>
      </c>
      <c r="D676" s="3">
        <v>2010.0</v>
      </c>
      <c r="E676" s="3" t="s">
        <v>1627</v>
      </c>
      <c r="F676" s="3" t="s">
        <v>129</v>
      </c>
      <c r="G676" s="3" t="s">
        <v>2600</v>
      </c>
      <c r="H676" s="3" t="s">
        <v>82</v>
      </c>
      <c r="I676" s="3" t="s">
        <v>2147</v>
      </c>
      <c r="J676" s="3" t="s">
        <v>82</v>
      </c>
      <c r="K676" s="3" t="s">
        <v>2217</v>
      </c>
      <c r="L676" s="3" t="s">
        <v>2237</v>
      </c>
      <c r="M676" s="3" t="s">
        <v>384</v>
      </c>
      <c r="S676" s="9" t="str">
        <f t="array" ref="S676">"[" &amp; TEXTJOIN(", ", TRUE, IF(LEN(T676:AB676), CHAR(34)&amp;T676:AB676&amp;CHAR(34), )) &amp; "]"
</f>
        <v>["Viral/prion-induced diseases"]</v>
      </c>
      <c r="U676" s="3"/>
      <c r="V676" s="3"/>
      <c r="W676" s="3" t="s">
        <v>385</v>
      </c>
      <c r="AC676" s="3" t="s">
        <v>1361</v>
      </c>
      <c r="AF676" s="3" t="s">
        <v>385</v>
      </c>
      <c r="AL676" s="9" t="str">
        <f t="array" ref="AL676">"[" &amp; TEXTJOIN(", ", TRUE, IF(LEN(AM676:AQ676), CHAR(34)&amp;AM676:AQ676&amp;CHAR(34), )) &amp; "]"
</f>
        <v>["Pollution", "Invasive &amp; other problematic species, genes &amp; diseases"]</v>
      </c>
      <c r="AM676" s="3" t="s">
        <v>64</v>
      </c>
      <c r="AN676" s="3" t="s">
        <v>54</v>
      </c>
      <c r="AO676" s="3"/>
      <c r="AP676" s="3"/>
      <c r="AQ676" s="3"/>
      <c r="AR676" s="3" t="s">
        <v>64</v>
      </c>
      <c r="AS676" s="3" t="s">
        <v>54</v>
      </c>
      <c r="AW676" s="8" t="s">
        <v>2647</v>
      </c>
    </row>
    <row r="677">
      <c r="A677" s="3">
        <v>134.0</v>
      </c>
      <c r="B677" s="3" t="s">
        <v>40</v>
      </c>
      <c r="C677" s="3" t="s">
        <v>437</v>
      </c>
      <c r="D677" s="3">
        <v>2015.0</v>
      </c>
      <c r="E677" s="3" t="s">
        <v>438</v>
      </c>
      <c r="F677" s="3" t="s">
        <v>129</v>
      </c>
      <c r="G677" s="3" t="s">
        <v>2600</v>
      </c>
      <c r="H677" s="3" t="s">
        <v>82</v>
      </c>
      <c r="I677" s="3" t="s">
        <v>2147</v>
      </c>
      <c r="J677" s="3" t="s">
        <v>82</v>
      </c>
      <c r="K677" s="3" t="s">
        <v>2217</v>
      </c>
      <c r="L677" s="3" t="s">
        <v>2224</v>
      </c>
      <c r="M677" s="3" t="s">
        <v>314</v>
      </c>
      <c r="S677" s="9" t="str">
        <f t="array" ref="S677">"[" &amp; TEXTJOIN(", ", TRUE, IF(LEN(T677:AB677), CHAR(34)&amp;T677:AB677&amp;CHAR(34), )) &amp; "]"
</f>
        <v>["Logging &amp; Wood Harvesting", "Fire &amp; fire suppression"]</v>
      </c>
      <c r="T677" s="3" t="s">
        <v>2139</v>
      </c>
      <c r="U677" s="3"/>
      <c r="V677" s="3"/>
      <c r="W677" s="3" t="s">
        <v>250</v>
      </c>
      <c r="AC677" s="3" t="s">
        <v>48</v>
      </c>
      <c r="AF677" s="3" t="s">
        <v>250</v>
      </c>
      <c r="AL677" s="9" t="str">
        <f t="array" ref="AL677">"[" &amp; TEXTJOIN(", ", TRUE, IF(LEN(AM677:AQ677), CHAR(34)&amp;AM677:AQ677&amp;CHAR(34), )) &amp; "]"
</f>
        <v>["Biological resource use", "Natural system modifications"]</v>
      </c>
      <c r="AM677" s="3" t="s">
        <v>52</v>
      </c>
      <c r="AN677" s="3" t="s">
        <v>53</v>
      </c>
      <c r="AO677" s="3"/>
      <c r="AP677" s="3"/>
      <c r="AQ677" s="3"/>
      <c r="AR677" s="3" t="s">
        <v>52</v>
      </c>
      <c r="AS677" s="3" t="s">
        <v>53</v>
      </c>
      <c r="AW677" s="8" t="s">
        <v>2648</v>
      </c>
    </row>
    <row r="678">
      <c r="A678" s="3">
        <v>476.0</v>
      </c>
      <c r="B678" s="3" t="s">
        <v>40</v>
      </c>
      <c r="C678" s="3" t="s">
        <v>1076</v>
      </c>
      <c r="D678" s="3">
        <v>2012.0</v>
      </c>
      <c r="E678" s="3" t="s">
        <v>1077</v>
      </c>
      <c r="F678" s="3" t="s">
        <v>129</v>
      </c>
      <c r="G678" s="3" t="s">
        <v>2600</v>
      </c>
      <c r="H678" s="3" t="s">
        <v>82</v>
      </c>
      <c r="I678" s="3" t="s">
        <v>2147</v>
      </c>
      <c r="J678" s="3" t="s">
        <v>82</v>
      </c>
      <c r="K678" s="3" t="s">
        <v>2217</v>
      </c>
      <c r="L678" s="3" t="s">
        <v>2237</v>
      </c>
      <c r="M678" s="3" t="s">
        <v>384</v>
      </c>
      <c r="S678" s="9" t="str">
        <f t="array" ref="S678">"[" &amp; TEXTJOIN(", ", TRUE, IF(LEN(T678:AB678), CHAR(34)&amp;T678:AB678&amp;CHAR(34), )) &amp; "]"
</f>
        <v>["Viral/prion-induced diseases"]</v>
      </c>
      <c r="T678" s="3" t="s">
        <v>385</v>
      </c>
      <c r="U678" s="3"/>
      <c r="V678" s="3"/>
      <c r="AC678" s="3" t="s">
        <v>385</v>
      </c>
      <c r="AF678" s="3" t="s">
        <v>134</v>
      </c>
      <c r="AL678" s="9" t="str">
        <f t="array" ref="AL678">"[" &amp; TEXTJOIN(", ", TRUE, IF(LEN(AM678:AQ678), CHAR(34)&amp;AM678:AQ678&amp;CHAR(34), )) &amp; "]"
</f>
        <v>["Invasive &amp; other problematic species, genes &amp; diseases", "Natural system modifications"]</v>
      </c>
      <c r="AM678" s="3" t="s">
        <v>54</v>
      </c>
      <c r="AN678" s="3" t="s">
        <v>53</v>
      </c>
      <c r="AO678" s="3"/>
      <c r="AP678" s="3"/>
      <c r="AQ678" s="3"/>
      <c r="AR678" s="3" t="s">
        <v>54</v>
      </c>
      <c r="AS678" s="3" t="s">
        <v>53</v>
      </c>
      <c r="AW678" s="8" t="s">
        <v>2649</v>
      </c>
    </row>
    <row r="679">
      <c r="A679" s="3">
        <v>761.0</v>
      </c>
      <c r="B679" s="3" t="s">
        <v>40</v>
      </c>
      <c r="C679" s="3" t="s">
        <v>1636</v>
      </c>
      <c r="D679" s="3">
        <v>2002.0</v>
      </c>
      <c r="E679" s="3" t="s">
        <v>1637</v>
      </c>
      <c r="F679" s="3" t="s">
        <v>129</v>
      </c>
      <c r="G679" s="3" t="s">
        <v>2600</v>
      </c>
      <c r="H679" s="3" t="s">
        <v>82</v>
      </c>
      <c r="I679" s="3" t="s">
        <v>2147</v>
      </c>
      <c r="J679" s="3" t="s">
        <v>82</v>
      </c>
      <c r="K679" s="3" t="s">
        <v>2217</v>
      </c>
      <c r="L679" s="3" t="s">
        <v>2237</v>
      </c>
      <c r="M679" s="3" t="s">
        <v>384</v>
      </c>
      <c r="S679" s="9" t="str">
        <f t="array" ref="S679">"[" &amp; TEXTJOIN(", ", TRUE, IF(LEN(T679:AB679), CHAR(34)&amp;T679:AB679&amp;CHAR(34), )) &amp; "]"
</f>
        <v>["Industrial &amp; military effluents"]</v>
      </c>
      <c r="T679" s="3" t="s">
        <v>147</v>
      </c>
      <c r="U679" s="3"/>
      <c r="V679" s="3"/>
      <c r="AC679" s="3" t="s">
        <v>147</v>
      </c>
      <c r="AL679" s="9" t="str">
        <f t="array" ref="AL679">"[" &amp; TEXTJOIN(", ", TRUE, IF(LEN(AM679:AQ679), CHAR(34)&amp;AM679:AQ679&amp;CHAR(34), )) &amp; "]"
</f>
        <v>["Pollution", "Natural system modifications"]</v>
      </c>
      <c r="AM679" s="3" t="s">
        <v>64</v>
      </c>
      <c r="AN679" s="3" t="s">
        <v>53</v>
      </c>
      <c r="AO679" s="3"/>
      <c r="AP679" s="3"/>
      <c r="AQ679" s="3"/>
      <c r="AR679" s="3" t="s">
        <v>64</v>
      </c>
      <c r="AS679" s="3" t="s">
        <v>53</v>
      </c>
      <c r="AW679" s="8" t="s">
        <v>2650</v>
      </c>
    </row>
    <row r="680">
      <c r="A680" s="3">
        <v>174.0</v>
      </c>
      <c r="B680" s="3" t="s">
        <v>40</v>
      </c>
      <c r="C680" s="3" t="s">
        <v>521</v>
      </c>
      <c r="D680" s="3">
        <v>2011.0</v>
      </c>
      <c r="E680" s="3" t="s">
        <v>522</v>
      </c>
      <c r="F680" s="3" t="s">
        <v>129</v>
      </c>
      <c r="G680" s="3" t="s">
        <v>2600</v>
      </c>
      <c r="H680" s="3" t="s">
        <v>82</v>
      </c>
      <c r="I680" s="3" t="s">
        <v>2147</v>
      </c>
      <c r="J680" s="3" t="s">
        <v>82</v>
      </c>
      <c r="K680" s="3" t="s">
        <v>2217</v>
      </c>
      <c r="L680" s="3" t="s">
        <v>2234</v>
      </c>
      <c r="M680" s="3" t="s">
        <v>453</v>
      </c>
      <c r="S680" s="9" t="str">
        <f t="array" ref="S680">"[" &amp; TEXTJOIN(", ", TRUE, IF(LEN(T680:AB680), CHAR(34)&amp;T680:AB680&amp;CHAR(34), )) &amp; "]"
</f>
        <v>["Hunting &amp; Collecting Terrestrial Animals"]</v>
      </c>
      <c r="T680" s="3" t="s">
        <v>2138</v>
      </c>
      <c r="U680" s="3"/>
      <c r="V680" s="3"/>
      <c r="AC680" s="3" t="s">
        <v>61</v>
      </c>
      <c r="AF680" s="3" t="s">
        <v>87</v>
      </c>
      <c r="AL680" s="9" t="str">
        <f t="array" ref="AL680">"[" &amp; TEXTJOIN(", ", TRUE, IF(LEN(AM680:AQ680), CHAR(34)&amp;AM680:AQ680&amp;CHAR(34), )) &amp; "]"
</f>
        <v>["Biological resource use", "Pollution"]</v>
      </c>
      <c r="AM680" s="3" t="s">
        <v>52</v>
      </c>
      <c r="AN680" s="3" t="s">
        <v>64</v>
      </c>
      <c r="AP680" s="3"/>
      <c r="AQ680" s="3"/>
      <c r="AR680" s="3" t="s">
        <v>52</v>
      </c>
      <c r="AS680" s="3" t="s">
        <v>64</v>
      </c>
      <c r="AT680" s="3" t="s">
        <v>78</v>
      </c>
      <c r="AW680" s="8" t="s">
        <v>2651</v>
      </c>
    </row>
    <row r="681">
      <c r="A681" s="3">
        <v>173.0</v>
      </c>
      <c r="B681" s="3" t="s">
        <v>40</v>
      </c>
      <c r="C681" s="3" t="s">
        <v>519</v>
      </c>
      <c r="D681" s="3">
        <v>2001.0</v>
      </c>
      <c r="E681" s="3" t="s">
        <v>520</v>
      </c>
      <c r="F681" s="3" t="s">
        <v>129</v>
      </c>
      <c r="G681" s="3" t="s">
        <v>2600</v>
      </c>
      <c r="H681" s="3" t="s">
        <v>82</v>
      </c>
      <c r="I681" s="3" t="s">
        <v>2147</v>
      </c>
      <c r="J681" s="3" t="s">
        <v>82</v>
      </c>
      <c r="K681" s="3" t="s">
        <v>2217</v>
      </c>
      <c r="L681" s="3" t="s">
        <v>2234</v>
      </c>
      <c r="M681" s="3" t="s">
        <v>453</v>
      </c>
      <c r="S681" s="9" t="str">
        <f t="array" ref="S681">"[" &amp; TEXTJOIN(", ", TRUE, IF(LEN(T681:AB681), CHAR(34)&amp;T681:AB681&amp;CHAR(34), )) &amp; "]"
</f>
        <v>["Hunting &amp; Collecting Terrestrial Animals"]</v>
      </c>
      <c r="T681" s="3" t="s">
        <v>2138</v>
      </c>
      <c r="U681" s="3"/>
      <c r="V681" s="3"/>
      <c r="AC681" s="3" t="s">
        <v>61</v>
      </c>
      <c r="AL681" s="9" t="str">
        <f t="array" ref="AL681">"[" &amp; TEXTJOIN(", ", TRUE, IF(LEN(AM681:AQ681), CHAR(34)&amp;AM681:AQ681&amp;CHAR(34), )) &amp; "]"
</f>
        <v>["Biological resource use", "Pollution"]</v>
      </c>
      <c r="AM681" s="3" t="s">
        <v>52</v>
      </c>
      <c r="AN681" s="3" t="s">
        <v>64</v>
      </c>
      <c r="AP681" s="3"/>
      <c r="AQ681" s="3"/>
      <c r="AR681" s="3" t="s">
        <v>52</v>
      </c>
      <c r="AS681" s="3" t="s">
        <v>64</v>
      </c>
      <c r="AT681" s="3" t="s">
        <v>78</v>
      </c>
      <c r="AW681" s="8" t="s">
        <v>2652</v>
      </c>
    </row>
    <row r="682">
      <c r="A682" s="3">
        <v>494.0</v>
      </c>
      <c r="B682" s="3" t="s">
        <v>40</v>
      </c>
      <c r="C682" s="3" t="s">
        <v>1112</v>
      </c>
      <c r="D682" s="3">
        <v>2002.0</v>
      </c>
      <c r="E682" s="3" t="s">
        <v>1113</v>
      </c>
      <c r="F682" s="3" t="s">
        <v>129</v>
      </c>
      <c r="G682" s="3" t="s">
        <v>2600</v>
      </c>
      <c r="H682" s="3" t="s">
        <v>82</v>
      </c>
      <c r="I682" s="3" t="s">
        <v>2147</v>
      </c>
      <c r="J682" s="3" t="s">
        <v>82</v>
      </c>
      <c r="K682" s="3" t="s">
        <v>2217</v>
      </c>
      <c r="L682" s="3" t="s">
        <v>2237</v>
      </c>
      <c r="M682" s="3" t="s">
        <v>384</v>
      </c>
      <c r="S682" s="9" t="str">
        <f t="array" ref="S682">"[" &amp; TEXTJOIN(", ", TRUE, IF(LEN(T682:AB682), CHAR(34)&amp;T682:AB682&amp;CHAR(34), )) &amp; "]"
</f>
        <v>["Viral/prion-induced diseases", "Industrial &amp; military effluents"]</v>
      </c>
      <c r="T682" s="3" t="s">
        <v>385</v>
      </c>
      <c r="U682" s="3"/>
      <c r="V682" s="3"/>
      <c r="W682" s="3" t="s">
        <v>147</v>
      </c>
      <c r="AC682" s="3" t="s">
        <v>385</v>
      </c>
      <c r="AF682" s="3" t="s">
        <v>147</v>
      </c>
      <c r="AL682" s="9" t="str">
        <f t="array" ref="AL682">"[" &amp; TEXTJOIN(", ", TRUE, IF(LEN(AM682:AQ682), CHAR(34)&amp;AM682:AQ682&amp;CHAR(34), )) &amp; "]"
</f>
        <v>["Invasive &amp; other problematic species, genes &amp; diseases", "Pollution"]</v>
      </c>
      <c r="AM682" s="3" t="s">
        <v>54</v>
      </c>
      <c r="AN682" s="3" t="s">
        <v>64</v>
      </c>
      <c r="AO682" s="3"/>
      <c r="AP682" s="3"/>
      <c r="AQ682" s="3"/>
      <c r="AR682" s="3" t="s">
        <v>54</v>
      </c>
      <c r="AS682" s="3" t="s">
        <v>64</v>
      </c>
      <c r="AW682" s="8" t="s">
        <v>2653</v>
      </c>
    </row>
    <row r="683">
      <c r="A683" s="3">
        <v>205.0</v>
      </c>
      <c r="B683" s="3" t="s">
        <v>40</v>
      </c>
      <c r="C683" s="3" t="s">
        <v>578</v>
      </c>
      <c r="D683" s="3">
        <v>2005.0</v>
      </c>
      <c r="E683" s="3" t="s">
        <v>579</v>
      </c>
      <c r="F683" s="3" t="s">
        <v>129</v>
      </c>
      <c r="G683" s="3" t="s">
        <v>2600</v>
      </c>
      <c r="H683" s="3" t="s">
        <v>82</v>
      </c>
      <c r="I683" s="3" t="s">
        <v>2147</v>
      </c>
      <c r="J683" s="3" t="s">
        <v>82</v>
      </c>
      <c r="K683" s="3" t="s">
        <v>2217</v>
      </c>
      <c r="L683" s="3" t="s">
        <v>2654</v>
      </c>
      <c r="M683" s="3" t="s">
        <v>317</v>
      </c>
      <c r="N683" s="3" t="s">
        <v>314</v>
      </c>
      <c r="S683" s="9" t="str">
        <f t="array" ref="S683">"[" &amp; TEXTJOIN(", ", TRUE, IF(LEN(T683:AB683), CHAR(34)&amp;T683:AB683&amp;CHAR(34), )) &amp; "]"
</f>
        <v>["Logging &amp; Wood Harvesting", "Housing &amp; urban areas"]</v>
      </c>
      <c r="T683" s="3" t="s">
        <v>2139</v>
      </c>
      <c r="U683" s="3"/>
      <c r="V683" s="3"/>
      <c r="W683" s="3" t="s">
        <v>70</v>
      </c>
      <c r="AC683" s="3" t="s">
        <v>48</v>
      </c>
      <c r="AF683" s="3" t="s">
        <v>70</v>
      </c>
      <c r="AL683" s="9" t="str">
        <f t="array" ref="AL683">"[" &amp; TEXTJOIN(", ", TRUE, IF(LEN(AM683:AQ683), CHAR(34)&amp;AM683:AQ683&amp;CHAR(34), )) &amp; "]"
</f>
        <v>["Biological resource use", "Residential &amp; commercial development"]</v>
      </c>
      <c r="AM683" s="3" t="s">
        <v>52</v>
      </c>
      <c r="AN683" s="3" t="s">
        <v>71</v>
      </c>
      <c r="AO683" s="3"/>
      <c r="AP683" s="3"/>
      <c r="AQ683" s="3"/>
      <c r="AR683" s="3" t="s">
        <v>52</v>
      </c>
      <c r="AS683" s="3" t="s">
        <v>71</v>
      </c>
      <c r="AW683" s="8" t="s">
        <v>2655</v>
      </c>
    </row>
    <row r="684">
      <c r="A684" s="3">
        <v>495.0</v>
      </c>
      <c r="B684" s="3" t="s">
        <v>40</v>
      </c>
      <c r="C684" s="3" t="s">
        <v>1114</v>
      </c>
      <c r="D684" s="3">
        <v>2014.0</v>
      </c>
      <c r="E684" s="3" t="s">
        <v>1115</v>
      </c>
      <c r="F684" s="3" t="s">
        <v>129</v>
      </c>
      <c r="G684" s="3" t="s">
        <v>2600</v>
      </c>
      <c r="H684" s="3" t="s">
        <v>82</v>
      </c>
      <c r="I684" s="3" t="s">
        <v>2147</v>
      </c>
      <c r="J684" s="3" t="s">
        <v>82</v>
      </c>
      <c r="K684" s="3" t="s">
        <v>2217</v>
      </c>
      <c r="L684" s="3" t="s">
        <v>2237</v>
      </c>
      <c r="M684" s="3" t="s">
        <v>384</v>
      </c>
      <c r="S684" s="9" t="str">
        <f t="array" ref="S684">"[" &amp; TEXTJOIN(", ", TRUE, IF(LEN(T684:AB684), CHAR(34)&amp;T684:AB684&amp;CHAR(34), )) &amp; "]"
</f>
        <v>["Viral/prion-induced diseases"]</v>
      </c>
      <c r="T684" s="3" t="s">
        <v>385</v>
      </c>
      <c r="U684" s="3"/>
      <c r="V684" s="3"/>
      <c r="AC684" s="3" t="s">
        <v>385</v>
      </c>
      <c r="AF684" s="3" t="s">
        <v>87</v>
      </c>
      <c r="AL684" s="9" t="str">
        <f t="array" ref="AL684">"[" &amp; TEXTJOIN(", ", TRUE, IF(LEN(AM684:AQ684), CHAR(34)&amp;AM684:AQ684&amp;CHAR(34), )) &amp; "]"
</f>
        <v>["Invasive &amp; other problematic species, genes &amp; diseases", "Residential &amp; commercial development"]</v>
      </c>
      <c r="AM684" s="3" t="s">
        <v>54</v>
      </c>
      <c r="AN684" s="3" t="s">
        <v>71</v>
      </c>
      <c r="AO684" s="3"/>
      <c r="AP684" s="3"/>
      <c r="AQ684" s="3"/>
      <c r="AR684" s="3" t="s">
        <v>54</v>
      </c>
      <c r="AS684" s="3" t="s">
        <v>71</v>
      </c>
      <c r="AW684" s="8" t="s">
        <v>2656</v>
      </c>
    </row>
    <row r="685" hidden="1">
      <c r="A685" s="3">
        <v>388.0</v>
      </c>
      <c r="B685" s="3" t="s">
        <v>55</v>
      </c>
      <c r="D685" s="3">
        <v>1990.0</v>
      </c>
      <c r="E685" s="3" t="s">
        <v>937</v>
      </c>
      <c r="F685" s="3" t="s">
        <v>68</v>
      </c>
      <c r="G685" s="3"/>
      <c r="H685" s="3" t="s">
        <v>58</v>
      </c>
      <c r="I685" s="3"/>
      <c r="J685" s="3" t="s">
        <v>58</v>
      </c>
      <c r="K685" s="3"/>
      <c r="L685" s="3"/>
      <c r="M685" s="3" t="s">
        <v>69</v>
      </c>
      <c r="S685" s="3"/>
      <c r="T685" s="3"/>
      <c r="U685" s="3"/>
      <c r="V685" s="3"/>
      <c r="AC685" s="3" t="s">
        <v>61</v>
      </c>
      <c r="AL685" s="3"/>
      <c r="AM685" s="3"/>
      <c r="AN685" s="3"/>
      <c r="AO685" s="3"/>
      <c r="AP685" s="3"/>
      <c r="AQ685" s="3"/>
      <c r="AR685" s="3" t="s">
        <v>52</v>
      </c>
      <c r="AW685" s="8" t="s">
        <v>2135</v>
      </c>
    </row>
    <row r="686" hidden="1">
      <c r="A686" s="3">
        <v>390.0</v>
      </c>
      <c r="B686" s="3" t="s">
        <v>55</v>
      </c>
      <c r="D686" s="3">
        <v>1991.0</v>
      </c>
      <c r="E686" s="3" t="s">
        <v>939</v>
      </c>
      <c r="F686" s="3" t="s">
        <v>68</v>
      </c>
      <c r="G686" s="3"/>
      <c r="H686" s="3" t="s">
        <v>58</v>
      </c>
      <c r="I686" s="3"/>
      <c r="J686" s="3" t="s">
        <v>58</v>
      </c>
      <c r="K686" s="3"/>
      <c r="L686" s="3"/>
      <c r="M686" s="3" t="s">
        <v>69</v>
      </c>
      <c r="S686" s="3"/>
      <c r="T686" s="3"/>
      <c r="U686" s="3"/>
      <c r="V686" s="3"/>
      <c r="AC686" s="3" t="s">
        <v>61</v>
      </c>
      <c r="AL686" s="3"/>
      <c r="AM686" s="3"/>
      <c r="AN686" s="3"/>
      <c r="AO686" s="3"/>
      <c r="AP686" s="3"/>
      <c r="AQ686" s="3"/>
      <c r="AR686" s="3" t="s">
        <v>52</v>
      </c>
      <c r="AW686" s="8" t="s">
        <v>2135</v>
      </c>
    </row>
    <row r="687" hidden="1">
      <c r="A687" s="3">
        <v>393.0</v>
      </c>
      <c r="B687" s="3" t="s">
        <v>55</v>
      </c>
      <c r="D687" s="3">
        <v>1992.0</v>
      </c>
      <c r="E687" s="3" t="s">
        <v>942</v>
      </c>
      <c r="F687" s="3" t="s">
        <v>68</v>
      </c>
      <c r="G687" s="3"/>
      <c r="H687" s="3" t="s">
        <v>58</v>
      </c>
      <c r="I687" s="3"/>
      <c r="J687" s="3" t="s">
        <v>58</v>
      </c>
      <c r="K687" s="3"/>
      <c r="L687" s="3"/>
      <c r="M687" s="3" t="s">
        <v>286</v>
      </c>
      <c r="S687" s="3"/>
      <c r="T687" s="3"/>
      <c r="U687" s="3"/>
      <c r="V687" s="3"/>
      <c r="AC687" s="3" t="s">
        <v>61</v>
      </c>
      <c r="AL687" s="3"/>
      <c r="AM687" s="3"/>
      <c r="AN687" s="3"/>
      <c r="AO687" s="3"/>
      <c r="AP687" s="3"/>
      <c r="AQ687" s="3"/>
      <c r="AR687" s="3" t="s">
        <v>52</v>
      </c>
      <c r="AW687" s="8" t="s">
        <v>2135</v>
      </c>
    </row>
    <row r="688">
      <c r="A688" s="3">
        <v>769.0</v>
      </c>
      <c r="B688" s="3" t="s">
        <v>40</v>
      </c>
      <c r="C688" s="3" t="s">
        <v>1652</v>
      </c>
      <c r="D688" s="3">
        <v>2002.0</v>
      </c>
      <c r="E688" s="3" t="s">
        <v>1653</v>
      </c>
      <c r="F688" s="3" t="s">
        <v>129</v>
      </c>
      <c r="G688" s="3" t="s">
        <v>2600</v>
      </c>
      <c r="H688" s="3" t="s">
        <v>82</v>
      </c>
      <c r="I688" s="3" t="s">
        <v>2147</v>
      </c>
      <c r="J688" s="3" t="s">
        <v>82</v>
      </c>
      <c r="K688" s="3" t="s">
        <v>2217</v>
      </c>
      <c r="L688" s="3" t="s">
        <v>2234</v>
      </c>
      <c r="M688" s="3" t="s">
        <v>453</v>
      </c>
      <c r="S688" s="9"/>
      <c r="U688" s="3"/>
      <c r="V688" s="3"/>
      <c r="AC688" s="3" t="s">
        <v>87</v>
      </c>
      <c r="AF688" s="3" t="s">
        <v>87</v>
      </c>
      <c r="AL688" s="9" t="str">
        <f t="array" ref="AL688">"[" &amp; TEXTJOIN(", ", TRUE, IF(LEN(AM688:AQ688), CHAR(34)&amp;AM688:AQ688&amp;CHAR(34), )) &amp; "]"
</f>
        <v>["Pollution", "Residential &amp; commercial development"]</v>
      </c>
      <c r="AM688" s="3" t="s">
        <v>64</v>
      </c>
      <c r="AN688" s="3" t="s">
        <v>71</v>
      </c>
      <c r="AO688" s="3"/>
      <c r="AP688" s="3"/>
      <c r="AQ688" s="3"/>
      <c r="AR688" s="3" t="s">
        <v>64</v>
      </c>
      <c r="AS688" s="3" t="s">
        <v>71</v>
      </c>
      <c r="AW688" s="8" t="s">
        <v>2657</v>
      </c>
    </row>
    <row r="689">
      <c r="A689" s="3">
        <v>222.0</v>
      </c>
      <c r="B689" s="3" t="s">
        <v>40</v>
      </c>
      <c r="C689" s="3" t="s">
        <v>609</v>
      </c>
      <c r="D689" s="3">
        <v>2001.0</v>
      </c>
      <c r="E689" s="3" t="s">
        <v>610</v>
      </c>
      <c r="F689" s="3" t="s">
        <v>129</v>
      </c>
      <c r="G689" s="3" t="s">
        <v>2600</v>
      </c>
      <c r="H689" s="3" t="s">
        <v>82</v>
      </c>
      <c r="I689" s="3" t="s">
        <v>2147</v>
      </c>
      <c r="J689" s="3" t="s">
        <v>82</v>
      </c>
      <c r="K689" s="3" t="s">
        <v>2217</v>
      </c>
      <c r="L689" s="3" t="s">
        <v>2658</v>
      </c>
      <c r="M689" s="3" t="s">
        <v>254</v>
      </c>
      <c r="N689" s="3" t="s">
        <v>314</v>
      </c>
      <c r="S689" s="9" t="str">
        <f t="array" ref="S689">"[" &amp; TEXTJOIN(", ", TRUE, IF(LEN(T689:AB689), CHAR(34)&amp;T689:AB689&amp;CHAR(34), )) &amp; "]"
</f>
        <v>["Hunting &amp; Collecting Terrestrial Animals", "Roads &amp; railroads"]</v>
      </c>
      <c r="T689" s="3" t="s">
        <v>2138</v>
      </c>
      <c r="U689" s="3"/>
      <c r="V689" s="3"/>
      <c r="W689" s="3" t="s">
        <v>63</v>
      </c>
      <c r="AC689" s="3" t="s">
        <v>61</v>
      </c>
      <c r="AF689" s="3" t="s">
        <v>63</v>
      </c>
      <c r="AL689" s="9" t="str">
        <f t="array" ref="AL689">"[" &amp; TEXTJOIN(", ", TRUE, IF(LEN(AM689:AQ689), CHAR(34)&amp;AM689:AQ689&amp;CHAR(34), )) &amp; "]"
</f>
        <v>["Biological resource use", "Transportation &amp; service corridors"]</v>
      </c>
      <c r="AM689" s="3" t="s">
        <v>52</v>
      </c>
      <c r="AN689" s="3" t="s">
        <v>65</v>
      </c>
      <c r="AO689" s="3"/>
      <c r="AP689" s="3"/>
      <c r="AQ689" s="3"/>
      <c r="AR689" s="3" t="s">
        <v>52</v>
      </c>
      <c r="AS689" s="3" t="s">
        <v>65</v>
      </c>
      <c r="AW689" s="8" t="s">
        <v>2659</v>
      </c>
    </row>
    <row r="690">
      <c r="A690" s="3">
        <v>224.0</v>
      </c>
      <c r="B690" s="3" t="s">
        <v>40</v>
      </c>
      <c r="C690" s="3" t="s">
        <v>613</v>
      </c>
      <c r="D690" s="3">
        <v>2008.0</v>
      </c>
      <c r="E690" s="3" t="s">
        <v>614</v>
      </c>
      <c r="F690" s="3" t="s">
        <v>129</v>
      </c>
      <c r="G690" s="3" t="s">
        <v>2600</v>
      </c>
      <c r="H690" s="3" t="s">
        <v>82</v>
      </c>
      <c r="I690" s="3" t="s">
        <v>2147</v>
      </c>
      <c r="J690" s="3" t="s">
        <v>82</v>
      </c>
      <c r="K690" s="3" t="s">
        <v>2217</v>
      </c>
      <c r="L690" s="3" t="s">
        <v>2234</v>
      </c>
      <c r="M690" s="3" t="s">
        <v>453</v>
      </c>
      <c r="S690" s="9" t="str">
        <f t="array" ref="S690">"[" &amp; TEXTJOIN(", ", TRUE, IF(LEN(T690:AB690), CHAR(34)&amp;T690:AB690&amp;CHAR(34), )) &amp; "]"
</f>
        <v>["Hunting &amp; Collecting Terrestrial Animals", "Roads &amp; railroads"]</v>
      </c>
      <c r="T690" s="3" t="s">
        <v>2138</v>
      </c>
      <c r="U690" s="3"/>
      <c r="V690" s="3"/>
      <c r="W690" s="3" t="s">
        <v>63</v>
      </c>
      <c r="AC690" s="3" t="s">
        <v>61</v>
      </c>
      <c r="AF690" s="3" t="s">
        <v>63</v>
      </c>
      <c r="AL690" s="9" t="str">
        <f t="array" ref="AL690">"[" &amp; TEXTJOIN(", ", TRUE, IF(LEN(AM690:AQ690), CHAR(34)&amp;AM690:AQ690&amp;CHAR(34), )) &amp; "]"
</f>
        <v>["Biological resource use", "Transportation &amp; service corridors"]</v>
      </c>
      <c r="AM690" s="3" t="s">
        <v>52</v>
      </c>
      <c r="AN690" s="3" t="s">
        <v>65</v>
      </c>
      <c r="AO690" s="3"/>
      <c r="AP690" s="3"/>
      <c r="AQ690" s="3"/>
      <c r="AR690" s="3" t="s">
        <v>52</v>
      </c>
      <c r="AS690" s="3" t="s">
        <v>65</v>
      </c>
      <c r="AW690" s="8" t="s">
        <v>2660</v>
      </c>
    </row>
    <row r="691">
      <c r="A691" s="3">
        <v>30.0</v>
      </c>
      <c r="B691" s="3" t="s">
        <v>40</v>
      </c>
      <c r="C691" s="3" t="s">
        <v>178</v>
      </c>
      <c r="D691" s="3">
        <v>2003.0</v>
      </c>
      <c r="E691" s="3" t="s">
        <v>179</v>
      </c>
      <c r="F691" s="3" t="s">
        <v>129</v>
      </c>
      <c r="G691" s="3" t="s">
        <v>2600</v>
      </c>
      <c r="H691" s="3" t="s">
        <v>82</v>
      </c>
      <c r="I691" s="3" t="s">
        <v>2147</v>
      </c>
      <c r="J691" s="3" t="s">
        <v>82</v>
      </c>
      <c r="K691" s="3" t="s">
        <v>2217</v>
      </c>
      <c r="L691" s="3" t="s">
        <v>2433</v>
      </c>
      <c r="M691" s="3" t="s">
        <v>180</v>
      </c>
      <c r="S691" s="9" t="str">
        <f t="array" ref="S691">"[" &amp; TEXTJOIN(", ", TRUE, IF(LEN(T691:AB691), CHAR(34)&amp;T691:AB691&amp;CHAR(34), )) &amp; "]"
</f>
        <v>["Annual &amp; perennial non-timber crops", "Livestock farming &amp; ranching"]</v>
      </c>
      <c r="T691" s="3" t="s">
        <v>60</v>
      </c>
      <c r="U691" s="3" t="s">
        <v>47</v>
      </c>
      <c r="V691" s="3"/>
      <c r="AC691" s="3" t="s">
        <v>60</v>
      </c>
      <c r="AD691" s="3" t="s">
        <v>47</v>
      </c>
      <c r="AL691" s="9" t="str">
        <f t="array" ref="AL691">"[" &amp; TEXTJOIN(", ", TRUE, IF(LEN(AM691:AQ691), CHAR(34)&amp;AM691:AQ691&amp;CHAR(34), )) &amp; "]"
</f>
        <v>["Agriculture &amp; aquaculture"]</v>
      </c>
      <c r="AM691" s="3" t="s">
        <v>51</v>
      </c>
      <c r="AN691" s="3"/>
      <c r="AO691" s="3"/>
      <c r="AP691" s="3"/>
      <c r="AQ691" s="3"/>
      <c r="AR691" s="3" t="s">
        <v>51</v>
      </c>
      <c r="AW691" s="8" t="s">
        <v>2661</v>
      </c>
    </row>
    <row r="692">
      <c r="A692" s="3">
        <v>31.0</v>
      </c>
      <c r="B692" s="3" t="s">
        <v>40</v>
      </c>
      <c r="C692" s="3" t="s">
        <v>178</v>
      </c>
      <c r="D692" s="3">
        <v>2004.0</v>
      </c>
      <c r="E692" s="3" t="s">
        <v>181</v>
      </c>
      <c r="F692" s="3" t="s">
        <v>129</v>
      </c>
      <c r="G692" s="3" t="s">
        <v>2600</v>
      </c>
      <c r="H692" s="3" t="s">
        <v>82</v>
      </c>
      <c r="I692" s="3" t="s">
        <v>2147</v>
      </c>
      <c r="J692" s="3" t="s">
        <v>82</v>
      </c>
      <c r="K692" s="3" t="s">
        <v>2217</v>
      </c>
      <c r="L692" s="3" t="s">
        <v>2433</v>
      </c>
      <c r="M692" s="3" t="s">
        <v>180</v>
      </c>
      <c r="S692" s="9" t="str">
        <f t="array" ref="S692">"[" &amp; TEXTJOIN(", ", TRUE, IF(LEN(T692:AB692), CHAR(34)&amp;T692:AB692&amp;CHAR(34), )) &amp; "]"
</f>
        <v>["Annual &amp; perennial non-timber crops", "Livestock farming &amp; ranching"]</v>
      </c>
      <c r="T692" s="3" t="s">
        <v>60</v>
      </c>
      <c r="U692" s="3" t="s">
        <v>47</v>
      </c>
      <c r="V692" s="3"/>
      <c r="AC692" s="3" t="s">
        <v>60</v>
      </c>
      <c r="AD692" s="3" t="s">
        <v>47</v>
      </c>
      <c r="AL692" s="9" t="str">
        <f t="array" ref="AL692">"[" &amp; TEXTJOIN(", ", TRUE, IF(LEN(AM692:AQ692), CHAR(34)&amp;AM692:AQ692&amp;CHAR(34), )) &amp; "]"
</f>
        <v>["Agriculture &amp; aquaculture"]</v>
      </c>
      <c r="AM692" s="3" t="s">
        <v>51</v>
      </c>
      <c r="AN692" s="3"/>
      <c r="AO692" s="3"/>
      <c r="AP692" s="3"/>
      <c r="AQ692" s="3"/>
      <c r="AR692" s="3" t="s">
        <v>51</v>
      </c>
      <c r="AW692" s="8" t="s">
        <v>2662</v>
      </c>
    </row>
    <row r="693">
      <c r="A693" s="3">
        <v>244.0</v>
      </c>
      <c r="B693" s="3" t="s">
        <v>40</v>
      </c>
      <c r="C693" s="3" t="s">
        <v>655</v>
      </c>
      <c r="D693" s="3">
        <v>1991.0</v>
      </c>
      <c r="E693" s="3" t="s">
        <v>656</v>
      </c>
      <c r="F693" s="3" t="s">
        <v>129</v>
      </c>
      <c r="G693" s="3" t="s">
        <v>2600</v>
      </c>
      <c r="H693" s="3" t="s">
        <v>82</v>
      </c>
      <c r="I693" s="3" t="s">
        <v>2147</v>
      </c>
      <c r="J693" s="3" t="s">
        <v>82</v>
      </c>
      <c r="K693" s="3" t="s">
        <v>2217</v>
      </c>
      <c r="L693" s="3" t="s">
        <v>2237</v>
      </c>
      <c r="M693" s="3" t="s">
        <v>384</v>
      </c>
      <c r="S693" s="9" t="str">
        <f t="array" ref="S693">"[" &amp; TEXTJOIN(", ", TRUE, IF(LEN(T693:AB693), CHAR(34)&amp;T693:AB693&amp;CHAR(34), )) &amp; "]"
</f>
        <v>["Fishing &amp; Harvesting Aquatic Resources"]</v>
      </c>
      <c r="T693" s="3" t="s">
        <v>2164</v>
      </c>
      <c r="U693" s="3"/>
      <c r="V693" s="3"/>
      <c r="AC693" s="3" t="s">
        <v>247</v>
      </c>
      <c r="AL693" s="9" t="str">
        <f t="array" ref="AL693">"[" &amp; TEXTJOIN(", ", TRUE, IF(LEN(AM693:AQ693), CHAR(34)&amp;AM693:AQ693&amp;CHAR(34), )) &amp; "]"
</f>
        <v>["Biological resource use"]</v>
      </c>
      <c r="AM693" s="3" t="s">
        <v>52</v>
      </c>
      <c r="AN693" s="3"/>
      <c r="AO693" s="3"/>
      <c r="AP693" s="3"/>
      <c r="AQ693" s="3"/>
      <c r="AR693" s="3" t="s">
        <v>52</v>
      </c>
      <c r="AW693" s="8" t="s">
        <v>2663</v>
      </c>
    </row>
    <row r="694">
      <c r="A694" s="3">
        <v>245.0</v>
      </c>
      <c r="B694" s="3" t="s">
        <v>40</v>
      </c>
      <c r="C694" s="3" t="s">
        <v>657</v>
      </c>
      <c r="D694" s="3">
        <v>1993.0</v>
      </c>
      <c r="E694" s="3" t="s">
        <v>658</v>
      </c>
      <c r="F694" s="3" t="s">
        <v>129</v>
      </c>
      <c r="G694" s="3" t="s">
        <v>2600</v>
      </c>
      <c r="H694" s="3" t="s">
        <v>82</v>
      </c>
      <c r="I694" s="3" t="s">
        <v>2147</v>
      </c>
      <c r="J694" s="3" t="s">
        <v>82</v>
      </c>
      <c r="K694" s="3" t="s">
        <v>2217</v>
      </c>
      <c r="L694" s="3" t="s">
        <v>2221</v>
      </c>
      <c r="M694" s="3" t="s">
        <v>317</v>
      </c>
      <c r="S694" s="9" t="str">
        <f t="array" ref="S694">"[" &amp; TEXTJOIN(", ", TRUE, IF(LEN(T694:AB694), CHAR(34)&amp;T694:AB694&amp;CHAR(34), )) &amp; "]"
</f>
        <v>["Hunting &amp; Collecting Terrestrial Animals", "Logging &amp; Wood Harvesting"]</v>
      </c>
      <c r="T694" s="3" t="s">
        <v>2138</v>
      </c>
      <c r="U694" s="3" t="s">
        <v>2139</v>
      </c>
      <c r="V694" s="3"/>
      <c r="AC694" s="3" t="s">
        <v>61</v>
      </c>
      <c r="AD694" s="3" t="s">
        <v>48</v>
      </c>
      <c r="AL694" s="9" t="str">
        <f t="array" ref="AL694">"[" &amp; TEXTJOIN(", ", TRUE, IF(LEN(AM694:AQ694), CHAR(34)&amp;AM694:AQ694&amp;CHAR(34), )) &amp; "]"
</f>
        <v>["Biological resource use"]</v>
      </c>
      <c r="AM694" s="3" t="s">
        <v>52</v>
      </c>
      <c r="AN694" s="3"/>
      <c r="AO694" s="3"/>
      <c r="AP694" s="3"/>
      <c r="AQ694" s="3"/>
      <c r="AR694" s="3" t="s">
        <v>52</v>
      </c>
      <c r="AW694" s="8" t="s">
        <v>2664</v>
      </c>
    </row>
    <row r="695">
      <c r="A695" s="3">
        <v>248.0</v>
      </c>
      <c r="B695" s="3" t="s">
        <v>40</v>
      </c>
      <c r="C695" s="3" t="s">
        <v>663</v>
      </c>
      <c r="D695" s="3">
        <v>1994.0</v>
      </c>
      <c r="E695" s="3" t="s">
        <v>664</v>
      </c>
      <c r="F695" s="3" t="s">
        <v>129</v>
      </c>
      <c r="G695" s="3" t="s">
        <v>2600</v>
      </c>
      <c r="H695" s="3" t="s">
        <v>82</v>
      </c>
      <c r="I695" s="3" t="s">
        <v>2147</v>
      </c>
      <c r="J695" s="3" t="s">
        <v>82</v>
      </c>
      <c r="K695" s="3" t="s">
        <v>2217</v>
      </c>
      <c r="L695" s="3" t="s">
        <v>2221</v>
      </c>
      <c r="M695" s="3" t="s">
        <v>317</v>
      </c>
      <c r="S695" s="9" t="str">
        <f t="array" ref="S695">"[" &amp; TEXTJOIN(", ", TRUE, IF(LEN(T695:AB695), CHAR(34)&amp;T695:AB695&amp;CHAR(34), )) &amp; "]"
</f>
        <v>["Hunting &amp; Collecting Terrestrial Animals", "Logging &amp; Wood Harvesting"]</v>
      </c>
      <c r="T695" s="3" t="s">
        <v>2138</v>
      </c>
      <c r="U695" s="3" t="s">
        <v>2139</v>
      </c>
      <c r="V695" s="3"/>
      <c r="AC695" s="3" t="s">
        <v>61</v>
      </c>
      <c r="AD695" s="3" t="s">
        <v>48</v>
      </c>
      <c r="AL695" s="9" t="str">
        <f t="array" ref="AL695">"[" &amp; TEXTJOIN(", ", TRUE, IF(LEN(AM695:AQ695), CHAR(34)&amp;AM695:AQ695&amp;CHAR(34), )) &amp; "]"
</f>
        <v>["Biological resource use"]</v>
      </c>
      <c r="AM695" s="3" t="s">
        <v>52</v>
      </c>
      <c r="AN695" s="3"/>
      <c r="AO695" s="3"/>
      <c r="AP695" s="3"/>
      <c r="AQ695" s="3"/>
      <c r="AR695" s="3" t="s">
        <v>52</v>
      </c>
      <c r="AW695" s="8" t="s">
        <v>2665</v>
      </c>
    </row>
    <row r="696">
      <c r="A696" s="3">
        <v>268.0</v>
      </c>
      <c r="B696" s="3" t="s">
        <v>40</v>
      </c>
      <c r="C696" s="3" t="s">
        <v>703</v>
      </c>
      <c r="D696" s="3">
        <v>2000.0</v>
      </c>
      <c r="E696" s="3" t="s">
        <v>704</v>
      </c>
      <c r="F696" s="3" t="s">
        <v>129</v>
      </c>
      <c r="G696" s="3" t="s">
        <v>2600</v>
      </c>
      <c r="H696" s="3" t="s">
        <v>82</v>
      </c>
      <c r="I696" s="3" t="s">
        <v>2147</v>
      </c>
      <c r="J696" s="3" t="s">
        <v>82</v>
      </c>
      <c r="K696" s="3" t="s">
        <v>2217</v>
      </c>
      <c r="L696" s="3" t="s">
        <v>2224</v>
      </c>
      <c r="M696" s="3" t="s">
        <v>314</v>
      </c>
      <c r="S696" s="9" t="str">
        <f t="array" ref="S696">"[" &amp; TEXTJOIN(", ", TRUE, IF(LEN(T696:AB696), CHAR(34)&amp;T696:AB696&amp;CHAR(34), )) &amp; "]"
</f>
        <v>["Hunting &amp; Collecting Terrestrial Animals", "Logging &amp; Wood Harvesting"]</v>
      </c>
      <c r="T696" s="3" t="s">
        <v>2138</v>
      </c>
      <c r="U696" s="3" t="s">
        <v>2139</v>
      </c>
      <c r="V696" s="3"/>
      <c r="AC696" s="3" t="s">
        <v>61</v>
      </c>
      <c r="AD696" s="3" t="s">
        <v>48</v>
      </c>
      <c r="AL696" s="9" t="str">
        <f t="array" ref="AL696">"[" &amp; TEXTJOIN(", ", TRUE, IF(LEN(AM696:AQ696), CHAR(34)&amp;AM696:AQ696&amp;CHAR(34), )) &amp; "]"
</f>
        <v>["Biological resource use"]</v>
      </c>
      <c r="AM696" s="3" t="s">
        <v>52</v>
      </c>
      <c r="AN696" s="3"/>
      <c r="AO696" s="3"/>
      <c r="AP696" s="3"/>
      <c r="AQ696" s="3"/>
      <c r="AR696" s="3" t="s">
        <v>52</v>
      </c>
      <c r="AW696" s="8" t="s">
        <v>2666</v>
      </c>
    </row>
    <row r="697">
      <c r="A697" s="3">
        <v>273.0</v>
      </c>
      <c r="B697" s="3" t="s">
        <v>40</v>
      </c>
      <c r="C697" s="3" t="s">
        <v>713</v>
      </c>
      <c r="D697" s="3">
        <v>2001.0</v>
      </c>
      <c r="E697" s="3" t="s">
        <v>714</v>
      </c>
      <c r="F697" s="3" t="s">
        <v>129</v>
      </c>
      <c r="G697" s="3" t="s">
        <v>2600</v>
      </c>
      <c r="H697" s="3" t="s">
        <v>82</v>
      </c>
      <c r="I697" s="3" t="s">
        <v>2147</v>
      </c>
      <c r="J697" s="3" t="s">
        <v>82</v>
      </c>
      <c r="K697" s="3" t="s">
        <v>2217</v>
      </c>
      <c r="L697" s="3" t="s">
        <v>2224</v>
      </c>
      <c r="M697" s="3" t="s">
        <v>314</v>
      </c>
      <c r="S697" s="9" t="str">
        <f t="array" ref="S697">"[" &amp; TEXTJOIN(", ", TRUE, IF(LEN(T697:AB697), CHAR(34)&amp;T697:AB697&amp;CHAR(34), )) &amp; "]"
</f>
        <v>["Hunting &amp; Collecting Terrestrial Animals", "Logging &amp; Wood Harvesting"]</v>
      </c>
      <c r="T697" s="3" t="s">
        <v>2138</v>
      </c>
      <c r="U697" s="3" t="s">
        <v>2139</v>
      </c>
      <c r="V697" s="3"/>
      <c r="AC697" s="3" t="s">
        <v>61</v>
      </c>
      <c r="AD697" s="3" t="s">
        <v>48</v>
      </c>
      <c r="AL697" s="9" t="str">
        <f t="array" ref="AL697">"[" &amp; TEXTJOIN(", ", TRUE, IF(LEN(AM697:AQ697), CHAR(34)&amp;AM697:AQ697&amp;CHAR(34), )) &amp; "]"
</f>
        <v>["Biological resource use"]</v>
      </c>
      <c r="AM697" s="3" t="s">
        <v>52</v>
      </c>
      <c r="AN697" s="3"/>
      <c r="AO697" s="3"/>
      <c r="AP697" s="3"/>
      <c r="AQ697" s="3"/>
      <c r="AR697" s="3" t="s">
        <v>52</v>
      </c>
      <c r="AW697" s="8" t="s">
        <v>2667</v>
      </c>
    </row>
    <row r="698">
      <c r="A698" s="3">
        <v>278.0</v>
      </c>
      <c r="B698" s="3" t="s">
        <v>40</v>
      </c>
      <c r="C698" s="3" t="s">
        <v>722</v>
      </c>
      <c r="D698" s="3">
        <v>2003.0</v>
      </c>
      <c r="E698" s="3" t="s">
        <v>723</v>
      </c>
      <c r="F698" s="3" t="s">
        <v>129</v>
      </c>
      <c r="G698" s="3" t="s">
        <v>2600</v>
      </c>
      <c r="H698" s="3" t="s">
        <v>82</v>
      </c>
      <c r="I698" s="3" t="s">
        <v>2147</v>
      </c>
      <c r="J698" s="3" t="s">
        <v>82</v>
      </c>
      <c r="K698" s="3" t="s">
        <v>2217</v>
      </c>
      <c r="L698" s="3" t="s">
        <v>2224</v>
      </c>
      <c r="M698" s="3" t="s">
        <v>314</v>
      </c>
      <c r="S698" s="9" t="str">
        <f t="array" ref="S698">"[" &amp; TEXTJOIN(", ", TRUE, IF(LEN(T698:AB698), CHAR(34)&amp;T698:AB698&amp;CHAR(34), )) &amp; "]"
</f>
        <v>["Hunting &amp; Collecting Terrestrial Animals", "Logging &amp; Wood Harvesting"]</v>
      </c>
      <c r="T698" s="3" t="s">
        <v>2138</v>
      </c>
      <c r="U698" s="3" t="s">
        <v>2139</v>
      </c>
      <c r="V698" s="3"/>
      <c r="AC698" s="3" t="s">
        <v>61</v>
      </c>
      <c r="AD698" s="3" t="s">
        <v>48</v>
      </c>
      <c r="AL698" s="9" t="str">
        <f t="array" ref="AL698">"[" &amp; TEXTJOIN(", ", TRUE, IF(LEN(AM698:AQ698), CHAR(34)&amp;AM698:AQ698&amp;CHAR(34), )) &amp; "]"
</f>
        <v>["Biological resource use"]</v>
      </c>
      <c r="AM698" s="3" t="s">
        <v>52</v>
      </c>
      <c r="AN698" s="3"/>
      <c r="AO698" s="3"/>
      <c r="AP698" s="3"/>
      <c r="AQ698" s="3"/>
      <c r="AR698" s="3" t="s">
        <v>52</v>
      </c>
      <c r="AW698" s="8" t="s">
        <v>2668</v>
      </c>
    </row>
    <row r="699">
      <c r="A699" s="3">
        <v>304.0</v>
      </c>
      <c r="B699" s="3" t="s">
        <v>40</v>
      </c>
      <c r="C699" s="3" t="s">
        <v>776</v>
      </c>
      <c r="D699" s="3">
        <v>2010.0</v>
      </c>
      <c r="E699" s="3" t="s">
        <v>777</v>
      </c>
      <c r="F699" s="3" t="s">
        <v>129</v>
      </c>
      <c r="G699" s="3" t="s">
        <v>2600</v>
      </c>
      <c r="H699" s="3" t="s">
        <v>82</v>
      </c>
      <c r="I699" s="3" t="s">
        <v>2147</v>
      </c>
      <c r="J699" s="3" t="s">
        <v>82</v>
      </c>
      <c r="K699" s="3" t="s">
        <v>2217</v>
      </c>
      <c r="L699" s="3" t="s">
        <v>2224</v>
      </c>
      <c r="M699" s="3" t="s">
        <v>314</v>
      </c>
      <c r="S699" s="9" t="str">
        <f t="array" ref="S699">"[" &amp; TEXTJOIN(", ", TRUE, IF(LEN(T699:AB699), CHAR(34)&amp;T699:AB699&amp;CHAR(34), )) &amp; "]"
</f>
        <v>["Hunting &amp; Collecting Terrestrial Animals", "Logging &amp; Wood Harvesting"]</v>
      </c>
      <c r="T699" s="3" t="s">
        <v>2138</v>
      </c>
      <c r="U699" s="3" t="s">
        <v>2139</v>
      </c>
      <c r="V699" s="3"/>
      <c r="AC699" s="3" t="s">
        <v>61</v>
      </c>
      <c r="AD699" s="3" t="s">
        <v>48</v>
      </c>
      <c r="AL699" s="9" t="str">
        <f t="array" ref="AL699">"[" &amp; TEXTJOIN(", ", TRUE, IF(LEN(AM699:AQ699), CHAR(34)&amp;AM699:AQ699&amp;CHAR(34), )) &amp; "]"
</f>
        <v>["Biological resource use"]</v>
      </c>
      <c r="AM699" s="3" t="s">
        <v>52</v>
      </c>
      <c r="AN699" s="3"/>
      <c r="AO699" s="3"/>
      <c r="AP699" s="3"/>
      <c r="AQ699" s="3"/>
      <c r="AR699" s="3" t="s">
        <v>52</v>
      </c>
      <c r="AW699" s="8" t="s">
        <v>2669</v>
      </c>
    </row>
    <row r="700">
      <c r="A700" s="3">
        <v>308.0</v>
      </c>
      <c r="B700" s="3" t="s">
        <v>40</v>
      </c>
      <c r="C700" s="3" t="s">
        <v>784</v>
      </c>
      <c r="D700" s="3">
        <v>2011.0</v>
      </c>
      <c r="E700" s="3" t="s">
        <v>785</v>
      </c>
      <c r="F700" s="3" t="s">
        <v>129</v>
      </c>
      <c r="G700" s="3" t="s">
        <v>2600</v>
      </c>
      <c r="H700" s="3" t="s">
        <v>82</v>
      </c>
      <c r="I700" s="3" t="s">
        <v>2147</v>
      </c>
      <c r="J700" s="3" t="s">
        <v>82</v>
      </c>
      <c r="K700" s="3" t="s">
        <v>2217</v>
      </c>
      <c r="L700" s="3" t="s">
        <v>2224</v>
      </c>
      <c r="M700" s="3" t="s">
        <v>314</v>
      </c>
      <c r="S700" s="9" t="str">
        <f t="array" ref="S700">"[" &amp; TEXTJOIN(", ", TRUE, IF(LEN(T700:AB700), CHAR(34)&amp;T700:AB700&amp;CHAR(34), )) &amp; "]"
</f>
        <v>["Hunting &amp; Collecting Terrestrial Animals", "Logging &amp; Wood Harvesting"]</v>
      </c>
      <c r="T700" s="3" t="s">
        <v>2138</v>
      </c>
      <c r="U700" s="3" t="s">
        <v>2139</v>
      </c>
      <c r="V700" s="3"/>
      <c r="AC700" s="3" t="s">
        <v>61</v>
      </c>
      <c r="AD700" s="3" t="s">
        <v>48</v>
      </c>
      <c r="AL700" s="9" t="str">
        <f t="array" ref="AL700">"[" &amp; TEXTJOIN(", ", TRUE, IF(LEN(AM700:AQ700), CHAR(34)&amp;AM700:AQ700&amp;CHAR(34), )) &amp; "]"
</f>
        <v>["Biological resource use"]</v>
      </c>
      <c r="AM700" s="3" t="s">
        <v>52</v>
      </c>
      <c r="AN700" s="3"/>
      <c r="AO700" s="3"/>
      <c r="AP700" s="3"/>
      <c r="AQ700" s="3"/>
      <c r="AR700" s="3" t="s">
        <v>52</v>
      </c>
      <c r="AW700" s="8" t="s">
        <v>2670</v>
      </c>
    </row>
    <row r="701">
      <c r="A701" s="3">
        <v>311.0</v>
      </c>
      <c r="B701" s="3" t="s">
        <v>40</v>
      </c>
      <c r="C701" s="3" t="s">
        <v>790</v>
      </c>
      <c r="D701" s="3">
        <v>2012.0</v>
      </c>
      <c r="E701" s="3" t="s">
        <v>791</v>
      </c>
      <c r="F701" s="3" t="s">
        <v>129</v>
      </c>
      <c r="G701" s="3" t="s">
        <v>2600</v>
      </c>
      <c r="H701" s="3" t="s">
        <v>82</v>
      </c>
      <c r="I701" s="3" t="s">
        <v>2147</v>
      </c>
      <c r="J701" s="3" t="s">
        <v>82</v>
      </c>
      <c r="K701" s="3" t="s">
        <v>2217</v>
      </c>
      <c r="L701" s="3" t="s">
        <v>2224</v>
      </c>
      <c r="M701" s="3" t="s">
        <v>314</v>
      </c>
      <c r="S701" s="9" t="str">
        <f t="array" ref="S701">"[" &amp; TEXTJOIN(", ", TRUE, IF(LEN(T701:AB701), CHAR(34)&amp;T701:AB701&amp;CHAR(34), )) &amp; "]"
</f>
        <v>["Hunting &amp; Collecting Terrestrial Animals", "Logging &amp; Wood Harvesting"]</v>
      </c>
      <c r="T701" s="3" t="s">
        <v>2138</v>
      </c>
      <c r="U701" s="3" t="s">
        <v>2139</v>
      </c>
      <c r="V701" s="3"/>
      <c r="AC701" s="3" t="s">
        <v>61</v>
      </c>
      <c r="AD701" s="3" t="s">
        <v>48</v>
      </c>
      <c r="AL701" s="9" t="str">
        <f t="array" ref="AL701">"[" &amp; TEXTJOIN(", ", TRUE, IF(LEN(AM701:AQ701), CHAR(34)&amp;AM701:AQ701&amp;CHAR(34), )) &amp; "]"
</f>
        <v>["Biological resource use"]</v>
      </c>
      <c r="AM701" s="3" t="s">
        <v>52</v>
      </c>
      <c r="AN701" s="3"/>
      <c r="AO701" s="3"/>
      <c r="AP701" s="3"/>
      <c r="AQ701" s="3"/>
      <c r="AR701" s="3" t="s">
        <v>52</v>
      </c>
      <c r="AW701" s="8" t="s">
        <v>2671</v>
      </c>
    </row>
    <row r="702">
      <c r="A702" s="3">
        <v>340.0</v>
      </c>
      <c r="B702" s="3" t="s">
        <v>40</v>
      </c>
      <c r="C702" s="3" t="s">
        <v>848</v>
      </c>
      <c r="D702" s="3">
        <v>2018.0</v>
      </c>
      <c r="E702" s="3" t="s">
        <v>849</v>
      </c>
      <c r="F702" s="3" t="s">
        <v>129</v>
      </c>
      <c r="G702" s="3" t="s">
        <v>2600</v>
      </c>
      <c r="H702" s="3" t="s">
        <v>82</v>
      </c>
      <c r="I702" s="3" t="s">
        <v>2147</v>
      </c>
      <c r="J702" s="3" t="s">
        <v>82</v>
      </c>
      <c r="K702" s="3" t="s">
        <v>2217</v>
      </c>
      <c r="L702" s="3" t="s">
        <v>2221</v>
      </c>
      <c r="M702" s="3" t="s">
        <v>317</v>
      </c>
      <c r="S702" s="9" t="str">
        <f t="array" ref="S702">"[" &amp; TEXTJOIN(", ", TRUE, IF(LEN(T702:AB702), CHAR(34)&amp;T702:AB702&amp;CHAR(34), )) &amp; "]"
</f>
        <v>["Hunting &amp; Collecting Terrestrial Animals", "Logging &amp; Wood Harvesting"]</v>
      </c>
      <c r="T702" s="3" t="s">
        <v>2138</v>
      </c>
      <c r="U702" s="3" t="s">
        <v>2139</v>
      </c>
      <c r="V702" s="3"/>
      <c r="AC702" s="3" t="s">
        <v>61</v>
      </c>
      <c r="AD702" s="3" t="s">
        <v>48</v>
      </c>
      <c r="AL702" s="9" t="str">
        <f t="array" ref="AL702">"[" &amp; TEXTJOIN(", ", TRUE, IF(LEN(AM702:AQ702), CHAR(34)&amp;AM702:AQ702&amp;CHAR(34), )) &amp; "]"
</f>
        <v>["Biological resource use"]</v>
      </c>
      <c r="AM702" s="3" t="s">
        <v>52</v>
      </c>
      <c r="AN702" s="3"/>
      <c r="AO702" s="3"/>
      <c r="AP702" s="3"/>
      <c r="AQ702" s="3"/>
      <c r="AR702" s="3" t="s">
        <v>52</v>
      </c>
      <c r="AW702" s="8" t="s">
        <v>2672</v>
      </c>
    </row>
    <row r="703" hidden="1">
      <c r="A703" s="3">
        <v>779.0</v>
      </c>
      <c r="B703" s="3" t="s">
        <v>126</v>
      </c>
      <c r="C703" s="3" t="s">
        <v>1673</v>
      </c>
      <c r="D703" s="3">
        <v>2000.0</v>
      </c>
      <c r="E703" s="3" t="s">
        <v>1674</v>
      </c>
      <c r="F703" s="3" t="s">
        <v>68</v>
      </c>
      <c r="G703" s="3"/>
      <c r="H703" s="3" t="s">
        <v>58</v>
      </c>
      <c r="I703" s="3"/>
      <c r="J703" s="3" t="s">
        <v>58</v>
      </c>
      <c r="K703" s="3"/>
      <c r="L703" s="3"/>
      <c r="M703" s="3" t="s">
        <v>110</v>
      </c>
      <c r="S703" s="3"/>
      <c r="T703" s="3"/>
      <c r="U703" s="3"/>
      <c r="V703" s="3"/>
      <c r="AC703" s="3" t="s">
        <v>62</v>
      </c>
      <c r="AL703" s="3"/>
      <c r="AM703" s="3"/>
      <c r="AN703" s="3"/>
      <c r="AO703" s="3"/>
      <c r="AP703" s="3"/>
      <c r="AQ703" s="3"/>
      <c r="AR703" s="3" t="s">
        <v>64</v>
      </c>
      <c r="AW703" s="8" t="s">
        <v>2135</v>
      </c>
    </row>
    <row r="704">
      <c r="A704" s="3">
        <v>141.0</v>
      </c>
      <c r="B704" s="3" t="s">
        <v>40</v>
      </c>
      <c r="C704" s="3" t="s">
        <v>451</v>
      </c>
      <c r="D704" s="3">
        <v>1993.0</v>
      </c>
      <c r="E704" s="3" t="s">
        <v>452</v>
      </c>
      <c r="F704" s="3" t="s">
        <v>129</v>
      </c>
      <c r="G704" s="3" t="s">
        <v>2600</v>
      </c>
      <c r="H704" s="3" t="s">
        <v>82</v>
      </c>
      <c r="I704" s="3" t="s">
        <v>2147</v>
      </c>
      <c r="J704" s="3" t="s">
        <v>82</v>
      </c>
      <c r="K704" s="3" t="s">
        <v>2217</v>
      </c>
      <c r="L704" s="3" t="s">
        <v>2234</v>
      </c>
      <c r="M704" s="3" t="s">
        <v>453</v>
      </c>
      <c r="S704" s="9" t="str">
        <f t="array" ref="S704">"[" &amp; TEXTJOIN(", ", TRUE, IF(LEN(T704:AB704), CHAR(34)&amp;T704:AB704&amp;CHAR(34), )) &amp; "]"
</f>
        <v>["Hunting &amp; Collecting Terrestrial Animals"]</v>
      </c>
      <c r="T704" s="3" t="s">
        <v>2138</v>
      </c>
      <c r="U704" s="3"/>
      <c r="V704" s="3"/>
      <c r="AC704" s="3" t="s">
        <v>61</v>
      </c>
      <c r="AL704" s="9" t="str">
        <f t="array" ref="AL704">"[" &amp; TEXTJOIN(", ", TRUE, IF(LEN(AM704:AQ704), CHAR(34)&amp;AM704:AQ704&amp;CHAR(34), )) &amp; "]"
</f>
        <v>["Biological resource use"]</v>
      </c>
      <c r="AM704" s="3" t="s">
        <v>52</v>
      </c>
      <c r="AO704" s="3"/>
      <c r="AP704" s="3"/>
      <c r="AQ704" s="3"/>
      <c r="AR704" s="3" t="s">
        <v>52</v>
      </c>
      <c r="AS704" s="3" t="s">
        <v>78</v>
      </c>
      <c r="AW704" s="8" t="s">
        <v>2673</v>
      </c>
    </row>
    <row r="705">
      <c r="A705" s="3">
        <v>142.0</v>
      </c>
      <c r="B705" s="3" t="s">
        <v>40</v>
      </c>
      <c r="C705" s="3" t="s">
        <v>454</v>
      </c>
      <c r="D705" s="3">
        <v>2003.0</v>
      </c>
      <c r="E705" s="3" t="s">
        <v>455</v>
      </c>
      <c r="F705" s="3" t="s">
        <v>129</v>
      </c>
      <c r="G705" s="3" t="s">
        <v>2600</v>
      </c>
      <c r="H705" s="3" t="s">
        <v>82</v>
      </c>
      <c r="I705" s="3" t="s">
        <v>2147</v>
      </c>
      <c r="J705" s="3" t="s">
        <v>82</v>
      </c>
      <c r="K705" s="3" t="s">
        <v>2217</v>
      </c>
      <c r="L705" s="3" t="s">
        <v>2237</v>
      </c>
      <c r="M705" s="3" t="s">
        <v>384</v>
      </c>
      <c r="S705" s="9" t="str">
        <f t="array" ref="S705">"[" &amp; TEXTJOIN(", ", TRUE, IF(LEN(T705:AB705), CHAR(34)&amp;T705:AB705&amp;CHAR(34), )) &amp; "]"
</f>
        <v>["Hunting &amp; Collecting Terrestrial Animals"]</v>
      </c>
      <c r="T705" s="3" t="s">
        <v>2138</v>
      </c>
      <c r="U705" s="3"/>
      <c r="V705" s="3"/>
      <c r="AC705" s="3" t="s">
        <v>61</v>
      </c>
      <c r="AL705" s="9" t="str">
        <f t="array" ref="AL705">"[" &amp; TEXTJOIN(", ", TRUE, IF(LEN(AM705:AQ705), CHAR(34)&amp;AM705:AQ705&amp;CHAR(34), )) &amp; "]"
</f>
        <v>["Biological resource use"]</v>
      </c>
      <c r="AM705" s="3" t="s">
        <v>52</v>
      </c>
      <c r="AO705" s="3"/>
      <c r="AP705" s="3"/>
      <c r="AQ705" s="3"/>
      <c r="AR705" s="3" t="s">
        <v>52</v>
      </c>
      <c r="AS705" s="3" t="s">
        <v>78</v>
      </c>
      <c r="AW705" s="8" t="s">
        <v>2674</v>
      </c>
    </row>
    <row r="706">
      <c r="A706" s="3">
        <v>145.0</v>
      </c>
      <c r="B706" s="3" t="s">
        <v>40</v>
      </c>
      <c r="C706" s="3" t="s">
        <v>462</v>
      </c>
      <c r="D706" s="3">
        <v>2013.0</v>
      </c>
      <c r="E706" s="3" t="s">
        <v>463</v>
      </c>
      <c r="F706" s="3" t="s">
        <v>129</v>
      </c>
      <c r="G706" s="3" t="s">
        <v>2600</v>
      </c>
      <c r="H706" s="3" t="s">
        <v>82</v>
      </c>
      <c r="I706" s="3" t="s">
        <v>2147</v>
      </c>
      <c r="J706" s="3" t="s">
        <v>82</v>
      </c>
      <c r="K706" s="3" t="s">
        <v>2217</v>
      </c>
      <c r="L706" s="3" t="s">
        <v>2234</v>
      </c>
      <c r="M706" s="3" t="s">
        <v>453</v>
      </c>
      <c r="S706" s="9" t="str">
        <f t="array" ref="S706">"[" &amp; TEXTJOIN(", ", TRUE, IF(LEN(T706:AB706), CHAR(34)&amp;T706:AB706&amp;CHAR(34), )) &amp; "]"
</f>
        <v>["Hunting &amp; Collecting Terrestrial Animals"]</v>
      </c>
      <c r="T706" s="3" t="s">
        <v>2138</v>
      </c>
      <c r="U706" s="3"/>
      <c r="V706" s="3"/>
      <c r="AC706" s="3" t="s">
        <v>61</v>
      </c>
      <c r="AL706" s="9" t="str">
        <f t="array" ref="AL706">"[" &amp; TEXTJOIN(", ", TRUE, IF(LEN(AM706:AQ706), CHAR(34)&amp;AM706:AQ706&amp;CHAR(34), )) &amp; "]"
</f>
        <v>["Biological resource use"]</v>
      </c>
      <c r="AM706" s="3" t="s">
        <v>52</v>
      </c>
      <c r="AO706" s="3"/>
      <c r="AP706" s="3"/>
      <c r="AQ706" s="3"/>
      <c r="AR706" s="3" t="s">
        <v>52</v>
      </c>
      <c r="AS706" s="3" t="s">
        <v>78</v>
      </c>
      <c r="AW706" s="8" t="s">
        <v>2675</v>
      </c>
    </row>
    <row r="707">
      <c r="A707" s="3">
        <v>149.0</v>
      </c>
      <c r="B707" s="3" t="s">
        <v>40</v>
      </c>
      <c r="C707" s="3" t="s">
        <v>470</v>
      </c>
      <c r="D707" s="3">
        <v>2018.0</v>
      </c>
      <c r="E707" s="3" t="s">
        <v>471</v>
      </c>
      <c r="F707" s="3" t="s">
        <v>129</v>
      </c>
      <c r="G707" s="3" t="s">
        <v>2600</v>
      </c>
      <c r="H707" s="3" t="s">
        <v>82</v>
      </c>
      <c r="I707" s="3" t="s">
        <v>2147</v>
      </c>
      <c r="J707" s="3" t="s">
        <v>82</v>
      </c>
      <c r="K707" s="3" t="s">
        <v>2217</v>
      </c>
      <c r="L707" s="3" t="s">
        <v>2234</v>
      </c>
      <c r="M707" s="3" t="s">
        <v>453</v>
      </c>
      <c r="S707" s="9" t="str">
        <f t="array" ref="S707">"[" &amp; TEXTJOIN(", ", TRUE, IF(LEN(T707:AB707), CHAR(34)&amp;T707:AB707&amp;CHAR(34), )) &amp; "]"
</f>
        <v>["Hunting &amp; Collecting Terrestrial Animals"]</v>
      </c>
      <c r="T707" s="3" t="s">
        <v>2138</v>
      </c>
      <c r="U707" s="3"/>
      <c r="V707" s="3"/>
      <c r="AC707" s="3" t="s">
        <v>61</v>
      </c>
      <c r="AL707" s="9" t="str">
        <f t="array" ref="AL707">"[" &amp; TEXTJOIN(", ", TRUE, IF(LEN(AM707:AQ707), CHAR(34)&amp;AM707:AQ707&amp;CHAR(34), )) &amp; "]"
</f>
        <v>["Biological resource use"]</v>
      </c>
      <c r="AM707" s="3" t="s">
        <v>52</v>
      </c>
      <c r="AO707" s="3"/>
      <c r="AP707" s="3"/>
      <c r="AQ707" s="3"/>
      <c r="AR707" s="3" t="s">
        <v>52</v>
      </c>
      <c r="AS707" s="3" t="s">
        <v>78</v>
      </c>
      <c r="AW707" s="8" t="s">
        <v>2676</v>
      </c>
    </row>
    <row r="708">
      <c r="A708" s="3">
        <v>249.0</v>
      </c>
      <c r="B708" s="3" t="s">
        <v>40</v>
      </c>
      <c r="C708" s="3" t="s">
        <v>665</v>
      </c>
      <c r="D708" s="3">
        <v>1994.0</v>
      </c>
      <c r="E708" s="3" t="s">
        <v>666</v>
      </c>
      <c r="F708" s="3" t="s">
        <v>129</v>
      </c>
      <c r="G708" s="3" t="s">
        <v>2600</v>
      </c>
      <c r="H708" s="3" t="s">
        <v>82</v>
      </c>
      <c r="I708" s="3" t="s">
        <v>2147</v>
      </c>
      <c r="J708" s="3" t="s">
        <v>82</v>
      </c>
      <c r="K708" s="3" t="s">
        <v>2217</v>
      </c>
      <c r="L708" s="3" t="s">
        <v>2221</v>
      </c>
      <c r="M708" s="3" t="s">
        <v>317</v>
      </c>
      <c r="S708" s="9" t="str">
        <f t="array" ref="S708">"[" &amp; TEXTJOIN(", ", TRUE, IF(LEN(T708:AB708), CHAR(34)&amp;T708:AB708&amp;CHAR(34), )) &amp; "]"
</f>
        <v>["Hunting &amp; Collecting Terrestrial Animals"]</v>
      </c>
      <c r="T708" s="3" t="s">
        <v>2138</v>
      </c>
      <c r="U708" s="3"/>
      <c r="V708" s="3"/>
      <c r="AC708" s="3" t="s">
        <v>61</v>
      </c>
      <c r="AL708" s="9" t="str">
        <f t="array" ref="AL708">"[" &amp; TEXTJOIN(", ", TRUE, IF(LEN(AM708:AQ708), CHAR(34)&amp;AM708:AQ708&amp;CHAR(34), )) &amp; "]"
</f>
        <v>["Biological resource use"]</v>
      </c>
      <c r="AM708" s="3" t="s">
        <v>52</v>
      </c>
      <c r="AN708" s="3"/>
      <c r="AO708" s="3"/>
      <c r="AP708" s="3"/>
      <c r="AQ708" s="3"/>
      <c r="AR708" s="3" t="s">
        <v>52</v>
      </c>
      <c r="AW708" s="8" t="s">
        <v>2677</v>
      </c>
    </row>
    <row r="709">
      <c r="A709" s="3">
        <v>251.0</v>
      </c>
      <c r="B709" s="3" t="s">
        <v>40</v>
      </c>
      <c r="C709" s="3" t="s">
        <v>669</v>
      </c>
      <c r="D709" s="3">
        <v>1994.0</v>
      </c>
      <c r="E709" s="3" t="s">
        <v>670</v>
      </c>
      <c r="F709" s="3" t="s">
        <v>129</v>
      </c>
      <c r="G709" s="3" t="s">
        <v>2600</v>
      </c>
      <c r="H709" s="3" t="s">
        <v>82</v>
      </c>
      <c r="I709" s="3" t="s">
        <v>2147</v>
      </c>
      <c r="J709" s="3" t="s">
        <v>82</v>
      </c>
      <c r="K709" s="3" t="s">
        <v>2217</v>
      </c>
      <c r="L709" s="3" t="s">
        <v>2237</v>
      </c>
      <c r="M709" s="3" t="s">
        <v>384</v>
      </c>
      <c r="S709" s="9" t="str">
        <f t="array" ref="S709">"[" &amp; TEXTJOIN(", ", TRUE, IF(LEN(T709:AB709), CHAR(34)&amp;T709:AB709&amp;CHAR(34), )) &amp; "]"
</f>
        <v>["Hunting &amp; Collecting Terrestrial Animals"]</v>
      </c>
      <c r="T709" s="3" t="s">
        <v>2138</v>
      </c>
      <c r="U709" s="3"/>
      <c r="V709" s="3"/>
      <c r="AC709" s="3" t="s">
        <v>61</v>
      </c>
      <c r="AL709" s="9" t="str">
        <f t="array" ref="AL709">"[" &amp; TEXTJOIN(", ", TRUE, IF(LEN(AM709:AQ709), CHAR(34)&amp;AM709:AQ709&amp;CHAR(34), )) &amp; "]"
</f>
        <v>["Biological resource use"]</v>
      </c>
      <c r="AM709" s="3" t="s">
        <v>52</v>
      </c>
      <c r="AN709" s="3"/>
      <c r="AO709" s="3"/>
      <c r="AP709" s="3"/>
      <c r="AQ709" s="3"/>
      <c r="AR709" s="3" t="s">
        <v>52</v>
      </c>
      <c r="AW709" s="8" t="s">
        <v>2678</v>
      </c>
    </row>
    <row r="710">
      <c r="A710" s="3">
        <v>253.0</v>
      </c>
      <c r="B710" s="3" t="s">
        <v>40</v>
      </c>
      <c r="C710" s="3" t="s">
        <v>673</v>
      </c>
      <c r="D710" s="3">
        <v>1996.0</v>
      </c>
      <c r="E710" s="3" t="s">
        <v>674</v>
      </c>
      <c r="F710" s="3" t="s">
        <v>129</v>
      </c>
      <c r="G710" s="3" t="s">
        <v>2600</v>
      </c>
      <c r="H710" s="3" t="s">
        <v>82</v>
      </c>
      <c r="I710" s="3" t="s">
        <v>2147</v>
      </c>
      <c r="J710" s="3" t="s">
        <v>82</v>
      </c>
      <c r="K710" s="3" t="s">
        <v>2217</v>
      </c>
      <c r="L710" s="3" t="s">
        <v>2224</v>
      </c>
      <c r="M710" s="3" t="s">
        <v>314</v>
      </c>
      <c r="S710" s="9" t="str">
        <f t="array" ref="S710">"[" &amp; TEXTJOIN(", ", TRUE, IF(LEN(T710:AB710), CHAR(34)&amp;T710:AB710&amp;CHAR(34), )) &amp; "]"
</f>
        <v>["Hunting &amp; Collecting Terrestrial Animals"]</v>
      </c>
      <c r="T710" s="3" t="s">
        <v>2138</v>
      </c>
      <c r="U710" s="3"/>
      <c r="V710" s="3"/>
      <c r="AC710" s="3" t="s">
        <v>61</v>
      </c>
      <c r="AL710" s="9" t="str">
        <f t="array" ref="AL710">"[" &amp; TEXTJOIN(", ", TRUE, IF(LEN(AM710:AQ710), CHAR(34)&amp;AM710:AQ710&amp;CHAR(34), )) &amp; "]"
</f>
        <v>["Biological resource use"]</v>
      </c>
      <c r="AM710" s="3" t="s">
        <v>52</v>
      </c>
      <c r="AN710" s="3"/>
      <c r="AO710" s="3"/>
      <c r="AP710" s="3"/>
      <c r="AQ710" s="3"/>
      <c r="AR710" s="3" t="s">
        <v>52</v>
      </c>
      <c r="AW710" s="8" t="s">
        <v>2679</v>
      </c>
    </row>
    <row r="711">
      <c r="A711" s="3">
        <v>270.0</v>
      </c>
      <c r="B711" s="3" t="s">
        <v>40</v>
      </c>
      <c r="C711" s="3" t="s">
        <v>707</v>
      </c>
      <c r="D711" s="3">
        <v>2000.0</v>
      </c>
      <c r="E711" s="3" t="s">
        <v>708</v>
      </c>
      <c r="F711" s="3" t="s">
        <v>129</v>
      </c>
      <c r="G711" s="3" t="s">
        <v>2600</v>
      </c>
      <c r="H711" s="3" t="s">
        <v>82</v>
      </c>
      <c r="I711" s="3" t="s">
        <v>2147</v>
      </c>
      <c r="J711" s="3" t="s">
        <v>82</v>
      </c>
      <c r="K711" s="3" t="s">
        <v>2217</v>
      </c>
      <c r="L711" s="3" t="s">
        <v>2218</v>
      </c>
      <c r="M711" s="3" t="s">
        <v>254</v>
      </c>
      <c r="S711" s="9" t="str">
        <f t="array" ref="S711">"[" &amp; TEXTJOIN(", ", TRUE, IF(LEN(T711:AB711), CHAR(34)&amp;T711:AB711&amp;CHAR(34), )) &amp; "]"
</f>
        <v>["Hunting &amp; Collecting Terrestrial Animals"]</v>
      </c>
      <c r="T711" s="3" t="s">
        <v>2138</v>
      </c>
      <c r="U711" s="3"/>
      <c r="V711" s="3"/>
      <c r="AC711" s="3" t="s">
        <v>61</v>
      </c>
      <c r="AL711" s="9" t="str">
        <f t="array" ref="AL711">"[" &amp; TEXTJOIN(", ", TRUE, IF(LEN(AM711:AQ711), CHAR(34)&amp;AM711:AQ711&amp;CHAR(34), )) &amp; "]"
</f>
        <v>["Biological resource use"]</v>
      </c>
      <c r="AM711" s="3" t="s">
        <v>52</v>
      </c>
      <c r="AN711" s="3"/>
      <c r="AO711" s="3"/>
      <c r="AP711" s="3"/>
      <c r="AQ711" s="3"/>
      <c r="AR711" s="3" t="s">
        <v>52</v>
      </c>
      <c r="AW711" s="8" t="s">
        <v>2680</v>
      </c>
    </row>
    <row r="712">
      <c r="A712" s="3">
        <v>276.0</v>
      </c>
      <c r="B712" s="3" t="s">
        <v>40</v>
      </c>
      <c r="C712" s="3" t="s">
        <v>719</v>
      </c>
      <c r="D712" s="3">
        <v>2002.0</v>
      </c>
      <c r="E712" s="3" t="s">
        <v>720</v>
      </c>
      <c r="F712" s="3" t="s">
        <v>129</v>
      </c>
      <c r="G712" s="3" t="s">
        <v>2600</v>
      </c>
      <c r="H712" s="3" t="s">
        <v>82</v>
      </c>
      <c r="I712" s="3" t="s">
        <v>2147</v>
      </c>
      <c r="J712" s="3" t="s">
        <v>82</v>
      </c>
      <c r="K712" s="3" t="s">
        <v>2217</v>
      </c>
      <c r="L712" s="3" t="s">
        <v>2237</v>
      </c>
      <c r="M712" s="3" t="s">
        <v>384</v>
      </c>
      <c r="S712" s="9" t="str">
        <f t="array" ref="S712">"[" &amp; TEXTJOIN(", ", TRUE, IF(LEN(T712:AB712), CHAR(34)&amp;T712:AB712&amp;CHAR(34), )) &amp; "]"
</f>
        <v>["Hunting &amp; Collecting Terrestrial Animals"]</v>
      </c>
      <c r="T712" s="3" t="s">
        <v>2138</v>
      </c>
      <c r="U712" s="3"/>
      <c r="V712" s="3"/>
      <c r="AC712" s="3" t="s">
        <v>61</v>
      </c>
      <c r="AL712" s="9" t="str">
        <f t="array" ref="AL712">"[" &amp; TEXTJOIN(", ", TRUE, IF(LEN(AM712:AQ712), CHAR(34)&amp;AM712:AQ712&amp;CHAR(34), )) &amp; "]"
</f>
        <v>["Biological resource use"]</v>
      </c>
      <c r="AM712" s="3" t="s">
        <v>52</v>
      </c>
      <c r="AN712" s="3"/>
      <c r="AO712" s="3"/>
      <c r="AP712" s="3"/>
      <c r="AQ712" s="3"/>
      <c r="AR712" s="3" t="s">
        <v>52</v>
      </c>
      <c r="AW712" s="8" t="s">
        <v>2681</v>
      </c>
    </row>
    <row r="713">
      <c r="A713" s="3">
        <v>284.0</v>
      </c>
      <c r="B713" s="3" t="s">
        <v>40</v>
      </c>
      <c r="C713" s="3" t="s">
        <v>734</v>
      </c>
      <c r="D713" s="3">
        <v>2005.0</v>
      </c>
      <c r="E713" s="3" t="s">
        <v>735</v>
      </c>
      <c r="F713" s="3" t="s">
        <v>129</v>
      </c>
      <c r="G713" s="3" t="s">
        <v>2600</v>
      </c>
      <c r="H713" s="3" t="s">
        <v>82</v>
      </c>
      <c r="I713" s="3" t="s">
        <v>2147</v>
      </c>
      <c r="J713" s="3" t="s">
        <v>82</v>
      </c>
      <c r="K713" s="3" t="s">
        <v>2217</v>
      </c>
      <c r="L713" s="3" t="s">
        <v>2237</v>
      </c>
      <c r="M713" s="3" t="s">
        <v>384</v>
      </c>
      <c r="S713" s="9" t="str">
        <f t="array" ref="S713">"[" &amp; TEXTJOIN(", ", TRUE, IF(LEN(T713:AB713), CHAR(34)&amp;T713:AB713&amp;CHAR(34), )) &amp; "]"
</f>
        <v>["Hunting &amp; Collecting Terrestrial Animals"]</v>
      </c>
      <c r="T713" s="3" t="s">
        <v>2138</v>
      </c>
      <c r="U713" s="3"/>
      <c r="V713" s="3"/>
      <c r="AC713" s="3" t="s">
        <v>61</v>
      </c>
      <c r="AL713" s="9" t="str">
        <f t="array" ref="AL713">"[" &amp; TEXTJOIN(", ", TRUE, IF(LEN(AM713:AQ713), CHAR(34)&amp;AM713:AQ713&amp;CHAR(34), )) &amp; "]"
</f>
        <v>["Biological resource use"]</v>
      </c>
      <c r="AM713" s="3" t="s">
        <v>52</v>
      </c>
      <c r="AN713" s="3"/>
      <c r="AO713" s="3"/>
      <c r="AP713" s="3"/>
      <c r="AQ713" s="3"/>
      <c r="AR713" s="3" t="s">
        <v>52</v>
      </c>
      <c r="AW713" s="8" t="s">
        <v>2682</v>
      </c>
    </row>
    <row r="714">
      <c r="A714" s="3">
        <v>291.0</v>
      </c>
      <c r="B714" s="3" t="s">
        <v>40</v>
      </c>
      <c r="C714" s="3" t="s">
        <v>748</v>
      </c>
      <c r="D714" s="3">
        <v>2007.0</v>
      </c>
      <c r="E714" s="3" t="s">
        <v>749</v>
      </c>
      <c r="F714" s="3" t="s">
        <v>129</v>
      </c>
      <c r="G714" s="3" t="s">
        <v>2600</v>
      </c>
      <c r="H714" s="3" t="s">
        <v>82</v>
      </c>
      <c r="I714" s="3" t="s">
        <v>2147</v>
      </c>
      <c r="J714" s="3" t="s">
        <v>82</v>
      </c>
      <c r="K714" s="3" t="s">
        <v>2217</v>
      </c>
      <c r="L714" s="3" t="s">
        <v>2218</v>
      </c>
      <c r="M714" s="3" t="s">
        <v>254</v>
      </c>
      <c r="S714" s="9" t="str">
        <f t="array" ref="S714">"[" &amp; TEXTJOIN(", ", TRUE, IF(LEN(T714:AB714), CHAR(34)&amp;T714:AB714&amp;CHAR(34), )) &amp; "]"
</f>
        <v>["Hunting &amp; Collecting Terrestrial Animals"]</v>
      </c>
      <c r="T714" s="3" t="s">
        <v>2138</v>
      </c>
      <c r="U714" s="3"/>
      <c r="V714" s="3"/>
      <c r="AC714" s="3" t="s">
        <v>61</v>
      </c>
      <c r="AL714" s="9" t="str">
        <f t="array" ref="AL714">"[" &amp; TEXTJOIN(", ", TRUE, IF(LEN(AM714:AQ714), CHAR(34)&amp;AM714:AQ714&amp;CHAR(34), )) &amp; "]"
</f>
        <v>["Biological resource use"]</v>
      </c>
      <c r="AM714" s="3" t="s">
        <v>52</v>
      </c>
      <c r="AN714" s="3"/>
      <c r="AO714" s="3"/>
      <c r="AP714" s="3"/>
      <c r="AQ714" s="3"/>
      <c r="AR714" s="3" t="s">
        <v>52</v>
      </c>
      <c r="AW714" s="8" t="s">
        <v>2683</v>
      </c>
    </row>
    <row r="715">
      <c r="A715" s="3">
        <v>298.0</v>
      </c>
      <c r="B715" s="3" t="s">
        <v>40</v>
      </c>
      <c r="C715" s="3" t="s">
        <v>762</v>
      </c>
      <c r="D715" s="3">
        <v>2008.0</v>
      </c>
      <c r="E715" s="3" t="s">
        <v>763</v>
      </c>
      <c r="F715" s="3" t="s">
        <v>129</v>
      </c>
      <c r="G715" s="3" t="s">
        <v>2600</v>
      </c>
      <c r="H715" s="3" t="s">
        <v>82</v>
      </c>
      <c r="I715" s="3" t="s">
        <v>2147</v>
      </c>
      <c r="J715" s="3" t="s">
        <v>82</v>
      </c>
      <c r="K715" s="3" t="s">
        <v>2217</v>
      </c>
      <c r="L715" s="3" t="s">
        <v>2218</v>
      </c>
      <c r="M715" s="3" t="s">
        <v>254</v>
      </c>
      <c r="S715" s="9" t="str">
        <f t="array" ref="S715">"[" &amp; TEXTJOIN(", ", TRUE, IF(LEN(T715:AB715), CHAR(34)&amp;T715:AB715&amp;CHAR(34), )) &amp; "]"
</f>
        <v>["Hunting &amp; Collecting Terrestrial Animals"]</v>
      </c>
      <c r="T715" s="3" t="s">
        <v>2138</v>
      </c>
      <c r="U715" s="3"/>
      <c r="V715" s="3"/>
      <c r="AC715" s="3" t="s">
        <v>61</v>
      </c>
      <c r="AL715" s="9" t="str">
        <f t="array" ref="AL715">"[" &amp; TEXTJOIN(", ", TRUE, IF(LEN(AM715:AQ715), CHAR(34)&amp;AM715:AQ715&amp;CHAR(34), )) &amp; "]"
</f>
        <v>["Biological resource use"]</v>
      </c>
      <c r="AM715" s="3" t="s">
        <v>52</v>
      </c>
      <c r="AN715" s="3"/>
      <c r="AO715" s="3"/>
      <c r="AP715" s="3"/>
      <c r="AQ715" s="3"/>
      <c r="AR715" s="3" t="s">
        <v>52</v>
      </c>
      <c r="AW715" s="8" t="s">
        <v>2684</v>
      </c>
    </row>
    <row r="716" hidden="1">
      <c r="A716" s="3">
        <v>914.0</v>
      </c>
      <c r="B716" s="3" t="s">
        <v>55</v>
      </c>
      <c r="D716" s="3">
        <v>2003.0</v>
      </c>
      <c r="E716" s="3" t="s">
        <v>1932</v>
      </c>
      <c r="F716" s="3" t="s">
        <v>68</v>
      </c>
      <c r="G716" s="3"/>
      <c r="H716" s="3" t="s">
        <v>58</v>
      </c>
      <c r="I716" s="3"/>
      <c r="J716" s="3" t="s">
        <v>58</v>
      </c>
      <c r="K716" s="3"/>
      <c r="L716" s="3"/>
      <c r="M716" s="3" t="s">
        <v>388</v>
      </c>
      <c r="N716" s="3" t="s">
        <v>287</v>
      </c>
      <c r="S716" s="3"/>
      <c r="T716" s="3"/>
      <c r="U716" s="3"/>
      <c r="V716" s="3"/>
      <c r="AC716" s="3" t="s">
        <v>62</v>
      </c>
      <c r="AL716" s="3"/>
      <c r="AM716" s="3"/>
      <c r="AN716" s="3"/>
      <c r="AO716" s="3"/>
      <c r="AP716" s="3"/>
      <c r="AQ716" s="3"/>
      <c r="AR716" s="3" t="s">
        <v>64</v>
      </c>
    </row>
    <row r="717" hidden="1">
      <c r="A717" s="3">
        <v>916.0</v>
      </c>
      <c r="B717" s="3" t="s">
        <v>40</v>
      </c>
      <c r="C717" s="3" t="s">
        <v>276</v>
      </c>
      <c r="D717" s="3">
        <v>1991.0</v>
      </c>
      <c r="E717" s="3" t="s">
        <v>1935</v>
      </c>
      <c r="F717" s="3" t="s">
        <v>68</v>
      </c>
      <c r="G717" s="3"/>
      <c r="H717" s="3" t="s">
        <v>58</v>
      </c>
      <c r="I717" s="3"/>
      <c r="J717" s="3" t="s">
        <v>58</v>
      </c>
      <c r="K717" s="3"/>
      <c r="L717" s="3"/>
      <c r="M717" s="3" t="s">
        <v>69</v>
      </c>
      <c r="S717" s="3"/>
      <c r="T717" s="3"/>
      <c r="U717" s="3"/>
      <c r="V717" s="3"/>
      <c r="W717" s="3"/>
      <c r="X717" s="3"/>
      <c r="Y717" s="3"/>
      <c r="Z717" s="3"/>
      <c r="AC717" s="3" t="s">
        <v>70</v>
      </c>
      <c r="AF717" s="3" t="s">
        <v>60</v>
      </c>
      <c r="AH717" s="3" t="s">
        <v>63</v>
      </c>
      <c r="AL717" s="3"/>
      <c r="AM717" s="3"/>
      <c r="AN717" s="3"/>
      <c r="AO717" s="3"/>
      <c r="AP717" s="3"/>
      <c r="AQ717" s="3"/>
      <c r="AR717" s="3" t="s">
        <v>71</v>
      </c>
      <c r="AS717" s="3" t="s">
        <v>51</v>
      </c>
      <c r="AT717" s="3" t="s">
        <v>65</v>
      </c>
    </row>
    <row r="718" hidden="1">
      <c r="A718" s="3">
        <v>938.0</v>
      </c>
      <c r="B718" s="3" t="s">
        <v>40</v>
      </c>
      <c r="C718" s="3" t="s">
        <v>1980</v>
      </c>
      <c r="D718" s="3">
        <v>1984.0</v>
      </c>
      <c r="E718" s="3" t="s">
        <v>1981</v>
      </c>
      <c r="F718" s="3" t="s">
        <v>68</v>
      </c>
      <c r="G718" s="3"/>
      <c r="H718" s="3" t="s">
        <v>58</v>
      </c>
      <c r="I718" s="3"/>
      <c r="J718" s="3" t="s">
        <v>58</v>
      </c>
      <c r="K718" s="3"/>
      <c r="L718" s="3"/>
      <c r="M718" s="3" t="s">
        <v>69</v>
      </c>
      <c r="S718" s="3"/>
      <c r="T718" s="3"/>
      <c r="U718" s="3"/>
      <c r="V718" s="3"/>
      <c r="AC718" s="3" t="s">
        <v>70</v>
      </c>
      <c r="AL718" s="3"/>
      <c r="AM718" s="3"/>
      <c r="AN718" s="3"/>
      <c r="AO718" s="3"/>
      <c r="AP718" s="3"/>
      <c r="AQ718" s="3"/>
      <c r="AR718" s="3" t="s">
        <v>71</v>
      </c>
    </row>
    <row r="719" hidden="1">
      <c r="A719" s="3">
        <v>944.0</v>
      </c>
      <c r="B719" s="3" t="s">
        <v>40</v>
      </c>
      <c r="C719" s="3" t="s">
        <v>1994</v>
      </c>
      <c r="D719" s="3">
        <v>2017.0</v>
      </c>
      <c r="E719" s="3" t="s">
        <v>1995</v>
      </c>
      <c r="F719" s="3" t="s">
        <v>68</v>
      </c>
      <c r="G719" s="3"/>
      <c r="H719" s="3" t="s">
        <v>58</v>
      </c>
      <c r="I719" s="3"/>
      <c r="J719" s="3" t="s">
        <v>58</v>
      </c>
      <c r="K719" s="3"/>
      <c r="L719" s="3"/>
      <c r="M719" s="3" t="s">
        <v>69</v>
      </c>
      <c r="S719" s="3"/>
      <c r="T719" s="3"/>
      <c r="U719" s="3"/>
      <c r="V719" s="3"/>
      <c r="AC719" s="3" t="s">
        <v>70</v>
      </c>
      <c r="AL719" s="3"/>
      <c r="AM719" s="3"/>
      <c r="AN719" s="3"/>
      <c r="AO719" s="3"/>
      <c r="AP719" s="3"/>
      <c r="AQ719" s="3"/>
      <c r="AR719" s="3" t="s">
        <v>71</v>
      </c>
    </row>
    <row r="720" hidden="1">
      <c r="A720" s="3">
        <v>971.0</v>
      </c>
      <c r="B720" s="3" t="s">
        <v>40</v>
      </c>
      <c r="C720" s="3" t="s">
        <v>2049</v>
      </c>
      <c r="D720" s="3">
        <v>1997.0</v>
      </c>
      <c r="E720" s="3" t="s">
        <v>2050</v>
      </c>
      <c r="F720" s="3" t="s">
        <v>68</v>
      </c>
      <c r="G720" s="3"/>
      <c r="H720" s="3" t="s">
        <v>58</v>
      </c>
      <c r="I720" s="3"/>
      <c r="J720" s="3" t="s">
        <v>58</v>
      </c>
      <c r="K720" s="3"/>
      <c r="L720" s="3"/>
      <c r="M720" s="3" t="s">
        <v>110</v>
      </c>
      <c r="S720" s="3"/>
      <c r="T720" s="3"/>
      <c r="U720" s="3"/>
      <c r="V720" s="3"/>
      <c r="AC720" s="3" t="s">
        <v>63</v>
      </c>
      <c r="AL720" s="3"/>
      <c r="AM720" s="3"/>
      <c r="AN720" s="3"/>
      <c r="AO720" s="3"/>
      <c r="AP720" s="3"/>
      <c r="AQ720" s="3"/>
      <c r="AR720" s="3" t="s">
        <v>65</v>
      </c>
    </row>
    <row r="721" hidden="1">
      <c r="A721" s="3">
        <v>972.0</v>
      </c>
      <c r="B721" s="3" t="s">
        <v>40</v>
      </c>
      <c r="C721" s="3" t="s">
        <v>2051</v>
      </c>
      <c r="D721" s="3">
        <v>1998.0</v>
      </c>
      <c r="E721" s="3" t="s">
        <v>2052</v>
      </c>
      <c r="F721" s="3" t="s">
        <v>68</v>
      </c>
      <c r="G721" s="3"/>
      <c r="H721" s="3" t="s">
        <v>58</v>
      </c>
      <c r="I721" s="3"/>
      <c r="J721" s="3" t="s">
        <v>58</v>
      </c>
      <c r="K721" s="3"/>
      <c r="L721" s="3"/>
      <c r="M721" s="3" t="s">
        <v>69</v>
      </c>
      <c r="S721" s="3"/>
      <c r="T721" s="3"/>
      <c r="U721" s="3"/>
      <c r="V721" s="3"/>
      <c r="AC721" s="3" t="s">
        <v>63</v>
      </c>
      <c r="AL721" s="3"/>
      <c r="AM721" s="3"/>
      <c r="AN721" s="3"/>
      <c r="AO721" s="3"/>
      <c r="AP721" s="3"/>
      <c r="AQ721" s="3"/>
      <c r="AR721" s="3" t="s">
        <v>65</v>
      </c>
    </row>
    <row r="722" hidden="1">
      <c r="A722" s="3">
        <v>973.0</v>
      </c>
      <c r="B722" s="3" t="s">
        <v>40</v>
      </c>
      <c r="C722" s="3" t="s">
        <v>2053</v>
      </c>
      <c r="D722" s="3">
        <v>1999.0</v>
      </c>
      <c r="E722" s="3" t="s">
        <v>2054</v>
      </c>
      <c r="F722" s="3" t="s">
        <v>68</v>
      </c>
      <c r="G722" s="3"/>
      <c r="H722" s="3" t="s">
        <v>58</v>
      </c>
      <c r="I722" s="3"/>
      <c r="J722" s="3" t="s">
        <v>58</v>
      </c>
      <c r="K722" s="3"/>
      <c r="L722" s="3"/>
      <c r="M722" s="3" t="s">
        <v>110</v>
      </c>
      <c r="S722" s="3"/>
      <c r="T722" s="3"/>
      <c r="U722" s="3"/>
      <c r="V722" s="3"/>
      <c r="AC722" s="3" t="s">
        <v>63</v>
      </c>
      <c r="AL722" s="3"/>
      <c r="AM722" s="3"/>
      <c r="AN722" s="3"/>
      <c r="AO722" s="3"/>
      <c r="AP722" s="3"/>
      <c r="AQ722" s="3"/>
      <c r="AR722" s="3" t="s">
        <v>65</v>
      </c>
    </row>
    <row r="723" hidden="1">
      <c r="A723" s="3">
        <v>979.0</v>
      </c>
      <c r="B723" s="3" t="s">
        <v>40</v>
      </c>
      <c r="C723" s="3" t="s">
        <v>2064</v>
      </c>
      <c r="D723" s="3">
        <v>2010.0</v>
      </c>
      <c r="E723" s="3" t="s">
        <v>2065</v>
      </c>
      <c r="F723" s="3" t="s">
        <v>68</v>
      </c>
      <c r="G723" s="3"/>
      <c r="H723" s="3" t="s">
        <v>58</v>
      </c>
      <c r="I723" s="3"/>
      <c r="J723" s="3" t="s">
        <v>58</v>
      </c>
      <c r="K723" s="3"/>
      <c r="L723" s="3"/>
      <c r="M723" s="3" t="s">
        <v>69</v>
      </c>
      <c r="S723" s="3"/>
      <c r="T723" s="3"/>
      <c r="U723" s="3"/>
      <c r="V723" s="3"/>
      <c r="AC723" s="3" t="s">
        <v>63</v>
      </c>
      <c r="AL723" s="3"/>
      <c r="AM723" s="3"/>
      <c r="AN723" s="3"/>
      <c r="AO723" s="3"/>
      <c r="AP723" s="3"/>
      <c r="AQ723" s="3"/>
      <c r="AR723" s="3" t="s">
        <v>65</v>
      </c>
    </row>
    <row r="724" hidden="1">
      <c r="A724" s="3">
        <v>366.0</v>
      </c>
      <c r="B724" s="3" t="s">
        <v>106</v>
      </c>
      <c r="D724" s="3">
        <v>2001.0</v>
      </c>
      <c r="E724" s="3" t="s">
        <v>904</v>
      </c>
      <c r="F724" s="3" t="s">
        <v>905</v>
      </c>
      <c r="G724" s="3"/>
      <c r="H724" s="3" t="s">
        <v>44</v>
      </c>
      <c r="I724" s="3"/>
      <c r="K724" s="3"/>
      <c r="L724" s="3"/>
      <c r="M724" s="3" t="s">
        <v>485</v>
      </c>
      <c r="S724" s="3"/>
      <c r="T724" s="3"/>
      <c r="U724" s="3"/>
      <c r="V724" s="3"/>
      <c r="AC724" s="3" t="s">
        <v>61</v>
      </c>
      <c r="AL724" s="3"/>
      <c r="AM724" s="3"/>
      <c r="AN724" s="3"/>
      <c r="AO724" s="3"/>
      <c r="AP724" s="3"/>
      <c r="AQ724" s="3"/>
      <c r="AR724" s="3" t="s">
        <v>52</v>
      </c>
      <c r="AW724" s="8" t="s">
        <v>2135</v>
      </c>
    </row>
    <row r="725" hidden="1">
      <c r="A725" s="3">
        <v>15.0</v>
      </c>
      <c r="B725" s="3" t="s">
        <v>126</v>
      </c>
      <c r="C725" s="3" t="s">
        <v>127</v>
      </c>
      <c r="D725" s="3">
        <v>2003.0</v>
      </c>
      <c r="E725" s="3" t="s">
        <v>128</v>
      </c>
      <c r="F725" s="3" t="s">
        <v>129</v>
      </c>
      <c r="G725" s="3"/>
      <c r="H725" s="3" t="s">
        <v>82</v>
      </c>
      <c r="I725" s="3"/>
      <c r="J725" s="3" t="s">
        <v>82</v>
      </c>
      <c r="K725" s="3"/>
      <c r="L725" s="3"/>
      <c r="M725" s="3" t="s">
        <v>130</v>
      </c>
      <c r="S725" s="3"/>
      <c r="T725" s="3"/>
      <c r="U725" s="3"/>
      <c r="V725" s="3"/>
      <c r="W725" s="3"/>
      <c r="X725" s="3"/>
      <c r="AC725" s="3" t="s">
        <v>60</v>
      </c>
      <c r="AD725" s="3" t="s">
        <v>47</v>
      </c>
      <c r="AF725" s="3" t="s">
        <v>50</v>
      </c>
      <c r="AL725" s="3"/>
      <c r="AM725" s="3"/>
      <c r="AN725" s="3"/>
      <c r="AO725" s="3"/>
      <c r="AP725" s="3"/>
      <c r="AQ725" s="3"/>
      <c r="AR725" s="3" t="s">
        <v>51</v>
      </c>
      <c r="AS725" s="3" t="s">
        <v>54</v>
      </c>
      <c r="AT725" s="3" t="s">
        <v>78</v>
      </c>
      <c r="AW725" s="8" t="s">
        <v>2135</v>
      </c>
    </row>
    <row r="726">
      <c r="A726" s="3">
        <v>299.0</v>
      </c>
      <c r="B726" s="3" t="s">
        <v>40</v>
      </c>
      <c r="C726" s="3" t="s">
        <v>764</v>
      </c>
      <c r="D726" s="3">
        <v>2009.0</v>
      </c>
      <c r="E726" s="3" t="s">
        <v>765</v>
      </c>
      <c r="F726" s="3" t="s">
        <v>129</v>
      </c>
      <c r="G726" s="3" t="s">
        <v>2600</v>
      </c>
      <c r="H726" s="3" t="s">
        <v>82</v>
      </c>
      <c r="I726" s="3" t="s">
        <v>2147</v>
      </c>
      <c r="J726" s="3" t="s">
        <v>82</v>
      </c>
      <c r="K726" s="3" t="s">
        <v>2217</v>
      </c>
      <c r="L726" s="3" t="s">
        <v>2221</v>
      </c>
      <c r="M726" s="3" t="s">
        <v>317</v>
      </c>
      <c r="S726" s="9" t="str">
        <f t="array" ref="S726">"[" &amp; TEXTJOIN(", ", TRUE, IF(LEN(T726:AB726), CHAR(34)&amp;T726:AB726&amp;CHAR(34), )) &amp; "]"
</f>
        <v>["Hunting &amp; Collecting Terrestrial Animals"]</v>
      </c>
      <c r="T726" s="3" t="s">
        <v>2138</v>
      </c>
      <c r="U726" s="3"/>
      <c r="V726" s="3"/>
      <c r="AC726" s="3" t="s">
        <v>61</v>
      </c>
      <c r="AL726" s="9" t="str">
        <f t="array" ref="AL726">"[" &amp; TEXTJOIN(", ", TRUE, IF(LEN(AM726:AQ726), CHAR(34)&amp;AM726:AQ726&amp;CHAR(34), )) &amp; "]"
</f>
        <v>["Biological resource use"]</v>
      </c>
      <c r="AM726" s="3" t="s">
        <v>52</v>
      </c>
      <c r="AN726" s="3"/>
      <c r="AO726" s="3"/>
      <c r="AP726" s="3"/>
      <c r="AQ726" s="3"/>
      <c r="AR726" s="3" t="s">
        <v>52</v>
      </c>
      <c r="AW726" s="8" t="s">
        <v>2685</v>
      </c>
    </row>
    <row r="727">
      <c r="A727" s="3">
        <v>307.0</v>
      </c>
      <c r="B727" s="3" t="s">
        <v>40</v>
      </c>
      <c r="C727" s="3" t="s">
        <v>782</v>
      </c>
      <c r="D727" s="3">
        <v>2011.0</v>
      </c>
      <c r="E727" s="3" t="s">
        <v>783</v>
      </c>
      <c r="F727" s="3" t="s">
        <v>129</v>
      </c>
      <c r="G727" s="3" t="s">
        <v>2600</v>
      </c>
      <c r="H727" s="3" t="s">
        <v>82</v>
      </c>
      <c r="I727" s="3" t="s">
        <v>2147</v>
      </c>
      <c r="J727" s="3" t="s">
        <v>82</v>
      </c>
      <c r="K727" s="3" t="s">
        <v>2217</v>
      </c>
      <c r="L727" s="3" t="s">
        <v>2221</v>
      </c>
      <c r="M727" s="3" t="s">
        <v>317</v>
      </c>
      <c r="S727" s="9" t="str">
        <f t="array" ref="S727">"[" &amp; TEXTJOIN(", ", TRUE, IF(LEN(T727:AB727), CHAR(34)&amp;T727:AB727&amp;CHAR(34), )) &amp; "]"
</f>
        <v>["Hunting &amp; Collecting Terrestrial Animals"]</v>
      </c>
      <c r="T727" s="3" t="s">
        <v>2138</v>
      </c>
      <c r="U727" s="3"/>
      <c r="V727" s="3"/>
      <c r="AC727" s="3" t="s">
        <v>61</v>
      </c>
      <c r="AL727" s="9" t="str">
        <f t="array" ref="AL727">"[" &amp; TEXTJOIN(", ", TRUE, IF(LEN(AM727:AQ727), CHAR(34)&amp;AM727:AQ727&amp;CHAR(34), )) &amp; "]"
</f>
        <v>["Biological resource use"]</v>
      </c>
      <c r="AM727" s="3" t="s">
        <v>52</v>
      </c>
      <c r="AN727" s="3"/>
      <c r="AO727" s="3"/>
      <c r="AP727" s="3"/>
      <c r="AQ727" s="3"/>
      <c r="AR727" s="3" t="s">
        <v>52</v>
      </c>
      <c r="AW727" s="8" t="s">
        <v>2686</v>
      </c>
    </row>
    <row r="728">
      <c r="A728" s="3">
        <v>309.0</v>
      </c>
      <c r="B728" s="3" t="s">
        <v>40</v>
      </c>
      <c r="C728" s="3" t="s">
        <v>786</v>
      </c>
      <c r="D728" s="3">
        <v>2011.0</v>
      </c>
      <c r="E728" s="3" t="s">
        <v>787</v>
      </c>
      <c r="F728" s="3" t="s">
        <v>129</v>
      </c>
      <c r="G728" s="3" t="s">
        <v>2600</v>
      </c>
      <c r="H728" s="3" t="s">
        <v>82</v>
      </c>
      <c r="I728" s="3" t="s">
        <v>2147</v>
      </c>
      <c r="J728" s="3" t="s">
        <v>82</v>
      </c>
      <c r="K728" s="3" t="s">
        <v>2217</v>
      </c>
      <c r="L728" s="3" t="s">
        <v>2234</v>
      </c>
      <c r="M728" s="3" t="s">
        <v>453</v>
      </c>
      <c r="S728" s="9" t="str">
        <f t="array" ref="S728">"[" &amp; TEXTJOIN(", ", TRUE, IF(LEN(T728:AB728), CHAR(34)&amp;T728:AB728&amp;CHAR(34), )) &amp; "]"
</f>
        <v>["Hunting &amp; Collecting Terrestrial Animals"]</v>
      </c>
      <c r="T728" s="3" t="s">
        <v>2138</v>
      </c>
      <c r="U728" s="3"/>
      <c r="V728" s="3"/>
      <c r="AC728" s="3" t="s">
        <v>61</v>
      </c>
      <c r="AL728" s="9" t="str">
        <f t="array" ref="AL728">"[" &amp; TEXTJOIN(", ", TRUE, IF(LEN(AM728:AQ728), CHAR(34)&amp;AM728:AQ728&amp;CHAR(34), )) &amp; "]"
</f>
        <v>["Biological resource use"]</v>
      </c>
      <c r="AM728" s="3" t="s">
        <v>52</v>
      </c>
      <c r="AN728" s="3"/>
      <c r="AO728" s="3"/>
      <c r="AP728" s="3"/>
      <c r="AQ728" s="3"/>
      <c r="AR728" s="3" t="s">
        <v>52</v>
      </c>
      <c r="AW728" s="8" t="s">
        <v>2687</v>
      </c>
    </row>
    <row r="729" hidden="1">
      <c r="A729" s="3">
        <v>78.0</v>
      </c>
      <c r="B729" s="3" t="s">
        <v>72</v>
      </c>
      <c r="C729" s="3" t="s">
        <v>312</v>
      </c>
      <c r="D729" s="3">
        <v>2015.0</v>
      </c>
      <c r="E729" s="3" t="s">
        <v>313</v>
      </c>
      <c r="F729" s="3" t="s">
        <v>129</v>
      </c>
      <c r="G729" s="3"/>
      <c r="H729" s="3" t="s">
        <v>82</v>
      </c>
      <c r="I729" s="3"/>
      <c r="J729" s="3" t="s">
        <v>82</v>
      </c>
      <c r="K729" s="3"/>
      <c r="L729" s="3"/>
      <c r="M729" s="3" t="s">
        <v>314</v>
      </c>
      <c r="S729" s="3"/>
      <c r="T729" s="3"/>
      <c r="U729" s="3"/>
      <c r="V729" s="3"/>
      <c r="W729" s="3"/>
      <c r="X729" s="3"/>
      <c r="Y729" s="3"/>
      <c r="Z729" s="3"/>
      <c r="AC729" s="3" t="s">
        <v>48</v>
      </c>
      <c r="AF729" s="3" t="s">
        <v>117</v>
      </c>
      <c r="AH729" s="3" t="s">
        <v>47</v>
      </c>
      <c r="AL729" s="3"/>
      <c r="AM729" s="3"/>
      <c r="AN729" s="3"/>
      <c r="AO729" s="3"/>
      <c r="AP729" s="3"/>
      <c r="AQ729" s="3"/>
      <c r="AR729" s="3" t="s">
        <v>52</v>
      </c>
      <c r="AS729" s="3" t="s">
        <v>118</v>
      </c>
      <c r="AT729" s="3" t="s">
        <v>51</v>
      </c>
      <c r="AW729" s="8" t="s">
        <v>2135</v>
      </c>
    </row>
    <row r="730">
      <c r="A730" s="3">
        <v>324.0</v>
      </c>
      <c r="B730" s="3" t="s">
        <v>40</v>
      </c>
      <c r="C730" s="3" t="s">
        <v>816</v>
      </c>
      <c r="D730" s="3">
        <v>2014.0</v>
      </c>
      <c r="E730" s="3" t="s">
        <v>817</v>
      </c>
      <c r="F730" s="3" t="s">
        <v>129</v>
      </c>
      <c r="G730" s="3" t="s">
        <v>2600</v>
      </c>
      <c r="H730" s="3" t="s">
        <v>82</v>
      </c>
      <c r="I730" s="3" t="s">
        <v>2147</v>
      </c>
      <c r="J730" s="3" t="s">
        <v>82</v>
      </c>
      <c r="K730" s="3" t="s">
        <v>2217</v>
      </c>
      <c r="L730" s="3" t="s">
        <v>2218</v>
      </c>
      <c r="M730" s="3" t="s">
        <v>254</v>
      </c>
      <c r="S730" s="9" t="str">
        <f t="array" ref="S730">"[" &amp; TEXTJOIN(", ", TRUE, IF(LEN(T730:AB730), CHAR(34)&amp;T730:AB730&amp;CHAR(34), )) &amp; "]"
</f>
        <v>["Hunting &amp; Collecting Terrestrial Animals"]</v>
      </c>
      <c r="T730" s="3" t="s">
        <v>2138</v>
      </c>
      <c r="U730" s="3"/>
      <c r="V730" s="3"/>
      <c r="AC730" s="3" t="s">
        <v>61</v>
      </c>
      <c r="AL730" s="9" t="str">
        <f t="array" ref="AL730">"[" &amp; TEXTJOIN(", ", TRUE, IF(LEN(AM730:AQ730), CHAR(34)&amp;AM730:AQ730&amp;CHAR(34), )) &amp; "]"
</f>
        <v>["Biological resource use"]</v>
      </c>
      <c r="AM730" s="3" t="s">
        <v>52</v>
      </c>
      <c r="AN730" s="3"/>
      <c r="AO730" s="3"/>
      <c r="AP730" s="3"/>
      <c r="AQ730" s="3"/>
      <c r="AR730" s="3" t="s">
        <v>52</v>
      </c>
      <c r="AW730" s="8" t="s">
        <v>2688</v>
      </c>
    </row>
    <row r="731">
      <c r="A731" s="3">
        <v>345.0</v>
      </c>
      <c r="B731" s="3" t="s">
        <v>40</v>
      </c>
      <c r="C731" s="3" t="s">
        <v>858</v>
      </c>
      <c r="D731" s="3">
        <v>2018.0</v>
      </c>
      <c r="E731" s="3" t="s">
        <v>859</v>
      </c>
      <c r="F731" s="3" t="s">
        <v>129</v>
      </c>
      <c r="G731" s="3" t="s">
        <v>2600</v>
      </c>
      <c r="H731" s="3" t="s">
        <v>82</v>
      </c>
      <c r="I731" s="3" t="s">
        <v>2147</v>
      </c>
      <c r="J731" s="3" t="s">
        <v>82</v>
      </c>
      <c r="K731" s="3" t="s">
        <v>2217</v>
      </c>
      <c r="L731" s="3" t="s">
        <v>2218</v>
      </c>
      <c r="M731" s="3" t="s">
        <v>254</v>
      </c>
      <c r="S731" s="9" t="str">
        <f t="array" ref="S731">"[" &amp; TEXTJOIN(", ", TRUE, IF(LEN(T731:AB731), CHAR(34)&amp;T731:AB731&amp;CHAR(34), )) &amp; "]"
</f>
        <v>["Hunting &amp; Collecting Terrestrial Animals"]</v>
      </c>
      <c r="T731" s="3" t="s">
        <v>2138</v>
      </c>
      <c r="U731" s="3"/>
      <c r="V731" s="3"/>
      <c r="AC731" s="3" t="s">
        <v>61</v>
      </c>
      <c r="AL731" s="9" t="str">
        <f t="array" ref="AL731">"[" &amp; TEXTJOIN(", ", TRUE, IF(LEN(AM731:AQ731), CHAR(34)&amp;AM731:AQ731&amp;CHAR(34), )) &amp; "]"
</f>
        <v>["Biological resource use"]</v>
      </c>
      <c r="AM731" s="3" t="s">
        <v>52</v>
      </c>
      <c r="AN731" s="3"/>
      <c r="AO731" s="3"/>
      <c r="AP731" s="3"/>
      <c r="AQ731" s="3"/>
      <c r="AR731" s="3" t="s">
        <v>52</v>
      </c>
      <c r="AW731" s="8" t="s">
        <v>2689</v>
      </c>
    </row>
    <row r="732">
      <c r="A732" s="3">
        <v>250.0</v>
      </c>
      <c r="B732" s="3" t="s">
        <v>40</v>
      </c>
      <c r="C732" s="3" t="s">
        <v>667</v>
      </c>
      <c r="D732" s="3">
        <v>1994.0</v>
      </c>
      <c r="E732" s="3" t="s">
        <v>668</v>
      </c>
      <c r="F732" s="3" t="s">
        <v>129</v>
      </c>
      <c r="G732" s="3" t="s">
        <v>2600</v>
      </c>
      <c r="H732" s="3" t="s">
        <v>82</v>
      </c>
      <c r="I732" s="3" t="s">
        <v>2147</v>
      </c>
      <c r="J732" s="3" t="s">
        <v>82</v>
      </c>
      <c r="K732" s="3" t="s">
        <v>2217</v>
      </c>
      <c r="L732" s="3" t="s">
        <v>2221</v>
      </c>
      <c r="M732" s="3" t="s">
        <v>317</v>
      </c>
      <c r="S732" s="9" t="str">
        <f t="array" ref="S732">"[" &amp; TEXTJOIN(", ", TRUE, IF(LEN(T732:AB732), CHAR(34)&amp;T732:AB732&amp;CHAR(34), )) &amp; "]"
</f>
        <v>["Logging &amp; Wood Harvesting"]</v>
      </c>
      <c r="T732" s="3" t="s">
        <v>2139</v>
      </c>
      <c r="U732" s="3"/>
      <c r="V732" s="3"/>
      <c r="AC732" s="3" t="s">
        <v>48</v>
      </c>
      <c r="AL732" s="9" t="str">
        <f t="array" ref="AL732">"[" &amp; TEXTJOIN(", ", TRUE, IF(LEN(AM732:AQ732), CHAR(34)&amp;AM732:AQ732&amp;CHAR(34), )) &amp; "]"
</f>
        <v>["Biological resource use"]</v>
      </c>
      <c r="AM732" s="3" t="s">
        <v>52</v>
      </c>
      <c r="AN732" s="3"/>
      <c r="AO732" s="3"/>
      <c r="AP732" s="3"/>
      <c r="AQ732" s="3"/>
      <c r="AR732" s="3" t="s">
        <v>52</v>
      </c>
      <c r="AW732" s="8" t="s">
        <v>2690</v>
      </c>
    </row>
    <row r="733">
      <c r="A733" s="3">
        <v>256.0</v>
      </c>
      <c r="B733" s="3" t="s">
        <v>40</v>
      </c>
      <c r="C733" s="3" t="s">
        <v>679</v>
      </c>
      <c r="D733" s="3">
        <v>1998.0</v>
      </c>
      <c r="E733" s="3" t="s">
        <v>680</v>
      </c>
      <c r="F733" s="3" t="s">
        <v>129</v>
      </c>
      <c r="G733" s="3" t="s">
        <v>2600</v>
      </c>
      <c r="H733" s="3" t="s">
        <v>82</v>
      </c>
      <c r="I733" s="3" t="s">
        <v>2147</v>
      </c>
      <c r="J733" s="3" t="s">
        <v>82</v>
      </c>
      <c r="K733" s="3" t="s">
        <v>2217</v>
      </c>
      <c r="L733" s="3" t="s">
        <v>2221</v>
      </c>
      <c r="M733" s="3" t="s">
        <v>317</v>
      </c>
      <c r="S733" s="9" t="str">
        <f t="array" ref="S733">"[" &amp; TEXTJOIN(", ", TRUE, IF(LEN(T733:AB733), CHAR(34)&amp;T733:AB733&amp;CHAR(34), )) &amp; "]"
</f>
        <v>["Logging &amp; Wood Harvesting"]</v>
      </c>
      <c r="T733" s="3" t="s">
        <v>2139</v>
      </c>
      <c r="U733" s="3"/>
      <c r="V733" s="3"/>
      <c r="AC733" s="3" t="s">
        <v>48</v>
      </c>
      <c r="AL733" s="9" t="str">
        <f t="array" ref="AL733">"[" &amp; TEXTJOIN(", ", TRUE, IF(LEN(AM733:AQ733), CHAR(34)&amp;AM733:AQ733&amp;CHAR(34), )) &amp; "]"
</f>
        <v>["Biological resource use"]</v>
      </c>
      <c r="AM733" s="3" t="s">
        <v>52</v>
      </c>
      <c r="AN733" s="3"/>
      <c r="AO733" s="3"/>
      <c r="AP733" s="3"/>
      <c r="AQ733" s="3"/>
      <c r="AR733" s="3" t="s">
        <v>52</v>
      </c>
      <c r="AW733" s="8" t="s">
        <v>2691</v>
      </c>
    </row>
    <row r="734">
      <c r="A734" s="3">
        <v>257.0</v>
      </c>
      <c r="B734" s="3" t="s">
        <v>40</v>
      </c>
      <c r="C734" s="3" t="s">
        <v>681</v>
      </c>
      <c r="D734" s="3">
        <v>1998.0</v>
      </c>
      <c r="E734" s="3" t="s">
        <v>682</v>
      </c>
      <c r="F734" s="3" t="s">
        <v>129</v>
      </c>
      <c r="G734" s="3" t="s">
        <v>2600</v>
      </c>
      <c r="H734" s="3" t="s">
        <v>82</v>
      </c>
      <c r="I734" s="3" t="s">
        <v>2147</v>
      </c>
      <c r="J734" s="3" t="s">
        <v>82</v>
      </c>
      <c r="K734" s="3" t="s">
        <v>2217</v>
      </c>
      <c r="L734" s="3" t="s">
        <v>2692</v>
      </c>
      <c r="M734" s="3" t="s">
        <v>317</v>
      </c>
      <c r="N734" s="3" t="s">
        <v>314</v>
      </c>
      <c r="O734" s="3" t="s">
        <v>254</v>
      </c>
      <c r="S734" s="9" t="str">
        <f t="array" ref="S734">"[" &amp; TEXTJOIN(", ", TRUE, IF(LEN(T734:AB734), CHAR(34)&amp;T734:AB734&amp;CHAR(34), )) &amp; "]"
</f>
        <v>["Logging &amp; Wood Harvesting"]</v>
      </c>
      <c r="T734" s="3" t="s">
        <v>2139</v>
      </c>
      <c r="U734" s="3"/>
      <c r="V734" s="3"/>
      <c r="AC734" s="3" t="s">
        <v>48</v>
      </c>
      <c r="AL734" s="9" t="str">
        <f t="array" ref="AL734">"[" &amp; TEXTJOIN(", ", TRUE, IF(LEN(AM734:AQ734), CHAR(34)&amp;AM734:AQ734&amp;CHAR(34), )) &amp; "]"
</f>
        <v>["Biological resource use"]</v>
      </c>
      <c r="AM734" s="3" t="s">
        <v>52</v>
      </c>
      <c r="AN734" s="3"/>
      <c r="AO734" s="3"/>
      <c r="AP734" s="3"/>
      <c r="AQ734" s="3"/>
      <c r="AR734" s="3" t="s">
        <v>52</v>
      </c>
      <c r="AW734" s="8" t="s">
        <v>2693</v>
      </c>
    </row>
    <row r="735">
      <c r="A735" s="3">
        <v>260.0</v>
      </c>
      <c r="B735" s="3" t="s">
        <v>40</v>
      </c>
      <c r="C735" s="3" t="s">
        <v>687</v>
      </c>
      <c r="D735" s="3">
        <v>1999.0</v>
      </c>
      <c r="E735" s="3" t="s">
        <v>688</v>
      </c>
      <c r="F735" s="3" t="s">
        <v>129</v>
      </c>
      <c r="G735" s="3" t="s">
        <v>2600</v>
      </c>
      <c r="H735" s="3" t="s">
        <v>82</v>
      </c>
      <c r="I735" s="3" t="s">
        <v>2147</v>
      </c>
      <c r="J735" s="3" t="s">
        <v>82</v>
      </c>
      <c r="K735" s="3" t="s">
        <v>2217</v>
      </c>
      <c r="L735" s="3" t="s">
        <v>2221</v>
      </c>
      <c r="M735" s="3" t="s">
        <v>317</v>
      </c>
      <c r="S735" s="9" t="str">
        <f t="array" ref="S735">"[" &amp; TEXTJOIN(", ", TRUE, IF(LEN(T735:AB735), CHAR(34)&amp;T735:AB735&amp;CHAR(34), )) &amp; "]"
</f>
        <v>["Logging &amp; Wood Harvesting"]</v>
      </c>
      <c r="T735" s="3" t="s">
        <v>2139</v>
      </c>
      <c r="U735" s="3"/>
      <c r="V735" s="3"/>
      <c r="AC735" s="3" t="s">
        <v>48</v>
      </c>
      <c r="AL735" s="9" t="str">
        <f t="array" ref="AL735">"[" &amp; TEXTJOIN(", ", TRUE, IF(LEN(AM735:AQ735), CHAR(34)&amp;AM735:AQ735&amp;CHAR(34), )) &amp; "]"
</f>
        <v>["Biological resource use"]</v>
      </c>
      <c r="AM735" s="3" t="s">
        <v>52</v>
      </c>
      <c r="AN735" s="3"/>
      <c r="AO735" s="3"/>
      <c r="AP735" s="3"/>
      <c r="AQ735" s="3"/>
      <c r="AR735" s="3" t="s">
        <v>52</v>
      </c>
      <c r="AW735" s="8" t="s">
        <v>2694</v>
      </c>
    </row>
    <row r="736">
      <c r="A736" s="3">
        <v>262.0</v>
      </c>
      <c r="B736" s="3" t="s">
        <v>40</v>
      </c>
      <c r="C736" s="3" t="s">
        <v>691</v>
      </c>
      <c r="D736" s="3">
        <v>1999.0</v>
      </c>
      <c r="E736" s="3" t="s">
        <v>692</v>
      </c>
      <c r="F736" s="3" t="s">
        <v>129</v>
      </c>
      <c r="G736" s="3" t="s">
        <v>2600</v>
      </c>
      <c r="H736" s="3" t="s">
        <v>82</v>
      </c>
      <c r="I736" s="3" t="s">
        <v>2147</v>
      </c>
      <c r="J736" s="3" t="s">
        <v>82</v>
      </c>
      <c r="K736" s="3" t="s">
        <v>2217</v>
      </c>
      <c r="L736" s="3" t="s">
        <v>2224</v>
      </c>
      <c r="M736" s="3" t="s">
        <v>314</v>
      </c>
      <c r="S736" s="9" t="str">
        <f t="array" ref="S736">"[" &amp; TEXTJOIN(", ", TRUE, IF(LEN(T736:AB736), CHAR(34)&amp;T736:AB736&amp;CHAR(34), )) &amp; "]"
</f>
        <v>["Logging &amp; Wood Harvesting"]</v>
      </c>
      <c r="T736" s="3" t="s">
        <v>2139</v>
      </c>
      <c r="U736" s="3"/>
      <c r="V736" s="3"/>
      <c r="AC736" s="3" t="s">
        <v>48</v>
      </c>
      <c r="AL736" s="9" t="str">
        <f t="array" ref="AL736">"[" &amp; TEXTJOIN(", ", TRUE, IF(LEN(AM736:AQ736), CHAR(34)&amp;AM736:AQ736&amp;CHAR(34), )) &amp; "]"
</f>
        <v>["Biological resource use"]</v>
      </c>
      <c r="AM736" s="3" t="s">
        <v>52</v>
      </c>
      <c r="AN736" s="3"/>
      <c r="AO736" s="3"/>
      <c r="AP736" s="3"/>
      <c r="AQ736" s="3"/>
      <c r="AR736" s="3" t="s">
        <v>52</v>
      </c>
      <c r="AW736" s="8" t="s">
        <v>2695</v>
      </c>
    </row>
    <row r="737">
      <c r="A737" s="3">
        <v>271.0</v>
      </c>
      <c r="B737" s="3" t="s">
        <v>40</v>
      </c>
      <c r="C737" s="3" t="s">
        <v>709</v>
      </c>
      <c r="D737" s="3">
        <v>2001.0</v>
      </c>
      <c r="E737" s="3" t="s">
        <v>710</v>
      </c>
      <c r="F737" s="3" t="s">
        <v>129</v>
      </c>
      <c r="G737" s="3" t="s">
        <v>2600</v>
      </c>
      <c r="H737" s="3" t="s">
        <v>82</v>
      </c>
      <c r="I737" s="3" t="s">
        <v>2147</v>
      </c>
      <c r="J737" s="3" t="s">
        <v>82</v>
      </c>
      <c r="K737" s="3" t="s">
        <v>2217</v>
      </c>
      <c r="L737" s="3" t="s">
        <v>2221</v>
      </c>
      <c r="M737" s="3" t="s">
        <v>317</v>
      </c>
      <c r="S737" s="9" t="str">
        <f t="array" ref="S737">"[" &amp; TEXTJOIN(", ", TRUE, IF(LEN(T737:AB737), CHAR(34)&amp;T737:AB737&amp;CHAR(34), )) &amp; "]"
</f>
        <v>["Logging &amp; Wood Harvesting"]</v>
      </c>
      <c r="T737" s="3" t="s">
        <v>2139</v>
      </c>
      <c r="U737" s="3"/>
      <c r="V737" s="3"/>
      <c r="AC737" s="3" t="s">
        <v>48</v>
      </c>
      <c r="AL737" s="9" t="str">
        <f t="array" ref="AL737">"[" &amp; TEXTJOIN(", ", TRUE, IF(LEN(AM737:AQ737), CHAR(34)&amp;AM737:AQ737&amp;CHAR(34), )) &amp; "]"
</f>
        <v>["Biological resource use"]</v>
      </c>
      <c r="AM737" s="3" t="s">
        <v>52</v>
      </c>
      <c r="AN737" s="3"/>
      <c r="AO737" s="3"/>
      <c r="AP737" s="3"/>
      <c r="AQ737" s="3"/>
      <c r="AR737" s="3" t="s">
        <v>52</v>
      </c>
      <c r="AW737" s="8" t="s">
        <v>2696</v>
      </c>
    </row>
    <row r="738">
      <c r="A738" s="3">
        <v>306.0</v>
      </c>
      <c r="B738" s="3" t="s">
        <v>40</v>
      </c>
      <c r="C738" s="3" t="s">
        <v>780</v>
      </c>
      <c r="D738" s="3">
        <v>2011.0</v>
      </c>
      <c r="E738" s="3" t="s">
        <v>781</v>
      </c>
      <c r="F738" s="3" t="s">
        <v>129</v>
      </c>
      <c r="G738" s="3" t="s">
        <v>2600</v>
      </c>
      <c r="H738" s="3" t="s">
        <v>82</v>
      </c>
      <c r="I738" s="3" t="s">
        <v>2147</v>
      </c>
      <c r="J738" s="3" t="s">
        <v>82</v>
      </c>
      <c r="K738" s="3" t="s">
        <v>2217</v>
      </c>
      <c r="L738" s="3" t="s">
        <v>2221</v>
      </c>
      <c r="M738" s="3" t="s">
        <v>317</v>
      </c>
      <c r="S738" s="9" t="str">
        <f t="array" ref="S738">"[" &amp; TEXTJOIN(", ", TRUE, IF(LEN(T738:AB738), CHAR(34)&amp;T738:AB738&amp;CHAR(34), )) &amp; "]"
</f>
        <v>["Logging &amp; Wood Harvesting"]</v>
      </c>
      <c r="T738" s="3" t="s">
        <v>2139</v>
      </c>
      <c r="U738" s="3"/>
      <c r="V738" s="3"/>
      <c r="AC738" s="3" t="s">
        <v>48</v>
      </c>
      <c r="AL738" s="9" t="str">
        <f t="array" ref="AL738">"[" &amp; TEXTJOIN(", ", TRUE, IF(LEN(AM738:AQ738), CHAR(34)&amp;AM738:AQ738&amp;CHAR(34), )) &amp; "]"
</f>
        <v>["Biological resource use"]</v>
      </c>
      <c r="AM738" s="3" t="s">
        <v>52</v>
      </c>
      <c r="AN738" s="3"/>
      <c r="AO738" s="3"/>
      <c r="AP738" s="3"/>
      <c r="AQ738" s="3"/>
      <c r="AR738" s="3" t="s">
        <v>52</v>
      </c>
      <c r="AW738" s="8" t="s">
        <v>2697</v>
      </c>
    </row>
    <row r="739">
      <c r="A739" s="3">
        <v>321.0</v>
      </c>
      <c r="B739" s="3" t="s">
        <v>40</v>
      </c>
      <c r="C739" s="3" t="s">
        <v>437</v>
      </c>
      <c r="D739" s="3">
        <v>2014.0</v>
      </c>
      <c r="E739" s="3" t="s">
        <v>810</v>
      </c>
      <c r="F739" s="3" t="s">
        <v>129</v>
      </c>
      <c r="G739" s="3" t="s">
        <v>2600</v>
      </c>
      <c r="H739" s="3" t="s">
        <v>82</v>
      </c>
      <c r="I739" s="3" t="s">
        <v>2147</v>
      </c>
      <c r="J739" s="3" t="s">
        <v>82</v>
      </c>
      <c r="K739" s="3" t="s">
        <v>2217</v>
      </c>
      <c r="L739" s="3" t="s">
        <v>2224</v>
      </c>
      <c r="M739" s="3" t="s">
        <v>314</v>
      </c>
      <c r="S739" s="9" t="str">
        <f t="array" ref="S739">"[" &amp; TEXTJOIN(", ", TRUE, IF(LEN(T739:AB739), CHAR(34)&amp;T739:AB739&amp;CHAR(34), )) &amp; "]"
</f>
        <v>["Logging &amp; Wood Harvesting"]</v>
      </c>
      <c r="T739" s="3" t="s">
        <v>2139</v>
      </c>
      <c r="U739" s="3"/>
      <c r="V739" s="3"/>
      <c r="AC739" s="3" t="s">
        <v>48</v>
      </c>
      <c r="AL739" s="9" t="str">
        <f t="array" ref="AL739">"[" &amp; TEXTJOIN(", ", TRUE, IF(LEN(AM739:AQ739), CHAR(34)&amp;AM739:AQ739&amp;CHAR(34), )) &amp; "]"
</f>
        <v>["Biological resource use"]</v>
      </c>
      <c r="AM739" s="3" t="s">
        <v>52</v>
      </c>
      <c r="AN739" s="3"/>
      <c r="AO739" s="3"/>
      <c r="AP739" s="3"/>
      <c r="AQ739" s="3"/>
      <c r="AR739" s="3" t="s">
        <v>52</v>
      </c>
      <c r="AW739" s="8" t="s">
        <v>2698</v>
      </c>
    </row>
    <row r="740">
      <c r="A740" s="3">
        <v>333.0</v>
      </c>
      <c r="B740" s="3" t="s">
        <v>40</v>
      </c>
      <c r="C740" s="3" t="s">
        <v>834</v>
      </c>
      <c r="D740" s="3">
        <v>2017.0</v>
      </c>
      <c r="E740" s="3" t="s">
        <v>835</v>
      </c>
      <c r="F740" s="3" t="s">
        <v>129</v>
      </c>
      <c r="G740" s="3" t="s">
        <v>2600</v>
      </c>
      <c r="H740" s="3" t="s">
        <v>82</v>
      </c>
      <c r="I740" s="3" t="s">
        <v>2147</v>
      </c>
      <c r="J740" s="3" t="s">
        <v>82</v>
      </c>
      <c r="K740" s="3" t="s">
        <v>2217</v>
      </c>
      <c r="L740" s="3" t="s">
        <v>2221</v>
      </c>
      <c r="M740" s="3" t="s">
        <v>317</v>
      </c>
      <c r="S740" s="9" t="str">
        <f t="array" ref="S740">"[" &amp; TEXTJOIN(", ", TRUE, IF(LEN(T740:AB740), CHAR(34)&amp;T740:AB740&amp;CHAR(34), )) &amp; "]"
</f>
        <v>["Logging &amp; Wood Harvesting"]</v>
      </c>
      <c r="T740" s="3" t="s">
        <v>2139</v>
      </c>
      <c r="U740" s="3"/>
      <c r="V740" s="3"/>
      <c r="AC740" s="3" t="s">
        <v>48</v>
      </c>
      <c r="AL740" s="9" t="str">
        <f t="array" ref="AL740">"[" &amp; TEXTJOIN(", ", TRUE, IF(LEN(AM740:AQ740), CHAR(34)&amp;AM740:AQ740&amp;CHAR(34), )) &amp; "]"
</f>
        <v>["Biological resource use"]</v>
      </c>
      <c r="AM740" s="3" t="s">
        <v>52</v>
      </c>
      <c r="AN740" s="3"/>
      <c r="AO740" s="3"/>
      <c r="AP740" s="3"/>
      <c r="AQ740" s="3"/>
      <c r="AR740" s="3" t="s">
        <v>52</v>
      </c>
      <c r="AW740" s="8" t="s">
        <v>2699</v>
      </c>
    </row>
    <row r="741">
      <c r="A741" s="3">
        <v>348.0</v>
      </c>
      <c r="B741" s="3" t="s">
        <v>40</v>
      </c>
      <c r="C741" s="3" t="s">
        <v>864</v>
      </c>
      <c r="D741" s="3">
        <v>2019.0</v>
      </c>
      <c r="E741" s="3" t="s">
        <v>865</v>
      </c>
      <c r="F741" s="3" t="s">
        <v>129</v>
      </c>
      <c r="G741" s="3" t="s">
        <v>2600</v>
      </c>
      <c r="H741" s="3" t="s">
        <v>82</v>
      </c>
      <c r="I741" s="3" t="s">
        <v>2147</v>
      </c>
      <c r="J741" s="3" t="s">
        <v>82</v>
      </c>
      <c r="K741" s="3" t="s">
        <v>2217</v>
      </c>
      <c r="L741" s="3" t="s">
        <v>2700</v>
      </c>
      <c r="M741" s="3" t="s">
        <v>866</v>
      </c>
      <c r="S741" s="9" t="str">
        <f t="array" ref="S741">"[" &amp; TEXTJOIN(", ", TRUE, IF(LEN(T741:AB741), CHAR(34)&amp;T741:AB741&amp;CHAR(34), )) &amp; "]"
</f>
        <v>["Logging &amp; Wood Harvesting"]</v>
      </c>
      <c r="T741" s="3" t="s">
        <v>2139</v>
      </c>
      <c r="U741" s="3"/>
      <c r="V741" s="3"/>
      <c r="AC741" s="3" t="s">
        <v>48</v>
      </c>
      <c r="AL741" s="9" t="str">
        <f t="array" ref="AL741">"[" &amp; TEXTJOIN(", ", TRUE, IF(LEN(AM741:AQ741), CHAR(34)&amp;AM741:AQ741&amp;CHAR(34), )) &amp; "]"
</f>
        <v>["Biological resource use"]</v>
      </c>
      <c r="AM741" s="3" t="s">
        <v>52</v>
      </c>
      <c r="AN741" s="3"/>
      <c r="AO741" s="3"/>
      <c r="AP741" s="3"/>
      <c r="AQ741" s="3"/>
      <c r="AR741" s="3" t="s">
        <v>52</v>
      </c>
      <c r="AW741" s="8" t="s">
        <v>2701</v>
      </c>
    </row>
    <row r="742">
      <c r="A742" s="3">
        <v>349.0</v>
      </c>
      <c r="B742" s="3" t="s">
        <v>40</v>
      </c>
      <c r="C742" s="3" t="s">
        <v>867</v>
      </c>
      <c r="D742" s="3">
        <v>2019.0</v>
      </c>
      <c r="E742" s="3" t="s">
        <v>868</v>
      </c>
      <c r="F742" s="3" t="s">
        <v>129</v>
      </c>
      <c r="G742" s="3" t="s">
        <v>2600</v>
      </c>
      <c r="H742" s="3" t="s">
        <v>82</v>
      </c>
      <c r="I742" s="3" t="s">
        <v>2147</v>
      </c>
      <c r="J742" s="3" t="s">
        <v>82</v>
      </c>
      <c r="K742" s="3" t="s">
        <v>2217</v>
      </c>
      <c r="L742" s="3" t="s">
        <v>2700</v>
      </c>
      <c r="M742" s="3" t="s">
        <v>866</v>
      </c>
      <c r="S742" s="9" t="str">
        <f t="array" ref="S742">"[" &amp; TEXTJOIN(", ", TRUE, IF(LEN(T742:AB742), CHAR(34)&amp;T742:AB742&amp;CHAR(34), )) &amp; "]"
</f>
        <v>["Logging &amp; Wood Harvesting"]</v>
      </c>
      <c r="T742" s="3" t="s">
        <v>2139</v>
      </c>
      <c r="U742" s="3"/>
      <c r="V742" s="3"/>
      <c r="AC742" s="3" t="s">
        <v>48</v>
      </c>
      <c r="AL742" s="9" t="str">
        <f t="array" ref="AL742">"[" &amp; TEXTJOIN(", ", TRUE, IF(LEN(AM742:AQ742), CHAR(34)&amp;AM742:AQ742&amp;CHAR(34), )) &amp; "]"
</f>
        <v>["Biological resource use"]</v>
      </c>
      <c r="AM742" s="3" t="s">
        <v>52</v>
      </c>
      <c r="AN742" s="3"/>
      <c r="AO742" s="3"/>
      <c r="AP742" s="3"/>
      <c r="AQ742" s="3"/>
      <c r="AR742" s="3" t="s">
        <v>52</v>
      </c>
      <c r="AW742" s="8" t="s">
        <v>2702</v>
      </c>
    </row>
    <row r="743">
      <c r="A743" s="3">
        <v>350.0</v>
      </c>
      <c r="B743" s="3" t="s">
        <v>40</v>
      </c>
      <c r="C743" s="3" t="s">
        <v>869</v>
      </c>
      <c r="D743" s="3">
        <v>2019.0</v>
      </c>
      <c r="E743" s="3" t="s">
        <v>870</v>
      </c>
      <c r="F743" s="3" t="s">
        <v>129</v>
      </c>
      <c r="G743" s="3" t="s">
        <v>2600</v>
      </c>
      <c r="H743" s="3" t="s">
        <v>82</v>
      </c>
      <c r="I743" s="3" t="s">
        <v>2147</v>
      </c>
      <c r="J743" s="3" t="s">
        <v>82</v>
      </c>
      <c r="K743" s="3" t="s">
        <v>2217</v>
      </c>
      <c r="L743" s="3" t="s">
        <v>2700</v>
      </c>
      <c r="M743" s="3" t="s">
        <v>866</v>
      </c>
      <c r="S743" s="9" t="str">
        <f t="array" ref="S743">"[" &amp; TEXTJOIN(", ", TRUE, IF(LEN(T743:AB743), CHAR(34)&amp;T743:AB743&amp;CHAR(34), )) &amp; "]"
</f>
        <v>["Logging &amp; Wood Harvesting"]</v>
      </c>
      <c r="T743" s="3" t="s">
        <v>2139</v>
      </c>
      <c r="U743" s="3"/>
      <c r="V743" s="3"/>
      <c r="AC743" s="3" t="s">
        <v>48</v>
      </c>
      <c r="AL743" s="9" t="str">
        <f t="array" ref="AL743">"[" &amp; TEXTJOIN(", ", TRUE, IF(LEN(AM743:AQ743), CHAR(34)&amp;AM743:AQ743&amp;CHAR(34), )) &amp; "]"
</f>
        <v>["Biological resource use"]</v>
      </c>
      <c r="AM743" s="3" t="s">
        <v>52</v>
      </c>
      <c r="AN743" s="3"/>
      <c r="AO743" s="3"/>
      <c r="AP743" s="3"/>
      <c r="AQ743" s="3"/>
      <c r="AR743" s="3" t="s">
        <v>52</v>
      </c>
      <c r="AW743" s="8" t="s">
        <v>2703</v>
      </c>
    </row>
    <row r="744">
      <c r="A744" s="3">
        <v>351.0</v>
      </c>
      <c r="B744" s="3" t="s">
        <v>40</v>
      </c>
      <c r="C744" s="3" t="s">
        <v>871</v>
      </c>
      <c r="D744" s="3">
        <v>2019.0</v>
      </c>
      <c r="E744" s="3" t="s">
        <v>872</v>
      </c>
      <c r="F744" s="3" t="s">
        <v>129</v>
      </c>
      <c r="G744" s="3" t="s">
        <v>2600</v>
      </c>
      <c r="H744" s="3" t="s">
        <v>82</v>
      </c>
      <c r="I744" s="3" t="s">
        <v>2147</v>
      </c>
      <c r="J744" s="3" t="s">
        <v>82</v>
      </c>
      <c r="K744" s="3" t="s">
        <v>2217</v>
      </c>
      <c r="L744" s="3" t="s">
        <v>2700</v>
      </c>
      <c r="M744" s="3" t="s">
        <v>866</v>
      </c>
      <c r="S744" s="9" t="str">
        <f t="array" ref="S744">"[" &amp; TEXTJOIN(", ", TRUE, IF(LEN(T744:AB744), CHAR(34)&amp;T744:AB744&amp;CHAR(34), )) &amp; "]"
</f>
        <v>["Logging &amp; Wood Harvesting"]</v>
      </c>
      <c r="T744" s="3" t="s">
        <v>2139</v>
      </c>
      <c r="U744" s="3"/>
      <c r="V744" s="3"/>
      <c r="AC744" s="3" t="s">
        <v>48</v>
      </c>
      <c r="AL744" s="9" t="str">
        <f t="array" ref="AL744">"[" &amp; TEXTJOIN(", ", TRUE, IF(LEN(AM744:AQ744), CHAR(34)&amp;AM744:AQ744&amp;CHAR(34), )) &amp; "]"
</f>
        <v>["Biological resource use"]</v>
      </c>
      <c r="AM744" s="3" t="s">
        <v>52</v>
      </c>
      <c r="AN744" s="3"/>
      <c r="AO744" s="3"/>
      <c r="AP744" s="3"/>
      <c r="AQ744" s="3"/>
      <c r="AR744" s="3" t="s">
        <v>52</v>
      </c>
      <c r="AW744" s="8" t="s">
        <v>2704</v>
      </c>
    </row>
    <row r="745">
      <c r="A745" s="3">
        <v>437.0</v>
      </c>
      <c r="B745" s="3" t="s">
        <v>40</v>
      </c>
      <c r="C745" s="3" t="s">
        <v>999</v>
      </c>
      <c r="D745" s="3">
        <v>2015.0</v>
      </c>
      <c r="E745" s="3" t="s">
        <v>1000</v>
      </c>
      <c r="F745" s="3" t="s">
        <v>129</v>
      </c>
      <c r="G745" s="3" t="s">
        <v>2600</v>
      </c>
      <c r="H745" s="3" t="s">
        <v>82</v>
      </c>
      <c r="I745" s="3" t="s">
        <v>2147</v>
      </c>
      <c r="J745" s="3" t="s">
        <v>82</v>
      </c>
      <c r="K745" s="3" t="s">
        <v>2217</v>
      </c>
      <c r="L745" s="3" t="s">
        <v>2155</v>
      </c>
      <c r="M745" s="3" t="s">
        <v>1001</v>
      </c>
      <c r="S745" s="9" t="str">
        <f t="array" ref="S745">"[" &amp; TEXTJOIN(", ", TRUE, IF(LEN(T745:AB745), CHAR(34)&amp;T745:AB745&amp;CHAR(34), )) &amp; "]"
</f>
        <v>["Droughts"]</v>
      </c>
      <c r="T745" s="3" t="s">
        <v>322</v>
      </c>
      <c r="U745" s="3"/>
      <c r="V745" s="3"/>
      <c r="AC745" s="3" t="s">
        <v>322</v>
      </c>
      <c r="AL745" s="9" t="str">
        <f t="array" ref="AL745">"[" &amp; TEXTJOIN(", ", TRUE, IF(LEN(AM745:AQ745), CHAR(34)&amp;AM745:AQ745&amp;CHAR(34), )) &amp; "]"
</f>
        <v>["Climate change &amp; severe weather"]</v>
      </c>
      <c r="AM745" s="3" t="s">
        <v>118</v>
      </c>
      <c r="AN745" s="3"/>
      <c r="AO745" s="3"/>
      <c r="AP745" s="3"/>
      <c r="AQ745" s="3"/>
      <c r="AR745" s="3" t="s">
        <v>118</v>
      </c>
      <c r="AW745" s="8" t="s">
        <v>2705</v>
      </c>
    </row>
    <row r="746">
      <c r="A746" s="3">
        <v>433.0</v>
      </c>
      <c r="B746" s="3" t="s">
        <v>40</v>
      </c>
      <c r="C746" s="3" t="s">
        <v>991</v>
      </c>
      <c r="D746" s="3">
        <v>2011.0</v>
      </c>
      <c r="E746" s="3" t="s">
        <v>992</v>
      </c>
      <c r="F746" s="3" t="s">
        <v>129</v>
      </c>
      <c r="G746" s="3" t="s">
        <v>2600</v>
      </c>
      <c r="H746" s="3" t="s">
        <v>82</v>
      </c>
      <c r="I746" s="3" t="s">
        <v>2147</v>
      </c>
      <c r="J746" s="3" t="s">
        <v>82</v>
      </c>
      <c r="K746" s="3" t="s">
        <v>2217</v>
      </c>
      <c r="L746" s="3" t="s">
        <v>2218</v>
      </c>
      <c r="M746" s="3" t="s">
        <v>254</v>
      </c>
      <c r="S746" s="9" t="str">
        <f t="array" ref="S746">"[" &amp; TEXTJOIN(", ", TRUE, IF(LEN(T746:AB746), CHAR(34)&amp;T746:AB746&amp;CHAR(34), )) &amp; "]"
</f>
        <v>["Habitat shifting &amp; alteration"]</v>
      </c>
      <c r="T746" s="3" t="s">
        <v>117</v>
      </c>
      <c r="U746" s="3"/>
      <c r="V746" s="3"/>
      <c r="AC746" s="3" t="s">
        <v>117</v>
      </c>
      <c r="AL746" s="9" t="str">
        <f t="array" ref="AL746">"[" &amp; TEXTJOIN(", ", TRUE, IF(LEN(AM746:AQ746), CHAR(34)&amp;AM746:AQ746&amp;CHAR(34), )) &amp; "]"
</f>
        <v>["Climate change &amp; severe weather"]</v>
      </c>
      <c r="AM746" s="3" t="s">
        <v>118</v>
      </c>
      <c r="AN746" s="3"/>
      <c r="AO746" s="3"/>
      <c r="AP746" s="3"/>
      <c r="AQ746" s="3"/>
      <c r="AR746" s="3" t="s">
        <v>118</v>
      </c>
      <c r="AW746" s="8" t="s">
        <v>2706</v>
      </c>
    </row>
    <row r="747">
      <c r="A747" s="3">
        <v>436.0</v>
      </c>
      <c r="B747" s="3" t="s">
        <v>40</v>
      </c>
      <c r="C747" s="3" t="s">
        <v>997</v>
      </c>
      <c r="D747" s="3">
        <v>2013.0</v>
      </c>
      <c r="E747" s="3" t="s">
        <v>998</v>
      </c>
      <c r="F747" s="3" t="s">
        <v>129</v>
      </c>
      <c r="G747" s="3" t="s">
        <v>2600</v>
      </c>
      <c r="H747" s="3" t="s">
        <v>82</v>
      </c>
      <c r="I747" s="3" t="s">
        <v>2147</v>
      </c>
      <c r="J747" s="3" t="s">
        <v>82</v>
      </c>
      <c r="K747" s="3" t="s">
        <v>2217</v>
      </c>
      <c r="L747" s="3" t="s">
        <v>2221</v>
      </c>
      <c r="M747" s="3" t="s">
        <v>317</v>
      </c>
      <c r="S747" s="9" t="str">
        <f t="array" ref="S747">"[" &amp; TEXTJOIN(", ", TRUE, IF(LEN(T747:AB747), CHAR(34)&amp;T747:AB747&amp;CHAR(34), )) &amp; "]"
</f>
        <v>["Habitat shifting &amp; alteration"]</v>
      </c>
      <c r="T747" s="3" t="s">
        <v>117</v>
      </c>
      <c r="U747" s="3"/>
      <c r="V747" s="3"/>
      <c r="AC747" s="3" t="s">
        <v>117</v>
      </c>
      <c r="AL747" s="9" t="str">
        <f t="array" ref="AL747">"[" &amp; TEXTJOIN(", ", TRUE, IF(LEN(AM747:AQ747), CHAR(34)&amp;AM747:AQ747&amp;CHAR(34), )) &amp; "]"
</f>
        <v>["Climate change &amp; severe weather"]</v>
      </c>
      <c r="AM747" s="3" t="s">
        <v>118</v>
      </c>
      <c r="AN747" s="3"/>
      <c r="AO747" s="3"/>
      <c r="AP747" s="3"/>
      <c r="AQ747" s="3"/>
      <c r="AR747" s="3" t="s">
        <v>118</v>
      </c>
      <c r="AW747" s="8" t="s">
        <v>2707</v>
      </c>
    </row>
    <row r="748" hidden="1">
      <c r="A748" s="3">
        <v>181.0</v>
      </c>
      <c r="B748" s="3" t="s">
        <v>106</v>
      </c>
      <c r="C748" s="3" t="s">
        <v>534</v>
      </c>
      <c r="D748" s="3">
        <v>2014.0</v>
      </c>
      <c r="E748" s="3" t="s">
        <v>535</v>
      </c>
      <c r="F748" s="3" t="s">
        <v>129</v>
      </c>
      <c r="G748" s="3"/>
      <c r="H748" s="3" t="s">
        <v>82</v>
      </c>
      <c r="I748" s="3"/>
      <c r="K748" s="3"/>
      <c r="L748" s="3"/>
      <c r="M748" s="3" t="s">
        <v>453</v>
      </c>
      <c r="S748" s="3"/>
      <c r="T748" s="3"/>
      <c r="U748" s="3"/>
      <c r="V748" s="3"/>
      <c r="W748" s="3"/>
      <c r="X748" s="3"/>
      <c r="AC748" s="3" t="s">
        <v>61</v>
      </c>
      <c r="AF748" s="3" t="s">
        <v>87</v>
      </c>
      <c r="AL748" s="3"/>
      <c r="AM748" s="3"/>
      <c r="AN748" s="3"/>
      <c r="AO748" s="3"/>
      <c r="AP748" s="3"/>
      <c r="AQ748" s="3"/>
      <c r="AR748" s="3" t="s">
        <v>52</v>
      </c>
      <c r="AS748" s="3" t="s">
        <v>64</v>
      </c>
      <c r="AT748" s="3" t="s">
        <v>143</v>
      </c>
      <c r="AW748" s="8" t="s">
        <v>2135</v>
      </c>
    </row>
    <row r="749" hidden="1">
      <c r="A749" s="3">
        <v>187.0</v>
      </c>
      <c r="B749" s="3" t="s">
        <v>106</v>
      </c>
      <c r="D749" s="3">
        <v>1989.0</v>
      </c>
      <c r="E749" s="3" t="s">
        <v>546</v>
      </c>
      <c r="F749" s="3" t="s">
        <v>129</v>
      </c>
      <c r="G749" s="3"/>
      <c r="H749" s="3" t="s">
        <v>82</v>
      </c>
      <c r="I749" s="3"/>
      <c r="K749" s="3"/>
      <c r="L749" s="3"/>
      <c r="M749" s="3" t="s">
        <v>384</v>
      </c>
      <c r="S749" s="3"/>
      <c r="T749" s="3"/>
      <c r="U749" s="3"/>
      <c r="V749" s="3"/>
      <c r="W749" s="3"/>
      <c r="X749" s="3"/>
      <c r="AC749" s="3" t="s">
        <v>247</v>
      </c>
      <c r="AF749" s="3" t="s">
        <v>147</v>
      </c>
      <c r="AL749" s="3"/>
      <c r="AM749" s="3"/>
      <c r="AN749" s="3"/>
      <c r="AO749" s="3"/>
      <c r="AP749" s="3"/>
      <c r="AQ749" s="3"/>
      <c r="AR749" s="3" t="s">
        <v>52</v>
      </c>
      <c r="AS749" s="3" t="s">
        <v>64</v>
      </c>
      <c r="AW749" s="8" t="s">
        <v>2135</v>
      </c>
    </row>
    <row r="750" hidden="1">
      <c r="A750" s="3">
        <v>190.0</v>
      </c>
      <c r="B750" s="3" t="s">
        <v>106</v>
      </c>
      <c r="D750" s="3">
        <v>2004.0</v>
      </c>
      <c r="E750" s="3" t="s">
        <v>550</v>
      </c>
      <c r="F750" s="3" t="s">
        <v>129</v>
      </c>
      <c r="G750" s="3"/>
      <c r="H750" s="3" t="s">
        <v>82</v>
      </c>
      <c r="I750" s="3"/>
      <c r="K750" s="3"/>
      <c r="L750" s="3"/>
      <c r="M750" s="3" t="s">
        <v>453</v>
      </c>
      <c r="S750" s="3"/>
      <c r="T750" s="3"/>
      <c r="U750" s="3"/>
      <c r="V750" s="3"/>
      <c r="W750" s="3"/>
      <c r="X750" s="3"/>
      <c r="AC750" s="3" t="s">
        <v>61</v>
      </c>
      <c r="AF750" s="3" t="s">
        <v>125</v>
      </c>
      <c r="AL750" s="3"/>
      <c r="AM750" s="3"/>
      <c r="AN750" s="3"/>
      <c r="AO750" s="3"/>
      <c r="AP750" s="3"/>
      <c r="AQ750" s="3"/>
      <c r="AR750" s="3" t="s">
        <v>52</v>
      </c>
      <c r="AS750" s="3" t="s">
        <v>64</v>
      </c>
      <c r="AW750" s="8" t="s">
        <v>2135</v>
      </c>
    </row>
    <row r="751">
      <c r="A751" s="3">
        <v>440.0</v>
      </c>
      <c r="B751" s="3" t="s">
        <v>40</v>
      </c>
      <c r="C751" s="3" t="s">
        <v>1006</v>
      </c>
      <c r="D751" s="3">
        <v>2017.0</v>
      </c>
      <c r="E751" s="3" t="s">
        <v>1007</v>
      </c>
      <c r="F751" s="3" t="s">
        <v>129</v>
      </c>
      <c r="G751" s="3" t="s">
        <v>2600</v>
      </c>
      <c r="H751" s="3" t="s">
        <v>82</v>
      </c>
      <c r="I751" s="3" t="s">
        <v>2147</v>
      </c>
      <c r="J751" s="3" t="s">
        <v>82</v>
      </c>
      <c r="K751" s="3" t="s">
        <v>2217</v>
      </c>
      <c r="L751" s="3" t="s">
        <v>2260</v>
      </c>
      <c r="M751" s="3" t="s">
        <v>314</v>
      </c>
      <c r="N751" s="3" t="s">
        <v>317</v>
      </c>
      <c r="S751" s="9" t="str">
        <f t="array" ref="S751">"[" &amp; TEXTJOIN(", ", TRUE, IF(LEN(T751:AB751), CHAR(34)&amp;T751:AB751&amp;CHAR(34), )) &amp; "]"
</f>
        <v>["Habitat shifting &amp; alteration"]</v>
      </c>
      <c r="T751" s="3" t="s">
        <v>117</v>
      </c>
      <c r="U751" s="3"/>
      <c r="V751" s="3"/>
      <c r="AC751" s="3" t="s">
        <v>117</v>
      </c>
      <c r="AL751" s="9" t="str">
        <f t="array" ref="AL751">"[" &amp; TEXTJOIN(", ", TRUE, IF(LEN(AM751:AQ751), CHAR(34)&amp;AM751:AQ751&amp;CHAR(34), )) &amp; "]"
</f>
        <v>["Climate change &amp; severe weather"]</v>
      </c>
      <c r="AM751" s="3" t="s">
        <v>118</v>
      </c>
      <c r="AN751" s="3"/>
      <c r="AO751" s="3"/>
      <c r="AP751" s="3"/>
      <c r="AQ751" s="3"/>
      <c r="AR751" s="3" t="s">
        <v>118</v>
      </c>
      <c r="AW751" s="8" t="s">
        <v>2708</v>
      </c>
    </row>
    <row r="752">
      <c r="A752" s="3">
        <v>438.0</v>
      </c>
      <c r="B752" s="3" t="s">
        <v>40</v>
      </c>
      <c r="C752" s="3" t="s">
        <v>1002</v>
      </c>
      <c r="D752" s="3">
        <v>2015.0</v>
      </c>
      <c r="E752" s="3" t="s">
        <v>1003</v>
      </c>
      <c r="F752" s="3" t="s">
        <v>129</v>
      </c>
      <c r="G752" s="3" t="s">
        <v>2600</v>
      </c>
      <c r="H752" s="3" t="s">
        <v>82</v>
      </c>
      <c r="I752" s="3" t="s">
        <v>2147</v>
      </c>
      <c r="J752" s="3" t="s">
        <v>82</v>
      </c>
      <c r="K752" s="3" t="s">
        <v>2217</v>
      </c>
      <c r="L752" s="3" t="s">
        <v>2234</v>
      </c>
      <c r="M752" s="3" t="s">
        <v>453</v>
      </c>
      <c r="S752" s="9"/>
      <c r="U752" s="3"/>
      <c r="V752" s="3"/>
      <c r="AC752" s="3" t="s">
        <v>332</v>
      </c>
      <c r="AL752" s="9" t="str">
        <f t="array" ref="AL752">"[" &amp; TEXTJOIN(", ", TRUE, IF(LEN(AM752:AQ752), CHAR(34)&amp;AM752:AQ752&amp;CHAR(34), )) &amp; "]"
</f>
        <v>["Climate change &amp; severe weather"]</v>
      </c>
      <c r="AM752" s="3" t="s">
        <v>118</v>
      </c>
      <c r="AN752" s="3"/>
      <c r="AO752" s="3"/>
      <c r="AP752" s="3"/>
      <c r="AQ752" s="3"/>
      <c r="AR752" s="3" t="s">
        <v>118</v>
      </c>
      <c r="AW752" s="8" t="s">
        <v>2709</v>
      </c>
    </row>
    <row r="753">
      <c r="A753" s="3">
        <v>460.0</v>
      </c>
      <c r="B753" s="3" t="s">
        <v>40</v>
      </c>
      <c r="C753" s="3" t="s">
        <v>1048</v>
      </c>
      <c r="D753" s="3">
        <v>2017.0</v>
      </c>
      <c r="E753" s="3" t="s">
        <v>1049</v>
      </c>
      <c r="F753" s="3" t="s">
        <v>129</v>
      </c>
      <c r="G753" s="3" t="s">
        <v>2600</v>
      </c>
      <c r="H753" s="3" t="s">
        <v>82</v>
      </c>
      <c r="I753" s="3" t="s">
        <v>2147</v>
      </c>
      <c r="J753" s="3" t="s">
        <v>82</v>
      </c>
      <c r="K753" s="3" t="s">
        <v>2217</v>
      </c>
      <c r="L753" s="3" t="s">
        <v>2700</v>
      </c>
      <c r="M753" s="3" t="s">
        <v>866</v>
      </c>
      <c r="S753" s="9" t="str">
        <f t="array" ref="S753">"[" &amp; TEXTJOIN(", ", TRUE, IF(LEN(T753:AB753), CHAR(34)&amp;T753:AB753&amp;CHAR(34), )) &amp; "]"
</f>
        <v>["Recreational activities"]</v>
      </c>
      <c r="T753" s="3" t="s">
        <v>162</v>
      </c>
      <c r="U753" s="3"/>
      <c r="V753" s="3"/>
      <c r="AC753" s="3" t="s">
        <v>162</v>
      </c>
      <c r="AL753" s="9" t="str">
        <f t="array" ref="AL753">"[" &amp; TEXTJOIN(", ", TRUE, IF(LEN(AM753:AQ753), CHAR(34)&amp;AM753:AQ753&amp;CHAR(34), )) &amp; "]"
</f>
        <v>["Human intrusions &amp; disturbance"]</v>
      </c>
      <c r="AM753" s="3" t="s">
        <v>121</v>
      </c>
      <c r="AN753" s="3"/>
      <c r="AO753" s="3"/>
      <c r="AP753" s="3"/>
      <c r="AQ753" s="3"/>
      <c r="AR753" s="3" t="s">
        <v>121</v>
      </c>
      <c r="AW753" s="8" t="s">
        <v>2710</v>
      </c>
    </row>
    <row r="754">
      <c r="A754" s="3">
        <v>461.0</v>
      </c>
      <c r="B754" s="3" t="s">
        <v>40</v>
      </c>
      <c r="C754" s="3" t="s">
        <v>1050</v>
      </c>
      <c r="D754" s="3">
        <v>2019.0</v>
      </c>
      <c r="E754" s="3" t="s">
        <v>1051</v>
      </c>
      <c r="F754" s="3" t="s">
        <v>129</v>
      </c>
      <c r="G754" s="3" t="s">
        <v>2600</v>
      </c>
      <c r="H754" s="3" t="s">
        <v>82</v>
      </c>
      <c r="I754" s="3" t="s">
        <v>2147</v>
      </c>
      <c r="J754" s="3" t="s">
        <v>82</v>
      </c>
      <c r="K754" s="3" t="s">
        <v>2217</v>
      </c>
      <c r="L754" s="3" t="s">
        <v>2218</v>
      </c>
      <c r="M754" s="3" t="s">
        <v>254</v>
      </c>
      <c r="S754" s="9" t="str">
        <f t="array" ref="S754">"[" &amp; TEXTJOIN(", ", TRUE, IF(LEN(T754:AB754), CHAR(34)&amp;T754:AB754&amp;CHAR(34), )) &amp; "]"
</f>
        <v>["Recreational activities"]</v>
      </c>
      <c r="T754" s="3" t="s">
        <v>162</v>
      </c>
      <c r="U754" s="3"/>
      <c r="V754" s="3"/>
      <c r="AC754" s="3" t="s">
        <v>162</v>
      </c>
      <c r="AL754" s="9" t="str">
        <f t="array" ref="AL754">"[" &amp; TEXTJOIN(", ", TRUE, IF(LEN(AM754:AQ754), CHAR(34)&amp;AM754:AQ754&amp;CHAR(34), )) &amp; "]"
</f>
        <v>["Human intrusions &amp; disturbance"]</v>
      </c>
      <c r="AM754" s="3" t="s">
        <v>121</v>
      </c>
      <c r="AN754" s="3"/>
      <c r="AO754" s="3"/>
      <c r="AP754" s="3"/>
      <c r="AQ754" s="3"/>
      <c r="AR754" s="3" t="s">
        <v>121</v>
      </c>
      <c r="AW754" s="8" t="s">
        <v>2711</v>
      </c>
    </row>
    <row r="755" hidden="1">
      <c r="A755" s="3">
        <v>231.0</v>
      </c>
      <c r="B755" s="3" t="s">
        <v>106</v>
      </c>
      <c r="D755" s="3">
        <v>2004.0</v>
      </c>
      <c r="E755" s="3" t="s">
        <v>627</v>
      </c>
      <c r="F755" s="3" t="s">
        <v>129</v>
      </c>
      <c r="G755" s="3"/>
      <c r="H755" s="3" t="s">
        <v>82</v>
      </c>
      <c r="I755" s="3"/>
      <c r="K755" s="3"/>
      <c r="L755" s="3"/>
      <c r="M755" s="3" t="s">
        <v>453</v>
      </c>
      <c r="S755" s="3"/>
      <c r="T755" s="3"/>
      <c r="U755" s="3"/>
      <c r="V755" s="3"/>
      <c r="W755" s="3"/>
      <c r="X755" s="3"/>
      <c r="AC755" s="3" t="s">
        <v>61</v>
      </c>
      <c r="AF755" s="3" t="s">
        <v>63</v>
      </c>
      <c r="AL755" s="3"/>
      <c r="AM755" s="3"/>
      <c r="AN755" s="3"/>
      <c r="AO755" s="3"/>
      <c r="AP755" s="3"/>
      <c r="AQ755" s="3"/>
      <c r="AR755" s="3" t="s">
        <v>52</v>
      </c>
      <c r="AS755" s="3" t="s">
        <v>65</v>
      </c>
      <c r="AW755" s="8" t="s">
        <v>2135</v>
      </c>
    </row>
    <row r="756" hidden="1">
      <c r="A756" s="3">
        <v>234.0</v>
      </c>
      <c r="B756" s="3" t="s">
        <v>55</v>
      </c>
      <c r="D756" s="3">
        <v>1992.0</v>
      </c>
      <c r="E756" s="3" t="s">
        <v>632</v>
      </c>
      <c r="F756" s="3" t="s">
        <v>129</v>
      </c>
      <c r="G756" s="3"/>
      <c r="H756" s="3" t="s">
        <v>82</v>
      </c>
      <c r="I756" s="3"/>
      <c r="J756" s="3" t="s">
        <v>82</v>
      </c>
      <c r="K756" s="3"/>
      <c r="L756" s="3"/>
      <c r="M756" s="3" t="s">
        <v>83</v>
      </c>
      <c r="S756" s="3"/>
      <c r="T756" s="3"/>
      <c r="U756" s="3"/>
      <c r="V756" s="3"/>
      <c r="W756" s="3"/>
      <c r="X756" s="3"/>
      <c r="AC756" s="3" t="s">
        <v>61</v>
      </c>
      <c r="AF756" s="3" t="s">
        <v>63</v>
      </c>
      <c r="AL756" s="3"/>
      <c r="AM756" s="3"/>
      <c r="AN756" s="3"/>
      <c r="AO756" s="3"/>
      <c r="AP756" s="3"/>
      <c r="AQ756" s="3"/>
      <c r="AR756" s="3" t="s">
        <v>52</v>
      </c>
      <c r="AS756" s="3" t="s">
        <v>65</v>
      </c>
      <c r="AW756" s="8" t="s">
        <v>2135</v>
      </c>
    </row>
    <row r="757">
      <c r="A757" s="3">
        <v>520.0</v>
      </c>
      <c r="B757" s="3" t="s">
        <v>40</v>
      </c>
      <c r="C757" s="3" t="s">
        <v>1163</v>
      </c>
      <c r="D757" s="3">
        <v>2006.0</v>
      </c>
      <c r="E757" s="3" t="s">
        <v>1164</v>
      </c>
      <c r="F757" s="3" t="s">
        <v>129</v>
      </c>
      <c r="G757" s="3" t="s">
        <v>2600</v>
      </c>
      <c r="H757" s="3" t="s">
        <v>82</v>
      </c>
      <c r="I757" s="3" t="s">
        <v>2147</v>
      </c>
      <c r="J757" s="3" t="s">
        <v>82</v>
      </c>
      <c r="K757" s="3" t="s">
        <v>2217</v>
      </c>
      <c r="L757" s="3" t="s">
        <v>2234</v>
      </c>
      <c r="M757" s="3" t="s">
        <v>453</v>
      </c>
      <c r="S757" s="9" t="str">
        <f t="array" ref="S757">"[" &amp; TEXTJOIN(", ", TRUE, IF(LEN(T757:AB757), CHAR(34)&amp;T757:AB757&amp;CHAR(34), )) &amp; "]"
</f>
        <v>["Invasive non-native/alien species/diseases"]</v>
      </c>
      <c r="T757" s="3" t="s">
        <v>50</v>
      </c>
      <c r="U757" s="3"/>
      <c r="V757" s="3"/>
      <c r="AC757" s="3" t="s">
        <v>50</v>
      </c>
      <c r="AL757" s="9" t="str">
        <f t="array" ref="AL757">"[" &amp; TEXTJOIN(", ", TRUE, IF(LEN(AM757:AQ757), CHAR(34)&amp;AM757:AQ757&amp;CHAR(34), )) &amp; "]"
</f>
        <v>["Invasive &amp; other problematic species, genes &amp; diseases"]</v>
      </c>
      <c r="AM757" s="3" t="s">
        <v>54</v>
      </c>
      <c r="AN757" s="3"/>
      <c r="AO757" s="3"/>
      <c r="AP757" s="3"/>
      <c r="AQ757" s="3"/>
      <c r="AR757" s="3" t="s">
        <v>54</v>
      </c>
      <c r="AW757" s="8" t="s">
        <v>2712</v>
      </c>
    </row>
    <row r="758">
      <c r="A758" s="3">
        <v>486.0</v>
      </c>
      <c r="B758" s="3" t="s">
        <v>40</v>
      </c>
      <c r="C758" s="3" t="s">
        <v>1096</v>
      </c>
      <c r="D758" s="3">
        <v>2011.0</v>
      </c>
      <c r="E758" s="3" t="s">
        <v>1097</v>
      </c>
      <c r="F758" s="3" t="s">
        <v>129</v>
      </c>
      <c r="G758" s="3" t="s">
        <v>2600</v>
      </c>
      <c r="H758" s="3" t="s">
        <v>82</v>
      </c>
      <c r="I758" s="3" t="s">
        <v>2147</v>
      </c>
      <c r="J758" s="3" t="s">
        <v>82</v>
      </c>
      <c r="K758" s="3" t="s">
        <v>2217</v>
      </c>
      <c r="L758" s="3" t="s">
        <v>2601</v>
      </c>
      <c r="M758" s="3" t="s">
        <v>130</v>
      </c>
      <c r="S758" s="9" t="str">
        <f t="array" ref="S758">"[" &amp; TEXTJOIN(", ", TRUE, IF(LEN(T758:AB758), CHAR(34)&amp;T758:AB758&amp;CHAR(34), )) &amp; "]"
</f>
        <v>["Problematic native species/diseases"]</v>
      </c>
      <c r="T758" s="3" t="s">
        <v>244</v>
      </c>
      <c r="U758" s="3"/>
      <c r="V758" s="3"/>
      <c r="AC758" s="3" t="s">
        <v>244</v>
      </c>
      <c r="AL758" s="9" t="str">
        <f t="array" ref="AL758">"[" &amp; TEXTJOIN(", ", TRUE, IF(LEN(AM758:AQ758), CHAR(34)&amp;AM758:AQ758&amp;CHAR(34), )) &amp; "]"
</f>
        <v>["Invasive &amp; other problematic species, genes &amp; diseases"]</v>
      </c>
      <c r="AM758" s="3" t="s">
        <v>54</v>
      </c>
      <c r="AO758" s="3"/>
      <c r="AP758" s="3"/>
      <c r="AQ758" s="3"/>
      <c r="AR758" s="3" t="s">
        <v>54</v>
      </c>
      <c r="AS758" s="3" t="s">
        <v>78</v>
      </c>
      <c r="AW758" s="8" t="s">
        <v>2713</v>
      </c>
    </row>
    <row r="759">
      <c r="A759" s="3">
        <v>487.0</v>
      </c>
      <c r="B759" s="3" t="s">
        <v>40</v>
      </c>
      <c r="C759" s="3" t="s">
        <v>1098</v>
      </c>
      <c r="D759" s="3">
        <v>2014.0</v>
      </c>
      <c r="E759" s="3" t="s">
        <v>1099</v>
      </c>
      <c r="F759" s="3" t="s">
        <v>129</v>
      </c>
      <c r="G759" s="3" t="s">
        <v>2600</v>
      </c>
      <c r="H759" s="3" t="s">
        <v>82</v>
      </c>
      <c r="I759" s="3" t="s">
        <v>2147</v>
      </c>
      <c r="J759" s="3" t="s">
        <v>82</v>
      </c>
      <c r="K759" s="3" t="s">
        <v>2217</v>
      </c>
      <c r="L759" s="3" t="s">
        <v>2601</v>
      </c>
      <c r="M759" s="3" t="s">
        <v>130</v>
      </c>
      <c r="S759" s="9" t="str">
        <f t="array" ref="S759">"[" &amp; TEXTJOIN(", ", TRUE, IF(LEN(T759:AB759), CHAR(34)&amp;T759:AB759&amp;CHAR(34), )) &amp; "]"
</f>
        <v>["Problematic native species/diseases"]</v>
      </c>
      <c r="T759" s="3" t="s">
        <v>244</v>
      </c>
      <c r="U759" s="3"/>
      <c r="V759" s="3"/>
      <c r="AC759" s="3" t="s">
        <v>244</v>
      </c>
      <c r="AL759" s="9" t="str">
        <f t="array" ref="AL759">"[" &amp; TEXTJOIN(", ", TRUE, IF(LEN(AM759:AQ759), CHAR(34)&amp;AM759:AQ759&amp;CHAR(34), )) &amp; "]"
</f>
        <v>["Invasive &amp; other problematic species, genes &amp; diseases"]</v>
      </c>
      <c r="AM759" s="3" t="s">
        <v>54</v>
      </c>
      <c r="AO759" s="3"/>
      <c r="AP759" s="3"/>
      <c r="AQ759" s="3"/>
      <c r="AR759" s="3" t="s">
        <v>54</v>
      </c>
      <c r="AS759" s="3" t="s">
        <v>78</v>
      </c>
      <c r="AW759" s="8" t="s">
        <v>2714</v>
      </c>
    </row>
    <row r="760">
      <c r="A760" s="3">
        <v>500.0</v>
      </c>
      <c r="B760" s="3" t="s">
        <v>40</v>
      </c>
      <c r="C760" s="3" t="s">
        <v>1124</v>
      </c>
      <c r="D760" s="3">
        <v>1994.0</v>
      </c>
      <c r="E760" s="3" t="s">
        <v>1125</v>
      </c>
      <c r="F760" s="3" t="s">
        <v>129</v>
      </c>
      <c r="G760" s="3" t="s">
        <v>2600</v>
      </c>
      <c r="H760" s="3" t="s">
        <v>82</v>
      </c>
      <c r="I760" s="3" t="s">
        <v>2147</v>
      </c>
      <c r="J760" s="3" t="s">
        <v>82</v>
      </c>
      <c r="K760" s="3" t="s">
        <v>2217</v>
      </c>
      <c r="L760" s="3" t="s">
        <v>2601</v>
      </c>
      <c r="M760" s="3" t="s">
        <v>130</v>
      </c>
      <c r="S760" s="9" t="str">
        <f t="array" ref="S760">"[" &amp; TEXTJOIN(", ", TRUE, IF(LEN(T760:AB760), CHAR(34)&amp;T760:AB760&amp;CHAR(34), )) &amp; "]"
</f>
        <v>["Problematic native species/diseases"]</v>
      </c>
      <c r="T760" s="3" t="s">
        <v>244</v>
      </c>
      <c r="U760" s="3"/>
      <c r="V760" s="3"/>
      <c r="AC760" s="3" t="s">
        <v>244</v>
      </c>
      <c r="AL760" s="9" t="str">
        <f t="array" ref="AL760">"[" &amp; TEXTJOIN(", ", TRUE, IF(LEN(AM760:AQ760), CHAR(34)&amp;AM760:AQ760&amp;CHAR(34), )) &amp; "]"
</f>
        <v>["Invasive &amp; other problematic species, genes &amp; diseases"]</v>
      </c>
      <c r="AM760" s="3" t="s">
        <v>54</v>
      </c>
      <c r="AN760" s="3"/>
      <c r="AO760" s="3"/>
      <c r="AP760" s="3"/>
      <c r="AQ760" s="3"/>
      <c r="AR760" s="3" t="s">
        <v>54</v>
      </c>
      <c r="AW760" s="8" t="s">
        <v>2715</v>
      </c>
    </row>
    <row r="761">
      <c r="A761" s="3">
        <v>513.0</v>
      </c>
      <c r="B761" s="3" t="s">
        <v>40</v>
      </c>
      <c r="C761" s="3" t="s">
        <v>1149</v>
      </c>
      <c r="D761" s="3">
        <v>2003.0</v>
      </c>
      <c r="E761" s="3" t="s">
        <v>1150</v>
      </c>
      <c r="F761" s="3" t="s">
        <v>129</v>
      </c>
      <c r="G761" s="3" t="s">
        <v>2600</v>
      </c>
      <c r="H761" s="3" t="s">
        <v>82</v>
      </c>
      <c r="I761" s="3" t="s">
        <v>2147</v>
      </c>
      <c r="J761" s="3" t="s">
        <v>82</v>
      </c>
      <c r="K761" s="3" t="s">
        <v>2217</v>
      </c>
      <c r="L761" s="3" t="s">
        <v>2601</v>
      </c>
      <c r="M761" s="3" t="s">
        <v>130</v>
      </c>
      <c r="S761" s="9" t="str">
        <f t="array" ref="S761">"[" &amp; TEXTJOIN(", ", TRUE, IF(LEN(T761:AB761), CHAR(34)&amp;T761:AB761&amp;CHAR(34), )) &amp; "]"
</f>
        <v>["Problematic native species/diseases"]</v>
      </c>
      <c r="T761" s="3" t="s">
        <v>244</v>
      </c>
      <c r="U761" s="3"/>
      <c r="V761" s="3"/>
      <c r="AC761" s="3" t="s">
        <v>244</v>
      </c>
      <c r="AL761" s="9" t="str">
        <f t="array" ref="AL761">"[" &amp; TEXTJOIN(", ", TRUE, IF(LEN(AM761:AQ761), CHAR(34)&amp;AM761:AQ761&amp;CHAR(34), )) &amp; "]"
</f>
        <v>["Invasive &amp; other problematic species, genes &amp; diseases"]</v>
      </c>
      <c r="AM761" s="3" t="s">
        <v>54</v>
      </c>
      <c r="AN761" s="3"/>
      <c r="AO761" s="3"/>
      <c r="AP761" s="3"/>
      <c r="AQ761" s="3"/>
      <c r="AR761" s="3" t="s">
        <v>54</v>
      </c>
      <c r="AW761" s="8" t="s">
        <v>2716</v>
      </c>
    </row>
    <row r="762">
      <c r="A762" s="3">
        <v>529.0</v>
      </c>
      <c r="B762" s="3" t="s">
        <v>40</v>
      </c>
      <c r="C762" s="3" t="s">
        <v>1181</v>
      </c>
      <c r="D762" s="3">
        <v>2008.0</v>
      </c>
      <c r="E762" s="3" t="s">
        <v>1182</v>
      </c>
      <c r="F762" s="3" t="s">
        <v>129</v>
      </c>
      <c r="G762" s="3" t="s">
        <v>2600</v>
      </c>
      <c r="H762" s="3" t="s">
        <v>82</v>
      </c>
      <c r="I762" s="3" t="s">
        <v>2147</v>
      </c>
      <c r="J762" s="3" t="s">
        <v>82</v>
      </c>
      <c r="K762" s="3" t="s">
        <v>2217</v>
      </c>
      <c r="L762" s="3" t="s">
        <v>2601</v>
      </c>
      <c r="M762" s="3" t="s">
        <v>130</v>
      </c>
      <c r="S762" s="9" t="str">
        <f t="array" ref="S762">"[" &amp; TEXTJOIN(", ", TRUE, IF(LEN(T762:AB762), CHAR(34)&amp;T762:AB762&amp;CHAR(34), )) &amp; "]"
</f>
        <v>["Problematic native species/diseases"]</v>
      </c>
      <c r="T762" s="3" t="s">
        <v>244</v>
      </c>
      <c r="U762" s="3"/>
      <c r="V762" s="3"/>
      <c r="AC762" s="3" t="s">
        <v>244</v>
      </c>
      <c r="AL762" s="9" t="str">
        <f t="array" ref="AL762">"[" &amp; TEXTJOIN(", ", TRUE, IF(LEN(AM762:AQ762), CHAR(34)&amp;AM762:AQ762&amp;CHAR(34), )) &amp; "]"
</f>
        <v>["Invasive &amp; other problematic species, genes &amp; diseases"]</v>
      </c>
      <c r="AM762" s="3" t="s">
        <v>54</v>
      </c>
      <c r="AN762" s="3"/>
      <c r="AO762" s="3"/>
      <c r="AP762" s="3"/>
      <c r="AQ762" s="3"/>
      <c r="AR762" s="3" t="s">
        <v>54</v>
      </c>
      <c r="AW762" s="8" t="s">
        <v>2717</v>
      </c>
    </row>
    <row r="763">
      <c r="A763" s="3">
        <v>541.0</v>
      </c>
      <c r="B763" s="3" t="s">
        <v>40</v>
      </c>
      <c r="C763" s="3" t="s">
        <v>1205</v>
      </c>
      <c r="D763" s="3">
        <v>2010.0</v>
      </c>
      <c r="E763" s="3" t="s">
        <v>1206</v>
      </c>
      <c r="F763" s="3" t="s">
        <v>129</v>
      </c>
      <c r="G763" s="3" t="s">
        <v>2600</v>
      </c>
      <c r="H763" s="3" t="s">
        <v>82</v>
      </c>
      <c r="I763" s="3" t="s">
        <v>2147</v>
      </c>
      <c r="J763" s="3" t="s">
        <v>82</v>
      </c>
      <c r="K763" s="3" t="s">
        <v>2217</v>
      </c>
      <c r="L763" s="3" t="s">
        <v>2601</v>
      </c>
      <c r="M763" s="3" t="s">
        <v>130</v>
      </c>
      <c r="S763" s="9" t="str">
        <f t="array" ref="S763">"[" &amp; TEXTJOIN(", ", TRUE, IF(LEN(T763:AB763), CHAR(34)&amp;T763:AB763&amp;CHAR(34), )) &amp; "]"
</f>
        <v>["Problematic native species/diseases"]</v>
      </c>
      <c r="T763" s="3" t="s">
        <v>244</v>
      </c>
      <c r="U763" s="3"/>
      <c r="V763" s="3"/>
      <c r="AC763" s="3" t="s">
        <v>244</v>
      </c>
      <c r="AL763" s="9" t="str">
        <f t="array" ref="AL763">"[" &amp; TEXTJOIN(", ", TRUE, IF(LEN(AM763:AQ763), CHAR(34)&amp;AM763:AQ763&amp;CHAR(34), )) &amp; "]"
</f>
        <v>["Invasive &amp; other problematic species, genes &amp; diseases"]</v>
      </c>
      <c r="AM763" s="3" t="s">
        <v>54</v>
      </c>
      <c r="AN763" s="3"/>
      <c r="AO763" s="3"/>
      <c r="AP763" s="3"/>
      <c r="AQ763" s="3"/>
      <c r="AR763" s="3" t="s">
        <v>54</v>
      </c>
      <c r="AW763" s="8" t="s">
        <v>2718</v>
      </c>
    </row>
    <row r="764">
      <c r="A764" s="3">
        <v>546.0</v>
      </c>
      <c r="B764" s="3" t="s">
        <v>40</v>
      </c>
      <c r="C764" s="3" t="s">
        <v>1215</v>
      </c>
      <c r="D764" s="3">
        <v>2011.0</v>
      </c>
      <c r="E764" s="3" t="s">
        <v>1216</v>
      </c>
      <c r="F764" s="3" t="s">
        <v>129</v>
      </c>
      <c r="G764" s="3" t="s">
        <v>2600</v>
      </c>
      <c r="H764" s="3" t="s">
        <v>82</v>
      </c>
      <c r="I764" s="3" t="s">
        <v>2147</v>
      </c>
      <c r="J764" s="3" t="s">
        <v>82</v>
      </c>
      <c r="K764" s="3" t="s">
        <v>2217</v>
      </c>
      <c r="L764" s="3" t="s">
        <v>2224</v>
      </c>
      <c r="M764" s="3" t="s">
        <v>314</v>
      </c>
      <c r="S764" s="9" t="str">
        <f t="array" ref="S764">"[" &amp; TEXTJOIN(", ", TRUE, IF(LEN(T764:AB764), CHAR(34)&amp;T764:AB764&amp;CHAR(34), )) &amp; "]"
</f>
        <v>["Problematic native species/diseases"]</v>
      </c>
      <c r="T764" s="3" t="s">
        <v>244</v>
      </c>
      <c r="U764" s="3"/>
      <c r="V764" s="3"/>
      <c r="AC764" s="3" t="s">
        <v>244</v>
      </c>
      <c r="AL764" s="9" t="str">
        <f t="array" ref="AL764">"[" &amp; TEXTJOIN(", ", TRUE, IF(LEN(AM764:AQ764), CHAR(34)&amp;AM764:AQ764&amp;CHAR(34), )) &amp; "]"
</f>
        <v>["Invasive &amp; other problematic species, genes &amp; diseases"]</v>
      </c>
      <c r="AM764" s="3" t="s">
        <v>54</v>
      </c>
      <c r="AN764" s="3"/>
      <c r="AO764" s="3"/>
      <c r="AP764" s="3"/>
      <c r="AQ764" s="3"/>
      <c r="AR764" s="3" t="s">
        <v>54</v>
      </c>
      <c r="AW764" s="8" t="s">
        <v>2719</v>
      </c>
    </row>
    <row r="765">
      <c r="A765" s="3">
        <v>553.0</v>
      </c>
      <c r="B765" s="3" t="s">
        <v>40</v>
      </c>
      <c r="C765" s="3" t="s">
        <v>1230</v>
      </c>
      <c r="D765" s="3">
        <v>2012.0</v>
      </c>
      <c r="E765" s="3" t="s">
        <v>1231</v>
      </c>
      <c r="F765" s="3" t="s">
        <v>129</v>
      </c>
      <c r="G765" s="3" t="s">
        <v>2600</v>
      </c>
      <c r="H765" s="3" t="s">
        <v>82</v>
      </c>
      <c r="I765" s="3" t="s">
        <v>2147</v>
      </c>
      <c r="J765" s="3" t="s">
        <v>82</v>
      </c>
      <c r="K765" s="3" t="s">
        <v>2217</v>
      </c>
      <c r="L765" s="3" t="s">
        <v>2601</v>
      </c>
      <c r="M765" s="3" t="s">
        <v>130</v>
      </c>
      <c r="S765" s="9" t="str">
        <f t="array" ref="S765">"[" &amp; TEXTJOIN(", ", TRUE, IF(LEN(T765:AB765), CHAR(34)&amp;T765:AB765&amp;CHAR(34), )) &amp; "]"
</f>
        <v>["Problematic native species/diseases"]</v>
      </c>
      <c r="T765" s="3" t="s">
        <v>244</v>
      </c>
      <c r="U765" s="3"/>
      <c r="V765" s="3"/>
      <c r="AC765" s="3" t="s">
        <v>244</v>
      </c>
      <c r="AL765" s="9" t="str">
        <f t="array" ref="AL765">"[" &amp; TEXTJOIN(", ", TRUE, IF(LEN(AM765:AQ765), CHAR(34)&amp;AM765:AQ765&amp;CHAR(34), )) &amp; "]"
</f>
        <v>["Invasive &amp; other problematic species, genes &amp; diseases"]</v>
      </c>
      <c r="AM765" s="3" t="s">
        <v>54</v>
      </c>
      <c r="AN765" s="3"/>
      <c r="AO765" s="3"/>
      <c r="AP765" s="3"/>
      <c r="AQ765" s="3"/>
      <c r="AR765" s="3" t="s">
        <v>54</v>
      </c>
      <c r="AW765" s="8" t="s">
        <v>2720</v>
      </c>
    </row>
    <row r="766">
      <c r="A766" s="3">
        <v>558.0</v>
      </c>
      <c r="B766" s="3" t="s">
        <v>40</v>
      </c>
      <c r="C766" s="3" t="s">
        <v>1240</v>
      </c>
      <c r="D766" s="3">
        <v>2013.0</v>
      </c>
      <c r="E766" s="3" t="s">
        <v>1241</v>
      </c>
      <c r="F766" s="3" t="s">
        <v>129</v>
      </c>
      <c r="G766" s="3" t="s">
        <v>2600</v>
      </c>
      <c r="H766" s="3" t="s">
        <v>82</v>
      </c>
      <c r="I766" s="3" t="s">
        <v>2147</v>
      </c>
      <c r="J766" s="3" t="s">
        <v>82</v>
      </c>
      <c r="K766" s="3" t="s">
        <v>2217</v>
      </c>
      <c r="L766" s="3" t="s">
        <v>2601</v>
      </c>
      <c r="M766" s="3" t="s">
        <v>130</v>
      </c>
      <c r="S766" s="9" t="str">
        <f t="array" ref="S766">"[" &amp; TEXTJOIN(", ", TRUE, IF(LEN(T766:AB766), CHAR(34)&amp;T766:AB766&amp;CHAR(34), )) &amp; "]"
</f>
        <v>["Problematic native species/diseases"]</v>
      </c>
      <c r="T766" s="3" t="s">
        <v>244</v>
      </c>
      <c r="U766" s="3"/>
      <c r="V766" s="3"/>
      <c r="AC766" s="3" t="s">
        <v>244</v>
      </c>
      <c r="AL766" s="9" t="str">
        <f t="array" ref="AL766">"[" &amp; TEXTJOIN(", ", TRUE, IF(LEN(AM766:AQ766), CHAR(34)&amp;AM766:AQ766&amp;CHAR(34), )) &amp; "]"
</f>
        <v>["Invasive &amp; other problematic species, genes &amp; diseases"]</v>
      </c>
      <c r="AM766" s="3" t="s">
        <v>54</v>
      </c>
      <c r="AN766" s="3"/>
      <c r="AO766" s="3"/>
      <c r="AP766" s="3"/>
      <c r="AQ766" s="3"/>
      <c r="AR766" s="3" t="s">
        <v>54</v>
      </c>
      <c r="AW766" s="8" t="s">
        <v>2721</v>
      </c>
    </row>
    <row r="767">
      <c r="A767" s="3">
        <v>566.0</v>
      </c>
      <c r="B767" s="3" t="s">
        <v>40</v>
      </c>
      <c r="C767" s="3" t="s">
        <v>1256</v>
      </c>
      <c r="D767" s="3">
        <v>2014.0</v>
      </c>
      <c r="E767" s="3" t="s">
        <v>1257</v>
      </c>
      <c r="F767" s="3" t="s">
        <v>129</v>
      </c>
      <c r="G767" s="3" t="s">
        <v>2600</v>
      </c>
      <c r="H767" s="3" t="s">
        <v>82</v>
      </c>
      <c r="I767" s="3" t="s">
        <v>2147</v>
      </c>
      <c r="J767" s="3" t="s">
        <v>82</v>
      </c>
      <c r="K767" s="3" t="s">
        <v>2217</v>
      </c>
      <c r="L767" s="3" t="s">
        <v>2234</v>
      </c>
      <c r="M767" s="3" t="s">
        <v>453</v>
      </c>
      <c r="S767" s="9" t="str">
        <f t="array" ref="S767">"[" &amp; TEXTJOIN(", ", TRUE, IF(LEN(T767:AB767), CHAR(34)&amp;T767:AB767&amp;CHAR(34), )) &amp; "]"
</f>
        <v>["Problematic native species/diseases"]</v>
      </c>
      <c r="T767" s="3" t="s">
        <v>244</v>
      </c>
      <c r="U767" s="3"/>
      <c r="V767" s="3"/>
      <c r="AC767" s="3" t="s">
        <v>244</v>
      </c>
      <c r="AL767" s="9" t="str">
        <f t="array" ref="AL767">"[" &amp; TEXTJOIN(", ", TRUE, IF(LEN(AM767:AQ767), CHAR(34)&amp;AM767:AQ767&amp;CHAR(34), )) &amp; "]"
</f>
        <v>["Invasive &amp; other problematic species, genes &amp; diseases"]</v>
      </c>
      <c r="AM767" s="3" t="s">
        <v>54</v>
      </c>
      <c r="AN767" s="3"/>
      <c r="AO767" s="3"/>
      <c r="AP767" s="3"/>
      <c r="AQ767" s="3"/>
      <c r="AR767" s="3" t="s">
        <v>54</v>
      </c>
      <c r="AW767" s="8" t="s">
        <v>2722</v>
      </c>
    </row>
    <row r="768">
      <c r="A768" s="3">
        <v>584.0</v>
      </c>
      <c r="B768" s="3" t="s">
        <v>40</v>
      </c>
      <c r="C768" s="3" t="s">
        <v>1293</v>
      </c>
      <c r="D768" s="3">
        <v>2017.0</v>
      </c>
      <c r="E768" s="3" t="s">
        <v>1294</v>
      </c>
      <c r="F768" s="3" t="s">
        <v>129</v>
      </c>
      <c r="G768" s="3" t="s">
        <v>2600</v>
      </c>
      <c r="H768" s="3" t="s">
        <v>82</v>
      </c>
      <c r="I768" s="3" t="s">
        <v>2147</v>
      </c>
      <c r="J768" s="3" t="s">
        <v>82</v>
      </c>
      <c r="K768" s="3" t="s">
        <v>2217</v>
      </c>
      <c r="L768" s="3" t="s">
        <v>2601</v>
      </c>
      <c r="M768" s="3" t="s">
        <v>130</v>
      </c>
      <c r="S768" s="9" t="str">
        <f t="array" ref="S768">"[" &amp; TEXTJOIN(", ", TRUE, IF(LEN(T768:AB768), CHAR(34)&amp;T768:AB768&amp;CHAR(34), )) &amp; "]"
</f>
        <v>["Problematic native species/diseases"]</v>
      </c>
      <c r="T768" s="3" t="s">
        <v>244</v>
      </c>
      <c r="U768" s="3"/>
      <c r="V768" s="3"/>
      <c r="AC768" s="3" t="s">
        <v>244</v>
      </c>
      <c r="AL768" s="9" t="str">
        <f t="array" ref="AL768">"[" &amp; TEXTJOIN(", ", TRUE, IF(LEN(AM768:AQ768), CHAR(34)&amp;AM768:AQ768&amp;CHAR(34), )) &amp; "]"
</f>
        <v>["Invasive &amp; other problematic species, genes &amp; diseases"]</v>
      </c>
      <c r="AM768" s="3" t="s">
        <v>54</v>
      </c>
      <c r="AN768" s="3"/>
      <c r="AO768" s="3"/>
      <c r="AP768" s="3"/>
      <c r="AQ768" s="3"/>
      <c r="AR768" s="3" t="s">
        <v>54</v>
      </c>
      <c r="AW768" s="8" t="s">
        <v>2723</v>
      </c>
    </row>
    <row r="769">
      <c r="A769" s="3">
        <v>585.0</v>
      </c>
      <c r="B769" s="3" t="s">
        <v>40</v>
      </c>
      <c r="C769" s="3" t="s">
        <v>1295</v>
      </c>
      <c r="D769" s="3">
        <v>2017.0</v>
      </c>
      <c r="E769" s="3" t="s">
        <v>1296</v>
      </c>
      <c r="F769" s="3" t="s">
        <v>129</v>
      </c>
      <c r="G769" s="3" t="s">
        <v>2600</v>
      </c>
      <c r="H769" s="3" t="s">
        <v>82</v>
      </c>
      <c r="I769" s="3" t="s">
        <v>2147</v>
      </c>
      <c r="J769" s="3" t="s">
        <v>82</v>
      </c>
      <c r="K769" s="3" t="s">
        <v>2217</v>
      </c>
      <c r="L769" s="3" t="s">
        <v>2601</v>
      </c>
      <c r="M769" s="3" t="s">
        <v>130</v>
      </c>
      <c r="S769" s="9" t="str">
        <f t="array" ref="S769">"[" &amp; TEXTJOIN(", ", TRUE, IF(LEN(T769:AB769), CHAR(34)&amp;T769:AB769&amp;CHAR(34), )) &amp; "]"
</f>
        <v>["Problematic native species/diseases"]</v>
      </c>
      <c r="T769" s="3" t="s">
        <v>244</v>
      </c>
      <c r="U769" s="3"/>
      <c r="V769" s="3"/>
      <c r="AC769" s="3" t="s">
        <v>244</v>
      </c>
      <c r="AL769" s="9" t="str">
        <f t="array" ref="AL769">"[" &amp; TEXTJOIN(", ", TRUE, IF(LEN(AM769:AQ769), CHAR(34)&amp;AM769:AQ769&amp;CHAR(34), )) &amp; "]"
</f>
        <v>["Invasive &amp; other problematic species, genes &amp; diseases"]</v>
      </c>
      <c r="AM769" s="3" t="s">
        <v>54</v>
      </c>
      <c r="AN769" s="3"/>
      <c r="AO769" s="3"/>
      <c r="AP769" s="3"/>
      <c r="AQ769" s="3"/>
      <c r="AR769" s="3" t="s">
        <v>54</v>
      </c>
      <c r="AW769" s="8" t="s">
        <v>2724</v>
      </c>
    </row>
    <row r="770">
      <c r="A770" s="3">
        <v>586.0</v>
      </c>
      <c r="B770" s="3" t="s">
        <v>40</v>
      </c>
      <c r="C770" s="3" t="s">
        <v>1297</v>
      </c>
      <c r="D770" s="3">
        <v>2017.0</v>
      </c>
      <c r="E770" s="3" t="s">
        <v>1298</v>
      </c>
      <c r="F770" s="3" t="s">
        <v>129</v>
      </c>
      <c r="G770" s="3" t="s">
        <v>2600</v>
      </c>
      <c r="H770" s="3" t="s">
        <v>82</v>
      </c>
      <c r="I770" s="3" t="s">
        <v>2147</v>
      </c>
      <c r="J770" s="3" t="s">
        <v>82</v>
      </c>
      <c r="K770" s="3" t="s">
        <v>2217</v>
      </c>
      <c r="L770" s="3" t="s">
        <v>2601</v>
      </c>
      <c r="M770" s="3" t="s">
        <v>130</v>
      </c>
      <c r="S770" s="9" t="str">
        <f t="array" ref="S770">"[" &amp; TEXTJOIN(", ", TRUE, IF(LEN(T770:AB770), CHAR(34)&amp;T770:AB770&amp;CHAR(34), )) &amp; "]"
</f>
        <v>["Problematic native species/diseases"]</v>
      </c>
      <c r="T770" s="3" t="s">
        <v>244</v>
      </c>
      <c r="U770" s="3"/>
      <c r="V770" s="3"/>
      <c r="AC770" s="3" t="s">
        <v>244</v>
      </c>
      <c r="AL770" s="9" t="str">
        <f t="array" ref="AL770">"[" &amp; TEXTJOIN(", ", TRUE, IF(LEN(AM770:AQ770), CHAR(34)&amp;AM770:AQ770&amp;CHAR(34), )) &amp; "]"
</f>
        <v>["Invasive &amp; other problematic species, genes &amp; diseases"]</v>
      </c>
      <c r="AM770" s="3" t="s">
        <v>54</v>
      </c>
      <c r="AN770" s="3"/>
      <c r="AO770" s="3"/>
      <c r="AP770" s="3"/>
      <c r="AQ770" s="3"/>
      <c r="AR770" s="3" t="s">
        <v>54</v>
      </c>
      <c r="AW770" s="8" t="s">
        <v>2725</v>
      </c>
    </row>
    <row r="771">
      <c r="A771" s="3">
        <v>484.0</v>
      </c>
      <c r="B771" s="3" t="s">
        <v>40</v>
      </c>
      <c r="C771" s="3" t="s">
        <v>1092</v>
      </c>
      <c r="D771" s="3">
        <v>2003.0</v>
      </c>
      <c r="E771" s="3" t="s">
        <v>1093</v>
      </c>
      <c r="F771" s="3" t="s">
        <v>129</v>
      </c>
      <c r="G771" s="3" t="s">
        <v>2600</v>
      </c>
      <c r="H771" s="3" t="s">
        <v>82</v>
      </c>
      <c r="I771" s="3" t="s">
        <v>2147</v>
      </c>
      <c r="J771" s="3" t="s">
        <v>82</v>
      </c>
      <c r="K771" s="3" t="s">
        <v>2217</v>
      </c>
      <c r="L771" s="3" t="s">
        <v>2237</v>
      </c>
      <c r="M771" s="3" t="s">
        <v>384</v>
      </c>
      <c r="S771" s="9" t="str">
        <f t="array" ref="S771">"[" &amp; TEXTJOIN(", ", TRUE, IF(LEN(T771:AB771), CHAR(34)&amp;T771:AB771&amp;CHAR(34), )) &amp; "]"
</f>
        <v>["Viral/prion-induced diseases"]</v>
      </c>
      <c r="T771" s="3" t="s">
        <v>385</v>
      </c>
      <c r="U771" s="3"/>
      <c r="V771" s="3"/>
      <c r="AC771" s="3" t="s">
        <v>385</v>
      </c>
      <c r="AL771" s="9" t="str">
        <f t="array" ref="AL771">"[" &amp; TEXTJOIN(", ", TRUE, IF(LEN(AM771:AQ771), CHAR(34)&amp;AM771:AQ771&amp;CHAR(34), )) &amp; "]"
</f>
        <v>["Invasive &amp; other problematic species, genes &amp; diseases"]</v>
      </c>
      <c r="AM771" s="3" t="s">
        <v>54</v>
      </c>
      <c r="AO771" s="3"/>
      <c r="AP771" s="3"/>
      <c r="AQ771" s="3"/>
      <c r="AR771" s="3" t="s">
        <v>54</v>
      </c>
      <c r="AS771" s="3" t="s">
        <v>78</v>
      </c>
      <c r="AW771" s="8" t="s">
        <v>2726</v>
      </c>
    </row>
    <row r="772">
      <c r="A772" s="3">
        <v>485.0</v>
      </c>
      <c r="B772" s="3" t="s">
        <v>40</v>
      </c>
      <c r="C772" s="3" t="s">
        <v>1094</v>
      </c>
      <c r="D772" s="3">
        <v>2009.0</v>
      </c>
      <c r="E772" s="3" t="s">
        <v>1095</v>
      </c>
      <c r="F772" s="3" t="s">
        <v>129</v>
      </c>
      <c r="G772" s="3" t="s">
        <v>2600</v>
      </c>
      <c r="H772" s="3" t="s">
        <v>82</v>
      </c>
      <c r="I772" s="3" t="s">
        <v>2147</v>
      </c>
      <c r="J772" s="3" t="s">
        <v>82</v>
      </c>
      <c r="K772" s="3" t="s">
        <v>2217</v>
      </c>
      <c r="L772" s="3" t="s">
        <v>2237</v>
      </c>
      <c r="M772" s="3" t="s">
        <v>384</v>
      </c>
      <c r="S772" s="9" t="str">
        <f t="array" ref="S772">"[" &amp; TEXTJOIN(", ", TRUE, IF(LEN(T772:AB772), CHAR(34)&amp;T772:AB772&amp;CHAR(34), )) &amp; "]"
</f>
        <v>["Viral/prion-induced diseases"]</v>
      </c>
      <c r="T772" s="3" t="s">
        <v>385</v>
      </c>
      <c r="U772" s="3"/>
      <c r="V772" s="3"/>
      <c r="AC772" s="3" t="s">
        <v>385</v>
      </c>
      <c r="AL772" s="9" t="str">
        <f t="array" ref="AL772">"[" &amp; TEXTJOIN(", ", TRUE, IF(LEN(AM772:AQ772), CHAR(34)&amp;AM772:AQ772&amp;CHAR(34), )) &amp; "]"
</f>
        <v>["Invasive &amp; other problematic species, genes &amp; diseases"]</v>
      </c>
      <c r="AM772" s="3" t="s">
        <v>54</v>
      </c>
      <c r="AO772" s="3"/>
      <c r="AP772" s="3"/>
      <c r="AQ772" s="3"/>
      <c r="AR772" s="3" t="s">
        <v>54</v>
      </c>
      <c r="AS772" s="3" t="s">
        <v>78</v>
      </c>
      <c r="AW772" s="8" t="s">
        <v>2727</v>
      </c>
    </row>
    <row r="773">
      <c r="A773" s="3">
        <v>488.0</v>
      </c>
      <c r="B773" s="3" t="s">
        <v>40</v>
      </c>
      <c r="C773" s="3" t="s">
        <v>1100</v>
      </c>
      <c r="D773" s="3">
        <v>2007.0</v>
      </c>
      <c r="E773" s="3" t="s">
        <v>1101</v>
      </c>
      <c r="F773" s="3" t="s">
        <v>129</v>
      </c>
      <c r="G773" s="3" t="s">
        <v>2600</v>
      </c>
      <c r="H773" s="3" t="s">
        <v>82</v>
      </c>
      <c r="I773" s="3" t="s">
        <v>2147</v>
      </c>
      <c r="J773" s="3" t="s">
        <v>82</v>
      </c>
      <c r="K773" s="3" t="s">
        <v>2217</v>
      </c>
      <c r="L773" s="3" t="s">
        <v>2234</v>
      </c>
      <c r="M773" s="3" t="s">
        <v>453</v>
      </c>
      <c r="S773" s="9" t="str">
        <f t="array" ref="S773">"[" &amp; TEXTJOIN(", ", TRUE, IF(LEN(T773:AB773), CHAR(34)&amp;T773:AB773&amp;CHAR(34), )) &amp; "]"
</f>
        <v>["Viral/prion-induced diseases"]</v>
      </c>
      <c r="T773" s="3" t="s">
        <v>385</v>
      </c>
      <c r="U773" s="3"/>
      <c r="V773" s="3"/>
      <c r="AC773" s="3" t="s">
        <v>385</v>
      </c>
      <c r="AL773" s="9" t="str">
        <f t="array" ref="AL773">"[" &amp; TEXTJOIN(", ", TRUE, IF(LEN(AM773:AQ773), CHAR(34)&amp;AM773:AQ773&amp;CHAR(34), )) &amp; "]"
</f>
        <v>["Invasive &amp; other problematic species, genes &amp; diseases"]</v>
      </c>
      <c r="AM773" s="3" t="s">
        <v>54</v>
      </c>
      <c r="AO773" s="3"/>
      <c r="AP773" s="3"/>
      <c r="AQ773" s="3"/>
      <c r="AR773" s="3" t="s">
        <v>54</v>
      </c>
      <c r="AS773" s="3" t="s">
        <v>1102</v>
      </c>
      <c r="AW773" s="8" t="s">
        <v>2728</v>
      </c>
    </row>
    <row r="774">
      <c r="A774" s="3">
        <v>501.0</v>
      </c>
      <c r="B774" s="3" t="s">
        <v>40</v>
      </c>
      <c r="C774" s="3" t="s">
        <v>1126</v>
      </c>
      <c r="D774" s="3">
        <v>1995.0</v>
      </c>
      <c r="E774" s="3" t="s">
        <v>1127</v>
      </c>
      <c r="F774" s="3" t="s">
        <v>129</v>
      </c>
      <c r="G774" s="3" t="s">
        <v>2600</v>
      </c>
      <c r="H774" s="3" t="s">
        <v>82</v>
      </c>
      <c r="I774" s="3" t="s">
        <v>2147</v>
      </c>
      <c r="J774" s="3" t="s">
        <v>82</v>
      </c>
      <c r="K774" s="3" t="s">
        <v>2217</v>
      </c>
      <c r="L774" s="3" t="s">
        <v>2234</v>
      </c>
      <c r="M774" s="3" t="s">
        <v>453</v>
      </c>
      <c r="S774" s="9" t="str">
        <f t="array" ref="S774">"[" &amp; TEXTJOIN(", ", TRUE, IF(LEN(T774:AB774), CHAR(34)&amp;T774:AB774&amp;CHAR(34), )) &amp; "]"
</f>
        <v>["Viral/prion-induced diseases"]</v>
      </c>
      <c r="T774" s="3" t="s">
        <v>385</v>
      </c>
      <c r="U774" s="3"/>
      <c r="V774" s="3"/>
      <c r="AC774" s="3" t="s">
        <v>385</v>
      </c>
      <c r="AL774" s="9" t="str">
        <f t="array" ref="AL774">"[" &amp; TEXTJOIN(", ", TRUE, IF(LEN(AM774:AQ774), CHAR(34)&amp;AM774:AQ774&amp;CHAR(34), )) &amp; "]"
</f>
        <v>["Invasive &amp; other problematic species, genes &amp; diseases"]</v>
      </c>
      <c r="AM774" s="3" t="s">
        <v>54</v>
      </c>
      <c r="AN774" s="3"/>
      <c r="AO774" s="3"/>
      <c r="AP774" s="3"/>
      <c r="AQ774" s="3"/>
      <c r="AR774" s="3" t="s">
        <v>54</v>
      </c>
      <c r="AW774" s="8" t="s">
        <v>2729</v>
      </c>
    </row>
    <row r="775">
      <c r="A775" s="3">
        <v>510.0</v>
      </c>
      <c r="B775" s="3" t="s">
        <v>40</v>
      </c>
      <c r="C775" s="3" t="s">
        <v>1143</v>
      </c>
      <c r="D775" s="3">
        <v>2002.0</v>
      </c>
      <c r="E775" s="3" t="s">
        <v>1144</v>
      </c>
      <c r="F775" s="3" t="s">
        <v>129</v>
      </c>
      <c r="G775" s="3" t="s">
        <v>2600</v>
      </c>
      <c r="H775" s="3" t="s">
        <v>82</v>
      </c>
      <c r="I775" s="3" t="s">
        <v>2147</v>
      </c>
      <c r="J775" s="3" t="s">
        <v>82</v>
      </c>
      <c r="K775" s="3" t="s">
        <v>2217</v>
      </c>
      <c r="L775" s="3" t="s">
        <v>2237</v>
      </c>
      <c r="M775" s="3" t="s">
        <v>384</v>
      </c>
      <c r="S775" s="9" t="str">
        <f t="array" ref="S775">"[" &amp; TEXTJOIN(", ", TRUE, IF(LEN(T775:AB775), CHAR(34)&amp;T775:AB775&amp;CHAR(34), )) &amp; "]"
</f>
        <v>["Viral/prion-induced diseases"]</v>
      </c>
      <c r="T775" s="3" t="s">
        <v>385</v>
      </c>
      <c r="U775" s="3"/>
      <c r="V775" s="3"/>
      <c r="AC775" s="3" t="s">
        <v>385</v>
      </c>
      <c r="AL775" s="9" t="str">
        <f t="array" ref="AL775">"[" &amp; TEXTJOIN(", ", TRUE, IF(LEN(AM775:AQ775), CHAR(34)&amp;AM775:AQ775&amp;CHAR(34), )) &amp; "]"
</f>
        <v>["Invasive &amp; other problematic species, genes &amp; diseases"]</v>
      </c>
      <c r="AM775" s="3" t="s">
        <v>54</v>
      </c>
      <c r="AN775" s="3"/>
      <c r="AO775" s="3"/>
      <c r="AP775" s="3"/>
      <c r="AQ775" s="3"/>
      <c r="AR775" s="3" t="s">
        <v>54</v>
      </c>
      <c r="AW775" s="8" t="s">
        <v>2730</v>
      </c>
    </row>
    <row r="776">
      <c r="A776" s="3">
        <v>511.0</v>
      </c>
      <c r="B776" s="3" t="s">
        <v>40</v>
      </c>
      <c r="C776" s="3" t="s">
        <v>1145</v>
      </c>
      <c r="D776" s="3">
        <v>2002.0</v>
      </c>
      <c r="E776" s="3" t="s">
        <v>1146</v>
      </c>
      <c r="F776" s="3" t="s">
        <v>129</v>
      </c>
      <c r="G776" s="3" t="s">
        <v>2600</v>
      </c>
      <c r="H776" s="3" t="s">
        <v>82</v>
      </c>
      <c r="I776" s="3" t="s">
        <v>2147</v>
      </c>
      <c r="J776" s="3" t="s">
        <v>82</v>
      </c>
      <c r="K776" s="3" t="s">
        <v>2217</v>
      </c>
      <c r="L776" s="3" t="s">
        <v>2237</v>
      </c>
      <c r="M776" s="3" t="s">
        <v>384</v>
      </c>
      <c r="S776" s="9" t="str">
        <f t="array" ref="S776">"[" &amp; TEXTJOIN(", ", TRUE, IF(LEN(T776:AB776), CHAR(34)&amp;T776:AB776&amp;CHAR(34), )) &amp; "]"
</f>
        <v>["Viral/prion-induced diseases"]</v>
      </c>
      <c r="T776" s="3" t="s">
        <v>385</v>
      </c>
      <c r="U776" s="3"/>
      <c r="V776" s="3"/>
      <c r="AC776" s="3" t="s">
        <v>385</v>
      </c>
      <c r="AL776" s="9" t="str">
        <f t="array" ref="AL776">"[" &amp; TEXTJOIN(", ", TRUE, IF(LEN(AM776:AQ776), CHAR(34)&amp;AM776:AQ776&amp;CHAR(34), )) &amp; "]"
</f>
        <v>["Invasive &amp; other problematic species, genes &amp; diseases"]</v>
      </c>
      <c r="AM776" s="3" t="s">
        <v>54</v>
      </c>
      <c r="AN776" s="3"/>
      <c r="AO776" s="3"/>
      <c r="AP776" s="3"/>
      <c r="AQ776" s="3"/>
      <c r="AR776" s="3" t="s">
        <v>54</v>
      </c>
      <c r="AW776" s="8" t="s">
        <v>2731</v>
      </c>
    </row>
    <row r="777">
      <c r="A777" s="3">
        <v>518.0</v>
      </c>
      <c r="B777" s="3" t="s">
        <v>40</v>
      </c>
      <c r="C777" s="3" t="s">
        <v>1159</v>
      </c>
      <c r="D777" s="3">
        <v>2005.0</v>
      </c>
      <c r="E777" s="3" t="s">
        <v>1160</v>
      </c>
      <c r="F777" s="3" t="s">
        <v>129</v>
      </c>
      <c r="G777" s="3" t="s">
        <v>2600</v>
      </c>
      <c r="H777" s="3" t="s">
        <v>82</v>
      </c>
      <c r="I777" s="3" t="s">
        <v>2147</v>
      </c>
      <c r="J777" s="3" t="s">
        <v>82</v>
      </c>
      <c r="K777" s="3" t="s">
        <v>2217</v>
      </c>
      <c r="L777" s="3" t="s">
        <v>2237</v>
      </c>
      <c r="M777" s="3" t="s">
        <v>384</v>
      </c>
      <c r="S777" s="9" t="str">
        <f t="array" ref="S777">"[" &amp; TEXTJOIN(", ", TRUE, IF(LEN(T777:AB777), CHAR(34)&amp;T777:AB777&amp;CHAR(34), )) &amp; "]"
</f>
        <v>["Viral/prion-induced diseases"]</v>
      </c>
      <c r="T777" s="3" t="s">
        <v>385</v>
      </c>
      <c r="U777" s="3"/>
      <c r="V777" s="3"/>
      <c r="AC777" s="3" t="s">
        <v>385</v>
      </c>
      <c r="AL777" s="9" t="str">
        <f t="array" ref="AL777">"[" &amp; TEXTJOIN(", ", TRUE, IF(LEN(AM777:AQ777), CHAR(34)&amp;AM777:AQ777&amp;CHAR(34), )) &amp; "]"
</f>
        <v>["Invasive &amp; other problematic species, genes &amp; diseases"]</v>
      </c>
      <c r="AM777" s="3" t="s">
        <v>54</v>
      </c>
      <c r="AN777" s="3"/>
      <c r="AO777" s="3"/>
      <c r="AP777" s="3"/>
      <c r="AQ777" s="3"/>
      <c r="AR777" s="3" t="s">
        <v>54</v>
      </c>
      <c r="AW777" s="8" t="s">
        <v>2732</v>
      </c>
    </row>
    <row r="778">
      <c r="A778" s="3">
        <v>519.0</v>
      </c>
      <c r="B778" s="3" t="s">
        <v>40</v>
      </c>
      <c r="C778" s="3" t="s">
        <v>1161</v>
      </c>
      <c r="D778" s="3">
        <v>2005.0</v>
      </c>
      <c r="E778" s="3" t="s">
        <v>1162</v>
      </c>
      <c r="F778" s="3" t="s">
        <v>129</v>
      </c>
      <c r="G778" s="3" t="s">
        <v>2600</v>
      </c>
      <c r="H778" s="3" t="s">
        <v>82</v>
      </c>
      <c r="I778" s="3" t="s">
        <v>2147</v>
      </c>
      <c r="J778" s="3" t="s">
        <v>82</v>
      </c>
      <c r="K778" s="3" t="s">
        <v>2217</v>
      </c>
      <c r="L778" s="3" t="s">
        <v>2237</v>
      </c>
      <c r="M778" s="3" t="s">
        <v>384</v>
      </c>
      <c r="S778" s="9" t="str">
        <f t="array" ref="S778">"[" &amp; TEXTJOIN(", ", TRUE, IF(LEN(T778:AB778), CHAR(34)&amp;T778:AB778&amp;CHAR(34), )) &amp; "]"
</f>
        <v>["Viral/prion-induced diseases"]</v>
      </c>
      <c r="T778" s="3" t="s">
        <v>385</v>
      </c>
      <c r="U778" s="3"/>
      <c r="V778" s="3"/>
      <c r="AC778" s="3" t="s">
        <v>385</v>
      </c>
      <c r="AL778" s="9" t="str">
        <f t="array" ref="AL778">"[" &amp; TEXTJOIN(", ", TRUE, IF(LEN(AM778:AQ778), CHAR(34)&amp;AM778:AQ778&amp;CHAR(34), )) &amp; "]"
</f>
        <v>["Invasive &amp; other problematic species, genes &amp; diseases"]</v>
      </c>
      <c r="AM778" s="3" t="s">
        <v>54</v>
      </c>
      <c r="AN778" s="3"/>
      <c r="AO778" s="3"/>
      <c r="AP778" s="3"/>
      <c r="AQ778" s="3"/>
      <c r="AR778" s="3" t="s">
        <v>54</v>
      </c>
      <c r="AW778" s="8" t="s">
        <v>2733</v>
      </c>
    </row>
    <row r="779">
      <c r="A779" s="3">
        <v>524.0</v>
      </c>
      <c r="B779" s="3" t="s">
        <v>40</v>
      </c>
      <c r="C779" s="3" t="s">
        <v>1171</v>
      </c>
      <c r="D779" s="3">
        <v>2007.0</v>
      </c>
      <c r="E779" s="3" t="s">
        <v>1172</v>
      </c>
      <c r="F779" s="3" t="s">
        <v>129</v>
      </c>
      <c r="G779" s="3" t="s">
        <v>2600</v>
      </c>
      <c r="H779" s="3" t="s">
        <v>82</v>
      </c>
      <c r="I779" s="3" t="s">
        <v>2147</v>
      </c>
      <c r="J779" s="3" t="s">
        <v>82</v>
      </c>
      <c r="K779" s="3" t="s">
        <v>2217</v>
      </c>
      <c r="L779" s="3" t="s">
        <v>2237</v>
      </c>
      <c r="M779" s="3" t="s">
        <v>384</v>
      </c>
      <c r="S779" s="9" t="str">
        <f t="array" ref="S779">"[" &amp; TEXTJOIN(", ", TRUE, IF(LEN(T779:AB779), CHAR(34)&amp;T779:AB779&amp;CHAR(34), )) &amp; "]"
</f>
        <v>["Viral/prion-induced diseases"]</v>
      </c>
      <c r="T779" s="3" t="s">
        <v>385</v>
      </c>
      <c r="U779" s="3"/>
      <c r="V779" s="3"/>
      <c r="AC779" s="3" t="s">
        <v>385</v>
      </c>
      <c r="AL779" s="9" t="str">
        <f t="array" ref="AL779">"[" &amp; TEXTJOIN(", ", TRUE, IF(LEN(AM779:AQ779), CHAR(34)&amp;AM779:AQ779&amp;CHAR(34), )) &amp; "]"
</f>
        <v>["Invasive &amp; other problematic species, genes &amp; diseases"]</v>
      </c>
      <c r="AM779" s="3" t="s">
        <v>54</v>
      </c>
      <c r="AN779" s="3"/>
      <c r="AO779" s="3"/>
      <c r="AP779" s="3"/>
      <c r="AQ779" s="3"/>
      <c r="AR779" s="3" t="s">
        <v>54</v>
      </c>
      <c r="AW779" s="8" t="s">
        <v>2734</v>
      </c>
    </row>
    <row r="780">
      <c r="A780" s="3">
        <v>525.0</v>
      </c>
      <c r="B780" s="3" t="s">
        <v>40</v>
      </c>
      <c r="C780" s="3" t="s">
        <v>1173</v>
      </c>
      <c r="D780" s="3">
        <v>2007.0</v>
      </c>
      <c r="E780" s="3" t="s">
        <v>1174</v>
      </c>
      <c r="F780" s="3" t="s">
        <v>129</v>
      </c>
      <c r="G780" s="3" t="s">
        <v>2600</v>
      </c>
      <c r="H780" s="3" t="s">
        <v>82</v>
      </c>
      <c r="I780" s="3" t="s">
        <v>2147</v>
      </c>
      <c r="J780" s="3" t="s">
        <v>82</v>
      </c>
      <c r="K780" s="3" t="s">
        <v>2217</v>
      </c>
      <c r="L780" s="3" t="s">
        <v>2234</v>
      </c>
      <c r="M780" s="3" t="s">
        <v>453</v>
      </c>
      <c r="S780" s="9" t="str">
        <f t="array" ref="S780">"[" &amp; TEXTJOIN(", ", TRUE, IF(LEN(T780:AB780), CHAR(34)&amp;T780:AB780&amp;CHAR(34), )) &amp; "]"
</f>
        <v>["Viral/prion-induced diseases"]</v>
      </c>
      <c r="T780" s="3" t="s">
        <v>385</v>
      </c>
      <c r="U780" s="3"/>
      <c r="V780" s="3"/>
      <c r="AC780" s="3" t="s">
        <v>385</v>
      </c>
      <c r="AL780" s="9" t="str">
        <f t="array" ref="AL780">"[" &amp; TEXTJOIN(", ", TRUE, IF(LEN(AM780:AQ780), CHAR(34)&amp;AM780:AQ780&amp;CHAR(34), )) &amp; "]"
</f>
        <v>["Invasive &amp; other problematic species, genes &amp; diseases"]</v>
      </c>
      <c r="AM780" s="3" t="s">
        <v>54</v>
      </c>
      <c r="AN780" s="3"/>
      <c r="AO780" s="3"/>
      <c r="AP780" s="3"/>
      <c r="AQ780" s="3"/>
      <c r="AR780" s="3" t="s">
        <v>54</v>
      </c>
      <c r="AW780" s="8" t="s">
        <v>2735</v>
      </c>
    </row>
    <row r="781">
      <c r="A781" s="3">
        <v>531.0</v>
      </c>
      <c r="B781" s="3" t="s">
        <v>40</v>
      </c>
      <c r="C781" s="3" t="s">
        <v>1185</v>
      </c>
      <c r="D781" s="3">
        <v>2009.0</v>
      </c>
      <c r="E781" s="3" t="s">
        <v>1186</v>
      </c>
      <c r="F781" s="3" t="s">
        <v>129</v>
      </c>
      <c r="G781" s="3" t="s">
        <v>2600</v>
      </c>
      <c r="H781" s="3" t="s">
        <v>82</v>
      </c>
      <c r="I781" s="3" t="s">
        <v>2147</v>
      </c>
      <c r="J781" s="3" t="s">
        <v>82</v>
      </c>
      <c r="K781" s="3" t="s">
        <v>2217</v>
      </c>
      <c r="L781" s="3" t="s">
        <v>2155</v>
      </c>
      <c r="M781" s="3" t="s">
        <v>1001</v>
      </c>
      <c r="S781" s="9" t="str">
        <f t="array" ref="S781">"[" &amp; TEXTJOIN(", ", TRUE, IF(LEN(T781:AB781), CHAR(34)&amp;T781:AB781&amp;CHAR(34), )) &amp; "]"
</f>
        <v>["Viral/prion-induced diseases"]</v>
      </c>
      <c r="T781" s="3" t="s">
        <v>385</v>
      </c>
      <c r="U781" s="3"/>
      <c r="V781" s="3"/>
      <c r="AC781" s="3" t="s">
        <v>385</v>
      </c>
      <c r="AL781" s="9" t="str">
        <f t="array" ref="AL781">"[" &amp; TEXTJOIN(", ", TRUE, IF(LEN(AM781:AQ781), CHAR(34)&amp;AM781:AQ781&amp;CHAR(34), )) &amp; "]"
</f>
        <v>["Invasive &amp; other problematic species, genes &amp; diseases"]</v>
      </c>
      <c r="AM781" s="3" t="s">
        <v>54</v>
      </c>
      <c r="AN781" s="3"/>
      <c r="AO781" s="3"/>
      <c r="AP781" s="3"/>
      <c r="AQ781" s="3"/>
      <c r="AR781" s="3" t="s">
        <v>54</v>
      </c>
      <c r="AW781" s="8" t="s">
        <v>2736</v>
      </c>
    </row>
    <row r="782">
      <c r="A782" s="3">
        <v>532.0</v>
      </c>
      <c r="B782" s="3" t="s">
        <v>40</v>
      </c>
      <c r="C782" s="3" t="s">
        <v>1187</v>
      </c>
      <c r="D782" s="3">
        <v>2009.0</v>
      </c>
      <c r="E782" s="3" t="s">
        <v>1188</v>
      </c>
      <c r="F782" s="3" t="s">
        <v>129</v>
      </c>
      <c r="G782" s="3" t="s">
        <v>2600</v>
      </c>
      <c r="H782" s="3" t="s">
        <v>82</v>
      </c>
      <c r="I782" s="3" t="s">
        <v>2147</v>
      </c>
      <c r="J782" s="3" t="s">
        <v>82</v>
      </c>
      <c r="K782" s="3" t="s">
        <v>2217</v>
      </c>
      <c r="L782" s="3" t="s">
        <v>2237</v>
      </c>
      <c r="M782" s="3" t="s">
        <v>384</v>
      </c>
      <c r="S782" s="9" t="str">
        <f t="array" ref="S782">"[" &amp; TEXTJOIN(", ", TRUE, IF(LEN(T782:AB782), CHAR(34)&amp;T782:AB782&amp;CHAR(34), )) &amp; "]"
</f>
        <v>["Viral/prion-induced diseases"]</v>
      </c>
      <c r="T782" s="3" t="s">
        <v>385</v>
      </c>
      <c r="U782" s="3"/>
      <c r="V782" s="3"/>
      <c r="AC782" s="3" t="s">
        <v>385</v>
      </c>
      <c r="AL782" s="9" t="str">
        <f t="array" ref="AL782">"[" &amp; TEXTJOIN(", ", TRUE, IF(LEN(AM782:AQ782), CHAR(34)&amp;AM782:AQ782&amp;CHAR(34), )) &amp; "]"
</f>
        <v>["Invasive &amp; other problematic species, genes &amp; diseases"]</v>
      </c>
      <c r="AM782" s="3" t="s">
        <v>54</v>
      </c>
      <c r="AN782" s="3"/>
      <c r="AO782" s="3"/>
      <c r="AP782" s="3"/>
      <c r="AQ782" s="3"/>
      <c r="AR782" s="3" t="s">
        <v>54</v>
      </c>
      <c r="AW782" s="8" t="s">
        <v>2737</v>
      </c>
    </row>
    <row r="783">
      <c r="A783" s="3">
        <v>542.0</v>
      </c>
      <c r="B783" s="3" t="s">
        <v>40</v>
      </c>
      <c r="C783" s="3" t="s">
        <v>1207</v>
      </c>
      <c r="D783" s="3">
        <v>2010.0</v>
      </c>
      <c r="E783" s="3" t="s">
        <v>1208</v>
      </c>
      <c r="F783" s="3" t="s">
        <v>129</v>
      </c>
      <c r="G783" s="3" t="s">
        <v>2600</v>
      </c>
      <c r="H783" s="3" t="s">
        <v>82</v>
      </c>
      <c r="I783" s="3" t="s">
        <v>2147</v>
      </c>
      <c r="J783" s="3" t="s">
        <v>82</v>
      </c>
      <c r="K783" s="3" t="s">
        <v>2217</v>
      </c>
      <c r="L783" s="3" t="s">
        <v>2237</v>
      </c>
      <c r="M783" s="3" t="s">
        <v>384</v>
      </c>
      <c r="S783" s="9" t="str">
        <f t="array" ref="S783">"[" &amp; TEXTJOIN(", ", TRUE, IF(LEN(T783:AB783), CHAR(34)&amp;T783:AB783&amp;CHAR(34), )) &amp; "]"
</f>
        <v>["Viral/prion-induced diseases"]</v>
      </c>
      <c r="T783" s="3" t="s">
        <v>385</v>
      </c>
      <c r="U783" s="3"/>
      <c r="V783" s="3"/>
      <c r="AC783" s="3" t="s">
        <v>385</v>
      </c>
      <c r="AL783" s="9" t="str">
        <f t="array" ref="AL783">"[" &amp; TEXTJOIN(", ", TRUE, IF(LEN(AM783:AQ783), CHAR(34)&amp;AM783:AQ783&amp;CHAR(34), )) &amp; "]"
</f>
        <v>["Invasive &amp; other problematic species, genes &amp; diseases"]</v>
      </c>
      <c r="AM783" s="3" t="s">
        <v>54</v>
      </c>
      <c r="AN783" s="3"/>
      <c r="AO783" s="3"/>
      <c r="AP783" s="3"/>
      <c r="AQ783" s="3"/>
      <c r="AR783" s="3" t="s">
        <v>54</v>
      </c>
      <c r="AW783" s="8" t="s">
        <v>2738</v>
      </c>
    </row>
    <row r="784">
      <c r="A784" s="3">
        <v>543.0</v>
      </c>
      <c r="B784" s="3" t="s">
        <v>40</v>
      </c>
      <c r="C784" s="3" t="s">
        <v>1209</v>
      </c>
      <c r="D784" s="3">
        <v>2010.0</v>
      </c>
      <c r="E784" s="3" t="s">
        <v>1210</v>
      </c>
      <c r="F784" s="3" t="s">
        <v>129</v>
      </c>
      <c r="G784" s="3" t="s">
        <v>2600</v>
      </c>
      <c r="H784" s="3" t="s">
        <v>82</v>
      </c>
      <c r="I784" s="3" t="s">
        <v>2147</v>
      </c>
      <c r="J784" s="3" t="s">
        <v>82</v>
      </c>
      <c r="K784" s="3" t="s">
        <v>2217</v>
      </c>
      <c r="L784" s="3" t="s">
        <v>2237</v>
      </c>
      <c r="M784" s="3" t="s">
        <v>384</v>
      </c>
      <c r="S784" s="9" t="str">
        <f t="array" ref="S784">"[" &amp; TEXTJOIN(", ", TRUE, IF(LEN(T784:AB784), CHAR(34)&amp;T784:AB784&amp;CHAR(34), )) &amp; "]"
</f>
        <v>["Viral/prion-induced diseases"]</v>
      </c>
      <c r="T784" s="3" t="s">
        <v>385</v>
      </c>
      <c r="U784" s="3"/>
      <c r="V784" s="3"/>
      <c r="AC784" s="3" t="s">
        <v>385</v>
      </c>
      <c r="AL784" s="9" t="str">
        <f t="array" ref="AL784">"[" &amp; TEXTJOIN(", ", TRUE, IF(LEN(AM784:AQ784), CHAR(34)&amp;AM784:AQ784&amp;CHAR(34), )) &amp; "]"
</f>
        <v>["Invasive &amp; other problematic species, genes &amp; diseases"]</v>
      </c>
      <c r="AM784" s="3" t="s">
        <v>54</v>
      </c>
      <c r="AN784" s="3"/>
      <c r="AO784" s="3"/>
      <c r="AP784" s="3"/>
      <c r="AQ784" s="3"/>
      <c r="AR784" s="3" t="s">
        <v>54</v>
      </c>
      <c r="AW784" s="8" t="s">
        <v>2739</v>
      </c>
    </row>
    <row r="785">
      <c r="A785" s="3">
        <v>544.0</v>
      </c>
      <c r="B785" s="3" t="s">
        <v>40</v>
      </c>
      <c r="C785" s="3" t="s">
        <v>1211</v>
      </c>
      <c r="D785" s="3">
        <v>2010.0</v>
      </c>
      <c r="E785" s="3" t="s">
        <v>1212</v>
      </c>
      <c r="F785" s="3" t="s">
        <v>129</v>
      </c>
      <c r="G785" s="3" t="s">
        <v>2600</v>
      </c>
      <c r="H785" s="3" t="s">
        <v>82</v>
      </c>
      <c r="I785" s="3" t="s">
        <v>2147</v>
      </c>
      <c r="J785" s="3" t="s">
        <v>82</v>
      </c>
      <c r="K785" s="3" t="s">
        <v>2217</v>
      </c>
      <c r="L785" s="3" t="s">
        <v>2237</v>
      </c>
      <c r="M785" s="3" t="s">
        <v>384</v>
      </c>
      <c r="S785" s="9" t="str">
        <f t="array" ref="S785">"[" &amp; TEXTJOIN(", ", TRUE, IF(LEN(T785:AB785), CHAR(34)&amp;T785:AB785&amp;CHAR(34), )) &amp; "]"
</f>
        <v>["Viral/prion-induced diseases"]</v>
      </c>
      <c r="T785" s="3" t="s">
        <v>385</v>
      </c>
      <c r="U785" s="3"/>
      <c r="V785" s="3"/>
      <c r="AC785" s="3" t="s">
        <v>385</v>
      </c>
      <c r="AL785" s="9" t="str">
        <f t="array" ref="AL785">"[" &amp; TEXTJOIN(", ", TRUE, IF(LEN(AM785:AQ785), CHAR(34)&amp;AM785:AQ785&amp;CHAR(34), )) &amp; "]"
</f>
        <v>["Invasive &amp; other problematic species, genes &amp; diseases"]</v>
      </c>
      <c r="AM785" s="3" t="s">
        <v>54</v>
      </c>
      <c r="AN785" s="3"/>
      <c r="AO785" s="3"/>
      <c r="AP785" s="3"/>
      <c r="AQ785" s="3"/>
      <c r="AR785" s="3" t="s">
        <v>54</v>
      </c>
      <c r="AW785" s="8" t="s">
        <v>2740</v>
      </c>
    </row>
    <row r="786">
      <c r="A786" s="3">
        <v>556.0</v>
      </c>
      <c r="B786" s="3" t="s">
        <v>40</v>
      </c>
      <c r="C786" s="3" t="s">
        <v>1236</v>
      </c>
      <c r="D786" s="3">
        <v>2012.0</v>
      </c>
      <c r="E786" s="3" t="s">
        <v>1237</v>
      </c>
      <c r="F786" s="3" t="s">
        <v>129</v>
      </c>
      <c r="G786" s="3" t="s">
        <v>2600</v>
      </c>
      <c r="H786" s="3" t="s">
        <v>82</v>
      </c>
      <c r="I786" s="3" t="s">
        <v>2147</v>
      </c>
      <c r="J786" s="3" t="s">
        <v>82</v>
      </c>
      <c r="K786" s="3" t="s">
        <v>2217</v>
      </c>
      <c r="L786" s="3" t="s">
        <v>2237</v>
      </c>
      <c r="M786" s="3" t="s">
        <v>384</v>
      </c>
      <c r="S786" s="9" t="str">
        <f t="array" ref="S786">"[" &amp; TEXTJOIN(", ", TRUE, IF(LEN(T786:AB786), CHAR(34)&amp;T786:AB786&amp;CHAR(34), )) &amp; "]"
</f>
        <v>["Viral/prion-induced diseases"]</v>
      </c>
      <c r="T786" s="3" t="s">
        <v>385</v>
      </c>
      <c r="U786" s="3"/>
      <c r="V786" s="3"/>
      <c r="AC786" s="3" t="s">
        <v>385</v>
      </c>
      <c r="AL786" s="9" t="str">
        <f t="array" ref="AL786">"[" &amp; TEXTJOIN(", ", TRUE, IF(LEN(AM786:AQ786), CHAR(34)&amp;AM786:AQ786&amp;CHAR(34), )) &amp; "]"
</f>
        <v>["Invasive &amp; other problematic species, genes &amp; diseases"]</v>
      </c>
      <c r="AM786" s="3" t="s">
        <v>54</v>
      </c>
      <c r="AN786" s="3"/>
      <c r="AO786" s="3"/>
      <c r="AP786" s="3"/>
      <c r="AQ786" s="3"/>
      <c r="AR786" s="3" t="s">
        <v>54</v>
      </c>
      <c r="AW786" s="8" t="s">
        <v>2741</v>
      </c>
    </row>
    <row r="787">
      <c r="A787" s="3">
        <v>563.0</v>
      </c>
      <c r="B787" s="3" t="s">
        <v>40</v>
      </c>
      <c r="C787" s="3" t="s">
        <v>1250</v>
      </c>
      <c r="D787" s="3">
        <v>2014.0</v>
      </c>
      <c r="E787" s="3" t="s">
        <v>1251</v>
      </c>
      <c r="F787" s="3" t="s">
        <v>129</v>
      </c>
      <c r="G787" s="3" t="s">
        <v>2600</v>
      </c>
      <c r="H787" s="3" t="s">
        <v>82</v>
      </c>
      <c r="I787" s="3" t="s">
        <v>2147</v>
      </c>
      <c r="J787" s="3" t="s">
        <v>82</v>
      </c>
      <c r="K787" s="3" t="s">
        <v>2217</v>
      </c>
      <c r="L787" s="3" t="s">
        <v>2237</v>
      </c>
      <c r="M787" s="3" t="s">
        <v>384</v>
      </c>
      <c r="S787" s="9" t="str">
        <f t="array" ref="S787">"[" &amp; TEXTJOIN(", ", TRUE, IF(LEN(T787:AB787), CHAR(34)&amp;T787:AB787&amp;CHAR(34), )) &amp; "]"
</f>
        <v>["Viral/prion-induced diseases"]</v>
      </c>
      <c r="T787" s="3" t="s">
        <v>385</v>
      </c>
      <c r="U787" s="3"/>
      <c r="V787" s="3"/>
      <c r="AC787" s="3" t="s">
        <v>385</v>
      </c>
      <c r="AL787" s="9" t="str">
        <f t="array" ref="AL787">"[" &amp; TEXTJOIN(", ", TRUE, IF(LEN(AM787:AQ787), CHAR(34)&amp;AM787:AQ787&amp;CHAR(34), )) &amp; "]"
</f>
        <v>["Invasive &amp; other problematic species, genes &amp; diseases"]</v>
      </c>
      <c r="AM787" s="3" t="s">
        <v>54</v>
      </c>
      <c r="AN787" s="3"/>
      <c r="AO787" s="3"/>
      <c r="AP787" s="3"/>
      <c r="AQ787" s="3"/>
      <c r="AR787" s="3" t="s">
        <v>54</v>
      </c>
      <c r="AW787" s="8" t="s">
        <v>2742</v>
      </c>
    </row>
    <row r="788">
      <c r="A788" s="3">
        <v>564.0</v>
      </c>
      <c r="B788" s="3" t="s">
        <v>40</v>
      </c>
      <c r="C788" s="3" t="s">
        <v>1252</v>
      </c>
      <c r="D788" s="3">
        <v>2014.0</v>
      </c>
      <c r="E788" s="3" t="s">
        <v>1253</v>
      </c>
      <c r="F788" s="3" t="s">
        <v>129</v>
      </c>
      <c r="G788" s="3" t="s">
        <v>2600</v>
      </c>
      <c r="H788" s="3" t="s">
        <v>82</v>
      </c>
      <c r="I788" s="3" t="s">
        <v>2147</v>
      </c>
      <c r="J788" s="3" t="s">
        <v>82</v>
      </c>
      <c r="K788" s="3" t="s">
        <v>2217</v>
      </c>
      <c r="L788" s="3" t="s">
        <v>2237</v>
      </c>
      <c r="M788" s="3" t="s">
        <v>384</v>
      </c>
      <c r="S788" s="9" t="str">
        <f t="array" ref="S788">"[" &amp; TEXTJOIN(", ", TRUE, IF(LEN(T788:AB788), CHAR(34)&amp;T788:AB788&amp;CHAR(34), )) &amp; "]"
</f>
        <v>["Viral/prion-induced diseases"]</v>
      </c>
      <c r="T788" s="3" t="s">
        <v>385</v>
      </c>
      <c r="U788" s="3"/>
      <c r="V788" s="3"/>
      <c r="AC788" s="3" t="s">
        <v>385</v>
      </c>
      <c r="AL788" s="9" t="str">
        <f t="array" ref="AL788">"[" &amp; TEXTJOIN(", ", TRUE, IF(LEN(AM788:AQ788), CHAR(34)&amp;AM788:AQ788&amp;CHAR(34), )) &amp; "]"
</f>
        <v>["Invasive &amp; other problematic species, genes &amp; diseases"]</v>
      </c>
      <c r="AM788" s="3" t="s">
        <v>54</v>
      </c>
      <c r="AN788" s="3"/>
      <c r="AO788" s="3"/>
      <c r="AP788" s="3"/>
      <c r="AQ788" s="3"/>
      <c r="AR788" s="3" t="s">
        <v>54</v>
      </c>
      <c r="AW788" s="8" t="s">
        <v>2743</v>
      </c>
    </row>
    <row r="789">
      <c r="A789" s="3">
        <v>567.0</v>
      </c>
      <c r="B789" s="3" t="s">
        <v>40</v>
      </c>
      <c r="C789" s="3" t="s">
        <v>1258</v>
      </c>
      <c r="D789" s="3">
        <v>2014.0</v>
      </c>
      <c r="E789" s="3" t="s">
        <v>1259</v>
      </c>
      <c r="F789" s="3" t="s">
        <v>129</v>
      </c>
      <c r="G789" s="3" t="s">
        <v>2600</v>
      </c>
      <c r="H789" s="3" t="s">
        <v>82</v>
      </c>
      <c r="I789" s="3" t="s">
        <v>2147</v>
      </c>
      <c r="J789" s="3" t="s">
        <v>82</v>
      </c>
      <c r="K789" s="3" t="s">
        <v>2217</v>
      </c>
      <c r="L789" s="3" t="s">
        <v>2234</v>
      </c>
      <c r="M789" s="3" t="s">
        <v>453</v>
      </c>
      <c r="S789" s="9" t="str">
        <f t="array" ref="S789">"[" &amp; TEXTJOIN(", ", TRUE, IF(LEN(T789:AB789), CHAR(34)&amp;T789:AB789&amp;CHAR(34), )) &amp; "]"
</f>
        <v>["Viral/prion-induced diseases"]</v>
      </c>
      <c r="T789" s="3" t="s">
        <v>385</v>
      </c>
      <c r="U789" s="3"/>
      <c r="V789" s="3"/>
      <c r="AC789" s="3" t="s">
        <v>385</v>
      </c>
      <c r="AL789" s="9" t="str">
        <f t="array" ref="AL789">"[" &amp; TEXTJOIN(", ", TRUE, IF(LEN(AM789:AQ789), CHAR(34)&amp;AM789:AQ789&amp;CHAR(34), )) &amp; "]"
</f>
        <v>["Invasive &amp; other problematic species, genes &amp; diseases"]</v>
      </c>
      <c r="AM789" s="3" t="s">
        <v>54</v>
      </c>
      <c r="AN789" s="3"/>
      <c r="AO789" s="3"/>
      <c r="AP789" s="3"/>
      <c r="AQ789" s="3"/>
      <c r="AR789" s="3" t="s">
        <v>54</v>
      </c>
      <c r="AW789" s="8" t="s">
        <v>2744</v>
      </c>
    </row>
    <row r="790">
      <c r="A790" s="3">
        <v>571.0</v>
      </c>
      <c r="B790" s="3" t="s">
        <v>40</v>
      </c>
      <c r="C790" s="3" t="s">
        <v>1266</v>
      </c>
      <c r="D790" s="3">
        <v>2015.0</v>
      </c>
      <c r="E790" s="3" t="s">
        <v>1267</v>
      </c>
      <c r="F790" s="3" t="s">
        <v>129</v>
      </c>
      <c r="G790" s="3" t="s">
        <v>2600</v>
      </c>
      <c r="H790" s="3" t="s">
        <v>82</v>
      </c>
      <c r="I790" s="3" t="s">
        <v>2147</v>
      </c>
      <c r="J790" s="3" t="s">
        <v>82</v>
      </c>
      <c r="K790" s="3" t="s">
        <v>2217</v>
      </c>
      <c r="L790" s="3" t="s">
        <v>2237</v>
      </c>
      <c r="M790" s="3" t="s">
        <v>384</v>
      </c>
      <c r="S790" s="9" t="str">
        <f t="array" ref="S790">"[" &amp; TEXTJOIN(", ", TRUE, IF(LEN(T790:AB790), CHAR(34)&amp;T790:AB790&amp;CHAR(34), )) &amp; "]"
</f>
        <v>["Viral/prion-induced diseases"]</v>
      </c>
      <c r="T790" s="3" t="s">
        <v>385</v>
      </c>
      <c r="U790" s="3"/>
      <c r="V790" s="3"/>
      <c r="AC790" s="3" t="s">
        <v>385</v>
      </c>
      <c r="AL790" s="9" t="str">
        <f t="array" ref="AL790">"[" &amp; TEXTJOIN(", ", TRUE, IF(LEN(AM790:AQ790), CHAR(34)&amp;AM790:AQ790&amp;CHAR(34), )) &amp; "]"
</f>
        <v>["Invasive &amp; other problematic species, genes &amp; diseases"]</v>
      </c>
      <c r="AM790" s="3" t="s">
        <v>54</v>
      </c>
      <c r="AN790" s="3"/>
      <c r="AO790" s="3"/>
      <c r="AP790" s="3"/>
      <c r="AQ790" s="3"/>
      <c r="AR790" s="3" t="s">
        <v>54</v>
      </c>
      <c r="AW790" s="8" t="s">
        <v>2745</v>
      </c>
    </row>
    <row r="791">
      <c r="A791" s="3">
        <v>575.0</v>
      </c>
      <c r="B791" s="3" t="s">
        <v>40</v>
      </c>
      <c r="C791" s="3" t="s">
        <v>1275</v>
      </c>
      <c r="D791" s="3">
        <v>2016.0</v>
      </c>
      <c r="E791" s="3" t="s">
        <v>1276</v>
      </c>
      <c r="F791" s="3" t="s">
        <v>129</v>
      </c>
      <c r="G791" s="3" t="s">
        <v>2600</v>
      </c>
      <c r="H791" s="3" t="s">
        <v>82</v>
      </c>
      <c r="I791" s="3" t="s">
        <v>2147</v>
      </c>
      <c r="J791" s="3" t="s">
        <v>82</v>
      </c>
      <c r="K791" s="3" t="s">
        <v>2217</v>
      </c>
      <c r="L791" s="3" t="s">
        <v>2224</v>
      </c>
      <c r="M791" s="3" t="s">
        <v>314</v>
      </c>
      <c r="S791" s="9" t="str">
        <f t="array" ref="S791">"[" &amp; TEXTJOIN(", ", TRUE, IF(LEN(T791:AB791), CHAR(34)&amp;T791:AB791&amp;CHAR(34), )) &amp; "]"
</f>
        <v>["Viral/prion-induced diseases"]</v>
      </c>
      <c r="T791" s="3" t="s">
        <v>385</v>
      </c>
      <c r="U791" s="3"/>
      <c r="V791" s="3"/>
      <c r="AC791" s="3" t="s">
        <v>385</v>
      </c>
      <c r="AL791" s="9" t="str">
        <f t="array" ref="AL791">"[" &amp; TEXTJOIN(", ", TRUE, IF(LEN(AM791:AQ791), CHAR(34)&amp;AM791:AQ791&amp;CHAR(34), )) &amp; "]"
</f>
        <v>["Invasive &amp; other problematic species, genes &amp; diseases"]</v>
      </c>
      <c r="AM791" s="3" t="s">
        <v>54</v>
      </c>
      <c r="AN791" s="3"/>
      <c r="AO791" s="3"/>
      <c r="AP791" s="3"/>
      <c r="AQ791" s="3"/>
      <c r="AR791" s="3" t="s">
        <v>54</v>
      </c>
      <c r="AW791" s="8" t="s">
        <v>2746</v>
      </c>
    </row>
    <row r="792">
      <c r="A792" s="3">
        <v>576.0</v>
      </c>
      <c r="B792" s="3" t="s">
        <v>40</v>
      </c>
      <c r="C792" s="3" t="s">
        <v>1275</v>
      </c>
      <c r="D792" s="3">
        <v>2016.0</v>
      </c>
      <c r="E792" s="3" t="s">
        <v>1277</v>
      </c>
      <c r="F792" s="3" t="s">
        <v>129</v>
      </c>
      <c r="G792" s="3" t="s">
        <v>2600</v>
      </c>
      <c r="H792" s="3" t="s">
        <v>82</v>
      </c>
      <c r="I792" s="3" t="s">
        <v>2147</v>
      </c>
      <c r="J792" s="3" t="s">
        <v>82</v>
      </c>
      <c r="K792" s="3" t="s">
        <v>2217</v>
      </c>
      <c r="L792" s="3" t="s">
        <v>2224</v>
      </c>
      <c r="M792" s="3" t="s">
        <v>314</v>
      </c>
      <c r="S792" s="9" t="str">
        <f t="array" ref="S792">"[" &amp; TEXTJOIN(", ", TRUE, IF(LEN(T792:AB792), CHAR(34)&amp;T792:AB792&amp;CHAR(34), )) &amp; "]"
</f>
        <v>["Viral/prion-induced diseases"]</v>
      </c>
      <c r="T792" s="3" t="s">
        <v>385</v>
      </c>
      <c r="U792" s="3"/>
      <c r="V792" s="3"/>
      <c r="AC792" s="3" t="s">
        <v>385</v>
      </c>
      <c r="AL792" s="9" t="str">
        <f t="array" ref="AL792">"[" &amp; TEXTJOIN(", ", TRUE, IF(LEN(AM792:AQ792), CHAR(34)&amp;AM792:AQ792&amp;CHAR(34), )) &amp; "]"
</f>
        <v>["Invasive &amp; other problematic species, genes &amp; diseases"]</v>
      </c>
      <c r="AM792" s="3" t="s">
        <v>54</v>
      </c>
      <c r="AN792" s="3"/>
      <c r="AO792" s="3"/>
      <c r="AP792" s="3"/>
      <c r="AQ792" s="3"/>
      <c r="AR792" s="3" t="s">
        <v>54</v>
      </c>
      <c r="AW792" s="8" t="s">
        <v>2747</v>
      </c>
    </row>
    <row r="793" hidden="1">
      <c r="A793" s="3">
        <v>376.0</v>
      </c>
      <c r="B793" s="3" t="s">
        <v>106</v>
      </c>
      <c r="D793" s="3">
        <v>2008.0</v>
      </c>
      <c r="E793" s="3" t="s">
        <v>916</v>
      </c>
      <c r="F793" s="3" t="s">
        <v>129</v>
      </c>
      <c r="G793" s="3"/>
      <c r="H793" s="3" t="s">
        <v>82</v>
      </c>
      <c r="I793" s="3"/>
      <c r="K793" s="3"/>
      <c r="L793" s="3"/>
      <c r="M793" s="3" t="s">
        <v>453</v>
      </c>
      <c r="S793" s="3"/>
      <c r="T793" s="3"/>
      <c r="U793" s="3"/>
      <c r="V793" s="3"/>
      <c r="AC793" s="3" t="s">
        <v>61</v>
      </c>
      <c r="AL793" s="3"/>
      <c r="AM793" s="3"/>
      <c r="AN793" s="3"/>
      <c r="AO793" s="3"/>
      <c r="AP793" s="3"/>
      <c r="AQ793" s="3"/>
      <c r="AR793" s="3" t="s">
        <v>52</v>
      </c>
      <c r="AW793" s="8" t="s">
        <v>2135</v>
      </c>
    </row>
    <row r="794" hidden="1">
      <c r="A794" s="3">
        <v>380.0</v>
      </c>
      <c r="B794" s="3" t="s">
        <v>106</v>
      </c>
      <c r="D794" s="3">
        <v>2008.0</v>
      </c>
      <c r="E794" s="3" t="s">
        <v>920</v>
      </c>
      <c r="F794" s="3" t="s">
        <v>129</v>
      </c>
      <c r="G794" s="3"/>
      <c r="H794" s="3" t="s">
        <v>82</v>
      </c>
      <c r="I794" s="3"/>
      <c r="K794" s="3"/>
      <c r="L794" s="3"/>
      <c r="M794" s="3" t="s">
        <v>453</v>
      </c>
      <c r="S794" s="3"/>
      <c r="T794" s="3"/>
      <c r="U794" s="3"/>
      <c r="V794" s="3"/>
      <c r="AC794" s="3" t="s">
        <v>61</v>
      </c>
      <c r="AD794" s="3" t="s">
        <v>267</v>
      </c>
      <c r="AL794" s="3"/>
      <c r="AM794" s="3"/>
      <c r="AN794" s="3"/>
      <c r="AO794" s="3"/>
      <c r="AP794" s="3"/>
      <c r="AQ794" s="3"/>
      <c r="AR794" s="3" t="s">
        <v>52</v>
      </c>
      <c r="AW794" s="8" t="s">
        <v>2135</v>
      </c>
    </row>
    <row r="795">
      <c r="A795" s="3">
        <v>579.0</v>
      </c>
      <c r="B795" s="3" t="s">
        <v>40</v>
      </c>
      <c r="C795" s="3" t="s">
        <v>1282</v>
      </c>
      <c r="D795" s="3">
        <v>2016.0</v>
      </c>
      <c r="E795" s="3" t="s">
        <v>1283</v>
      </c>
      <c r="F795" s="3" t="s">
        <v>129</v>
      </c>
      <c r="G795" s="3" t="s">
        <v>2600</v>
      </c>
      <c r="H795" s="3" t="s">
        <v>82</v>
      </c>
      <c r="I795" s="3" t="s">
        <v>2147</v>
      </c>
      <c r="J795" s="3" t="s">
        <v>82</v>
      </c>
      <c r="K795" s="3" t="s">
        <v>2217</v>
      </c>
      <c r="L795" s="3" t="s">
        <v>2237</v>
      </c>
      <c r="M795" s="3" t="s">
        <v>384</v>
      </c>
      <c r="S795" s="9" t="str">
        <f t="array" ref="S795">"[" &amp; TEXTJOIN(", ", TRUE, IF(LEN(T795:AB795), CHAR(34)&amp;T795:AB795&amp;CHAR(34), )) &amp; "]"
</f>
        <v>["Viral/prion-induced diseases"]</v>
      </c>
      <c r="T795" s="3" t="s">
        <v>385</v>
      </c>
      <c r="U795" s="3"/>
      <c r="V795" s="3"/>
      <c r="AC795" s="3" t="s">
        <v>385</v>
      </c>
      <c r="AL795" s="9" t="str">
        <f t="array" ref="AL795">"[" &amp; TEXTJOIN(", ", TRUE, IF(LEN(AM795:AQ795), CHAR(34)&amp;AM795:AQ795&amp;CHAR(34), )) &amp; "]"
</f>
        <v>["Invasive &amp; other problematic species, genes &amp; diseases"]</v>
      </c>
      <c r="AM795" s="3" t="s">
        <v>54</v>
      </c>
      <c r="AN795" s="3"/>
      <c r="AO795" s="3"/>
      <c r="AP795" s="3"/>
      <c r="AQ795" s="3"/>
      <c r="AR795" s="3" t="s">
        <v>54</v>
      </c>
      <c r="AW795" s="8" t="s">
        <v>2748</v>
      </c>
    </row>
    <row r="796">
      <c r="A796" s="3">
        <v>591.0</v>
      </c>
      <c r="B796" s="3" t="s">
        <v>40</v>
      </c>
      <c r="C796" s="3" t="s">
        <v>1307</v>
      </c>
      <c r="D796" s="3">
        <v>2017.0</v>
      </c>
      <c r="E796" s="3" t="s">
        <v>1308</v>
      </c>
      <c r="F796" s="3" t="s">
        <v>129</v>
      </c>
      <c r="G796" s="3" t="s">
        <v>2600</v>
      </c>
      <c r="H796" s="3" t="s">
        <v>82</v>
      </c>
      <c r="I796" s="3" t="s">
        <v>2147</v>
      </c>
      <c r="J796" s="3" t="s">
        <v>82</v>
      </c>
      <c r="K796" s="3" t="s">
        <v>2217</v>
      </c>
      <c r="L796" s="3" t="s">
        <v>2237</v>
      </c>
      <c r="M796" s="3" t="s">
        <v>384</v>
      </c>
      <c r="S796" s="9" t="str">
        <f t="array" ref="S796">"[" &amp; TEXTJOIN(", ", TRUE, IF(LEN(T796:AB796), CHAR(34)&amp;T796:AB796&amp;CHAR(34), )) &amp; "]"
</f>
        <v>["Viral/prion-induced diseases"]</v>
      </c>
      <c r="T796" s="3" t="s">
        <v>385</v>
      </c>
      <c r="U796" s="3"/>
      <c r="V796" s="3"/>
      <c r="AC796" s="3" t="s">
        <v>385</v>
      </c>
      <c r="AL796" s="9" t="str">
        <f t="array" ref="AL796">"[" &amp; TEXTJOIN(", ", TRUE, IF(LEN(AM796:AQ796), CHAR(34)&amp;AM796:AQ796&amp;CHAR(34), )) &amp; "]"
</f>
        <v>["Invasive &amp; other problematic species, genes &amp; diseases"]</v>
      </c>
      <c r="AM796" s="3" t="s">
        <v>54</v>
      </c>
      <c r="AN796" s="3"/>
      <c r="AO796" s="3"/>
      <c r="AP796" s="3"/>
      <c r="AQ796" s="3"/>
      <c r="AR796" s="3" t="s">
        <v>54</v>
      </c>
      <c r="AW796" s="8" t="s">
        <v>2749</v>
      </c>
    </row>
    <row r="797">
      <c r="A797" s="3">
        <v>592.0</v>
      </c>
      <c r="B797" s="3" t="s">
        <v>40</v>
      </c>
      <c r="C797" s="3" t="s">
        <v>1309</v>
      </c>
      <c r="D797" s="3">
        <v>2017.0</v>
      </c>
      <c r="E797" s="3" t="s">
        <v>1310</v>
      </c>
      <c r="F797" s="3" t="s">
        <v>129</v>
      </c>
      <c r="G797" s="3" t="s">
        <v>2600</v>
      </c>
      <c r="H797" s="3" t="s">
        <v>82</v>
      </c>
      <c r="I797" s="3" t="s">
        <v>2147</v>
      </c>
      <c r="J797" s="3" t="s">
        <v>82</v>
      </c>
      <c r="K797" s="3" t="s">
        <v>2217</v>
      </c>
      <c r="L797" s="3" t="s">
        <v>2237</v>
      </c>
      <c r="M797" s="3" t="s">
        <v>384</v>
      </c>
      <c r="S797" s="9" t="str">
        <f t="array" ref="S797">"[" &amp; TEXTJOIN(", ", TRUE, IF(LEN(T797:AB797), CHAR(34)&amp;T797:AB797&amp;CHAR(34), )) &amp; "]"
</f>
        <v>["Viral/prion-induced diseases"]</v>
      </c>
      <c r="T797" s="3" t="s">
        <v>385</v>
      </c>
      <c r="U797" s="3"/>
      <c r="V797" s="3"/>
      <c r="AC797" s="3" t="s">
        <v>385</v>
      </c>
      <c r="AL797" s="9" t="str">
        <f t="array" ref="AL797">"[" &amp; TEXTJOIN(", ", TRUE, IF(LEN(AM797:AQ797), CHAR(34)&amp;AM797:AQ797&amp;CHAR(34), )) &amp; "]"
</f>
        <v>["Invasive &amp; other problematic species, genes &amp; diseases"]</v>
      </c>
      <c r="AM797" s="3" t="s">
        <v>54</v>
      </c>
      <c r="AN797" s="3"/>
      <c r="AO797" s="3"/>
      <c r="AP797" s="3"/>
      <c r="AQ797" s="3"/>
      <c r="AR797" s="3" t="s">
        <v>54</v>
      </c>
      <c r="AW797" s="8" t="s">
        <v>2750</v>
      </c>
    </row>
    <row r="798">
      <c r="A798" s="3">
        <v>593.0</v>
      </c>
      <c r="B798" s="3" t="s">
        <v>40</v>
      </c>
      <c r="C798" s="3" t="s">
        <v>1311</v>
      </c>
      <c r="D798" s="3">
        <v>2017.0</v>
      </c>
      <c r="E798" s="3" t="s">
        <v>1312</v>
      </c>
      <c r="F798" s="3" t="s">
        <v>129</v>
      </c>
      <c r="G798" s="3" t="s">
        <v>2600</v>
      </c>
      <c r="H798" s="3" t="s">
        <v>82</v>
      </c>
      <c r="I798" s="3" t="s">
        <v>2147</v>
      </c>
      <c r="J798" s="3" t="s">
        <v>82</v>
      </c>
      <c r="K798" s="3" t="s">
        <v>2217</v>
      </c>
      <c r="L798" s="3" t="s">
        <v>2237</v>
      </c>
      <c r="M798" s="3" t="s">
        <v>384</v>
      </c>
      <c r="S798" s="9" t="str">
        <f t="array" ref="S798">"[" &amp; TEXTJOIN(", ", TRUE, IF(LEN(T798:AB798), CHAR(34)&amp;T798:AB798&amp;CHAR(34), )) &amp; "]"
</f>
        <v>["Viral/prion-induced diseases"]</v>
      </c>
      <c r="T798" s="3" t="s">
        <v>385</v>
      </c>
      <c r="U798" s="3"/>
      <c r="V798" s="3"/>
      <c r="AC798" s="3" t="s">
        <v>385</v>
      </c>
      <c r="AL798" s="9" t="str">
        <f t="array" ref="AL798">"[" &amp; TEXTJOIN(", ", TRUE, IF(LEN(AM798:AQ798), CHAR(34)&amp;AM798:AQ798&amp;CHAR(34), )) &amp; "]"
</f>
        <v>["Invasive &amp; other problematic species, genes &amp; diseases"]</v>
      </c>
      <c r="AM798" s="3" t="s">
        <v>54</v>
      </c>
      <c r="AN798" s="3"/>
      <c r="AO798" s="3"/>
      <c r="AP798" s="3"/>
      <c r="AQ798" s="3"/>
      <c r="AR798" s="3" t="s">
        <v>54</v>
      </c>
      <c r="AW798" s="8" t="s">
        <v>2751</v>
      </c>
    </row>
    <row r="799">
      <c r="A799" s="3">
        <v>595.0</v>
      </c>
      <c r="B799" s="3" t="s">
        <v>40</v>
      </c>
      <c r="C799" s="3" t="s">
        <v>1315</v>
      </c>
      <c r="D799" s="3">
        <v>2018.0</v>
      </c>
      <c r="E799" s="3" t="s">
        <v>1316</v>
      </c>
      <c r="F799" s="3" t="s">
        <v>129</v>
      </c>
      <c r="G799" s="3" t="s">
        <v>2600</v>
      </c>
      <c r="H799" s="3" t="s">
        <v>82</v>
      </c>
      <c r="I799" s="3" t="s">
        <v>2147</v>
      </c>
      <c r="J799" s="3" t="s">
        <v>82</v>
      </c>
      <c r="K799" s="3" t="s">
        <v>2217</v>
      </c>
      <c r="L799" s="3" t="s">
        <v>2237</v>
      </c>
      <c r="M799" s="3" t="s">
        <v>384</v>
      </c>
      <c r="S799" s="9" t="str">
        <f t="array" ref="S799">"[" &amp; TEXTJOIN(", ", TRUE, IF(LEN(T799:AB799), CHAR(34)&amp;T799:AB799&amp;CHAR(34), )) &amp; "]"
</f>
        <v>["Viral/prion-induced diseases"]</v>
      </c>
      <c r="T799" s="3" t="s">
        <v>385</v>
      </c>
      <c r="U799" s="3"/>
      <c r="V799" s="3"/>
      <c r="AC799" s="3" t="s">
        <v>385</v>
      </c>
      <c r="AL799" s="9" t="str">
        <f t="array" ref="AL799">"[" &amp; TEXTJOIN(", ", TRUE, IF(LEN(AM799:AQ799), CHAR(34)&amp;AM799:AQ799&amp;CHAR(34), )) &amp; "]"
</f>
        <v>["Invasive &amp; other problematic species, genes &amp; diseases"]</v>
      </c>
      <c r="AM799" s="3" t="s">
        <v>54</v>
      </c>
      <c r="AN799" s="3"/>
      <c r="AO799" s="3"/>
      <c r="AP799" s="3"/>
      <c r="AQ799" s="3"/>
      <c r="AR799" s="3" t="s">
        <v>54</v>
      </c>
      <c r="AW799" s="8" t="s">
        <v>2752</v>
      </c>
    </row>
    <row r="800">
      <c r="A800" s="3">
        <v>603.0</v>
      </c>
      <c r="B800" s="3" t="s">
        <v>40</v>
      </c>
      <c r="C800" s="3" t="s">
        <v>1332</v>
      </c>
      <c r="D800" s="3">
        <v>2019.0</v>
      </c>
      <c r="E800" s="3" t="s">
        <v>1333</v>
      </c>
      <c r="F800" s="3" t="s">
        <v>129</v>
      </c>
      <c r="G800" s="3" t="s">
        <v>2600</v>
      </c>
      <c r="H800" s="3" t="s">
        <v>82</v>
      </c>
      <c r="I800" s="3" t="s">
        <v>2147</v>
      </c>
      <c r="J800" s="3" t="s">
        <v>82</v>
      </c>
      <c r="K800" s="3" t="s">
        <v>2217</v>
      </c>
      <c r="L800" s="3" t="s">
        <v>2237</v>
      </c>
      <c r="M800" s="3" t="s">
        <v>384</v>
      </c>
      <c r="S800" s="9" t="str">
        <f t="array" ref="S800">"[" &amp; TEXTJOIN(", ", TRUE, IF(LEN(T800:AB800), CHAR(34)&amp;T800:AB800&amp;CHAR(34), )) &amp; "]"
</f>
        <v>["Viral/prion-induced diseases"]</v>
      </c>
      <c r="T800" s="3" t="s">
        <v>385</v>
      </c>
      <c r="U800" s="3"/>
      <c r="V800" s="3"/>
      <c r="AC800" s="3" t="s">
        <v>385</v>
      </c>
      <c r="AL800" s="9" t="str">
        <f t="array" ref="AL800">"[" &amp; TEXTJOIN(", ", TRUE, IF(LEN(AM800:AQ800), CHAR(34)&amp;AM800:AQ800&amp;CHAR(34), )) &amp; "]"
</f>
        <v>["Invasive &amp; other problematic species, genes &amp; diseases"]</v>
      </c>
      <c r="AM800" s="3" t="s">
        <v>54</v>
      </c>
      <c r="AN800" s="3"/>
      <c r="AO800" s="3"/>
      <c r="AP800" s="3"/>
      <c r="AQ800" s="3"/>
      <c r="AR800" s="3" t="s">
        <v>54</v>
      </c>
      <c r="AW800" s="8" t="s">
        <v>2753</v>
      </c>
    </row>
    <row r="801">
      <c r="A801" s="3">
        <v>604.0</v>
      </c>
      <c r="B801" s="3" t="s">
        <v>40</v>
      </c>
      <c r="C801" s="3" t="s">
        <v>1334</v>
      </c>
      <c r="D801" s="3">
        <v>2019.0</v>
      </c>
      <c r="E801" s="3" t="s">
        <v>1335</v>
      </c>
      <c r="F801" s="3" t="s">
        <v>129</v>
      </c>
      <c r="G801" s="3" t="s">
        <v>2600</v>
      </c>
      <c r="H801" s="3" t="s">
        <v>82</v>
      </c>
      <c r="I801" s="3" t="s">
        <v>2147</v>
      </c>
      <c r="J801" s="3" t="s">
        <v>82</v>
      </c>
      <c r="K801" s="3" t="s">
        <v>2217</v>
      </c>
      <c r="L801" s="3" t="s">
        <v>2237</v>
      </c>
      <c r="M801" s="3" t="s">
        <v>384</v>
      </c>
      <c r="S801" s="9" t="str">
        <f t="array" ref="S801">"[" &amp; TEXTJOIN(", ", TRUE, IF(LEN(T801:AB801), CHAR(34)&amp;T801:AB801&amp;CHAR(34), )) &amp; "]"
</f>
        <v>["Viral/prion-induced diseases"]</v>
      </c>
      <c r="T801" s="3" t="s">
        <v>385</v>
      </c>
      <c r="U801" s="3"/>
      <c r="V801" s="3"/>
      <c r="AC801" s="3" t="s">
        <v>385</v>
      </c>
      <c r="AL801" s="9" t="str">
        <f t="array" ref="AL801">"[" &amp; TEXTJOIN(", ", TRUE, IF(LEN(AM801:AQ801), CHAR(34)&amp;AM801:AQ801&amp;CHAR(34), )) &amp; "]"
</f>
        <v>["Invasive &amp; other problematic species, genes &amp; diseases"]</v>
      </c>
      <c r="AM801" s="3" t="s">
        <v>54</v>
      </c>
      <c r="AN801" s="3"/>
      <c r="AO801" s="3"/>
      <c r="AP801" s="3"/>
      <c r="AQ801" s="3"/>
      <c r="AR801" s="3" t="s">
        <v>54</v>
      </c>
      <c r="AW801" s="8" t="s">
        <v>2754</v>
      </c>
    </row>
    <row r="802">
      <c r="A802" s="3">
        <v>605.0</v>
      </c>
      <c r="B802" s="3" t="s">
        <v>40</v>
      </c>
      <c r="C802" s="3" t="s">
        <v>1336</v>
      </c>
      <c r="D802" s="3">
        <v>2019.0</v>
      </c>
      <c r="E802" s="3" t="s">
        <v>1337</v>
      </c>
      <c r="F802" s="3" t="s">
        <v>129</v>
      </c>
      <c r="G802" s="3" t="s">
        <v>2600</v>
      </c>
      <c r="H802" s="3" t="s">
        <v>82</v>
      </c>
      <c r="I802" s="3" t="s">
        <v>2147</v>
      </c>
      <c r="J802" s="3" t="s">
        <v>82</v>
      </c>
      <c r="K802" s="3" t="s">
        <v>2217</v>
      </c>
      <c r="L802" s="3" t="s">
        <v>2237</v>
      </c>
      <c r="M802" s="3" t="s">
        <v>384</v>
      </c>
      <c r="S802" s="9" t="str">
        <f t="array" ref="S802">"[" &amp; TEXTJOIN(", ", TRUE, IF(LEN(T802:AB802), CHAR(34)&amp;T802:AB802&amp;CHAR(34), )) &amp; "]"
</f>
        <v>["Viral/prion-induced diseases"]</v>
      </c>
      <c r="T802" s="3" t="s">
        <v>385</v>
      </c>
      <c r="U802" s="3"/>
      <c r="V802" s="3"/>
      <c r="AC802" s="3" t="s">
        <v>385</v>
      </c>
      <c r="AL802" s="9" t="str">
        <f t="array" ref="AL802">"[" &amp; TEXTJOIN(", ", TRUE, IF(LEN(AM802:AQ802), CHAR(34)&amp;AM802:AQ802&amp;CHAR(34), )) &amp; "]"
</f>
        <v>["Invasive &amp; other problematic species, genes &amp; diseases"]</v>
      </c>
      <c r="AM802" s="3" t="s">
        <v>54</v>
      </c>
      <c r="AN802" s="3"/>
      <c r="AO802" s="3"/>
      <c r="AP802" s="3"/>
      <c r="AQ802" s="3"/>
      <c r="AR802" s="3" t="s">
        <v>54</v>
      </c>
      <c r="AW802" s="8" t="s">
        <v>2755</v>
      </c>
    </row>
    <row r="803">
      <c r="A803" s="3">
        <v>606.0</v>
      </c>
      <c r="B803" s="3" t="s">
        <v>40</v>
      </c>
      <c r="C803" s="3" t="s">
        <v>1338</v>
      </c>
      <c r="D803" s="3">
        <v>2020.0</v>
      </c>
      <c r="E803" s="3" t="s">
        <v>1339</v>
      </c>
      <c r="F803" s="3" t="s">
        <v>129</v>
      </c>
      <c r="G803" s="3" t="s">
        <v>2600</v>
      </c>
      <c r="H803" s="3" t="s">
        <v>82</v>
      </c>
      <c r="I803" s="3" t="s">
        <v>2147</v>
      </c>
      <c r="J803" s="3" t="s">
        <v>82</v>
      </c>
      <c r="K803" s="3" t="s">
        <v>2217</v>
      </c>
      <c r="L803" s="3" t="s">
        <v>2237</v>
      </c>
      <c r="M803" s="3" t="s">
        <v>384</v>
      </c>
      <c r="S803" s="9" t="str">
        <f t="array" ref="S803">"[" &amp; TEXTJOIN(", ", TRUE, IF(LEN(T803:AB803), CHAR(34)&amp;T803:AB803&amp;CHAR(34), )) &amp; "]"
</f>
        <v>["Viral/prion-induced diseases"]</v>
      </c>
      <c r="T803" s="3"/>
      <c r="U803" s="3" t="s">
        <v>385</v>
      </c>
      <c r="V803" s="3"/>
      <c r="AD803" s="3" t="s">
        <v>385</v>
      </c>
      <c r="AL803" s="9" t="str">
        <f t="array" ref="AL803">"[" &amp; TEXTJOIN(", ", TRUE, IF(LEN(AM803:AQ803), CHAR(34)&amp;AM803:AQ803&amp;CHAR(34), )) &amp; "]"
</f>
        <v>["Invasive &amp; other problematic species, genes &amp; diseases"]</v>
      </c>
      <c r="AM803" s="3" t="s">
        <v>54</v>
      </c>
      <c r="AN803" s="3"/>
      <c r="AO803" s="3"/>
      <c r="AP803" s="3"/>
      <c r="AQ803" s="3"/>
      <c r="AR803" s="3" t="s">
        <v>54</v>
      </c>
      <c r="AW803" s="8" t="s">
        <v>2756</v>
      </c>
    </row>
    <row r="804">
      <c r="A804" s="3">
        <v>607.0</v>
      </c>
      <c r="B804" s="3" t="s">
        <v>40</v>
      </c>
      <c r="C804" s="3" t="s">
        <v>1340</v>
      </c>
      <c r="D804" s="3">
        <v>2020.0</v>
      </c>
      <c r="E804" s="3" t="s">
        <v>1341</v>
      </c>
      <c r="F804" s="3" t="s">
        <v>129</v>
      </c>
      <c r="G804" s="3" t="s">
        <v>2600</v>
      </c>
      <c r="H804" s="3" t="s">
        <v>82</v>
      </c>
      <c r="I804" s="3" t="s">
        <v>2147</v>
      </c>
      <c r="J804" s="3" t="s">
        <v>82</v>
      </c>
      <c r="K804" s="3" t="s">
        <v>2217</v>
      </c>
      <c r="L804" s="3" t="s">
        <v>2237</v>
      </c>
      <c r="M804" s="3" t="s">
        <v>384</v>
      </c>
      <c r="S804" s="9" t="str">
        <f t="array" ref="S804">"[" &amp; TEXTJOIN(", ", TRUE, IF(LEN(T804:AB804), CHAR(34)&amp;T804:AB804&amp;CHAR(34), )) &amp; "]"
</f>
        <v>["Viral/prion-induced diseases"]</v>
      </c>
      <c r="T804" s="3"/>
      <c r="U804" s="3" t="s">
        <v>385</v>
      </c>
      <c r="V804" s="3"/>
      <c r="AD804" s="3" t="s">
        <v>385</v>
      </c>
      <c r="AL804" s="9" t="str">
        <f t="array" ref="AL804">"[" &amp; TEXTJOIN(", ", TRUE, IF(LEN(AM804:AQ804), CHAR(34)&amp;AM804:AQ804&amp;CHAR(34), )) &amp; "]"
</f>
        <v>["Invasive &amp; other problematic species, genes &amp; diseases"]</v>
      </c>
      <c r="AM804" s="3" t="s">
        <v>54</v>
      </c>
      <c r="AN804" s="3"/>
      <c r="AO804" s="3"/>
      <c r="AP804" s="3"/>
      <c r="AQ804" s="3"/>
      <c r="AR804" s="3" t="s">
        <v>54</v>
      </c>
      <c r="AW804" s="8" t="s">
        <v>2757</v>
      </c>
    </row>
    <row r="805">
      <c r="A805" s="3">
        <v>601.0</v>
      </c>
      <c r="B805" s="3" t="s">
        <v>40</v>
      </c>
      <c r="C805" s="3" t="s">
        <v>1328</v>
      </c>
      <c r="D805" s="3">
        <v>2019.0</v>
      </c>
      <c r="E805" s="3" t="s">
        <v>1329</v>
      </c>
      <c r="F805" s="3" t="s">
        <v>129</v>
      </c>
      <c r="G805" s="3" t="s">
        <v>2600</v>
      </c>
      <c r="H805" s="3" t="s">
        <v>82</v>
      </c>
      <c r="I805" s="3" t="s">
        <v>2147</v>
      </c>
      <c r="J805" s="3" t="s">
        <v>82</v>
      </c>
      <c r="K805" s="3" t="s">
        <v>2217</v>
      </c>
      <c r="L805" s="3" t="s">
        <v>2224</v>
      </c>
      <c r="M805" s="3" t="s">
        <v>314</v>
      </c>
      <c r="S805" s="9"/>
      <c r="T805" s="3"/>
      <c r="U805" s="3"/>
      <c r="V805" s="3"/>
      <c r="AL805" s="9" t="str">
        <f t="array" ref="AL805">"[" &amp; TEXTJOIN(", ", TRUE, IF(LEN(AM805:AQ805), CHAR(34)&amp;AM805:AQ805&amp;CHAR(34), )) &amp; "]"
</f>
        <v>["Invasive &amp; other problematic species, genes &amp; diseases"]</v>
      </c>
      <c r="AM805" s="3" t="s">
        <v>54</v>
      </c>
      <c r="AN805" s="3"/>
      <c r="AO805" s="3"/>
      <c r="AP805" s="3"/>
      <c r="AQ805" s="3"/>
      <c r="AR805" s="3" t="s">
        <v>54</v>
      </c>
      <c r="AW805" s="8" t="s">
        <v>2758</v>
      </c>
    </row>
    <row r="806" hidden="1">
      <c r="A806" s="3">
        <v>478.0</v>
      </c>
      <c r="B806" s="3" t="s">
        <v>72</v>
      </c>
      <c r="C806" s="3" t="s">
        <v>1080</v>
      </c>
      <c r="D806" s="3">
        <v>2014.0</v>
      </c>
      <c r="E806" s="3" t="s">
        <v>1081</v>
      </c>
      <c r="F806" s="3" t="s">
        <v>129</v>
      </c>
      <c r="G806" s="3"/>
      <c r="H806" s="3" t="s">
        <v>82</v>
      </c>
      <c r="I806" s="3"/>
      <c r="J806" s="3" t="s">
        <v>82</v>
      </c>
      <c r="K806" s="3"/>
      <c r="L806" s="3"/>
      <c r="M806" s="3" t="s">
        <v>130</v>
      </c>
      <c r="S806" s="3"/>
      <c r="T806" s="3"/>
      <c r="U806" s="3"/>
      <c r="V806" s="3"/>
      <c r="Y806" s="3"/>
      <c r="Z806" s="3"/>
      <c r="AC806" s="3" t="s">
        <v>244</v>
      </c>
      <c r="AH806" s="3" t="s">
        <v>60</v>
      </c>
      <c r="AI806" s="3" t="s">
        <v>47</v>
      </c>
      <c r="AL806" s="3"/>
      <c r="AM806" s="3"/>
      <c r="AN806" s="3"/>
      <c r="AO806" s="3"/>
      <c r="AP806" s="3"/>
      <c r="AQ806" s="3"/>
      <c r="AR806" s="3" t="s">
        <v>54</v>
      </c>
      <c r="AS806" s="3" t="s">
        <v>78</v>
      </c>
      <c r="AT806" s="3" t="s">
        <v>51</v>
      </c>
      <c r="AW806" s="8" t="s">
        <v>2135</v>
      </c>
    </row>
    <row r="807">
      <c r="A807" s="3">
        <v>648.0</v>
      </c>
      <c r="B807" s="3" t="s">
        <v>40</v>
      </c>
      <c r="C807" s="3" t="s">
        <v>1409</v>
      </c>
      <c r="D807" s="3">
        <v>2011.0</v>
      </c>
      <c r="E807" s="3" t="s">
        <v>1410</v>
      </c>
      <c r="F807" s="3" t="s">
        <v>129</v>
      </c>
      <c r="G807" s="3" t="s">
        <v>2600</v>
      </c>
      <c r="H807" s="3" t="s">
        <v>82</v>
      </c>
      <c r="I807" s="3" t="s">
        <v>2147</v>
      </c>
      <c r="J807" s="3" t="s">
        <v>82</v>
      </c>
      <c r="K807" s="3" t="s">
        <v>2217</v>
      </c>
      <c r="L807" s="3" t="s">
        <v>2224</v>
      </c>
      <c r="M807" s="3" t="s">
        <v>314</v>
      </c>
      <c r="S807" s="9" t="str">
        <f t="array" ref="S807">"[" &amp; TEXTJOIN(", ", TRUE, IF(LEN(T807:AB807), CHAR(34)&amp;T807:AB807&amp;CHAR(34), )) &amp; "]"
</f>
        <v>["Fire &amp; fire suppression"]</v>
      </c>
      <c r="T807" s="3" t="s">
        <v>250</v>
      </c>
      <c r="U807" s="3"/>
      <c r="V807" s="3"/>
      <c r="AC807" s="3" t="s">
        <v>250</v>
      </c>
      <c r="AL807" s="9" t="str">
        <f t="array" ref="AL807">"[" &amp; TEXTJOIN(", ", TRUE, IF(LEN(AM807:AQ807), CHAR(34)&amp;AM807:AQ807&amp;CHAR(34), )) &amp; "]"
</f>
        <v>["Natural system modifications"]</v>
      </c>
      <c r="AM807" s="3" t="s">
        <v>53</v>
      </c>
      <c r="AN807" s="3"/>
      <c r="AO807" s="3"/>
      <c r="AP807" s="3"/>
      <c r="AQ807" s="3"/>
      <c r="AR807" s="3" t="s">
        <v>53</v>
      </c>
      <c r="AW807" s="8" t="s">
        <v>2759</v>
      </c>
    </row>
    <row r="808">
      <c r="A808" s="3">
        <v>654.0</v>
      </c>
      <c r="B808" s="3" t="s">
        <v>40</v>
      </c>
      <c r="C808" s="3" t="s">
        <v>1421</v>
      </c>
      <c r="D808" s="3">
        <v>2016.0</v>
      </c>
      <c r="E808" s="3" t="s">
        <v>1422</v>
      </c>
      <c r="F808" s="3" t="s">
        <v>129</v>
      </c>
      <c r="G808" s="3" t="s">
        <v>2600</v>
      </c>
      <c r="H808" s="3" t="s">
        <v>82</v>
      </c>
      <c r="I808" s="3" t="s">
        <v>2147</v>
      </c>
      <c r="J808" s="3" t="s">
        <v>82</v>
      </c>
      <c r="K808" s="3" t="s">
        <v>2217</v>
      </c>
      <c r="L808" s="3" t="s">
        <v>2224</v>
      </c>
      <c r="M808" s="3" t="s">
        <v>314</v>
      </c>
      <c r="S808" s="9" t="str">
        <f t="array" ref="S808">"[" &amp; TEXTJOIN(", ", TRUE, IF(LEN(T808:AB808), CHAR(34)&amp;T808:AB808&amp;CHAR(34), )) &amp; "]"
</f>
        <v>["Fire &amp; fire suppression"]</v>
      </c>
      <c r="T808" s="3" t="s">
        <v>250</v>
      </c>
      <c r="U808" s="3"/>
      <c r="V808" s="3"/>
      <c r="AC808" s="3" t="s">
        <v>250</v>
      </c>
      <c r="AL808" s="9" t="str">
        <f t="array" ref="AL808">"[" &amp; TEXTJOIN(", ", TRUE, IF(LEN(AM808:AQ808), CHAR(34)&amp;AM808:AQ808&amp;CHAR(34), )) &amp; "]"
</f>
        <v>["Natural system modifications"]</v>
      </c>
      <c r="AM808" s="3" t="s">
        <v>53</v>
      </c>
      <c r="AN808" s="3"/>
      <c r="AO808" s="3"/>
      <c r="AP808" s="3"/>
      <c r="AQ808" s="3"/>
      <c r="AR808" s="3" t="s">
        <v>53</v>
      </c>
      <c r="AW808" s="8" t="s">
        <v>2760</v>
      </c>
    </row>
    <row r="809">
      <c r="A809" s="3">
        <v>653.0</v>
      </c>
      <c r="B809" s="3" t="s">
        <v>40</v>
      </c>
      <c r="C809" s="3" t="s">
        <v>1419</v>
      </c>
      <c r="D809" s="3">
        <v>2015.0</v>
      </c>
      <c r="E809" s="3" t="s">
        <v>1420</v>
      </c>
      <c r="F809" s="3" t="s">
        <v>129</v>
      </c>
      <c r="G809" s="3" t="s">
        <v>2600</v>
      </c>
      <c r="H809" s="3" t="s">
        <v>82</v>
      </c>
      <c r="I809" s="3" t="s">
        <v>2147</v>
      </c>
      <c r="J809" s="3" t="s">
        <v>82</v>
      </c>
      <c r="K809" s="3" t="s">
        <v>2217</v>
      </c>
      <c r="L809" s="3" t="s">
        <v>2234</v>
      </c>
      <c r="M809" s="3" t="s">
        <v>453</v>
      </c>
      <c r="S809" s="9"/>
      <c r="U809" s="3"/>
      <c r="V809" s="3"/>
      <c r="AC809" s="3" t="s">
        <v>134</v>
      </c>
      <c r="AL809" s="9" t="str">
        <f t="array" ref="AL809">"[" &amp; TEXTJOIN(", ", TRUE, IF(LEN(AM809:AQ809), CHAR(34)&amp;AM809:AQ809&amp;CHAR(34), )) &amp; "]"
</f>
        <v>["Natural system modifications"]</v>
      </c>
      <c r="AM809" s="3" t="s">
        <v>53</v>
      </c>
      <c r="AN809" s="3"/>
      <c r="AO809" s="3"/>
      <c r="AP809" s="3"/>
      <c r="AQ809" s="3"/>
      <c r="AR809" s="3" t="s">
        <v>53</v>
      </c>
      <c r="AW809" s="8" t="s">
        <v>2761</v>
      </c>
    </row>
    <row r="810">
      <c r="A810" s="3">
        <v>667.0</v>
      </c>
      <c r="B810" s="3" t="s">
        <v>40</v>
      </c>
      <c r="C810" s="3" t="s">
        <v>1446</v>
      </c>
      <c r="D810" s="3">
        <v>2000.0</v>
      </c>
      <c r="E810" s="3" t="s">
        <v>1447</v>
      </c>
      <c r="F810" s="3" t="s">
        <v>129</v>
      </c>
      <c r="G810" s="3" t="s">
        <v>2600</v>
      </c>
      <c r="H810" s="3" t="s">
        <v>82</v>
      </c>
      <c r="I810" s="3" t="s">
        <v>2147</v>
      </c>
      <c r="J810" s="3" t="s">
        <v>82</v>
      </c>
      <c r="K810" s="3" t="s">
        <v>2217</v>
      </c>
      <c r="L810" s="3" t="s">
        <v>2237</v>
      </c>
      <c r="M810" s="3" t="s">
        <v>384</v>
      </c>
      <c r="S810" s="9"/>
      <c r="T810" s="3"/>
      <c r="U810" s="3"/>
      <c r="V810" s="3"/>
      <c r="AL810" s="9" t="str">
        <f t="array" ref="AL810">"[" &amp; TEXTJOIN(", ", TRUE, IF(LEN(AM810:AQ810), CHAR(34)&amp;AM810:AQ810&amp;CHAR(34), )) &amp; "]"
</f>
        <v>[]</v>
      </c>
      <c r="AO810" s="3"/>
      <c r="AP810" s="3"/>
      <c r="AQ810" s="3"/>
      <c r="AR810" s="3" t="s">
        <v>78</v>
      </c>
      <c r="AS810" s="3" t="s">
        <v>78</v>
      </c>
      <c r="AW810" s="8" t="s">
        <v>2762</v>
      </c>
    </row>
    <row r="811">
      <c r="A811" s="3">
        <v>668.0</v>
      </c>
      <c r="B811" s="3" t="s">
        <v>40</v>
      </c>
      <c r="C811" s="3" t="s">
        <v>1448</v>
      </c>
      <c r="D811" s="3">
        <v>1996.0</v>
      </c>
      <c r="E811" s="3" t="s">
        <v>1449</v>
      </c>
      <c r="F811" s="3" t="s">
        <v>129</v>
      </c>
      <c r="G811" s="3" t="s">
        <v>2600</v>
      </c>
      <c r="H811" s="3" t="s">
        <v>82</v>
      </c>
      <c r="I811" s="3" t="s">
        <v>2147</v>
      </c>
      <c r="J811" s="3" t="s">
        <v>82</v>
      </c>
      <c r="K811" s="3" t="s">
        <v>2217</v>
      </c>
      <c r="L811" s="3" t="s">
        <v>2221</v>
      </c>
      <c r="M811" s="3" t="s">
        <v>317</v>
      </c>
      <c r="S811" s="9"/>
      <c r="T811" s="3"/>
      <c r="U811" s="3"/>
      <c r="V811" s="3"/>
      <c r="AL811" s="9" t="str">
        <f t="array" ref="AL811">"[" &amp; TEXTJOIN(", ", TRUE, IF(LEN(AM811:AQ811), CHAR(34)&amp;AM811:AQ811&amp;CHAR(34), )) &amp; "]"
</f>
        <v>[]</v>
      </c>
      <c r="AN811" s="3"/>
      <c r="AO811" s="3"/>
      <c r="AP811" s="3"/>
      <c r="AQ811" s="3"/>
      <c r="AR811" s="3" t="s">
        <v>78</v>
      </c>
      <c r="AW811" s="8" t="s">
        <v>2763</v>
      </c>
    </row>
    <row r="812">
      <c r="A812" s="3">
        <v>669.0</v>
      </c>
      <c r="B812" s="3" t="s">
        <v>40</v>
      </c>
      <c r="C812" s="3" t="s">
        <v>1450</v>
      </c>
      <c r="D812" s="3">
        <v>2000.0</v>
      </c>
      <c r="E812" s="3" t="s">
        <v>1451</v>
      </c>
      <c r="F812" s="3" t="s">
        <v>129</v>
      </c>
      <c r="G812" s="3" t="s">
        <v>2600</v>
      </c>
      <c r="H812" s="3" t="s">
        <v>82</v>
      </c>
      <c r="I812" s="3" t="s">
        <v>2147</v>
      </c>
      <c r="J812" s="3" t="s">
        <v>82</v>
      </c>
      <c r="K812" s="3" t="s">
        <v>2217</v>
      </c>
      <c r="L812" s="3" t="s">
        <v>2601</v>
      </c>
      <c r="M812" s="3" t="s">
        <v>130</v>
      </c>
      <c r="S812" s="9"/>
      <c r="T812" s="3"/>
      <c r="U812" s="3"/>
      <c r="V812" s="3"/>
      <c r="AL812" s="9" t="str">
        <f t="array" ref="AL812">"[" &amp; TEXTJOIN(", ", TRUE, IF(LEN(AM812:AQ812), CHAR(34)&amp;AM812:AQ812&amp;CHAR(34), )) &amp; "]"
</f>
        <v>[]</v>
      </c>
      <c r="AN812" s="3"/>
      <c r="AO812" s="3"/>
      <c r="AP812" s="3"/>
      <c r="AQ812" s="3"/>
      <c r="AR812" s="3" t="s">
        <v>78</v>
      </c>
      <c r="AW812" s="8" t="s">
        <v>2764</v>
      </c>
    </row>
    <row r="813">
      <c r="A813" s="3">
        <v>670.0</v>
      </c>
      <c r="B813" s="3" t="s">
        <v>40</v>
      </c>
      <c r="C813" s="3" t="s">
        <v>1452</v>
      </c>
      <c r="D813" s="3">
        <v>2000.0</v>
      </c>
      <c r="E813" s="3" t="s">
        <v>1453</v>
      </c>
      <c r="F813" s="3" t="s">
        <v>129</v>
      </c>
      <c r="G813" s="3" t="s">
        <v>2600</v>
      </c>
      <c r="H813" s="3" t="s">
        <v>82</v>
      </c>
      <c r="I813" s="3" t="s">
        <v>2147</v>
      </c>
      <c r="J813" s="3" t="s">
        <v>82</v>
      </c>
      <c r="K813" s="3" t="s">
        <v>2217</v>
      </c>
      <c r="L813" s="3" t="s">
        <v>2237</v>
      </c>
      <c r="M813" s="3" t="s">
        <v>384</v>
      </c>
      <c r="S813" s="9"/>
      <c r="T813" s="3"/>
      <c r="U813" s="3"/>
      <c r="V813" s="3"/>
      <c r="AL813" s="9" t="str">
        <f t="array" ref="AL813">"[" &amp; TEXTJOIN(", ", TRUE, IF(LEN(AM813:AQ813), CHAR(34)&amp;AM813:AQ813&amp;CHAR(34), )) &amp; "]"
</f>
        <v>[]</v>
      </c>
      <c r="AN813" s="3"/>
      <c r="AO813" s="3"/>
      <c r="AP813" s="3"/>
      <c r="AQ813" s="3"/>
      <c r="AR813" s="3" t="s">
        <v>78</v>
      </c>
      <c r="AW813" s="8" t="s">
        <v>2765</v>
      </c>
    </row>
    <row r="814">
      <c r="A814" s="3">
        <v>672.0</v>
      </c>
      <c r="B814" s="3" t="s">
        <v>40</v>
      </c>
      <c r="C814" s="3" t="s">
        <v>1456</v>
      </c>
      <c r="D814" s="3">
        <v>2001.0</v>
      </c>
      <c r="E814" s="3" t="s">
        <v>1457</v>
      </c>
      <c r="F814" s="3" t="s">
        <v>129</v>
      </c>
      <c r="G814" s="3" t="s">
        <v>2600</v>
      </c>
      <c r="H814" s="3" t="s">
        <v>82</v>
      </c>
      <c r="I814" s="3" t="s">
        <v>2147</v>
      </c>
      <c r="J814" s="3" t="s">
        <v>82</v>
      </c>
      <c r="K814" s="3" t="s">
        <v>2217</v>
      </c>
      <c r="L814" s="3" t="s">
        <v>2237</v>
      </c>
      <c r="M814" s="3" t="s">
        <v>384</v>
      </c>
      <c r="S814" s="9"/>
      <c r="T814" s="3"/>
      <c r="U814" s="3"/>
      <c r="V814" s="3"/>
      <c r="AL814" s="9" t="str">
        <f t="array" ref="AL814">"[" &amp; TEXTJOIN(", ", TRUE, IF(LEN(AM814:AQ814), CHAR(34)&amp;AM814:AQ814&amp;CHAR(34), )) &amp; "]"
</f>
        <v>[]</v>
      </c>
      <c r="AN814" s="3"/>
      <c r="AO814" s="3"/>
      <c r="AP814" s="3"/>
      <c r="AQ814" s="3"/>
      <c r="AR814" s="3" t="s">
        <v>78</v>
      </c>
      <c r="AW814" s="8" t="s">
        <v>2766</v>
      </c>
    </row>
    <row r="815">
      <c r="A815" s="3">
        <v>674.0</v>
      </c>
      <c r="B815" s="3" t="s">
        <v>40</v>
      </c>
      <c r="C815" s="3" t="s">
        <v>1460</v>
      </c>
      <c r="D815" s="3">
        <v>2002.0</v>
      </c>
      <c r="E815" s="3" t="s">
        <v>1461</v>
      </c>
      <c r="F815" s="3" t="s">
        <v>129</v>
      </c>
      <c r="G815" s="3" t="s">
        <v>2600</v>
      </c>
      <c r="H815" s="3" t="s">
        <v>82</v>
      </c>
      <c r="I815" s="3" t="s">
        <v>2147</v>
      </c>
      <c r="J815" s="3" t="s">
        <v>82</v>
      </c>
      <c r="K815" s="3" t="s">
        <v>2217</v>
      </c>
      <c r="L815" s="3" t="s">
        <v>2237</v>
      </c>
      <c r="M815" s="3" t="s">
        <v>384</v>
      </c>
      <c r="S815" s="9"/>
      <c r="T815" s="3"/>
      <c r="U815" s="3"/>
      <c r="V815" s="3"/>
      <c r="AL815" s="9" t="str">
        <f t="array" ref="AL815">"[" &amp; TEXTJOIN(", ", TRUE, IF(LEN(AM815:AQ815), CHAR(34)&amp;AM815:AQ815&amp;CHAR(34), )) &amp; "]"
</f>
        <v>[]</v>
      </c>
      <c r="AN815" s="3"/>
      <c r="AO815" s="3"/>
      <c r="AP815" s="3"/>
      <c r="AQ815" s="3"/>
      <c r="AR815" s="3" t="s">
        <v>78</v>
      </c>
      <c r="AW815" s="8" t="s">
        <v>2767</v>
      </c>
    </row>
    <row r="816">
      <c r="A816" s="3">
        <v>677.0</v>
      </c>
      <c r="B816" s="3" t="s">
        <v>40</v>
      </c>
      <c r="C816" s="3" t="s">
        <v>1466</v>
      </c>
      <c r="D816" s="3">
        <v>2003.0</v>
      </c>
      <c r="E816" s="3" t="s">
        <v>1467</v>
      </c>
      <c r="F816" s="3" t="s">
        <v>129</v>
      </c>
      <c r="G816" s="3" t="s">
        <v>2600</v>
      </c>
      <c r="H816" s="3" t="s">
        <v>82</v>
      </c>
      <c r="I816" s="3" t="s">
        <v>2147</v>
      </c>
      <c r="J816" s="3" t="s">
        <v>82</v>
      </c>
      <c r="K816" s="3" t="s">
        <v>2217</v>
      </c>
      <c r="L816" s="3" t="s">
        <v>2237</v>
      </c>
      <c r="M816" s="3" t="s">
        <v>384</v>
      </c>
      <c r="S816" s="9"/>
      <c r="T816" s="3"/>
      <c r="U816" s="3"/>
      <c r="V816" s="3"/>
      <c r="AL816" s="9" t="str">
        <f t="array" ref="AL816">"[" &amp; TEXTJOIN(", ", TRUE, IF(LEN(AM816:AQ816), CHAR(34)&amp;AM816:AQ816&amp;CHAR(34), )) &amp; "]"
</f>
        <v>[]</v>
      </c>
      <c r="AN816" s="3"/>
      <c r="AO816" s="3"/>
      <c r="AP816" s="3"/>
      <c r="AQ816" s="3"/>
      <c r="AR816" s="3" t="s">
        <v>78</v>
      </c>
      <c r="AW816" s="8" t="s">
        <v>2768</v>
      </c>
    </row>
    <row r="817">
      <c r="A817" s="3">
        <v>678.0</v>
      </c>
      <c r="B817" s="3" t="s">
        <v>40</v>
      </c>
      <c r="C817" s="3" t="s">
        <v>1468</v>
      </c>
      <c r="D817" s="3">
        <v>2004.0</v>
      </c>
      <c r="E817" s="3" t="s">
        <v>1469</v>
      </c>
      <c r="F817" s="3" t="s">
        <v>129</v>
      </c>
      <c r="G817" s="3" t="s">
        <v>2600</v>
      </c>
      <c r="H817" s="3" t="s">
        <v>82</v>
      </c>
      <c r="I817" s="3" t="s">
        <v>2147</v>
      </c>
      <c r="J817" s="3" t="s">
        <v>82</v>
      </c>
      <c r="K817" s="3" t="s">
        <v>2217</v>
      </c>
      <c r="L817" s="3" t="s">
        <v>2224</v>
      </c>
      <c r="M817" s="3" t="s">
        <v>314</v>
      </c>
      <c r="S817" s="9"/>
      <c r="T817" s="3"/>
      <c r="U817" s="3"/>
      <c r="V817" s="3"/>
      <c r="AL817" s="9" t="str">
        <f t="array" ref="AL817">"[" &amp; TEXTJOIN(", ", TRUE, IF(LEN(AM817:AQ817), CHAR(34)&amp;AM817:AQ817&amp;CHAR(34), )) &amp; "]"
</f>
        <v>[]</v>
      </c>
      <c r="AN817" s="3"/>
      <c r="AO817" s="3"/>
      <c r="AP817" s="3"/>
      <c r="AQ817" s="3"/>
      <c r="AR817" s="3" t="s">
        <v>78</v>
      </c>
      <c r="AW817" s="8" t="s">
        <v>2769</v>
      </c>
    </row>
    <row r="818">
      <c r="A818" s="3">
        <v>684.0</v>
      </c>
      <c r="B818" s="3" t="s">
        <v>40</v>
      </c>
      <c r="C818" s="3" t="s">
        <v>1481</v>
      </c>
      <c r="D818" s="3">
        <v>2005.0</v>
      </c>
      <c r="E818" s="3" t="s">
        <v>1482</v>
      </c>
      <c r="F818" s="3" t="s">
        <v>129</v>
      </c>
      <c r="G818" s="3" t="s">
        <v>2600</v>
      </c>
      <c r="H818" s="3" t="s">
        <v>82</v>
      </c>
      <c r="I818" s="3" t="s">
        <v>2147</v>
      </c>
      <c r="J818" s="3" t="s">
        <v>82</v>
      </c>
      <c r="K818" s="3" t="s">
        <v>2217</v>
      </c>
      <c r="L818" s="3" t="s">
        <v>2237</v>
      </c>
      <c r="M818" s="3" t="s">
        <v>384</v>
      </c>
      <c r="S818" s="9"/>
      <c r="T818" s="3"/>
      <c r="U818" s="3"/>
      <c r="V818" s="3"/>
      <c r="AL818" s="9" t="str">
        <f t="array" ref="AL818">"[" &amp; TEXTJOIN(", ", TRUE, IF(LEN(AM818:AQ818), CHAR(34)&amp;AM818:AQ818&amp;CHAR(34), )) &amp; "]"
</f>
        <v>[]</v>
      </c>
      <c r="AN818" s="3"/>
      <c r="AO818" s="3"/>
      <c r="AP818" s="3"/>
      <c r="AQ818" s="3"/>
      <c r="AR818" s="3" t="s">
        <v>78</v>
      </c>
      <c r="AW818" s="8" t="s">
        <v>2770</v>
      </c>
    </row>
    <row r="819">
      <c r="A819" s="3">
        <v>685.0</v>
      </c>
      <c r="B819" s="3" t="s">
        <v>40</v>
      </c>
      <c r="C819" s="3" t="s">
        <v>1483</v>
      </c>
      <c r="D819" s="3">
        <v>2006.0</v>
      </c>
      <c r="E819" s="3" t="s">
        <v>1484</v>
      </c>
      <c r="F819" s="3" t="s">
        <v>129</v>
      </c>
      <c r="G819" s="3" t="s">
        <v>2600</v>
      </c>
      <c r="H819" s="3" t="s">
        <v>82</v>
      </c>
      <c r="I819" s="3" t="s">
        <v>2147</v>
      </c>
      <c r="J819" s="3" t="s">
        <v>82</v>
      </c>
      <c r="K819" s="3" t="s">
        <v>2217</v>
      </c>
      <c r="L819" s="3" t="s">
        <v>2221</v>
      </c>
      <c r="M819" s="3" t="s">
        <v>317</v>
      </c>
      <c r="S819" s="9"/>
      <c r="T819" s="3"/>
      <c r="U819" s="3"/>
      <c r="V819" s="3"/>
      <c r="AL819" s="9" t="str">
        <f t="array" ref="AL819">"[" &amp; TEXTJOIN(", ", TRUE, IF(LEN(AM819:AQ819), CHAR(34)&amp;AM819:AQ819&amp;CHAR(34), )) &amp; "]"
</f>
        <v>[]</v>
      </c>
      <c r="AN819" s="3"/>
      <c r="AO819" s="3"/>
      <c r="AP819" s="3"/>
      <c r="AQ819" s="3"/>
      <c r="AR819" s="3" t="s">
        <v>78</v>
      </c>
      <c r="AW819" s="8" t="s">
        <v>2771</v>
      </c>
    </row>
    <row r="820">
      <c r="A820" s="3">
        <v>687.0</v>
      </c>
      <c r="B820" s="3" t="s">
        <v>40</v>
      </c>
      <c r="C820" s="3" t="s">
        <v>1486</v>
      </c>
      <c r="D820" s="3">
        <v>2006.0</v>
      </c>
      <c r="E820" s="3" t="s">
        <v>1487</v>
      </c>
      <c r="F820" s="3" t="s">
        <v>129</v>
      </c>
      <c r="G820" s="3" t="s">
        <v>2600</v>
      </c>
      <c r="H820" s="3" t="s">
        <v>82</v>
      </c>
      <c r="I820" s="3" t="s">
        <v>2147</v>
      </c>
      <c r="J820" s="3" t="s">
        <v>82</v>
      </c>
      <c r="K820" s="3" t="s">
        <v>2217</v>
      </c>
      <c r="L820" s="3" t="s">
        <v>2237</v>
      </c>
      <c r="M820" s="3" t="s">
        <v>384</v>
      </c>
      <c r="S820" s="9"/>
      <c r="T820" s="3"/>
      <c r="U820" s="3"/>
      <c r="V820" s="3"/>
      <c r="AL820" s="9" t="str">
        <f t="array" ref="AL820">"[" &amp; TEXTJOIN(", ", TRUE, IF(LEN(AM820:AQ820), CHAR(34)&amp;AM820:AQ820&amp;CHAR(34), )) &amp; "]"
</f>
        <v>[]</v>
      </c>
      <c r="AN820" s="3"/>
      <c r="AO820" s="3"/>
      <c r="AP820" s="3"/>
      <c r="AQ820" s="3"/>
      <c r="AR820" s="3" t="s">
        <v>78</v>
      </c>
      <c r="AW820" s="8" t="s">
        <v>2772</v>
      </c>
    </row>
    <row r="821">
      <c r="A821" s="3">
        <v>688.0</v>
      </c>
      <c r="B821" s="3" t="s">
        <v>40</v>
      </c>
      <c r="C821" s="3" t="s">
        <v>1488</v>
      </c>
      <c r="D821" s="3">
        <v>2006.0</v>
      </c>
      <c r="E821" s="3" t="s">
        <v>1489</v>
      </c>
      <c r="F821" s="3" t="s">
        <v>129</v>
      </c>
      <c r="G821" s="3" t="s">
        <v>2600</v>
      </c>
      <c r="H821" s="3" t="s">
        <v>82</v>
      </c>
      <c r="I821" s="3" t="s">
        <v>2147</v>
      </c>
      <c r="J821" s="3" t="s">
        <v>82</v>
      </c>
      <c r="K821" s="3" t="s">
        <v>2217</v>
      </c>
      <c r="L821" s="3" t="s">
        <v>2237</v>
      </c>
      <c r="M821" s="3" t="s">
        <v>384</v>
      </c>
      <c r="S821" s="9"/>
      <c r="T821" s="3"/>
      <c r="U821" s="3"/>
      <c r="V821" s="3"/>
      <c r="AL821" s="9" t="str">
        <f t="array" ref="AL821">"[" &amp; TEXTJOIN(", ", TRUE, IF(LEN(AM821:AQ821), CHAR(34)&amp;AM821:AQ821&amp;CHAR(34), )) &amp; "]"
</f>
        <v>[]</v>
      </c>
      <c r="AN821" s="3"/>
      <c r="AO821" s="3"/>
      <c r="AP821" s="3"/>
      <c r="AQ821" s="3"/>
      <c r="AR821" s="3" t="s">
        <v>78</v>
      </c>
      <c r="AW821" s="8" t="s">
        <v>2773</v>
      </c>
    </row>
    <row r="822">
      <c r="A822" s="3">
        <v>690.0</v>
      </c>
      <c r="B822" s="3" t="s">
        <v>40</v>
      </c>
      <c r="C822" s="3" t="s">
        <v>1492</v>
      </c>
      <c r="D822" s="3">
        <v>2007.0</v>
      </c>
      <c r="E822" s="3" t="s">
        <v>1493</v>
      </c>
      <c r="F822" s="3" t="s">
        <v>129</v>
      </c>
      <c r="G822" s="3" t="s">
        <v>2600</v>
      </c>
      <c r="H822" s="3" t="s">
        <v>82</v>
      </c>
      <c r="I822" s="3" t="s">
        <v>2147</v>
      </c>
      <c r="J822" s="3" t="s">
        <v>82</v>
      </c>
      <c r="K822" s="3" t="s">
        <v>2217</v>
      </c>
      <c r="L822" s="3" t="s">
        <v>2237</v>
      </c>
      <c r="M822" s="3" t="s">
        <v>384</v>
      </c>
      <c r="S822" s="9"/>
      <c r="T822" s="3"/>
      <c r="U822" s="3"/>
      <c r="V822" s="3"/>
      <c r="AL822" s="9" t="str">
        <f t="array" ref="AL822">"[" &amp; TEXTJOIN(", ", TRUE, IF(LEN(AM822:AQ822), CHAR(34)&amp;AM822:AQ822&amp;CHAR(34), )) &amp; "]"
</f>
        <v>[]</v>
      </c>
      <c r="AN822" s="3"/>
      <c r="AO822" s="3"/>
      <c r="AP822" s="3"/>
      <c r="AQ822" s="3"/>
      <c r="AR822" s="3" t="s">
        <v>78</v>
      </c>
      <c r="AW822" s="8" t="s">
        <v>2774</v>
      </c>
    </row>
    <row r="823">
      <c r="A823" s="3">
        <v>693.0</v>
      </c>
      <c r="B823" s="3" t="s">
        <v>40</v>
      </c>
      <c r="C823" s="3" t="s">
        <v>1498</v>
      </c>
      <c r="D823" s="3">
        <v>2008.0</v>
      </c>
      <c r="E823" s="3" t="s">
        <v>1499</v>
      </c>
      <c r="F823" s="3" t="s">
        <v>129</v>
      </c>
      <c r="G823" s="3" t="s">
        <v>2600</v>
      </c>
      <c r="H823" s="3" t="s">
        <v>82</v>
      </c>
      <c r="I823" s="3" t="s">
        <v>2147</v>
      </c>
      <c r="J823" s="3" t="s">
        <v>82</v>
      </c>
      <c r="K823" s="3" t="s">
        <v>2217</v>
      </c>
      <c r="L823" s="3" t="s">
        <v>2601</v>
      </c>
      <c r="M823" s="3" t="s">
        <v>130</v>
      </c>
      <c r="S823" s="9"/>
      <c r="T823" s="3"/>
      <c r="U823" s="3"/>
      <c r="V823" s="3"/>
      <c r="AL823" s="9" t="str">
        <f t="array" ref="AL823">"[" &amp; TEXTJOIN(", ", TRUE, IF(LEN(AM823:AQ823), CHAR(34)&amp;AM823:AQ823&amp;CHAR(34), )) &amp; "]"
</f>
        <v>[]</v>
      </c>
      <c r="AN823" s="3"/>
      <c r="AO823" s="3"/>
      <c r="AP823" s="3"/>
      <c r="AQ823" s="3"/>
      <c r="AR823" s="3" t="s">
        <v>78</v>
      </c>
      <c r="AW823" s="8" t="s">
        <v>2775</v>
      </c>
    </row>
    <row r="824">
      <c r="A824" s="3">
        <v>697.0</v>
      </c>
      <c r="B824" s="3" t="s">
        <v>40</v>
      </c>
      <c r="C824" s="3" t="s">
        <v>1506</v>
      </c>
      <c r="D824" s="3">
        <v>2011.0</v>
      </c>
      <c r="E824" s="3" t="s">
        <v>1507</v>
      </c>
      <c r="F824" s="3" t="s">
        <v>129</v>
      </c>
      <c r="G824" s="3" t="s">
        <v>2600</v>
      </c>
      <c r="H824" s="3" t="s">
        <v>82</v>
      </c>
      <c r="I824" s="3" t="s">
        <v>2147</v>
      </c>
      <c r="J824" s="3" t="s">
        <v>82</v>
      </c>
      <c r="K824" s="3" t="s">
        <v>2217</v>
      </c>
      <c r="L824" s="3" t="s">
        <v>2601</v>
      </c>
      <c r="M824" s="3" t="s">
        <v>130</v>
      </c>
      <c r="S824" s="9"/>
      <c r="T824" s="3"/>
      <c r="U824" s="3"/>
      <c r="V824" s="3"/>
      <c r="AL824" s="9" t="str">
        <f t="array" ref="AL824">"[" &amp; TEXTJOIN(", ", TRUE, IF(LEN(AM824:AQ824), CHAR(34)&amp;AM824:AQ824&amp;CHAR(34), )) &amp; "]"
</f>
        <v>[]</v>
      </c>
      <c r="AN824" s="3"/>
      <c r="AO824" s="3"/>
      <c r="AP824" s="3"/>
      <c r="AQ824" s="3"/>
      <c r="AR824" s="3" t="s">
        <v>78</v>
      </c>
      <c r="AW824" s="8" t="s">
        <v>2776</v>
      </c>
    </row>
    <row r="825">
      <c r="A825" s="3">
        <v>700.0</v>
      </c>
      <c r="B825" s="3" t="s">
        <v>40</v>
      </c>
      <c r="C825" s="3" t="s">
        <v>1512</v>
      </c>
      <c r="D825" s="3">
        <v>2014.0</v>
      </c>
      <c r="E825" s="3" t="s">
        <v>1513</v>
      </c>
      <c r="F825" s="3" t="s">
        <v>129</v>
      </c>
      <c r="G825" s="3" t="s">
        <v>2600</v>
      </c>
      <c r="H825" s="3" t="s">
        <v>82</v>
      </c>
      <c r="I825" s="3" t="s">
        <v>2147</v>
      </c>
      <c r="J825" s="3" t="s">
        <v>82</v>
      </c>
      <c r="K825" s="3" t="s">
        <v>2217</v>
      </c>
      <c r="L825" s="3" t="s">
        <v>2224</v>
      </c>
      <c r="M825" s="3" t="s">
        <v>314</v>
      </c>
      <c r="S825" s="9"/>
      <c r="T825" s="3"/>
      <c r="U825" s="3"/>
      <c r="V825" s="3"/>
      <c r="AL825" s="9" t="str">
        <f t="array" ref="AL825">"[" &amp; TEXTJOIN(", ", TRUE, IF(LEN(AM825:AQ825), CHAR(34)&amp;AM825:AQ825&amp;CHAR(34), )) &amp; "]"
</f>
        <v>[]</v>
      </c>
      <c r="AN825" s="3"/>
      <c r="AO825" s="3"/>
      <c r="AP825" s="3"/>
      <c r="AQ825" s="3"/>
      <c r="AR825" s="3" t="s">
        <v>78</v>
      </c>
      <c r="AW825" s="8" t="s">
        <v>2777</v>
      </c>
    </row>
    <row r="826">
      <c r="A826" s="3">
        <v>702.0</v>
      </c>
      <c r="B826" s="3" t="s">
        <v>40</v>
      </c>
      <c r="C826" s="3" t="s">
        <v>1516</v>
      </c>
      <c r="D826" s="3">
        <v>2014.0</v>
      </c>
      <c r="E826" s="3" t="s">
        <v>1517</v>
      </c>
      <c r="F826" s="3" t="s">
        <v>129</v>
      </c>
      <c r="G826" s="3" t="s">
        <v>2600</v>
      </c>
      <c r="H826" s="3" t="s">
        <v>82</v>
      </c>
      <c r="I826" s="3" t="s">
        <v>2147</v>
      </c>
      <c r="J826" s="3" t="s">
        <v>82</v>
      </c>
      <c r="K826" s="3" t="s">
        <v>2217</v>
      </c>
      <c r="L826" s="3" t="s">
        <v>2224</v>
      </c>
      <c r="M826" s="3" t="s">
        <v>314</v>
      </c>
      <c r="S826" s="9"/>
      <c r="T826" s="3"/>
      <c r="U826" s="3"/>
      <c r="V826" s="3"/>
      <c r="AL826" s="9" t="str">
        <f t="array" ref="AL826">"[" &amp; TEXTJOIN(", ", TRUE, IF(LEN(AM826:AQ826), CHAR(34)&amp;AM826:AQ826&amp;CHAR(34), )) &amp; "]"
</f>
        <v>[]</v>
      </c>
      <c r="AN826" s="3"/>
      <c r="AO826" s="3"/>
      <c r="AP826" s="3"/>
      <c r="AQ826" s="3"/>
      <c r="AR826" s="3" t="s">
        <v>78</v>
      </c>
      <c r="AW826" s="8" t="s">
        <v>2778</v>
      </c>
    </row>
    <row r="827">
      <c r="A827" s="3">
        <v>704.0</v>
      </c>
      <c r="B827" s="3" t="s">
        <v>40</v>
      </c>
      <c r="C827" s="3" t="s">
        <v>1520</v>
      </c>
      <c r="D827" s="3">
        <v>2015.0</v>
      </c>
      <c r="E827" s="3" t="s">
        <v>1521</v>
      </c>
      <c r="F827" s="3" t="s">
        <v>129</v>
      </c>
      <c r="G827" s="3" t="s">
        <v>2600</v>
      </c>
      <c r="H827" s="3" t="s">
        <v>82</v>
      </c>
      <c r="I827" s="3" t="s">
        <v>2147</v>
      </c>
      <c r="J827" s="3" t="s">
        <v>82</v>
      </c>
      <c r="K827" s="3" t="s">
        <v>2217</v>
      </c>
      <c r="L827" s="3" t="s">
        <v>2601</v>
      </c>
      <c r="M827" s="3" t="s">
        <v>130</v>
      </c>
      <c r="S827" s="9"/>
      <c r="T827" s="3"/>
      <c r="U827" s="3"/>
      <c r="V827" s="3"/>
      <c r="AL827" s="9" t="str">
        <f t="array" ref="AL827">"[" &amp; TEXTJOIN(", ", TRUE, IF(LEN(AM827:AQ827), CHAR(34)&amp;AM827:AQ827&amp;CHAR(34), )) &amp; "]"
</f>
        <v>[]</v>
      </c>
      <c r="AN827" s="3"/>
      <c r="AO827" s="3"/>
      <c r="AP827" s="3"/>
      <c r="AQ827" s="3"/>
      <c r="AR827" s="3" t="s">
        <v>78</v>
      </c>
      <c r="AW827" s="8" t="s">
        <v>2779</v>
      </c>
    </row>
    <row r="828">
      <c r="A828" s="3">
        <v>705.0</v>
      </c>
      <c r="B828" s="3" t="s">
        <v>40</v>
      </c>
      <c r="C828" s="3" t="s">
        <v>1522</v>
      </c>
      <c r="D828" s="3">
        <v>2015.0</v>
      </c>
      <c r="E828" s="3" t="s">
        <v>1523</v>
      </c>
      <c r="F828" s="3" t="s">
        <v>129</v>
      </c>
      <c r="G828" s="3" t="s">
        <v>2600</v>
      </c>
      <c r="H828" s="3" t="s">
        <v>82</v>
      </c>
      <c r="I828" s="3" t="s">
        <v>2147</v>
      </c>
      <c r="J828" s="3" t="s">
        <v>82</v>
      </c>
      <c r="K828" s="3" t="s">
        <v>2217</v>
      </c>
      <c r="L828" s="3" t="s">
        <v>2237</v>
      </c>
      <c r="M828" s="3" t="s">
        <v>384</v>
      </c>
      <c r="S828" s="9"/>
      <c r="T828" s="3"/>
      <c r="U828" s="3"/>
      <c r="V828" s="3"/>
      <c r="AL828" s="9" t="str">
        <f t="array" ref="AL828">"[" &amp; TEXTJOIN(", ", TRUE, IF(LEN(AM828:AQ828), CHAR(34)&amp;AM828:AQ828&amp;CHAR(34), )) &amp; "]"
</f>
        <v>[]</v>
      </c>
      <c r="AN828" s="3"/>
      <c r="AO828" s="3"/>
      <c r="AP828" s="3"/>
      <c r="AQ828" s="3"/>
      <c r="AR828" s="3" t="s">
        <v>78</v>
      </c>
      <c r="AW828" s="8" t="s">
        <v>2780</v>
      </c>
    </row>
    <row r="829">
      <c r="A829" s="3">
        <v>706.0</v>
      </c>
      <c r="B829" s="3" t="s">
        <v>40</v>
      </c>
      <c r="C829" s="3" t="s">
        <v>1524</v>
      </c>
      <c r="D829" s="3">
        <v>2016.0</v>
      </c>
      <c r="E829" s="3" t="s">
        <v>1525</v>
      </c>
      <c r="F829" s="3" t="s">
        <v>129</v>
      </c>
      <c r="G829" s="3" t="s">
        <v>2600</v>
      </c>
      <c r="H829" s="3" t="s">
        <v>82</v>
      </c>
      <c r="I829" s="3" t="s">
        <v>2147</v>
      </c>
      <c r="J829" s="3" t="s">
        <v>82</v>
      </c>
      <c r="K829" s="3" t="s">
        <v>2217</v>
      </c>
      <c r="L829" s="3" t="s">
        <v>2237</v>
      </c>
      <c r="M829" s="3" t="s">
        <v>384</v>
      </c>
      <c r="S829" s="9"/>
      <c r="T829" s="3"/>
      <c r="U829" s="3"/>
      <c r="V829" s="3"/>
      <c r="AL829" s="9" t="str">
        <f t="array" ref="AL829">"[" &amp; TEXTJOIN(", ", TRUE, IF(LEN(AM829:AQ829), CHAR(34)&amp;AM829:AQ829&amp;CHAR(34), )) &amp; "]"
</f>
        <v>[]</v>
      </c>
      <c r="AN829" s="3"/>
      <c r="AO829" s="3"/>
      <c r="AP829" s="3"/>
      <c r="AQ829" s="3"/>
      <c r="AR829" s="3" t="s">
        <v>78</v>
      </c>
      <c r="AW829" s="8" t="s">
        <v>2781</v>
      </c>
    </row>
    <row r="830">
      <c r="A830" s="3">
        <v>707.0</v>
      </c>
      <c r="B830" s="3" t="s">
        <v>40</v>
      </c>
      <c r="C830" s="3" t="s">
        <v>1526</v>
      </c>
      <c r="D830" s="3">
        <v>2016.0</v>
      </c>
      <c r="E830" s="3" t="s">
        <v>1527</v>
      </c>
      <c r="F830" s="3" t="s">
        <v>129</v>
      </c>
      <c r="G830" s="3" t="s">
        <v>2600</v>
      </c>
      <c r="H830" s="3" t="s">
        <v>82</v>
      </c>
      <c r="I830" s="3" t="s">
        <v>2147</v>
      </c>
      <c r="J830" s="3" t="s">
        <v>82</v>
      </c>
      <c r="K830" s="3" t="s">
        <v>2217</v>
      </c>
      <c r="L830" s="3" t="s">
        <v>2237</v>
      </c>
      <c r="M830" s="3" t="s">
        <v>384</v>
      </c>
      <c r="S830" s="9"/>
      <c r="T830" s="3"/>
      <c r="U830" s="3"/>
      <c r="V830" s="3"/>
      <c r="AL830" s="9" t="str">
        <f t="array" ref="AL830">"[" &amp; TEXTJOIN(", ", TRUE, IF(LEN(AM830:AQ830), CHAR(34)&amp;AM830:AQ830&amp;CHAR(34), )) &amp; "]"
</f>
        <v>[]</v>
      </c>
      <c r="AN830" s="3"/>
      <c r="AO830" s="3"/>
      <c r="AP830" s="3"/>
      <c r="AQ830" s="3"/>
      <c r="AR830" s="3" t="s">
        <v>78</v>
      </c>
      <c r="AW830" s="8" t="s">
        <v>2782</v>
      </c>
    </row>
    <row r="831">
      <c r="A831" s="3">
        <v>708.0</v>
      </c>
      <c r="B831" s="3" t="s">
        <v>40</v>
      </c>
      <c r="C831" s="3" t="s">
        <v>1528</v>
      </c>
      <c r="D831" s="3">
        <v>2017.0</v>
      </c>
      <c r="E831" s="3" t="s">
        <v>1529</v>
      </c>
      <c r="F831" s="3" t="s">
        <v>129</v>
      </c>
      <c r="G831" s="3" t="s">
        <v>2600</v>
      </c>
      <c r="H831" s="3" t="s">
        <v>82</v>
      </c>
      <c r="I831" s="3" t="s">
        <v>2147</v>
      </c>
      <c r="J831" s="3" t="s">
        <v>82</v>
      </c>
      <c r="K831" s="3" t="s">
        <v>2217</v>
      </c>
      <c r="L831" s="3" t="s">
        <v>2221</v>
      </c>
      <c r="M831" s="3" t="s">
        <v>317</v>
      </c>
      <c r="S831" s="9"/>
      <c r="T831" s="3"/>
      <c r="U831" s="3"/>
      <c r="V831" s="3"/>
      <c r="AL831" s="9" t="str">
        <f t="array" ref="AL831">"[" &amp; TEXTJOIN(", ", TRUE, IF(LEN(AM831:AQ831), CHAR(34)&amp;AM831:AQ831&amp;CHAR(34), )) &amp; "]"
</f>
        <v>[]</v>
      </c>
      <c r="AN831" s="3"/>
      <c r="AO831" s="3"/>
      <c r="AP831" s="3"/>
      <c r="AQ831" s="3"/>
      <c r="AR831" s="3" t="s">
        <v>78</v>
      </c>
      <c r="AW831" s="8" t="s">
        <v>2783</v>
      </c>
    </row>
    <row r="832">
      <c r="A832" s="3">
        <v>711.0</v>
      </c>
      <c r="B832" s="3" t="s">
        <v>40</v>
      </c>
      <c r="C832" s="3" t="s">
        <v>1534</v>
      </c>
      <c r="D832" s="3">
        <v>2019.0</v>
      </c>
      <c r="E832" s="3" t="s">
        <v>1535</v>
      </c>
      <c r="F832" s="3" t="s">
        <v>129</v>
      </c>
      <c r="G832" s="3" t="s">
        <v>2600</v>
      </c>
      <c r="H832" s="3" t="s">
        <v>82</v>
      </c>
      <c r="I832" s="3" t="s">
        <v>2147</v>
      </c>
      <c r="J832" s="3" t="s">
        <v>82</v>
      </c>
      <c r="K832" s="3" t="s">
        <v>2217</v>
      </c>
      <c r="L832" s="3" t="s">
        <v>2601</v>
      </c>
      <c r="M832" s="3" t="s">
        <v>130</v>
      </c>
      <c r="S832" s="9"/>
      <c r="T832" s="3"/>
      <c r="U832" s="3"/>
      <c r="V832" s="3"/>
      <c r="AL832" s="9" t="str">
        <f t="array" ref="AL832">"[" &amp; TEXTJOIN(", ", TRUE, IF(LEN(AM832:AQ832), CHAR(34)&amp;AM832:AQ832&amp;CHAR(34), )) &amp; "]"
</f>
        <v>[]</v>
      </c>
      <c r="AN832" s="3"/>
      <c r="AO832" s="3"/>
      <c r="AP832" s="3"/>
      <c r="AQ832" s="3"/>
      <c r="AR832" s="3" t="s">
        <v>78</v>
      </c>
      <c r="AW832" s="8" t="s">
        <v>2784</v>
      </c>
    </row>
    <row r="833">
      <c r="A833" s="3">
        <v>713.0</v>
      </c>
      <c r="B833" s="3" t="s">
        <v>40</v>
      </c>
      <c r="C833" s="3" t="s">
        <v>1538</v>
      </c>
      <c r="D833" s="3">
        <v>2020.0</v>
      </c>
      <c r="E833" s="3" t="s">
        <v>1539</v>
      </c>
      <c r="F833" s="3" t="s">
        <v>129</v>
      </c>
      <c r="G833" s="3" t="s">
        <v>2600</v>
      </c>
      <c r="H833" s="3" t="s">
        <v>82</v>
      </c>
      <c r="I833" s="3" t="s">
        <v>2147</v>
      </c>
      <c r="J833" s="3" t="s">
        <v>82</v>
      </c>
      <c r="K833" s="3" t="s">
        <v>2217</v>
      </c>
      <c r="L833" s="3" t="s">
        <v>2237</v>
      </c>
      <c r="M833" s="3" t="s">
        <v>384</v>
      </c>
      <c r="S833" s="9"/>
      <c r="T833" s="3"/>
      <c r="U833" s="3"/>
      <c r="V833" s="3"/>
      <c r="AL833" s="9" t="str">
        <f t="array" ref="AL833">"[" &amp; TEXTJOIN(", ", TRUE, IF(LEN(AM833:AQ833), CHAR(34)&amp;AM833:AQ833&amp;CHAR(34), )) &amp; "]"
</f>
        <v>[]</v>
      </c>
      <c r="AN833" s="3"/>
      <c r="AO833" s="3"/>
      <c r="AP833" s="3"/>
      <c r="AQ833" s="3"/>
      <c r="AR833" s="3" t="s">
        <v>78</v>
      </c>
      <c r="AW833" s="8" t="s">
        <v>2785</v>
      </c>
    </row>
    <row r="834">
      <c r="A834" s="3">
        <v>851.0</v>
      </c>
      <c r="B834" s="3" t="s">
        <v>40</v>
      </c>
      <c r="C834" s="3" t="s">
        <v>1816</v>
      </c>
      <c r="D834" s="3">
        <v>2012.0</v>
      </c>
      <c r="E834" s="3" t="s">
        <v>1817</v>
      </c>
      <c r="F834" s="3" t="s">
        <v>129</v>
      </c>
      <c r="G834" s="3" t="s">
        <v>2600</v>
      </c>
      <c r="H834" s="3" t="s">
        <v>82</v>
      </c>
      <c r="I834" s="3" t="s">
        <v>2147</v>
      </c>
      <c r="J834" s="3" t="s">
        <v>82</v>
      </c>
      <c r="K834" s="3" t="s">
        <v>2217</v>
      </c>
      <c r="L834" s="3" t="s">
        <v>2224</v>
      </c>
      <c r="M834" s="3" t="s">
        <v>314</v>
      </c>
      <c r="S834" s="9" t="str">
        <f t="array" ref="S834">"[" &amp; TEXTJOIN(", ", TRUE, IF(LEN(T834:AB834), CHAR(34)&amp;T834:AB834&amp;CHAR(34), )) &amp; "]"
</f>
        <v>["Agricultural &amp; forestry effluents"]</v>
      </c>
      <c r="T834" s="3" t="s">
        <v>62</v>
      </c>
      <c r="U834" s="3"/>
      <c r="V834" s="3"/>
      <c r="AC834" s="3" t="s">
        <v>62</v>
      </c>
      <c r="AL834" s="9" t="str">
        <f t="array" ref="AL834">"[" &amp; TEXTJOIN(", ", TRUE, IF(LEN(AM834:AQ834), CHAR(34)&amp;AM834:AQ834&amp;CHAR(34), )) &amp; "]"
</f>
        <v>["Pollution"]</v>
      </c>
      <c r="AM834" s="3" t="s">
        <v>64</v>
      </c>
      <c r="AN834" s="3"/>
      <c r="AO834" s="3"/>
      <c r="AP834" s="3"/>
      <c r="AQ834" s="3"/>
      <c r="AR834" s="3" t="s">
        <v>64</v>
      </c>
      <c r="AW834" s="8" t="s">
        <v>2786</v>
      </c>
    </row>
    <row r="835">
      <c r="A835" s="3">
        <v>861.0</v>
      </c>
      <c r="B835" s="3" t="s">
        <v>40</v>
      </c>
      <c r="C835" s="3" t="s">
        <v>1836</v>
      </c>
      <c r="D835" s="3">
        <v>2014.0</v>
      </c>
      <c r="E835" s="3" t="s">
        <v>1837</v>
      </c>
      <c r="F835" s="3" t="s">
        <v>129</v>
      </c>
      <c r="G835" s="3" t="s">
        <v>2600</v>
      </c>
      <c r="H835" s="3" t="s">
        <v>82</v>
      </c>
      <c r="I835" s="3" t="s">
        <v>2147</v>
      </c>
      <c r="J835" s="3" t="s">
        <v>82</v>
      </c>
      <c r="K835" s="3" t="s">
        <v>2217</v>
      </c>
      <c r="L835" s="3" t="s">
        <v>2224</v>
      </c>
      <c r="M835" s="3" t="s">
        <v>314</v>
      </c>
      <c r="S835" s="9" t="str">
        <f t="array" ref="S835">"[" &amp; TEXTJOIN(", ", TRUE, IF(LEN(T835:AB835), CHAR(34)&amp;T835:AB835&amp;CHAR(34), )) &amp; "]"
</f>
        <v>["Agricultural &amp; forestry effluents"]</v>
      </c>
      <c r="T835" s="3" t="s">
        <v>62</v>
      </c>
      <c r="U835" s="3"/>
      <c r="V835" s="3"/>
      <c r="AC835" s="3" t="s">
        <v>62</v>
      </c>
      <c r="AL835" s="9" t="str">
        <f t="array" ref="AL835">"[" &amp; TEXTJOIN(", ", TRUE, IF(LEN(AM835:AQ835), CHAR(34)&amp;AM835:AQ835&amp;CHAR(34), )) &amp; "]"
</f>
        <v>["Pollution"]</v>
      </c>
      <c r="AM835" s="3" t="s">
        <v>64</v>
      </c>
      <c r="AN835" s="3"/>
      <c r="AO835" s="3"/>
      <c r="AP835" s="3"/>
      <c r="AQ835" s="3"/>
      <c r="AR835" s="3" t="s">
        <v>64</v>
      </c>
      <c r="AW835" s="8" t="s">
        <v>2787</v>
      </c>
    </row>
    <row r="836">
      <c r="A836" s="3">
        <v>862.0</v>
      </c>
      <c r="B836" s="3" t="s">
        <v>40</v>
      </c>
      <c r="C836" s="3" t="s">
        <v>1838</v>
      </c>
      <c r="D836" s="3">
        <v>2014.0</v>
      </c>
      <c r="E836" s="3" t="s">
        <v>1839</v>
      </c>
      <c r="F836" s="3" t="s">
        <v>129</v>
      </c>
      <c r="G836" s="3" t="s">
        <v>2600</v>
      </c>
      <c r="H836" s="3" t="s">
        <v>82</v>
      </c>
      <c r="I836" s="3" t="s">
        <v>2147</v>
      </c>
      <c r="J836" s="3" t="s">
        <v>82</v>
      </c>
      <c r="K836" s="3" t="s">
        <v>2217</v>
      </c>
      <c r="L836" s="3" t="s">
        <v>2601</v>
      </c>
      <c r="M836" s="3" t="s">
        <v>130</v>
      </c>
      <c r="S836" s="9" t="str">
        <f t="array" ref="S836">"[" &amp; TEXTJOIN(", ", TRUE, IF(LEN(T836:AB836), CHAR(34)&amp;T836:AB836&amp;CHAR(34), )) &amp; "]"
</f>
        <v>["Agricultural &amp; forestry effluents"]</v>
      </c>
      <c r="T836" s="3" t="s">
        <v>62</v>
      </c>
      <c r="U836" s="3"/>
      <c r="V836" s="3"/>
      <c r="AC836" s="3" t="s">
        <v>62</v>
      </c>
      <c r="AL836" s="9" t="str">
        <f t="array" ref="AL836">"[" &amp; TEXTJOIN(", ", TRUE, IF(LEN(AM836:AQ836), CHAR(34)&amp;AM836:AQ836&amp;CHAR(34), )) &amp; "]"
</f>
        <v>["Pollution"]</v>
      </c>
      <c r="AM836" s="3" t="s">
        <v>64</v>
      </c>
      <c r="AN836" s="3"/>
      <c r="AO836" s="3"/>
      <c r="AP836" s="3"/>
      <c r="AQ836" s="3"/>
      <c r="AR836" s="3" t="s">
        <v>64</v>
      </c>
      <c r="AW836" s="8" t="s">
        <v>2788</v>
      </c>
    </row>
    <row r="837">
      <c r="A837" s="3">
        <v>867.0</v>
      </c>
      <c r="B837" s="3" t="s">
        <v>40</v>
      </c>
      <c r="C837" s="3" t="s">
        <v>1847</v>
      </c>
      <c r="D837" s="3">
        <v>2016.0</v>
      </c>
      <c r="E837" s="3" t="s">
        <v>1848</v>
      </c>
      <c r="F837" s="3" t="s">
        <v>129</v>
      </c>
      <c r="G837" s="3" t="s">
        <v>2600</v>
      </c>
      <c r="H837" s="3" t="s">
        <v>82</v>
      </c>
      <c r="I837" s="3" t="s">
        <v>2147</v>
      </c>
      <c r="J837" s="3" t="s">
        <v>82</v>
      </c>
      <c r="K837" s="3" t="s">
        <v>2217</v>
      </c>
      <c r="L837" s="3" t="s">
        <v>2601</v>
      </c>
      <c r="M837" s="3" t="s">
        <v>130</v>
      </c>
      <c r="S837" s="9" t="str">
        <f t="array" ref="S837">"[" &amp; TEXTJOIN(", ", TRUE, IF(LEN(T837:AB837), CHAR(34)&amp;T837:AB837&amp;CHAR(34), )) &amp; "]"
</f>
        <v>["Agricultural &amp; forestry effluents"]</v>
      </c>
      <c r="T837" s="3" t="s">
        <v>62</v>
      </c>
      <c r="U837" s="3"/>
      <c r="V837" s="3"/>
      <c r="AC837" s="3" t="s">
        <v>62</v>
      </c>
      <c r="AL837" s="9" t="str">
        <f t="array" ref="AL837">"[" &amp; TEXTJOIN(", ", TRUE, IF(LEN(AM837:AQ837), CHAR(34)&amp;AM837:AQ837&amp;CHAR(34), )) &amp; "]"
</f>
        <v>["Pollution"]</v>
      </c>
      <c r="AM837" s="3" t="s">
        <v>64</v>
      </c>
      <c r="AN837" s="3"/>
      <c r="AO837" s="3"/>
      <c r="AP837" s="3"/>
      <c r="AQ837" s="3"/>
      <c r="AR837" s="3" t="s">
        <v>64</v>
      </c>
      <c r="AW837" s="8" t="s">
        <v>2789</v>
      </c>
    </row>
    <row r="838">
      <c r="A838" s="3">
        <v>800.0</v>
      </c>
      <c r="B838" s="3" t="s">
        <v>40</v>
      </c>
      <c r="C838" s="3" t="s">
        <v>1713</v>
      </c>
      <c r="D838" s="3">
        <v>1996.0</v>
      </c>
      <c r="E838" s="3" t="s">
        <v>1714</v>
      </c>
      <c r="F838" s="3" t="s">
        <v>129</v>
      </c>
      <c r="G838" s="3" t="s">
        <v>2600</v>
      </c>
      <c r="H838" s="3" t="s">
        <v>82</v>
      </c>
      <c r="I838" s="3" t="s">
        <v>2147</v>
      </c>
      <c r="J838" s="3" t="s">
        <v>82</v>
      </c>
      <c r="K838" s="3" t="s">
        <v>2217</v>
      </c>
      <c r="L838" s="3" t="s">
        <v>2790</v>
      </c>
      <c r="M838" s="3" t="s">
        <v>453</v>
      </c>
      <c r="N838" s="3" t="s">
        <v>1001</v>
      </c>
      <c r="S838" s="9" t="str">
        <f t="array" ref="S838">"[" &amp; TEXTJOIN(", ", TRUE, IF(LEN(T838:AB838), CHAR(34)&amp;T838:AB838&amp;CHAR(34), )) &amp; "]"
</f>
        <v>["Industrial &amp; military effluents", "Agricultural &amp; forestry effluents"]</v>
      </c>
      <c r="T838" s="3" t="s">
        <v>147</v>
      </c>
      <c r="U838" s="3" t="s">
        <v>62</v>
      </c>
      <c r="V838" s="3"/>
      <c r="AC838" s="3" t="s">
        <v>147</v>
      </c>
      <c r="AD838" s="3" t="s">
        <v>62</v>
      </c>
      <c r="AL838" s="9" t="str">
        <f t="array" ref="AL838">"[" &amp; TEXTJOIN(", ", TRUE, IF(LEN(AM838:AQ838), CHAR(34)&amp;AM838:AQ838&amp;CHAR(34), )) &amp; "]"
</f>
        <v>["Pollution"]</v>
      </c>
      <c r="AM838" s="3" t="s">
        <v>64</v>
      </c>
      <c r="AN838" s="3"/>
      <c r="AO838" s="3"/>
      <c r="AP838" s="3"/>
      <c r="AQ838" s="3"/>
      <c r="AR838" s="3" t="s">
        <v>64</v>
      </c>
      <c r="AW838" s="8" t="s">
        <v>2791</v>
      </c>
    </row>
    <row r="839">
      <c r="A839" s="3">
        <v>765.0</v>
      </c>
      <c r="B839" s="3" t="s">
        <v>40</v>
      </c>
      <c r="C839" s="3" t="s">
        <v>1642</v>
      </c>
      <c r="D839" s="3">
        <v>2001.0</v>
      </c>
      <c r="E839" s="3" t="s">
        <v>1644</v>
      </c>
      <c r="F839" s="3" t="s">
        <v>129</v>
      </c>
      <c r="G839" s="3" t="s">
        <v>2600</v>
      </c>
      <c r="H839" s="3" t="s">
        <v>82</v>
      </c>
      <c r="I839" s="3" t="s">
        <v>2147</v>
      </c>
      <c r="J839" s="3" t="s">
        <v>82</v>
      </c>
      <c r="K839" s="3" t="s">
        <v>2217</v>
      </c>
      <c r="L839" s="3" t="s">
        <v>2237</v>
      </c>
      <c r="M839" s="3" t="s">
        <v>384</v>
      </c>
      <c r="S839" s="9" t="str">
        <f t="array" ref="S839">"[" &amp; TEXTJOIN(", ", TRUE, IF(LEN(T839:AB839), CHAR(34)&amp;T839:AB839&amp;CHAR(34), )) &amp; "]"
</f>
        <v>["Industrial &amp; military effluents"]</v>
      </c>
      <c r="T839" s="3" t="s">
        <v>147</v>
      </c>
      <c r="U839" s="3"/>
      <c r="V839" s="3"/>
      <c r="AC839" s="3" t="s">
        <v>147</v>
      </c>
      <c r="AL839" s="9" t="str">
        <f t="array" ref="AL839">"[" &amp; TEXTJOIN(", ", TRUE, IF(LEN(AM839:AQ839), CHAR(34)&amp;AM839:AQ839&amp;CHAR(34), )) &amp; "]"
</f>
        <v>["Pollution"]</v>
      </c>
      <c r="AM839" s="3" t="s">
        <v>64</v>
      </c>
      <c r="AO839" s="3"/>
      <c r="AP839" s="3"/>
      <c r="AQ839" s="3"/>
      <c r="AR839" s="3" t="s">
        <v>64</v>
      </c>
      <c r="AS839" s="3" t="s">
        <v>78</v>
      </c>
      <c r="AW839" s="8" t="s">
        <v>2792</v>
      </c>
    </row>
    <row r="840">
      <c r="A840" s="3">
        <v>766.0</v>
      </c>
      <c r="B840" s="3" t="s">
        <v>40</v>
      </c>
      <c r="C840" s="3" t="s">
        <v>1645</v>
      </c>
      <c r="D840" s="3">
        <v>2018.0</v>
      </c>
      <c r="E840" s="3" t="s">
        <v>1646</v>
      </c>
      <c r="F840" s="3" t="s">
        <v>129</v>
      </c>
      <c r="G840" s="3" t="s">
        <v>2600</v>
      </c>
      <c r="H840" s="3" t="s">
        <v>82</v>
      </c>
      <c r="I840" s="3" t="s">
        <v>2147</v>
      </c>
      <c r="J840" s="3" t="s">
        <v>82</v>
      </c>
      <c r="K840" s="3" t="s">
        <v>2217</v>
      </c>
      <c r="L840" s="3" t="s">
        <v>2237</v>
      </c>
      <c r="M840" s="3" t="s">
        <v>384</v>
      </c>
      <c r="S840" s="9" t="str">
        <f t="array" ref="S840">"[" &amp; TEXTJOIN(", ", TRUE, IF(LEN(T840:AB840), CHAR(34)&amp;T840:AB840&amp;CHAR(34), )) &amp; "]"
</f>
        <v>["Industrial &amp; military effluents"]</v>
      </c>
      <c r="T840" s="3" t="s">
        <v>147</v>
      </c>
      <c r="U840" s="3"/>
      <c r="V840" s="3"/>
      <c r="AC840" s="3" t="s">
        <v>147</v>
      </c>
      <c r="AL840" s="9" t="str">
        <f t="array" ref="AL840">"[" &amp; TEXTJOIN(", ", TRUE, IF(LEN(AM840:AQ840), CHAR(34)&amp;AM840:AQ840&amp;CHAR(34), )) &amp; "]"
</f>
        <v>["Pollution"]</v>
      </c>
      <c r="AM840" s="3" t="s">
        <v>64</v>
      </c>
      <c r="AO840" s="3"/>
      <c r="AP840" s="3"/>
      <c r="AQ840" s="3"/>
      <c r="AR840" s="3" t="s">
        <v>64</v>
      </c>
      <c r="AS840" s="3" t="s">
        <v>78</v>
      </c>
      <c r="AW840" s="8" t="s">
        <v>2793</v>
      </c>
    </row>
    <row r="841">
      <c r="A841" s="3">
        <v>559.0</v>
      </c>
      <c r="B841" s="3" t="s">
        <v>40</v>
      </c>
      <c r="C841" s="3" t="s">
        <v>1242</v>
      </c>
      <c r="D841" s="3">
        <v>2013.0</v>
      </c>
      <c r="E841" s="3" t="s">
        <v>1243</v>
      </c>
      <c r="F841" s="3" t="s">
        <v>129</v>
      </c>
      <c r="G841" s="3" t="s">
        <v>2600</v>
      </c>
      <c r="H841" s="3" t="s">
        <v>82</v>
      </c>
      <c r="I841" s="3" t="s">
        <v>2147</v>
      </c>
      <c r="J841" s="3" t="s">
        <v>82</v>
      </c>
      <c r="K841" s="3" t="s">
        <v>2217</v>
      </c>
      <c r="L841" s="3" t="s">
        <v>2237</v>
      </c>
      <c r="M841" s="3" t="s">
        <v>384</v>
      </c>
      <c r="S841" s="9" t="str">
        <f t="array" ref="S841">"[" &amp; TEXTJOIN(", ", TRUE, IF(LEN(T841:AB841), CHAR(34)&amp;T841:AB841&amp;CHAR(34), )) &amp; "]"
</f>
        <v>["Industrial &amp; military effluents"]</v>
      </c>
      <c r="T841" s="3" t="s">
        <v>147</v>
      </c>
      <c r="U841" s="3"/>
      <c r="V841" s="3"/>
      <c r="AC841" s="3" t="s">
        <v>147</v>
      </c>
      <c r="AL841" s="9" t="str">
        <f t="array" ref="AL841">"[" &amp; TEXTJOIN(", ", TRUE, IF(LEN(AM841:AQ841), CHAR(34)&amp;AM841:AQ841&amp;CHAR(34), )) &amp; "]"
</f>
        <v>["Pollution"]</v>
      </c>
      <c r="AM841" s="3" t="s">
        <v>64</v>
      </c>
      <c r="AN841" s="3"/>
      <c r="AO841" s="3"/>
      <c r="AP841" s="3"/>
      <c r="AQ841" s="3"/>
      <c r="AR841" s="3" t="s">
        <v>64</v>
      </c>
      <c r="AW841" s="8" t="s">
        <v>2794</v>
      </c>
    </row>
    <row r="842">
      <c r="A842" s="3">
        <v>785.0</v>
      </c>
      <c r="B842" s="3" t="s">
        <v>40</v>
      </c>
      <c r="C842" s="3" t="s">
        <v>1685</v>
      </c>
      <c r="D842" s="3">
        <v>1982.0</v>
      </c>
      <c r="E842" s="3" t="s">
        <v>1686</v>
      </c>
      <c r="F842" s="3" t="s">
        <v>129</v>
      </c>
      <c r="G842" s="3" t="s">
        <v>2600</v>
      </c>
      <c r="H842" s="3" t="s">
        <v>82</v>
      </c>
      <c r="I842" s="3" t="s">
        <v>2147</v>
      </c>
      <c r="J842" s="3" t="s">
        <v>82</v>
      </c>
      <c r="K842" s="3" t="s">
        <v>2217</v>
      </c>
      <c r="L842" s="3" t="s">
        <v>2237</v>
      </c>
      <c r="M842" s="3" t="s">
        <v>384</v>
      </c>
      <c r="S842" s="9" t="str">
        <f t="array" ref="S842">"[" &amp; TEXTJOIN(", ", TRUE, IF(LEN(T842:AB842), CHAR(34)&amp;T842:AB842&amp;CHAR(34), )) &amp; "]"
</f>
        <v>["Industrial &amp; military effluents"]</v>
      </c>
      <c r="T842" s="3" t="s">
        <v>147</v>
      </c>
      <c r="U842" s="3"/>
      <c r="V842" s="3"/>
      <c r="AC842" s="3" t="s">
        <v>147</v>
      </c>
      <c r="AL842" s="9" t="str">
        <f t="array" ref="AL842">"[" &amp; TEXTJOIN(", ", TRUE, IF(LEN(AM842:AQ842), CHAR(34)&amp;AM842:AQ842&amp;CHAR(34), )) &amp; "]"
</f>
        <v>["Pollution"]</v>
      </c>
      <c r="AM842" s="3" t="s">
        <v>64</v>
      </c>
      <c r="AN842" s="3"/>
      <c r="AO842" s="3"/>
      <c r="AP842" s="3"/>
      <c r="AQ842" s="3"/>
      <c r="AR842" s="3" t="s">
        <v>64</v>
      </c>
      <c r="AW842" s="8" t="s">
        <v>2795</v>
      </c>
    </row>
    <row r="843">
      <c r="A843" s="3">
        <v>786.0</v>
      </c>
      <c r="B843" s="3" t="s">
        <v>40</v>
      </c>
      <c r="C843" s="3" t="s">
        <v>1687</v>
      </c>
      <c r="D843" s="3">
        <v>1991.0</v>
      </c>
      <c r="E843" s="3" t="s">
        <v>1688</v>
      </c>
      <c r="F843" s="3" t="s">
        <v>129</v>
      </c>
      <c r="G843" s="3" t="s">
        <v>2600</v>
      </c>
      <c r="H843" s="3" t="s">
        <v>82</v>
      </c>
      <c r="I843" s="3" t="s">
        <v>2147</v>
      </c>
      <c r="J843" s="3" t="s">
        <v>82</v>
      </c>
      <c r="K843" s="3" t="s">
        <v>2217</v>
      </c>
      <c r="L843" s="3" t="s">
        <v>2796</v>
      </c>
      <c r="M843" s="3" t="s">
        <v>1001</v>
      </c>
      <c r="N843" s="3" t="s">
        <v>453</v>
      </c>
      <c r="S843" s="9" t="str">
        <f t="array" ref="S843">"[" &amp; TEXTJOIN(", ", TRUE, IF(LEN(T843:AB843), CHAR(34)&amp;T843:AB843&amp;CHAR(34), )) &amp; "]"
</f>
        <v>["Industrial &amp; military effluents"]</v>
      </c>
      <c r="T843" s="3" t="s">
        <v>147</v>
      </c>
      <c r="U843" s="3"/>
      <c r="V843" s="3"/>
      <c r="AC843" s="3" t="s">
        <v>147</v>
      </c>
      <c r="AL843" s="9" t="str">
        <f t="array" ref="AL843">"[" &amp; TEXTJOIN(", ", TRUE, IF(LEN(AM843:AQ843), CHAR(34)&amp;AM843:AQ843&amp;CHAR(34), )) &amp; "]"
</f>
        <v>["Pollution"]</v>
      </c>
      <c r="AM843" s="3" t="s">
        <v>64</v>
      </c>
      <c r="AN843" s="3"/>
      <c r="AO843" s="3"/>
      <c r="AP843" s="3"/>
      <c r="AQ843" s="3"/>
      <c r="AR843" s="3" t="s">
        <v>64</v>
      </c>
      <c r="AW843" s="8" t="s">
        <v>2797</v>
      </c>
    </row>
    <row r="844">
      <c r="A844" s="3">
        <v>790.0</v>
      </c>
      <c r="B844" s="3" t="s">
        <v>40</v>
      </c>
      <c r="C844" s="3" t="s">
        <v>1695</v>
      </c>
      <c r="D844" s="3">
        <v>1993.0</v>
      </c>
      <c r="E844" s="3" t="s">
        <v>1696</v>
      </c>
      <c r="F844" s="3" t="s">
        <v>129</v>
      </c>
      <c r="G844" s="3" t="s">
        <v>2600</v>
      </c>
      <c r="H844" s="3" t="s">
        <v>82</v>
      </c>
      <c r="I844" s="3" t="s">
        <v>2147</v>
      </c>
      <c r="J844" s="3" t="s">
        <v>82</v>
      </c>
      <c r="K844" s="3" t="s">
        <v>2217</v>
      </c>
      <c r="L844" s="3" t="s">
        <v>2237</v>
      </c>
      <c r="M844" s="3" t="s">
        <v>384</v>
      </c>
      <c r="S844" s="9" t="str">
        <f t="array" ref="S844">"[" &amp; TEXTJOIN(", ", TRUE, IF(LEN(T844:AB844), CHAR(34)&amp;T844:AB844&amp;CHAR(34), )) &amp; "]"
</f>
        <v>["Industrial &amp; military effluents"]</v>
      </c>
      <c r="T844" s="3" t="s">
        <v>147</v>
      </c>
      <c r="U844" s="3"/>
      <c r="V844" s="3"/>
      <c r="AC844" s="3" t="s">
        <v>147</v>
      </c>
      <c r="AL844" s="9" t="str">
        <f t="array" ref="AL844">"[" &amp; TEXTJOIN(", ", TRUE, IF(LEN(AM844:AQ844), CHAR(34)&amp;AM844:AQ844&amp;CHAR(34), )) &amp; "]"
</f>
        <v>["Pollution"]</v>
      </c>
      <c r="AM844" s="3" t="s">
        <v>64</v>
      </c>
      <c r="AN844" s="3"/>
      <c r="AO844" s="3"/>
      <c r="AP844" s="3"/>
      <c r="AQ844" s="3"/>
      <c r="AR844" s="3" t="s">
        <v>64</v>
      </c>
      <c r="AW844" s="8" t="s">
        <v>2798</v>
      </c>
    </row>
    <row r="845">
      <c r="A845" s="3">
        <v>794.0</v>
      </c>
      <c r="B845" s="3" t="s">
        <v>40</v>
      </c>
      <c r="C845" s="3" t="s">
        <v>1701</v>
      </c>
      <c r="D845" s="3">
        <v>1994.0</v>
      </c>
      <c r="E845" s="3" t="s">
        <v>1702</v>
      </c>
      <c r="F845" s="3" t="s">
        <v>129</v>
      </c>
      <c r="G845" s="3" t="s">
        <v>2600</v>
      </c>
      <c r="H845" s="3" t="s">
        <v>82</v>
      </c>
      <c r="I845" s="3" t="s">
        <v>2147</v>
      </c>
      <c r="J845" s="3" t="s">
        <v>82</v>
      </c>
      <c r="K845" s="3" t="s">
        <v>2217</v>
      </c>
      <c r="L845" s="3" t="s">
        <v>2155</v>
      </c>
      <c r="M845" s="3" t="s">
        <v>1001</v>
      </c>
      <c r="S845" s="9" t="str">
        <f t="array" ref="S845">"[" &amp; TEXTJOIN(", ", TRUE, IF(LEN(T845:AB845), CHAR(34)&amp;T845:AB845&amp;CHAR(34), )) &amp; "]"
</f>
        <v>["Industrial &amp; military effluents"]</v>
      </c>
      <c r="T845" s="3" t="s">
        <v>147</v>
      </c>
      <c r="U845" s="3"/>
      <c r="V845" s="3"/>
      <c r="AC845" s="3" t="s">
        <v>147</v>
      </c>
      <c r="AL845" s="9" t="str">
        <f t="array" ref="AL845">"[" &amp; TEXTJOIN(", ", TRUE, IF(LEN(AM845:AQ845), CHAR(34)&amp;AM845:AQ845&amp;CHAR(34), )) &amp; "]"
</f>
        <v>["Pollution"]</v>
      </c>
      <c r="AM845" s="3" t="s">
        <v>64</v>
      </c>
      <c r="AN845" s="3"/>
      <c r="AO845" s="3"/>
      <c r="AP845" s="3"/>
      <c r="AQ845" s="3"/>
      <c r="AR845" s="3" t="s">
        <v>64</v>
      </c>
      <c r="AW845" s="8" t="s">
        <v>2799</v>
      </c>
    </row>
    <row r="846">
      <c r="A846" s="3">
        <v>795.0</v>
      </c>
      <c r="B846" s="3" t="s">
        <v>40</v>
      </c>
      <c r="C846" s="3" t="s">
        <v>1703</v>
      </c>
      <c r="D846" s="3">
        <v>1994.0</v>
      </c>
      <c r="E846" s="3" t="s">
        <v>1704</v>
      </c>
      <c r="F846" s="3" t="s">
        <v>129</v>
      </c>
      <c r="G846" s="3" t="s">
        <v>2600</v>
      </c>
      <c r="H846" s="3" t="s">
        <v>82</v>
      </c>
      <c r="I846" s="3" t="s">
        <v>2147</v>
      </c>
      <c r="J846" s="3" t="s">
        <v>82</v>
      </c>
      <c r="K846" s="3" t="s">
        <v>2217</v>
      </c>
      <c r="L846" s="3" t="s">
        <v>2234</v>
      </c>
      <c r="M846" s="3" t="s">
        <v>453</v>
      </c>
      <c r="S846" s="9" t="str">
        <f t="array" ref="S846">"[" &amp; TEXTJOIN(", ", TRUE, IF(LEN(T846:AB846), CHAR(34)&amp;T846:AB846&amp;CHAR(34), )) &amp; "]"
</f>
        <v>["Industrial &amp; military effluents"]</v>
      </c>
      <c r="T846" s="3" t="s">
        <v>147</v>
      </c>
      <c r="U846" s="3"/>
      <c r="V846" s="3"/>
      <c r="AC846" s="3" t="s">
        <v>147</v>
      </c>
      <c r="AL846" s="9" t="str">
        <f t="array" ref="AL846">"[" &amp; TEXTJOIN(", ", TRUE, IF(LEN(AM846:AQ846), CHAR(34)&amp;AM846:AQ846&amp;CHAR(34), )) &amp; "]"
</f>
        <v>["Pollution"]</v>
      </c>
      <c r="AM846" s="3" t="s">
        <v>64</v>
      </c>
      <c r="AN846" s="3"/>
      <c r="AO846" s="3"/>
      <c r="AP846" s="3"/>
      <c r="AQ846" s="3"/>
      <c r="AR846" s="3" t="s">
        <v>64</v>
      </c>
      <c r="AW846" s="8" t="s">
        <v>2800</v>
      </c>
    </row>
    <row r="847">
      <c r="A847" s="3">
        <v>796.0</v>
      </c>
      <c r="B847" s="3" t="s">
        <v>40</v>
      </c>
      <c r="C847" s="3" t="s">
        <v>1705</v>
      </c>
      <c r="D847" s="3">
        <v>1994.0</v>
      </c>
      <c r="E847" s="3" t="s">
        <v>1706</v>
      </c>
      <c r="F847" s="3" t="s">
        <v>129</v>
      </c>
      <c r="G847" s="3" t="s">
        <v>2600</v>
      </c>
      <c r="H847" s="3" t="s">
        <v>82</v>
      </c>
      <c r="I847" s="3" t="s">
        <v>2147</v>
      </c>
      <c r="J847" s="3" t="s">
        <v>82</v>
      </c>
      <c r="K847" s="3" t="s">
        <v>2217</v>
      </c>
      <c r="L847" s="3" t="s">
        <v>2234</v>
      </c>
      <c r="M847" s="3" t="s">
        <v>453</v>
      </c>
      <c r="S847" s="9" t="str">
        <f t="array" ref="S847">"[" &amp; TEXTJOIN(", ", TRUE, IF(LEN(T847:AB847), CHAR(34)&amp;T847:AB847&amp;CHAR(34), )) &amp; "]"
</f>
        <v>["Industrial &amp; military effluents"]</v>
      </c>
      <c r="T847" s="3" t="s">
        <v>147</v>
      </c>
      <c r="U847" s="3"/>
      <c r="V847" s="3"/>
      <c r="AC847" s="3" t="s">
        <v>147</v>
      </c>
      <c r="AL847" s="9" t="str">
        <f t="array" ref="AL847">"[" &amp; TEXTJOIN(", ", TRUE, IF(LEN(AM847:AQ847), CHAR(34)&amp;AM847:AQ847&amp;CHAR(34), )) &amp; "]"
</f>
        <v>["Pollution"]</v>
      </c>
      <c r="AM847" s="3" t="s">
        <v>64</v>
      </c>
      <c r="AN847" s="3"/>
      <c r="AO847" s="3"/>
      <c r="AP847" s="3"/>
      <c r="AQ847" s="3"/>
      <c r="AR847" s="3" t="s">
        <v>64</v>
      </c>
      <c r="AW847" s="8" t="s">
        <v>2801</v>
      </c>
    </row>
    <row r="848">
      <c r="A848" s="3">
        <v>797.0</v>
      </c>
      <c r="B848" s="3" t="s">
        <v>40</v>
      </c>
      <c r="C848" s="3" t="s">
        <v>1707</v>
      </c>
      <c r="D848" s="3">
        <v>1994.0</v>
      </c>
      <c r="E848" s="3" t="s">
        <v>1708</v>
      </c>
      <c r="F848" s="3" t="s">
        <v>129</v>
      </c>
      <c r="G848" s="3" t="s">
        <v>2600</v>
      </c>
      <c r="H848" s="3" t="s">
        <v>82</v>
      </c>
      <c r="I848" s="3" t="s">
        <v>2147</v>
      </c>
      <c r="J848" s="3" t="s">
        <v>82</v>
      </c>
      <c r="K848" s="3" t="s">
        <v>2217</v>
      </c>
      <c r="L848" s="3" t="s">
        <v>2234</v>
      </c>
      <c r="M848" s="3" t="s">
        <v>453</v>
      </c>
      <c r="S848" s="9" t="str">
        <f t="array" ref="S848">"[" &amp; TEXTJOIN(", ", TRUE, IF(LEN(T848:AB848), CHAR(34)&amp;T848:AB848&amp;CHAR(34), )) &amp; "]"
</f>
        <v>["Industrial &amp; military effluents"]</v>
      </c>
      <c r="T848" s="3" t="s">
        <v>147</v>
      </c>
      <c r="U848" s="3"/>
      <c r="V848" s="3"/>
      <c r="AC848" s="3" t="s">
        <v>147</v>
      </c>
      <c r="AL848" s="9" t="str">
        <f t="array" ref="AL848">"[" &amp; TEXTJOIN(", ", TRUE, IF(LEN(AM848:AQ848), CHAR(34)&amp;AM848:AQ848&amp;CHAR(34), )) &amp; "]"
</f>
        <v>["Pollution"]</v>
      </c>
      <c r="AM848" s="3" t="s">
        <v>64</v>
      </c>
      <c r="AN848" s="3"/>
      <c r="AO848" s="3"/>
      <c r="AP848" s="3"/>
      <c r="AQ848" s="3"/>
      <c r="AR848" s="3" t="s">
        <v>64</v>
      </c>
      <c r="AW848" s="8" t="s">
        <v>2802</v>
      </c>
    </row>
    <row r="849">
      <c r="A849" s="3">
        <v>798.0</v>
      </c>
      <c r="B849" s="3" t="s">
        <v>40</v>
      </c>
      <c r="C849" s="3" t="s">
        <v>1709</v>
      </c>
      <c r="D849" s="3">
        <v>1995.0</v>
      </c>
      <c r="E849" s="3" t="s">
        <v>1710</v>
      </c>
      <c r="F849" s="3" t="s">
        <v>129</v>
      </c>
      <c r="G849" s="3" t="s">
        <v>2600</v>
      </c>
      <c r="H849" s="3" t="s">
        <v>82</v>
      </c>
      <c r="I849" s="3" t="s">
        <v>2147</v>
      </c>
      <c r="J849" s="3" t="s">
        <v>82</v>
      </c>
      <c r="K849" s="3" t="s">
        <v>2217</v>
      </c>
      <c r="L849" s="3" t="s">
        <v>2155</v>
      </c>
      <c r="M849" s="3" t="s">
        <v>1001</v>
      </c>
      <c r="S849" s="9" t="str">
        <f t="array" ref="S849">"[" &amp; TEXTJOIN(", ", TRUE, IF(LEN(T849:AB849), CHAR(34)&amp;T849:AB849&amp;CHAR(34), )) &amp; "]"
</f>
        <v>["Industrial &amp; military effluents"]</v>
      </c>
      <c r="T849" s="3" t="s">
        <v>147</v>
      </c>
      <c r="U849" s="3"/>
      <c r="V849" s="3"/>
      <c r="AC849" s="3" t="s">
        <v>147</v>
      </c>
      <c r="AL849" s="9" t="str">
        <f t="array" ref="AL849">"[" &amp; TEXTJOIN(", ", TRUE, IF(LEN(AM849:AQ849), CHAR(34)&amp;AM849:AQ849&amp;CHAR(34), )) &amp; "]"
</f>
        <v>["Pollution"]</v>
      </c>
      <c r="AM849" s="3" t="s">
        <v>64</v>
      </c>
      <c r="AN849" s="3"/>
      <c r="AO849" s="3"/>
      <c r="AP849" s="3"/>
      <c r="AQ849" s="3"/>
      <c r="AR849" s="3" t="s">
        <v>64</v>
      </c>
      <c r="AW849" s="8" t="s">
        <v>2803</v>
      </c>
    </row>
    <row r="850">
      <c r="A850" s="3">
        <v>799.0</v>
      </c>
      <c r="B850" s="3" t="s">
        <v>40</v>
      </c>
      <c r="C850" s="3" t="s">
        <v>1711</v>
      </c>
      <c r="D850" s="3">
        <v>1996.0</v>
      </c>
      <c r="E850" s="3" t="s">
        <v>1712</v>
      </c>
      <c r="F850" s="3" t="s">
        <v>129</v>
      </c>
      <c r="G850" s="3" t="s">
        <v>2600</v>
      </c>
      <c r="H850" s="3" t="s">
        <v>82</v>
      </c>
      <c r="I850" s="3" t="s">
        <v>2147</v>
      </c>
      <c r="J850" s="3" t="s">
        <v>82</v>
      </c>
      <c r="K850" s="3" t="s">
        <v>2217</v>
      </c>
      <c r="L850" s="3" t="s">
        <v>2237</v>
      </c>
      <c r="M850" s="3" t="s">
        <v>384</v>
      </c>
      <c r="S850" s="9" t="str">
        <f t="array" ref="S850">"[" &amp; TEXTJOIN(", ", TRUE, IF(LEN(T850:AB850), CHAR(34)&amp;T850:AB850&amp;CHAR(34), )) &amp; "]"
</f>
        <v>["Industrial &amp; military effluents"]</v>
      </c>
      <c r="T850" s="3" t="s">
        <v>147</v>
      </c>
      <c r="U850" s="3"/>
      <c r="V850" s="3"/>
      <c r="AC850" s="3" t="s">
        <v>147</v>
      </c>
      <c r="AL850" s="9" t="str">
        <f t="array" ref="AL850">"[" &amp; TEXTJOIN(", ", TRUE, IF(LEN(AM850:AQ850), CHAR(34)&amp;AM850:AQ850&amp;CHAR(34), )) &amp; "]"
</f>
        <v>["Pollution"]</v>
      </c>
      <c r="AM850" s="3" t="s">
        <v>64</v>
      </c>
      <c r="AN850" s="3"/>
      <c r="AO850" s="3"/>
      <c r="AP850" s="3"/>
      <c r="AQ850" s="3"/>
      <c r="AR850" s="3" t="s">
        <v>64</v>
      </c>
      <c r="AW850" s="8" t="s">
        <v>2804</v>
      </c>
    </row>
    <row r="851">
      <c r="A851" s="3">
        <v>802.0</v>
      </c>
      <c r="B851" s="3" t="s">
        <v>40</v>
      </c>
      <c r="C851" s="3" t="s">
        <v>1717</v>
      </c>
      <c r="D851" s="3">
        <v>1997.0</v>
      </c>
      <c r="E851" s="3" t="s">
        <v>1718</v>
      </c>
      <c r="F851" s="3" t="s">
        <v>129</v>
      </c>
      <c r="G851" s="3" t="s">
        <v>2600</v>
      </c>
      <c r="H851" s="3" t="s">
        <v>82</v>
      </c>
      <c r="I851" s="3" t="s">
        <v>2147</v>
      </c>
      <c r="J851" s="3" t="s">
        <v>82</v>
      </c>
      <c r="K851" s="3" t="s">
        <v>2217</v>
      </c>
      <c r="L851" s="3" t="s">
        <v>2237</v>
      </c>
      <c r="M851" s="3" t="s">
        <v>384</v>
      </c>
      <c r="S851" s="9" t="str">
        <f t="array" ref="S851">"[" &amp; TEXTJOIN(", ", TRUE, IF(LEN(T851:AB851), CHAR(34)&amp;T851:AB851&amp;CHAR(34), )) &amp; "]"
</f>
        <v>["Industrial &amp; military effluents"]</v>
      </c>
      <c r="T851" s="3" t="s">
        <v>147</v>
      </c>
      <c r="U851" s="3"/>
      <c r="V851" s="3"/>
      <c r="AC851" s="3" t="s">
        <v>147</v>
      </c>
      <c r="AL851" s="9" t="str">
        <f t="array" ref="AL851">"[" &amp; TEXTJOIN(", ", TRUE, IF(LEN(AM851:AQ851), CHAR(34)&amp;AM851:AQ851&amp;CHAR(34), )) &amp; "]"
</f>
        <v>["Pollution"]</v>
      </c>
      <c r="AM851" s="3" t="s">
        <v>64</v>
      </c>
      <c r="AN851" s="3"/>
      <c r="AO851" s="3"/>
      <c r="AP851" s="3"/>
      <c r="AQ851" s="3"/>
      <c r="AR851" s="3" t="s">
        <v>64</v>
      </c>
      <c r="AW851" s="8" t="s">
        <v>2805</v>
      </c>
    </row>
    <row r="852">
      <c r="A852" s="3">
        <v>812.0</v>
      </c>
      <c r="B852" s="3" t="s">
        <v>40</v>
      </c>
      <c r="C852" s="3" t="s">
        <v>1738</v>
      </c>
      <c r="D852" s="3">
        <v>2000.0</v>
      </c>
      <c r="E852" s="3" t="s">
        <v>1739</v>
      </c>
      <c r="F852" s="3" t="s">
        <v>129</v>
      </c>
      <c r="G852" s="3" t="s">
        <v>2600</v>
      </c>
      <c r="H852" s="3" t="s">
        <v>82</v>
      </c>
      <c r="I852" s="3" t="s">
        <v>2147</v>
      </c>
      <c r="J852" s="3" t="s">
        <v>82</v>
      </c>
      <c r="K852" s="3" t="s">
        <v>2217</v>
      </c>
      <c r="L852" s="3" t="s">
        <v>2237</v>
      </c>
      <c r="M852" s="3" t="s">
        <v>384</v>
      </c>
      <c r="S852" s="9" t="str">
        <f t="array" ref="S852">"[" &amp; TEXTJOIN(", ", TRUE, IF(LEN(T852:AB852), CHAR(34)&amp;T852:AB852&amp;CHAR(34), )) &amp; "]"
</f>
        <v>["Industrial &amp; military effluents"]</v>
      </c>
      <c r="T852" s="3" t="s">
        <v>147</v>
      </c>
      <c r="U852" s="3"/>
      <c r="V852" s="3"/>
      <c r="AC852" s="3" t="s">
        <v>147</v>
      </c>
      <c r="AL852" s="9" t="str">
        <f t="array" ref="AL852">"[" &amp; TEXTJOIN(", ", TRUE, IF(LEN(AM852:AQ852), CHAR(34)&amp;AM852:AQ852&amp;CHAR(34), )) &amp; "]"
</f>
        <v>["Pollution"]</v>
      </c>
      <c r="AM852" s="3" t="s">
        <v>64</v>
      </c>
      <c r="AN852" s="3"/>
      <c r="AO852" s="3"/>
      <c r="AP852" s="3"/>
      <c r="AQ852" s="3"/>
      <c r="AR852" s="3" t="s">
        <v>64</v>
      </c>
      <c r="AW852" s="8" t="s">
        <v>2806</v>
      </c>
    </row>
    <row r="853">
      <c r="A853" s="3">
        <v>816.0</v>
      </c>
      <c r="B853" s="3" t="s">
        <v>40</v>
      </c>
      <c r="C853" s="3" t="s">
        <v>1746</v>
      </c>
      <c r="D853" s="3">
        <v>2001.0</v>
      </c>
      <c r="E853" s="3" t="s">
        <v>1747</v>
      </c>
      <c r="F853" s="3" t="s">
        <v>129</v>
      </c>
      <c r="G853" s="3" t="s">
        <v>2600</v>
      </c>
      <c r="H853" s="3" t="s">
        <v>82</v>
      </c>
      <c r="I853" s="3" t="s">
        <v>2147</v>
      </c>
      <c r="J853" s="3" t="s">
        <v>82</v>
      </c>
      <c r="K853" s="3" t="s">
        <v>2217</v>
      </c>
      <c r="L853" s="3" t="s">
        <v>2234</v>
      </c>
      <c r="M853" s="3" t="s">
        <v>453</v>
      </c>
      <c r="S853" s="9" t="str">
        <f t="array" ref="S853">"[" &amp; TEXTJOIN(", ", TRUE, IF(LEN(T853:AB853), CHAR(34)&amp;T853:AB853&amp;CHAR(34), )) &amp; "]"
</f>
        <v>["Industrial &amp; military effluents"]</v>
      </c>
      <c r="T853" s="3" t="s">
        <v>147</v>
      </c>
      <c r="U853" s="3"/>
      <c r="V853" s="3"/>
      <c r="AC853" s="3" t="s">
        <v>147</v>
      </c>
      <c r="AL853" s="9" t="str">
        <f t="array" ref="AL853">"[" &amp; TEXTJOIN(", ", TRUE, IF(LEN(AM853:AQ853), CHAR(34)&amp;AM853:AQ853&amp;CHAR(34), )) &amp; "]"
</f>
        <v>["Pollution"]</v>
      </c>
      <c r="AM853" s="3" t="s">
        <v>64</v>
      </c>
      <c r="AN853" s="3"/>
      <c r="AO853" s="3"/>
      <c r="AP853" s="3"/>
      <c r="AQ853" s="3"/>
      <c r="AR853" s="3" t="s">
        <v>64</v>
      </c>
      <c r="AW853" s="8" t="s">
        <v>2807</v>
      </c>
    </row>
    <row r="854">
      <c r="A854" s="3">
        <v>820.0</v>
      </c>
      <c r="B854" s="3" t="s">
        <v>40</v>
      </c>
      <c r="C854" s="3" t="s">
        <v>1754</v>
      </c>
      <c r="D854" s="3">
        <v>2002.0</v>
      </c>
      <c r="E854" s="3" t="s">
        <v>1755</v>
      </c>
      <c r="F854" s="3" t="s">
        <v>129</v>
      </c>
      <c r="G854" s="3" t="s">
        <v>2600</v>
      </c>
      <c r="H854" s="3" t="s">
        <v>82</v>
      </c>
      <c r="I854" s="3" t="s">
        <v>2147</v>
      </c>
      <c r="J854" s="3" t="s">
        <v>82</v>
      </c>
      <c r="K854" s="3" t="s">
        <v>2217</v>
      </c>
      <c r="L854" s="3" t="s">
        <v>2237</v>
      </c>
      <c r="M854" s="3" t="s">
        <v>384</v>
      </c>
      <c r="S854" s="9" t="str">
        <f t="array" ref="S854">"[" &amp; TEXTJOIN(", ", TRUE, IF(LEN(T854:AB854), CHAR(34)&amp;T854:AB854&amp;CHAR(34), )) &amp; "]"
</f>
        <v>["Industrial &amp; military effluents"]</v>
      </c>
      <c r="T854" s="3" t="s">
        <v>147</v>
      </c>
      <c r="U854" s="3"/>
      <c r="V854" s="3"/>
      <c r="AC854" s="3" t="s">
        <v>147</v>
      </c>
      <c r="AL854" s="9" t="str">
        <f t="array" ref="AL854">"[" &amp; TEXTJOIN(", ", TRUE, IF(LEN(AM854:AQ854), CHAR(34)&amp;AM854:AQ854&amp;CHAR(34), )) &amp; "]"
</f>
        <v>["Pollution"]</v>
      </c>
      <c r="AM854" s="3" t="s">
        <v>64</v>
      </c>
      <c r="AN854" s="3"/>
      <c r="AO854" s="3"/>
      <c r="AP854" s="3"/>
      <c r="AQ854" s="3"/>
      <c r="AR854" s="3" t="s">
        <v>64</v>
      </c>
      <c r="AW854" s="8" t="s">
        <v>2808</v>
      </c>
    </row>
    <row r="855">
      <c r="A855" s="3">
        <v>821.0</v>
      </c>
      <c r="B855" s="3" t="s">
        <v>40</v>
      </c>
      <c r="C855" s="3" t="s">
        <v>1756</v>
      </c>
      <c r="D855" s="3">
        <v>2002.0</v>
      </c>
      <c r="E855" s="3" t="s">
        <v>1757</v>
      </c>
      <c r="F855" s="3" t="s">
        <v>129</v>
      </c>
      <c r="G855" s="3" t="s">
        <v>2600</v>
      </c>
      <c r="H855" s="3" t="s">
        <v>82</v>
      </c>
      <c r="I855" s="3" t="s">
        <v>2147</v>
      </c>
      <c r="J855" s="3" t="s">
        <v>82</v>
      </c>
      <c r="K855" s="3" t="s">
        <v>2217</v>
      </c>
      <c r="L855" s="3" t="s">
        <v>2237</v>
      </c>
      <c r="M855" s="3" t="s">
        <v>384</v>
      </c>
      <c r="S855" s="9" t="str">
        <f t="array" ref="S855">"[" &amp; TEXTJOIN(", ", TRUE, IF(LEN(T855:AB855), CHAR(34)&amp;T855:AB855&amp;CHAR(34), )) &amp; "]"
</f>
        <v>["Industrial &amp; military effluents"]</v>
      </c>
      <c r="T855" s="3" t="s">
        <v>147</v>
      </c>
      <c r="U855" s="3"/>
      <c r="V855" s="3"/>
      <c r="AC855" s="3" t="s">
        <v>147</v>
      </c>
      <c r="AL855" s="9" t="str">
        <f t="array" ref="AL855">"[" &amp; TEXTJOIN(", ", TRUE, IF(LEN(AM855:AQ855), CHAR(34)&amp;AM855:AQ855&amp;CHAR(34), )) &amp; "]"
</f>
        <v>["Pollution"]</v>
      </c>
      <c r="AM855" s="3" t="s">
        <v>64</v>
      </c>
      <c r="AN855" s="3"/>
      <c r="AO855" s="3"/>
      <c r="AP855" s="3"/>
      <c r="AQ855" s="3"/>
      <c r="AR855" s="3" t="s">
        <v>64</v>
      </c>
      <c r="AW855" s="8" t="s">
        <v>2809</v>
      </c>
    </row>
    <row r="856">
      <c r="A856" s="3">
        <v>822.0</v>
      </c>
      <c r="B856" s="3" t="s">
        <v>40</v>
      </c>
      <c r="C856" s="3" t="s">
        <v>1758</v>
      </c>
      <c r="D856" s="3">
        <v>2002.0</v>
      </c>
      <c r="E856" s="3" t="s">
        <v>1759</v>
      </c>
      <c r="F856" s="3" t="s">
        <v>129</v>
      </c>
      <c r="G856" s="3" t="s">
        <v>2600</v>
      </c>
      <c r="H856" s="3" t="s">
        <v>82</v>
      </c>
      <c r="I856" s="3" t="s">
        <v>2147</v>
      </c>
      <c r="J856" s="3" t="s">
        <v>82</v>
      </c>
      <c r="K856" s="3" t="s">
        <v>2217</v>
      </c>
      <c r="L856" s="3" t="s">
        <v>2234</v>
      </c>
      <c r="M856" s="3" t="s">
        <v>453</v>
      </c>
      <c r="S856" s="9" t="str">
        <f t="array" ref="S856">"[" &amp; TEXTJOIN(", ", TRUE, IF(LEN(T856:AB856), CHAR(34)&amp;T856:AB856&amp;CHAR(34), )) &amp; "]"
</f>
        <v>["Industrial &amp; military effluents"]</v>
      </c>
      <c r="T856" s="3" t="s">
        <v>147</v>
      </c>
      <c r="U856" s="3"/>
      <c r="V856" s="3"/>
      <c r="AC856" s="3" t="s">
        <v>147</v>
      </c>
      <c r="AL856" s="9" t="str">
        <f t="array" ref="AL856">"[" &amp; TEXTJOIN(", ", TRUE, IF(LEN(AM856:AQ856), CHAR(34)&amp;AM856:AQ856&amp;CHAR(34), )) &amp; "]"
</f>
        <v>["Pollution"]</v>
      </c>
      <c r="AM856" s="3" t="s">
        <v>64</v>
      </c>
      <c r="AN856" s="3"/>
      <c r="AO856" s="3"/>
      <c r="AP856" s="3"/>
      <c r="AQ856" s="3"/>
      <c r="AR856" s="3" t="s">
        <v>64</v>
      </c>
      <c r="AW856" s="8" t="s">
        <v>2810</v>
      </c>
    </row>
    <row r="857">
      <c r="A857" s="3">
        <v>823.0</v>
      </c>
      <c r="B857" s="3" t="s">
        <v>40</v>
      </c>
      <c r="C857" s="3" t="s">
        <v>1760</v>
      </c>
      <c r="D857" s="3">
        <v>2003.0</v>
      </c>
      <c r="E857" s="3" t="s">
        <v>1761</v>
      </c>
      <c r="F857" s="3" t="s">
        <v>129</v>
      </c>
      <c r="G857" s="3" t="s">
        <v>2600</v>
      </c>
      <c r="H857" s="3" t="s">
        <v>82</v>
      </c>
      <c r="I857" s="3" t="s">
        <v>2147</v>
      </c>
      <c r="J857" s="3" t="s">
        <v>82</v>
      </c>
      <c r="K857" s="3" t="s">
        <v>2217</v>
      </c>
      <c r="L857" s="3" t="s">
        <v>2234</v>
      </c>
      <c r="M857" s="3" t="s">
        <v>453</v>
      </c>
      <c r="S857" s="9" t="str">
        <f t="array" ref="S857">"[" &amp; TEXTJOIN(", ", TRUE, IF(LEN(T857:AB857), CHAR(34)&amp;T857:AB857&amp;CHAR(34), )) &amp; "]"
</f>
        <v>["Industrial &amp; military effluents"]</v>
      </c>
      <c r="T857" s="3" t="s">
        <v>147</v>
      </c>
      <c r="U857" s="3"/>
      <c r="V857" s="3"/>
      <c r="AC857" s="3" t="s">
        <v>147</v>
      </c>
      <c r="AL857" s="9" t="str">
        <f t="array" ref="AL857">"[" &amp; TEXTJOIN(", ", TRUE, IF(LEN(AM857:AQ857), CHAR(34)&amp;AM857:AQ857&amp;CHAR(34), )) &amp; "]"
</f>
        <v>["Pollution"]</v>
      </c>
      <c r="AM857" s="3" t="s">
        <v>64</v>
      </c>
      <c r="AN857" s="3"/>
      <c r="AO857" s="3"/>
      <c r="AP857" s="3"/>
      <c r="AQ857" s="3"/>
      <c r="AR857" s="3" t="s">
        <v>64</v>
      </c>
      <c r="AW857" s="8" t="s">
        <v>2811</v>
      </c>
    </row>
    <row r="858">
      <c r="A858" s="3">
        <v>824.0</v>
      </c>
      <c r="B858" s="3" t="s">
        <v>40</v>
      </c>
      <c r="C858" s="3" t="s">
        <v>1762</v>
      </c>
      <c r="D858" s="3">
        <v>2003.0</v>
      </c>
      <c r="E858" s="3" t="s">
        <v>1763</v>
      </c>
      <c r="F858" s="3" t="s">
        <v>129</v>
      </c>
      <c r="G858" s="3" t="s">
        <v>2600</v>
      </c>
      <c r="H858" s="3" t="s">
        <v>82</v>
      </c>
      <c r="I858" s="3" t="s">
        <v>2147</v>
      </c>
      <c r="J858" s="3" t="s">
        <v>82</v>
      </c>
      <c r="K858" s="3" t="s">
        <v>2217</v>
      </c>
      <c r="L858" s="3" t="s">
        <v>2237</v>
      </c>
      <c r="M858" s="3" t="s">
        <v>384</v>
      </c>
      <c r="S858" s="9" t="str">
        <f t="array" ref="S858">"[" &amp; TEXTJOIN(", ", TRUE, IF(LEN(T858:AB858), CHAR(34)&amp;T858:AB858&amp;CHAR(34), )) &amp; "]"
</f>
        <v>["Industrial &amp; military effluents"]</v>
      </c>
      <c r="T858" s="3" t="s">
        <v>147</v>
      </c>
      <c r="U858" s="3"/>
      <c r="V858" s="3"/>
      <c r="AC858" s="3" t="s">
        <v>147</v>
      </c>
      <c r="AL858" s="9" t="str">
        <f t="array" ref="AL858">"[" &amp; TEXTJOIN(", ", TRUE, IF(LEN(AM858:AQ858), CHAR(34)&amp;AM858:AQ858&amp;CHAR(34), )) &amp; "]"
</f>
        <v>["Pollution"]</v>
      </c>
      <c r="AM858" s="3" t="s">
        <v>64</v>
      </c>
      <c r="AN858" s="3"/>
      <c r="AO858" s="3"/>
      <c r="AP858" s="3"/>
      <c r="AQ858" s="3"/>
      <c r="AR858" s="3" t="s">
        <v>64</v>
      </c>
      <c r="AW858" s="8" t="s">
        <v>2812</v>
      </c>
    </row>
    <row r="859">
      <c r="A859" s="3">
        <v>830.0</v>
      </c>
      <c r="B859" s="3" t="s">
        <v>40</v>
      </c>
      <c r="C859" s="3" t="s">
        <v>1774</v>
      </c>
      <c r="D859" s="3">
        <v>2006.0</v>
      </c>
      <c r="E859" s="3" t="s">
        <v>1775</v>
      </c>
      <c r="F859" s="3" t="s">
        <v>129</v>
      </c>
      <c r="G859" s="3" t="s">
        <v>2600</v>
      </c>
      <c r="H859" s="3" t="s">
        <v>82</v>
      </c>
      <c r="I859" s="3" t="s">
        <v>2147</v>
      </c>
      <c r="J859" s="3" t="s">
        <v>82</v>
      </c>
      <c r="K859" s="3" t="s">
        <v>2217</v>
      </c>
      <c r="L859" s="3" t="s">
        <v>2256</v>
      </c>
      <c r="M859" s="3" t="s">
        <v>83</v>
      </c>
      <c r="S859" s="9" t="str">
        <f t="array" ref="S859">"[" &amp; TEXTJOIN(", ", TRUE, IF(LEN(T859:AB859), CHAR(34)&amp;T859:AB859&amp;CHAR(34), )) &amp; "]"
</f>
        <v>["Industrial &amp; military effluents"]</v>
      </c>
      <c r="T859" s="3" t="s">
        <v>147</v>
      </c>
      <c r="U859" s="3"/>
      <c r="V859" s="3"/>
      <c r="AC859" s="3" t="s">
        <v>147</v>
      </c>
      <c r="AL859" s="9" t="str">
        <f t="array" ref="AL859">"[" &amp; TEXTJOIN(", ", TRUE, IF(LEN(AM859:AQ859), CHAR(34)&amp;AM859:AQ859&amp;CHAR(34), )) &amp; "]"
</f>
        <v>["Pollution"]</v>
      </c>
      <c r="AM859" s="3" t="s">
        <v>64</v>
      </c>
      <c r="AN859" s="3"/>
      <c r="AO859" s="3"/>
      <c r="AP859" s="3"/>
      <c r="AQ859" s="3"/>
      <c r="AR859" s="3" t="s">
        <v>64</v>
      </c>
      <c r="AW859" s="8" t="s">
        <v>2813</v>
      </c>
    </row>
    <row r="860">
      <c r="A860" s="3">
        <v>831.0</v>
      </c>
      <c r="B860" s="3" t="s">
        <v>40</v>
      </c>
      <c r="C860" s="3" t="s">
        <v>1776</v>
      </c>
      <c r="D860" s="3">
        <v>2007.0</v>
      </c>
      <c r="E860" s="3" t="s">
        <v>1777</v>
      </c>
      <c r="F860" s="3" t="s">
        <v>129</v>
      </c>
      <c r="G860" s="3" t="s">
        <v>2600</v>
      </c>
      <c r="H860" s="3" t="s">
        <v>82</v>
      </c>
      <c r="I860" s="3" t="s">
        <v>2147</v>
      </c>
      <c r="J860" s="3" t="s">
        <v>82</v>
      </c>
      <c r="K860" s="3" t="s">
        <v>2217</v>
      </c>
      <c r="L860" s="3" t="s">
        <v>2237</v>
      </c>
      <c r="M860" s="3" t="s">
        <v>384</v>
      </c>
      <c r="S860" s="9" t="str">
        <f t="array" ref="S860">"[" &amp; TEXTJOIN(", ", TRUE, IF(LEN(T860:AB860), CHAR(34)&amp;T860:AB860&amp;CHAR(34), )) &amp; "]"
</f>
        <v>["Industrial &amp; military effluents"]</v>
      </c>
      <c r="T860" s="3" t="s">
        <v>147</v>
      </c>
      <c r="U860" s="3"/>
      <c r="V860" s="3"/>
      <c r="AC860" s="3" t="s">
        <v>147</v>
      </c>
      <c r="AL860" s="9" t="str">
        <f t="array" ref="AL860">"[" &amp; TEXTJOIN(", ", TRUE, IF(LEN(AM860:AQ860), CHAR(34)&amp;AM860:AQ860&amp;CHAR(34), )) &amp; "]"
</f>
        <v>["Pollution"]</v>
      </c>
      <c r="AM860" s="3" t="s">
        <v>64</v>
      </c>
      <c r="AN860" s="3"/>
      <c r="AO860" s="3"/>
      <c r="AP860" s="3"/>
      <c r="AQ860" s="3"/>
      <c r="AR860" s="3" t="s">
        <v>64</v>
      </c>
      <c r="AW860" s="8" t="s">
        <v>2814</v>
      </c>
    </row>
    <row r="861">
      <c r="A861" s="3">
        <v>832.0</v>
      </c>
      <c r="B861" s="3" t="s">
        <v>40</v>
      </c>
      <c r="C861" s="3" t="s">
        <v>1778</v>
      </c>
      <c r="D861" s="3">
        <v>2007.0</v>
      </c>
      <c r="E861" s="3" t="s">
        <v>1779</v>
      </c>
      <c r="F861" s="3" t="s">
        <v>129</v>
      </c>
      <c r="G861" s="3" t="s">
        <v>2600</v>
      </c>
      <c r="H861" s="3" t="s">
        <v>82</v>
      </c>
      <c r="I861" s="3" t="s">
        <v>2147</v>
      </c>
      <c r="J861" s="3" t="s">
        <v>82</v>
      </c>
      <c r="K861" s="3" t="s">
        <v>2217</v>
      </c>
      <c r="L861" s="3" t="s">
        <v>2237</v>
      </c>
      <c r="M861" s="3" t="s">
        <v>384</v>
      </c>
      <c r="S861" s="9" t="str">
        <f t="array" ref="S861">"[" &amp; TEXTJOIN(", ", TRUE, IF(LEN(T861:AB861), CHAR(34)&amp;T861:AB861&amp;CHAR(34), )) &amp; "]"
</f>
        <v>["Industrial &amp; military effluents"]</v>
      </c>
      <c r="T861" s="3" t="s">
        <v>147</v>
      </c>
      <c r="U861" s="3"/>
      <c r="V861" s="3"/>
      <c r="AC861" s="3" t="s">
        <v>147</v>
      </c>
      <c r="AL861" s="9" t="str">
        <f t="array" ref="AL861">"[" &amp; TEXTJOIN(", ", TRUE, IF(LEN(AM861:AQ861), CHAR(34)&amp;AM861:AQ861&amp;CHAR(34), )) &amp; "]"
</f>
        <v>["Pollution"]</v>
      </c>
      <c r="AM861" s="3" t="s">
        <v>64</v>
      </c>
      <c r="AN861" s="3"/>
      <c r="AO861" s="3"/>
      <c r="AP861" s="3"/>
      <c r="AQ861" s="3"/>
      <c r="AR861" s="3" t="s">
        <v>64</v>
      </c>
      <c r="AW861" s="8" t="s">
        <v>2815</v>
      </c>
    </row>
    <row r="862">
      <c r="A862" s="3">
        <v>836.0</v>
      </c>
      <c r="B862" s="3" t="s">
        <v>40</v>
      </c>
      <c r="C862" s="3" t="s">
        <v>1786</v>
      </c>
      <c r="D862" s="3">
        <v>2008.0</v>
      </c>
      <c r="E862" s="3" t="s">
        <v>1787</v>
      </c>
      <c r="F862" s="3" t="s">
        <v>129</v>
      </c>
      <c r="G862" s="3" t="s">
        <v>2600</v>
      </c>
      <c r="H862" s="3" t="s">
        <v>82</v>
      </c>
      <c r="I862" s="3" t="s">
        <v>2147</v>
      </c>
      <c r="J862" s="3" t="s">
        <v>82</v>
      </c>
      <c r="K862" s="3" t="s">
        <v>2217</v>
      </c>
      <c r="L862" s="3" t="s">
        <v>2816</v>
      </c>
      <c r="M862" s="3" t="s">
        <v>384</v>
      </c>
      <c r="N862" s="3" t="s">
        <v>1001</v>
      </c>
      <c r="S862" s="9" t="str">
        <f t="array" ref="S862">"[" &amp; TEXTJOIN(", ", TRUE, IF(LEN(T862:AB862), CHAR(34)&amp;T862:AB862&amp;CHAR(34), )) &amp; "]"
</f>
        <v>["Industrial &amp; military effluents"]</v>
      </c>
      <c r="T862" s="3" t="s">
        <v>147</v>
      </c>
      <c r="U862" s="3"/>
      <c r="V862" s="3"/>
      <c r="AC862" s="3" t="s">
        <v>147</v>
      </c>
      <c r="AL862" s="9" t="str">
        <f t="array" ref="AL862">"[" &amp; TEXTJOIN(", ", TRUE, IF(LEN(AM862:AQ862), CHAR(34)&amp;AM862:AQ862&amp;CHAR(34), )) &amp; "]"
</f>
        <v>["Pollution"]</v>
      </c>
      <c r="AM862" s="3" t="s">
        <v>64</v>
      </c>
      <c r="AN862" s="3"/>
      <c r="AO862" s="3"/>
      <c r="AP862" s="3"/>
      <c r="AQ862" s="3"/>
      <c r="AR862" s="3" t="s">
        <v>64</v>
      </c>
      <c r="AW862" s="8" t="s">
        <v>2817</v>
      </c>
    </row>
    <row r="863">
      <c r="A863" s="3">
        <v>837.0</v>
      </c>
      <c r="B863" s="3" t="s">
        <v>40</v>
      </c>
      <c r="C863" s="3" t="s">
        <v>1788</v>
      </c>
      <c r="D863" s="3">
        <v>2008.0</v>
      </c>
      <c r="E863" s="3" t="s">
        <v>1789</v>
      </c>
      <c r="F863" s="3" t="s">
        <v>129</v>
      </c>
      <c r="G863" s="3" t="s">
        <v>2600</v>
      </c>
      <c r="H863" s="3" t="s">
        <v>82</v>
      </c>
      <c r="I863" s="3" t="s">
        <v>2147</v>
      </c>
      <c r="J863" s="3" t="s">
        <v>82</v>
      </c>
      <c r="K863" s="3" t="s">
        <v>2217</v>
      </c>
      <c r="L863" s="3" t="s">
        <v>2237</v>
      </c>
      <c r="M863" s="3" t="s">
        <v>384</v>
      </c>
      <c r="S863" s="9" t="str">
        <f t="array" ref="S863">"[" &amp; TEXTJOIN(", ", TRUE, IF(LEN(T863:AB863), CHAR(34)&amp;T863:AB863&amp;CHAR(34), )) &amp; "]"
</f>
        <v>["Industrial &amp; military effluents"]</v>
      </c>
      <c r="T863" s="3" t="s">
        <v>147</v>
      </c>
      <c r="U863" s="3"/>
      <c r="V863" s="3"/>
      <c r="AC863" s="3" t="s">
        <v>147</v>
      </c>
      <c r="AL863" s="9" t="str">
        <f t="array" ref="AL863">"[" &amp; TEXTJOIN(", ", TRUE, IF(LEN(AM863:AQ863), CHAR(34)&amp;AM863:AQ863&amp;CHAR(34), )) &amp; "]"
</f>
        <v>["Pollution"]</v>
      </c>
      <c r="AM863" s="3" t="s">
        <v>64</v>
      </c>
      <c r="AN863" s="3"/>
      <c r="AO863" s="3"/>
      <c r="AP863" s="3"/>
      <c r="AQ863" s="3"/>
      <c r="AR863" s="3" t="s">
        <v>64</v>
      </c>
      <c r="AW863" s="8" t="s">
        <v>2818</v>
      </c>
    </row>
    <row r="864">
      <c r="A864" s="3">
        <v>841.0</v>
      </c>
      <c r="B864" s="3" t="s">
        <v>40</v>
      </c>
      <c r="C864" s="3" t="s">
        <v>1796</v>
      </c>
      <c r="D864" s="3">
        <v>2010.0</v>
      </c>
      <c r="E864" s="3" t="s">
        <v>1797</v>
      </c>
      <c r="F864" s="3" t="s">
        <v>129</v>
      </c>
      <c r="G864" s="3" t="s">
        <v>2600</v>
      </c>
      <c r="H864" s="3" t="s">
        <v>82</v>
      </c>
      <c r="I864" s="3" t="s">
        <v>2147</v>
      </c>
      <c r="J864" s="3" t="s">
        <v>82</v>
      </c>
      <c r="K864" s="3" t="s">
        <v>2217</v>
      </c>
      <c r="L864" s="3" t="s">
        <v>2237</v>
      </c>
      <c r="M864" s="3" t="s">
        <v>384</v>
      </c>
      <c r="S864" s="9" t="str">
        <f t="array" ref="S864">"[" &amp; TEXTJOIN(", ", TRUE, IF(LEN(T864:AB864), CHAR(34)&amp;T864:AB864&amp;CHAR(34), )) &amp; "]"
</f>
        <v>["Industrial &amp; military effluents"]</v>
      </c>
      <c r="T864" s="3" t="s">
        <v>147</v>
      </c>
      <c r="U864" s="3"/>
      <c r="V864" s="3"/>
      <c r="AC864" s="3" t="s">
        <v>147</v>
      </c>
      <c r="AL864" s="9" t="str">
        <f t="array" ref="AL864">"[" &amp; TEXTJOIN(", ", TRUE, IF(LEN(AM864:AQ864), CHAR(34)&amp;AM864:AQ864&amp;CHAR(34), )) &amp; "]"
</f>
        <v>["Pollution"]</v>
      </c>
      <c r="AM864" s="3" t="s">
        <v>64</v>
      </c>
      <c r="AN864" s="3"/>
      <c r="AO864" s="3"/>
      <c r="AP864" s="3"/>
      <c r="AQ864" s="3"/>
      <c r="AR864" s="3" t="s">
        <v>64</v>
      </c>
      <c r="AW864" s="8" t="s">
        <v>2819</v>
      </c>
    </row>
    <row r="865">
      <c r="A865" s="3">
        <v>847.0</v>
      </c>
      <c r="B865" s="3" t="s">
        <v>40</v>
      </c>
      <c r="C865" s="3" t="s">
        <v>1808</v>
      </c>
      <c r="D865" s="3">
        <v>2011.0</v>
      </c>
      <c r="E865" s="3" t="s">
        <v>2820</v>
      </c>
      <c r="F865" s="3" t="s">
        <v>129</v>
      </c>
      <c r="G865" s="3" t="s">
        <v>2600</v>
      </c>
      <c r="H865" s="3" t="s">
        <v>82</v>
      </c>
      <c r="I865" s="3" t="s">
        <v>2147</v>
      </c>
      <c r="J865" s="3" t="s">
        <v>82</v>
      </c>
      <c r="K865" s="3" t="s">
        <v>2217</v>
      </c>
      <c r="L865" s="3" t="s">
        <v>2237</v>
      </c>
      <c r="M865" s="3" t="s">
        <v>384</v>
      </c>
      <c r="S865" s="9" t="str">
        <f t="array" ref="S865">"[" &amp; TEXTJOIN(", ", TRUE, IF(LEN(T865:AB865), CHAR(34)&amp;T865:AB865&amp;CHAR(34), )) &amp; "]"
</f>
        <v>["Industrial &amp; military effluents"]</v>
      </c>
      <c r="T865" s="3" t="s">
        <v>147</v>
      </c>
      <c r="U865" s="3"/>
      <c r="V865" s="3"/>
      <c r="AC865" s="3" t="s">
        <v>147</v>
      </c>
      <c r="AL865" s="9" t="str">
        <f t="array" ref="AL865">"[" &amp; TEXTJOIN(", ", TRUE, IF(LEN(AM865:AQ865), CHAR(34)&amp;AM865:AQ865&amp;CHAR(34), )) &amp; "]"
</f>
        <v>["Pollution"]</v>
      </c>
      <c r="AM865" s="3" t="s">
        <v>64</v>
      </c>
      <c r="AN865" s="3"/>
      <c r="AO865" s="3"/>
      <c r="AP865" s="3"/>
      <c r="AQ865" s="3"/>
      <c r="AR865" s="3" t="s">
        <v>64</v>
      </c>
      <c r="AW865" s="8" t="s">
        <v>2821</v>
      </c>
    </row>
    <row r="866" hidden="1">
      <c r="A866" s="3">
        <v>610.0</v>
      </c>
      <c r="B866" s="3" t="s">
        <v>55</v>
      </c>
      <c r="D866" s="3">
        <v>1992.0</v>
      </c>
      <c r="E866" s="3" t="s">
        <v>1345</v>
      </c>
      <c r="F866" s="3" t="s">
        <v>129</v>
      </c>
      <c r="G866" s="3"/>
      <c r="H866" s="3" t="s">
        <v>82</v>
      </c>
      <c r="I866" s="3"/>
      <c r="J866" s="3" t="s">
        <v>82</v>
      </c>
      <c r="K866" s="3"/>
      <c r="L866" s="3"/>
      <c r="M866" s="3" t="s">
        <v>130</v>
      </c>
      <c r="S866" s="3"/>
      <c r="T866" s="3"/>
      <c r="U866" s="3"/>
      <c r="V866" s="3"/>
      <c r="AC866" s="3" t="s">
        <v>244</v>
      </c>
      <c r="AL866" s="3"/>
      <c r="AM866" s="3"/>
      <c r="AN866" s="3"/>
      <c r="AO866" s="3"/>
      <c r="AP866" s="3"/>
      <c r="AQ866" s="3"/>
      <c r="AR866" s="3" t="s">
        <v>54</v>
      </c>
      <c r="AW866" s="8" t="s">
        <v>2135</v>
      </c>
    </row>
    <row r="867" hidden="1">
      <c r="A867" s="3">
        <v>619.0</v>
      </c>
      <c r="B867" s="3" t="s">
        <v>55</v>
      </c>
      <c r="D867" s="3">
        <v>2009.0</v>
      </c>
      <c r="E867" s="3" t="s">
        <v>1356</v>
      </c>
      <c r="F867" s="3" t="s">
        <v>129</v>
      </c>
      <c r="G867" s="3"/>
      <c r="H867" s="3" t="s">
        <v>82</v>
      </c>
      <c r="I867" s="3"/>
      <c r="J867" s="3" t="s">
        <v>82</v>
      </c>
      <c r="K867" s="3"/>
      <c r="L867" s="3"/>
      <c r="M867" s="3" t="s">
        <v>130</v>
      </c>
      <c r="S867" s="3"/>
      <c r="T867" s="3"/>
      <c r="U867" s="3"/>
      <c r="V867" s="3"/>
      <c r="AC867" s="3" t="s">
        <v>244</v>
      </c>
      <c r="AL867" s="3"/>
      <c r="AM867" s="3"/>
      <c r="AN867" s="3"/>
      <c r="AO867" s="3"/>
      <c r="AP867" s="3"/>
      <c r="AQ867" s="3"/>
      <c r="AR867" s="3" t="s">
        <v>54</v>
      </c>
      <c r="AW867" s="8" t="s">
        <v>2135</v>
      </c>
    </row>
    <row r="868">
      <c r="A868" s="3">
        <v>848.0</v>
      </c>
      <c r="B868" s="3" t="s">
        <v>40</v>
      </c>
      <c r="C868" s="3" t="s">
        <v>1810</v>
      </c>
      <c r="D868" s="3">
        <v>2011.0</v>
      </c>
      <c r="E868" s="3" t="s">
        <v>1811</v>
      </c>
      <c r="F868" s="3" t="s">
        <v>129</v>
      </c>
      <c r="G868" s="3" t="s">
        <v>2600</v>
      </c>
      <c r="H868" s="3" t="s">
        <v>82</v>
      </c>
      <c r="I868" s="3" t="s">
        <v>2147</v>
      </c>
      <c r="J868" s="3" t="s">
        <v>82</v>
      </c>
      <c r="K868" s="3" t="s">
        <v>2217</v>
      </c>
      <c r="L868" s="3" t="s">
        <v>2237</v>
      </c>
      <c r="M868" s="3" t="s">
        <v>384</v>
      </c>
      <c r="S868" s="9" t="str">
        <f t="array" ref="S868">"[" &amp; TEXTJOIN(", ", TRUE, IF(LEN(T868:AB868), CHAR(34)&amp;T868:AB868&amp;CHAR(34), )) &amp; "]"
</f>
        <v>["Industrial &amp; military effluents"]</v>
      </c>
      <c r="T868" s="3" t="s">
        <v>147</v>
      </c>
      <c r="U868" s="3"/>
      <c r="V868" s="3"/>
      <c r="AC868" s="3" t="s">
        <v>147</v>
      </c>
      <c r="AL868" s="9" t="str">
        <f t="array" ref="AL868">"[" &amp; TEXTJOIN(", ", TRUE, IF(LEN(AM868:AQ868), CHAR(34)&amp;AM868:AQ868&amp;CHAR(34), )) &amp; "]"
</f>
        <v>["Pollution"]</v>
      </c>
      <c r="AM868" s="3" t="s">
        <v>64</v>
      </c>
      <c r="AN868" s="3"/>
      <c r="AO868" s="3"/>
      <c r="AP868" s="3"/>
      <c r="AQ868" s="3"/>
      <c r="AR868" s="3" t="s">
        <v>64</v>
      </c>
      <c r="AW868" s="8" t="s">
        <v>2822</v>
      </c>
    </row>
    <row r="869" hidden="1">
      <c r="A869" s="3">
        <v>622.0</v>
      </c>
      <c r="B869" s="3" t="s">
        <v>55</v>
      </c>
      <c r="D869" s="3">
        <v>1997.0</v>
      </c>
      <c r="E869" s="3" t="s">
        <v>1362</v>
      </c>
      <c r="F869" s="3" t="s">
        <v>129</v>
      </c>
      <c r="G869" s="3"/>
      <c r="H869" s="3" t="s">
        <v>82</v>
      </c>
      <c r="I869" s="3"/>
      <c r="J869" s="3" t="s">
        <v>82</v>
      </c>
      <c r="K869" s="3"/>
      <c r="L869" s="3"/>
      <c r="M869" s="3" t="s">
        <v>130</v>
      </c>
      <c r="S869" s="3"/>
      <c r="T869" s="3"/>
      <c r="U869" s="3"/>
      <c r="V869" s="3"/>
      <c r="W869" s="3"/>
      <c r="X869" s="3"/>
      <c r="Y869" s="3"/>
      <c r="Z869" s="3"/>
      <c r="AC869" s="3" t="s">
        <v>134</v>
      </c>
      <c r="AF869" s="3" t="s">
        <v>60</v>
      </c>
      <c r="AG869" s="3" t="s">
        <v>47</v>
      </c>
      <c r="AH869" s="3" t="s">
        <v>244</v>
      </c>
      <c r="AL869" s="3"/>
      <c r="AM869" s="3"/>
      <c r="AN869" s="3"/>
      <c r="AO869" s="3"/>
      <c r="AP869" s="3"/>
      <c r="AQ869" s="3"/>
      <c r="AR869" s="3" t="s">
        <v>53</v>
      </c>
      <c r="AS869" s="3" t="s">
        <v>51</v>
      </c>
      <c r="AT869" s="3" t="s">
        <v>54</v>
      </c>
      <c r="AU869" s="3" t="s">
        <v>78</v>
      </c>
      <c r="AW869" s="8" t="s">
        <v>2135</v>
      </c>
    </row>
    <row r="870">
      <c r="A870" s="3">
        <v>852.0</v>
      </c>
      <c r="B870" s="3" t="s">
        <v>40</v>
      </c>
      <c r="C870" s="3" t="s">
        <v>1818</v>
      </c>
      <c r="D870" s="3">
        <v>2012.0</v>
      </c>
      <c r="E870" s="3" t="s">
        <v>1819</v>
      </c>
      <c r="F870" s="3" t="s">
        <v>129</v>
      </c>
      <c r="G870" s="3" t="s">
        <v>2600</v>
      </c>
      <c r="H870" s="3" t="s">
        <v>82</v>
      </c>
      <c r="I870" s="3" t="s">
        <v>2147</v>
      </c>
      <c r="J870" s="3" t="s">
        <v>82</v>
      </c>
      <c r="K870" s="3" t="s">
        <v>2217</v>
      </c>
      <c r="L870" s="3" t="s">
        <v>2237</v>
      </c>
      <c r="M870" s="3" t="s">
        <v>384</v>
      </c>
      <c r="S870" s="9" t="str">
        <f t="array" ref="S870">"[" &amp; TEXTJOIN(", ", TRUE, IF(LEN(T870:AB870), CHAR(34)&amp;T870:AB870&amp;CHAR(34), )) &amp; "]"
</f>
        <v>["Industrial &amp; military effluents"]</v>
      </c>
      <c r="T870" s="3" t="s">
        <v>147</v>
      </c>
      <c r="U870" s="3"/>
      <c r="V870" s="3"/>
      <c r="AC870" s="3" t="s">
        <v>147</v>
      </c>
      <c r="AL870" s="9" t="str">
        <f t="array" ref="AL870">"[" &amp; TEXTJOIN(", ", TRUE, IF(LEN(AM870:AQ870), CHAR(34)&amp;AM870:AQ870&amp;CHAR(34), )) &amp; "]"
</f>
        <v>["Pollution"]</v>
      </c>
      <c r="AM870" s="3" t="s">
        <v>64</v>
      </c>
      <c r="AN870" s="3"/>
      <c r="AO870" s="3"/>
      <c r="AP870" s="3"/>
      <c r="AQ870" s="3"/>
      <c r="AR870" s="3" t="s">
        <v>64</v>
      </c>
      <c r="AW870" s="8" t="s">
        <v>2823</v>
      </c>
    </row>
    <row r="871">
      <c r="A871" s="3">
        <v>857.0</v>
      </c>
      <c r="B871" s="3" t="s">
        <v>40</v>
      </c>
      <c r="C871" s="3" t="s">
        <v>1828</v>
      </c>
      <c r="D871" s="3">
        <v>2013.0</v>
      </c>
      <c r="E871" s="3" t="s">
        <v>1829</v>
      </c>
      <c r="F871" s="3" t="s">
        <v>129</v>
      </c>
      <c r="G871" s="3" t="s">
        <v>2600</v>
      </c>
      <c r="H871" s="3" t="s">
        <v>82</v>
      </c>
      <c r="I871" s="3" t="s">
        <v>2147</v>
      </c>
      <c r="J871" s="3" t="s">
        <v>82</v>
      </c>
      <c r="K871" s="3" t="s">
        <v>2217</v>
      </c>
      <c r="L871" s="3" t="s">
        <v>2237</v>
      </c>
      <c r="M871" s="3" t="s">
        <v>384</v>
      </c>
      <c r="S871" s="9" t="str">
        <f t="array" ref="S871">"[" &amp; TEXTJOIN(", ", TRUE, IF(LEN(T871:AB871), CHAR(34)&amp;T871:AB871&amp;CHAR(34), )) &amp; "]"
</f>
        <v>["Industrial &amp; military effluents"]</v>
      </c>
      <c r="T871" s="3" t="s">
        <v>147</v>
      </c>
      <c r="U871" s="3"/>
      <c r="V871" s="3"/>
      <c r="AC871" s="3" t="s">
        <v>147</v>
      </c>
      <c r="AL871" s="9" t="str">
        <f t="array" ref="AL871">"[" &amp; TEXTJOIN(", ", TRUE, IF(LEN(AM871:AQ871), CHAR(34)&amp;AM871:AQ871&amp;CHAR(34), )) &amp; "]"
</f>
        <v>["Pollution"]</v>
      </c>
      <c r="AM871" s="3" t="s">
        <v>64</v>
      </c>
      <c r="AN871" s="3"/>
      <c r="AO871" s="3"/>
      <c r="AP871" s="3"/>
      <c r="AQ871" s="3"/>
      <c r="AR871" s="3" t="s">
        <v>64</v>
      </c>
      <c r="AW871" s="8" t="s">
        <v>2824</v>
      </c>
    </row>
    <row r="872">
      <c r="A872" s="3">
        <v>858.0</v>
      </c>
      <c r="B872" s="3" t="s">
        <v>40</v>
      </c>
      <c r="C872" s="3" t="s">
        <v>1830</v>
      </c>
      <c r="D872" s="3">
        <v>2013.0</v>
      </c>
      <c r="E872" s="3" t="s">
        <v>1831</v>
      </c>
      <c r="F872" s="3" t="s">
        <v>129</v>
      </c>
      <c r="G872" s="3" t="s">
        <v>2600</v>
      </c>
      <c r="H872" s="3" t="s">
        <v>82</v>
      </c>
      <c r="I872" s="3" t="s">
        <v>2147</v>
      </c>
      <c r="J872" s="3" t="s">
        <v>82</v>
      </c>
      <c r="K872" s="3" t="s">
        <v>2217</v>
      </c>
      <c r="L872" s="3" t="s">
        <v>2237</v>
      </c>
      <c r="M872" s="3" t="s">
        <v>384</v>
      </c>
      <c r="S872" s="9" t="str">
        <f t="array" ref="S872">"[" &amp; TEXTJOIN(", ", TRUE, IF(LEN(T872:AB872), CHAR(34)&amp;T872:AB872&amp;CHAR(34), )) &amp; "]"
</f>
        <v>["Industrial &amp; military effluents"]</v>
      </c>
      <c r="T872" s="3" t="s">
        <v>147</v>
      </c>
      <c r="U872" s="3"/>
      <c r="V872" s="3"/>
      <c r="AC872" s="3" t="s">
        <v>147</v>
      </c>
      <c r="AL872" s="9" t="str">
        <f t="array" ref="AL872">"[" &amp; TEXTJOIN(", ", TRUE, IF(LEN(AM872:AQ872), CHAR(34)&amp;AM872:AQ872&amp;CHAR(34), )) &amp; "]"
</f>
        <v>["Pollution"]</v>
      </c>
      <c r="AM872" s="3" t="s">
        <v>64</v>
      </c>
      <c r="AN872" s="3"/>
      <c r="AO872" s="3"/>
      <c r="AP872" s="3"/>
      <c r="AQ872" s="3"/>
      <c r="AR872" s="3" t="s">
        <v>64</v>
      </c>
      <c r="AW872" s="8" t="s">
        <v>2825</v>
      </c>
    </row>
    <row r="873">
      <c r="A873" s="3">
        <v>864.0</v>
      </c>
      <c r="B873" s="3" t="s">
        <v>40</v>
      </c>
      <c r="C873" s="3" t="s">
        <v>1830</v>
      </c>
      <c r="D873" s="3">
        <v>2014.0</v>
      </c>
      <c r="E873" s="3" t="s">
        <v>1842</v>
      </c>
      <c r="F873" s="3" t="s">
        <v>129</v>
      </c>
      <c r="G873" s="3" t="s">
        <v>2600</v>
      </c>
      <c r="H873" s="3" t="s">
        <v>82</v>
      </c>
      <c r="I873" s="3" t="s">
        <v>2147</v>
      </c>
      <c r="J873" s="3" t="s">
        <v>82</v>
      </c>
      <c r="K873" s="3" t="s">
        <v>2217</v>
      </c>
      <c r="L873" s="3" t="s">
        <v>2237</v>
      </c>
      <c r="M873" s="3" t="s">
        <v>384</v>
      </c>
      <c r="S873" s="9" t="str">
        <f t="array" ref="S873">"[" &amp; TEXTJOIN(", ", TRUE, IF(LEN(T873:AB873), CHAR(34)&amp;T873:AB873&amp;CHAR(34), )) &amp; "]"
</f>
        <v>["Industrial &amp; military effluents"]</v>
      </c>
      <c r="T873" s="3" t="s">
        <v>147</v>
      </c>
      <c r="U873" s="3"/>
      <c r="V873" s="3"/>
      <c r="AC873" s="3" t="s">
        <v>147</v>
      </c>
      <c r="AL873" s="9" t="str">
        <f t="array" ref="AL873">"[" &amp; TEXTJOIN(", ", TRUE, IF(LEN(AM873:AQ873), CHAR(34)&amp;AM873:AQ873&amp;CHAR(34), )) &amp; "]"
</f>
        <v>["Pollution"]</v>
      </c>
      <c r="AM873" s="3" t="s">
        <v>64</v>
      </c>
      <c r="AN873" s="3"/>
      <c r="AO873" s="3"/>
      <c r="AP873" s="3"/>
      <c r="AQ873" s="3"/>
      <c r="AR873" s="3" t="s">
        <v>64</v>
      </c>
      <c r="AW873" s="8" t="s">
        <v>2826</v>
      </c>
    </row>
    <row r="874">
      <c r="A874" s="3">
        <v>868.0</v>
      </c>
      <c r="B874" s="3" t="s">
        <v>40</v>
      </c>
      <c r="C874" s="3" t="s">
        <v>1849</v>
      </c>
      <c r="D874" s="3">
        <v>2016.0</v>
      </c>
      <c r="E874" s="3" t="s">
        <v>1850</v>
      </c>
      <c r="F874" s="3" t="s">
        <v>129</v>
      </c>
      <c r="G874" s="3" t="s">
        <v>2600</v>
      </c>
      <c r="H874" s="3" t="s">
        <v>82</v>
      </c>
      <c r="I874" s="3" t="s">
        <v>2147</v>
      </c>
      <c r="J874" s="3" t="s">
        <v>82</v>
      </c>
      <c r="K874" s="3" t="s">
        <v>2217</v>
      </c>
      <c r="L874" s="3" t="s">
        <v>2237</v>
      </c>
      <c r="M874" s="3" t="s">
        <v>384</v>
      </c>
      <c r="S874" s="9" t="str">
        <f t="array" ref="S874">"[" &amp; TEXTJOIN(", ", TRUE, IF(LEN(T874:AB874), CHAR(34)&amp;T874:AB874&amp;CHAR(34), )) &amp; "]"
</f>
        <v>["Industrial &amp; military effluents"]</v>
      </c>
      <c r="T874" s="3" t="s">
        <v>147</v>
      </c>
      <c r="U874" s="3"/>
      <c r="V874" s="3"/>
      <c r="AC874" s="3" t="s">
        <v>147</v>
      </c>
      <c r="AL874" s="9" t="str">
        <f t="array" ref="AL874">"[" &amp; TEXTJOIN(", ", TRUE, IF(LEN(AM874:AQ874), CHAR(34)&amp;AM874:AQ874&amp;CHAR(34), )) &amp; "]"
</f>
        <v>["Pollution"]</v>
      </c>
      <c r="AM874" s="3" t="s">
        <v>64</v>
      </c>
      <c r="AN874" s="3"/>
      <c r="AO874" s="3"/>
      <c r="AP874" s="3"/>
      <c r="AQ874" s="3"/>
      <c r="AR874" s="3" t="s">
        <v>64</v>
      </c>
      <c r="AW874" s="8" t="s">
        <v>2827</v>
      </c>
    </row>
    <row r="875">
      <c r="A875" s="3">
        <v>874.0</v>
      </c>
      <c r="B875" s="3" t="s">
        <v>40</v>
      </c>
      <c r="C875" s="3" t="s">
        <v>1862</v>
      </c>
      <c r="D875" s="3">
        <v>2018.0</v>
      </c>
      <c r="E875" s="3" t="s">
        <v>1863</v>
      </c>
      <c r="F875" s="3" t="s">
        <v>129</v>
      </c>
      <c r="G875" s="3" t="s">
        <v>2600</v>
      </c>
      <c r="H875" s="3" t="s">
        <v>82</v>
      </c>
      <c r="I875" s="3" t="s">
        <v>2147</v>
      </c>
      <c r="J875" s="3" t="s">
        <v>82</v>
      </c>
      <c r="K875" s="3" t="s">
        <v>2217</v>
      </c>
      <c r="L875" s="3" t="s">
        <v>2155</v>
      </c>
      <c r="M875" s="3" t="s">
        <v>1001</v>
      </c>
      <c r="S875" s="9" t="str">
        <f t="array" ref="S875">"[" &amp; TEXTJOIN(", ", TRUE, IF(LEN(T875:AB875), CHAR(34)&amp;T875:AB875&amp;CHAR(34), )) &amp; "]"
</f>
        <v>["Industrial &amp; military effluents"]</v>
      </c>
      <c r="T875" s="3" t="s">
        <v>147</v>
      </c>
      <c r="U875" s="3"/>
      <c r="V875" s="3"/>
      <c r="AC875" s="3" t="s">
        <v>147</v>
      </c>
      <c r="AL875" s="9" t="str">
        <f t="array" ref="AL875">"[" &amp; TEXTJOIN(", ", TRUE, IF(LEN(AM875:AQ875), CHAR(34)&amp;AM875:AQ875&amp;CHAR(34), )) &amp; "]"
</f>
        <v>["Pollution"]</v>
      </c>
      <c r="AM875" s="3" t="s">
        <v>64</v>
      </c>
      <c r="AN875" s="3"/>
      <c r="AO875" s="3"/>
      <c r="AP875" s="3"/>
      <c r="AQ875" s="3"/>
      <c r="AR875" s="3" t="s">
        <v>64</v>
      </c>
      <c r="AW875" s="8" t="s">
        <v>2828</v>
      </c>
    </row>
    <row r="876">
      <c r="A876" s="3">
        <v>875.0</v>
      </c>
      <c r="B876" s="3" t="s">
        <v>40</v>
      </c>
      <c r="C876" s="3" t="s">
        <v>1864</v>
      </c>
      <c r="D876" s="3">
        <v>2018.0</v>
      </c>
      <c r="E876" s="3" t="s">
        <v>1865</v>
      </c>
      <c r="F876" s="3" t="s">
        <v>129</v>
      </c>
      <c r="G876" s="3" t="s">
        <v>2600</v>
      </c>
      <c r="H876" s="3" t="s">
        <v>82</v>
      </c>
      <c r="I876" s="3" t="s">
        <v>2147</v>
      </c>
      <c r="J876" s="3" t="s">
        <v>82</v>
      </c>
      <c r="K876" s="3" t="s">
        <v>2217</v>
      </c>
      <c r="L876" s="3" t="s">
        <v>2829</v>
      </c>
      <c r="M876" s="3" t="s">
        <v>384</v>
      </c>
      <c r="N876" s="3" t="s">
        <v>453</v>
      </c>
      <c r="S876" s="9" t="str">
        <f t="array" ref="S876">"[" &amp; TEXTJOIN(", ", TRUE, IF(LEN(T876:AB876), CHAR(34)&amp;T876:AB876&amp;CHAR(34), )) &amp; "]"
</f>
        <v>["Industrial &amp; military effluents"]</v>
      </c>
      <c r="T876" s="3" t="s">
        <v>147</v>
      </c>
      <c r="U876" s="3"/>
      <c r="V876" s="3"/>
      <c r="AC876" s="3" t="s">
        <v>147</v>
      </c>
      <c r="AL876" s="9" t="str">
        <f t="array" ref="AL876">"[" &amp; TEXTJOIN(", ", TRUE, IF(LEN(AM876:AQ876), CHAR(34)&amp;AM876:AQ876&amp;CHAR(34), )) &amp; "]"
</f>
        <v>["Pollution"]</v>
      </c>
      <c r="AM876" s="3" t="s">
        <v>64</v>
      </c>
      <c r="AN876" s="3"/>
      <c r="AO876" s="3"/>
      <c r="AP876" s="3"/>
      <c r="AQ876" s="3"/>
      <c r="AR876" s="3" t="s">
        <v>64</v>
      </c>
      <c r="AW876" s="8" t="s">
        <v>2830</v>
      </c>
    </row>
    <row r="877">
      <c r="A877" s="3">
        <v>827.0</v>
      </c>
      <c r="B877" s="3" t="s">
        <v>40</v>
      </c>
      <c r="C877" s="3" t="s">
        <v>1768</v>
      </c>
      <c r="D877" s="3">
        <v>2004.0</v>
      </c>
      <c r="E877" s="3" t="s">
        <v>1769</v>
      </c>
      <c r="F877" s="3" t="s">
        <v>129</v>
      </c>
      <c r="G877" s="3" t="s">
        <v>2600</v>
      </c>
      <c r="H877" s="3" t="s">
        <v>82</v>
      </c>
      <c r="I877" s="3" t="s">
        <v>2147</v>
      </c>
      <c r="J877" s="3" t="s">
        <v>82</v>
      </c>
      <c r="K877" s="3" t="s">
        <v>2217</v>
      </c>
      <c r="L877" s="3" t="s">
        <v>2237</v>
      </c>
      <c r="M877" s="3" t="s">
        <v>384</v>
      </c>
      <c r="S877" s="9"/>
      <c r="T877" s="3"/>
      <c r="U877" s="3"/>
      <c r="V877" s="3"/>
      <c r="AL877" s="9" t="str">
        <f t="array" ref="AL877">"[" &amp; TEXTJOIN(", ", TRUE, IF(LEN(AM877:AQ877), CHAR(34)&amp;AM877:AQ877&amp;CHAR(34), )) &amp; "]"
</f>
        <v>["Pollution"]</v>
      </c>
      <c r="AM877" s="3" t="s">
        <v>64</v>
      </c>
      <c r="AN877" s="3"/>
      <c r="AO877" s="3"/>
      <c r="AP877" s="3"/>
      <c r="AQ877" s="3"/>
      <c r="AR877" s="3" t="s">
        <v>64</v>
      </c>
      <c r="AW877" s="8" t="s">
        <v>2831</v>
      </c>
    </row>
    <row r="878">
      <c r="A878" s="3">
        <v>319.0</v>
      </c>
      <c r="B878" s="3" t="s">
        <v>40</v>
      </c>
      <c r="C878" s="3" t="s">
        <v>806</v>
      </c>
      <c r="D878" s="3">
        <v>2013.0</v>
      </c>
      <c r="E878" s="3" t="s">
        <v>807</v>
      </c>
      <c r="F878" s="3" t="s">
        <v>321</v>
      </c>
      <c r="G878" s="3" t="s">
        <v>2832</v>
      </c>
      <c r="H878" s="3" t="s">
        <v>101</v>
      </c>
      <c r="I878" s="3" t="s">
        <v>2283</v>
      </c>
      <c r="J878" s="3" t="s">
        <v>102</v>
      </c>
      <c r="L878" s="3" t="s">
        <v>2833</v>
      </c>
      <c r="M878" s="3" t="s">
        <v>110</v>
      </c>
      <c r="N878" s="3" t="s">
        <v>205</v>
      </c>
      <c r="S878" s="9" t="str">
        <f t="array" ref="S878">"[" &amp; TEXTJOIN(", ", TRUE, IF(LEN(T878:AB878), CHAR(34)&amp;T878:AB878&amp;CHAR(34), )) &amp; "]"
</f>
        <v>["Hunting &amp; Collecting Terrestrial Animals", "Logging &amp; Wood Harvesting"]</v>
      </c>
      <c r="T878" s="3" t="s">
        <v>2138</v>
      </c>
      <c r="U878" s="3" t="s">
        <v>2139</v>
      </c>
      <c r="V878" s="3"/>
      <c r="AC878" s="3" t="s">
        <v>61</v>
      </c>
      <c r="AD878" s="3" t="s">
        <v>48</v>
      </c>
      <c r="AL878" s="9" t="str">
        <f t="array" ref="AL878">"[" &amp; TEXTJOIN(", ", TRUE, IF(LEN(AM878:AQ878), CHAR(34)&amp;AM878:AQ878&amp;CHAR(34), )) &amp; "]"
</f>
        <v>["Biological resource use"]</v>
      </c>
      <c r="AM878" s="3" t="s">
        <v>52</v>
      </c>
      <c r="AN878" s="3"/>
      <c r="AO878" s="3"/>
      <c r="AP878" s="3"/>
      <c r="AQ878" s="3"/>
      <c r="AR878" s="3" t="s">
        <v>52</v>
      </c>
      <c r="AW878" s="8" t="s">
        <v>2834</v>
      </c>
    </row>
    <row r="879">
      <c r="A879" s="3">
        <v>7.0</v>
      </c>
      <c r="B879" s="3" t="s">
        <v>40</v>
      </c>
      <c r="C879" s="3" t="s">
        <v>88</v>
      </c>
      <c r="D879" s="3">
        <v>1994.0</v>
      </c>
      <c r="E879" s="3" t="s">
        <v>89</v>
      </c>
      <c r="F879" s="3" t="s">
        <v>90</v>
      </c>
      <c r="G879" s="3" t="s">
        <v>2835</v>
      </c>
      <c r="H879" s="3" t="s">
        <v>91</v>
      </c>
      <c r="I879" s="3" t="s">
        <v>2136</v>
      </c>
      <c r="J879" s="3" t="s">
        <v>91</v>
      </c>
      <c r="L879" s="3" t="s">
        <v>2836</v>
      </c>
      <c r="M879" s="3" t="s">
        <v>92</v>
      </c>
      <c r="S879" s="9" t="str">
        <f t="array" ref="S879">"[" &amp; TEXTJOIN(", ", TRUE, IF(LEN(T879:AB879), CHAR(34)&amp;T879:AB879&amp;CHAR(34), )) &amp; "]"
</f>
        <v>["Annual &amp; perennial non-timber crops", "Logging &amp; wood harvesting", "Hunting &amp; collecting terrestrial animals"]</v>
      </c>
      <c r="T879" s="3" t="s">
        <v>60</v>
      </c>
      <c r="U879" s="3"/>
      <c r="V879" s="3"/>
      <c r="W879" s="3" t="s">
        <v>2188</v>
      </c>
      <c r="X879" s="3" t="s">
        <v>2178</v>
      </c>
      <c r="AC879" s="3" t="s">
        <v>60</v>
      </c>
      <c r="AF879" s="3" t="s">
        <v>48</v>
      </c>
      <c r="AG879" s="3" t="s">
        <v>61</v>
      </c>
      <c r="AL879" s="9" t="str">
        <f t="array" ref="AL879">"[" &amp; TEXTJOIN(", ", TRUE, IF(LEN(AM879:AQ879), CHAR(34)&amp;AM879:AQ879&amp;CHAR(34), )) &amp; "]"
</f>
        <v>["Agriculture &amp; aquaculture", "Biological resource use"]</v>
      </c>
      <c r="AM879" s="3" t="s">
        <v>51</v>
      </c>
      <c r="AN879" s="3" t="s">
        <v>52</v>
      </c>
      <c r="AO879" s="3"/>
      <c r="AP879" s="3"/>
      <c r="AQ879" s="3"/>
      <c r="AR879" s="3" t="s">
        <v>51</v>
      </c>
      <c r="AS879" s="3" t="s">
        <v>52</v>
      </c>
      <c r="AW879" s="8" t="s">
        <v>2837</v>
      </c>
    </row>
    <row r="880">
      <c r="A880" s="3">
        <v>98.0</v>
      </c>
      <c r="B880" s="3" t="s">
        <v>40</v>
      </c>
      <c r="C880" s="3" t="s">
        <v>363</v>
      </c>
      <c r="D880" s="3">
        <v>1996.0</v>
      </c>
      <c r="E880" s="3" t="s">
        <v>364</v>
      </c>
      <c r="F880" s="3" t="s">
        <v>81</v>
      </c>
      <c r="H880" s="3" t="s">
        <v>82</v>
      </c>
      <c r="I880" s="3" t="s">
        <v>2147</v>
      </c>
      <c r="J880" s="3" t="s">
        <v>82</v>
      </c>
      <c r="K880" s="3" t="s">
        <v>2217</v>
      </c>
      <c r="L880" s="3" t="s">
        <v>2218</v>
      </c>
      <c r="M880" s="3" t="s">
        <v>254</v>
      </c>
      <c r="S880" s="9" t="str">
        <f t="array" ref="S880">"[" &amp; TEXTJOIN(", ", TRUE, IF(LEN(T880:AB880), CHAR(34)&amp;T880:AB880&amp;CHAR(34), )) &amp; "]"
</f>
        <v>["Hunting &amp; Collecting Terrestrial Animals", "Logging &amp; Wood Harvesting", "Recreational activities", "Oil &amp; gas drilling"]</v>
      </c>
      <c r="T880" s="3" t="s">
        <v>2138</v>
      </c>
      <c r="U880" s="3" t="s">
        <v>2139</v>
      </c>
      <c r="V880" s="3"/>
      <c r="W880" s="3" t="s">
        <v>162</v>
      </c>
      <c r="Y880" s="3" t="s">
        <v>352</v>
      </c>
      <c r="AC880" s="3" t="s">
        <v>61</v>
      </c>
      <c r="AD880" s="3" t="s">
        <v>48</v>
      </c>
      <c r="AF880" s="3" t="s">
        <v>162</v>
      </c>
      <c r="AH880" s="3" t="s">
        <v>352</v>
      </c>
      <c r="AL880" s="9" t="str">
        <f t="array" ref="AL880">"[" &amp; TEXTJOIN(", ", TRUE, IF(LEN(AM880:AQ880), CHAR(34)&amp;AM880:AQ880&amp;CHAR(34), )) &amp; "]"
</f>
        <v>["Biological resource use", "Human intrusions &amp; disturbance", "Energy production &amp; mining"]</v>
      </c>
      <c r="AM880" s="3" t="s">
        <v>52</v>
      </c>
      <c r="AN880" s="3" t="s">
        <v>121</v>
      </c>
      <c r="AO880" s="3" t="s">
        <v>235</v>
      </c>
      <c r="AP880" s="3"/>
      <c r="AQ880" s="3"/>
      <c r="AR880" s="3" t="s">
        <v>52</v>
      </c>
      <c r="AS880" s="3" t="s">
        <v>121</v>
      </c>
      <c r="AT880" s="3" t="s">
        <v>235</v>
      </c>
      <c r="AW880" s="8" t="s">
        <v>2838</v>
      </c>
    </row>
    <row r="881">
      <c r="A881" s="3">
        <v>79.0</v>
      </c>
      <c r="B881" s="3" t="s">
        <v>40</v>
      </c>
      <c r="C881" s="3" t="s">
        <v>315</v>
      </c>
      <c r="D881" s="3">
        <v>2020.0</v>
      </c>
      <c r="E881" s="3" t="s">
        <v>316</v>
      </c>
      <c r="F881" s="3" t="s">
        <v>81</v>
      </c>
      <c r="H881" s="3" t="s">
        <v>82</v>
      </c>
      <c r="I881" s="3" t="s">
        <v>2147</v>
      </c>
      <c r="J881" s="3" t="s">
        <v>82</v>
      </c>
      <c r="K881" s="3" t="s">
        <v>2217</v>
      </c>
      <c r="L881" s="3" t="s">
        <v>2260</v>
      </c>
      <c r="M881" s="3" t="s">
        <v>314</v>
      </c>
      <c r="N881" s="3" t="s">
        <v>317</v>
      </c>
      <c r="S881" s="9" t="str">
        <f t="array" ref="S881">"[" &amp; TEXTJOIN(", ", TRUE, IF(LEN(T881:AB881), CHAR(34)&amp;T881:AB881&amp;CHAR(34), )) &amp; "]"
</f>
        <v>["Hunting &amp; Collecting Terrestrial Animals", "Logging &amp; Wood Harvesting", "Habitat shifting &amp; alteration", "Problematic native species/diseases"]</v>
      </c>
      <c r="T881" s="3" t="s">
        <v>2138</v>
      </c>
      <c r="U881" s="3" t="s">
        <v>2139</v>
      </c>
      <c r="V881" s="3"/>
      <c r="W881" s="3" t="s">
        <v>117</v>
      </c>
      <c r="Y881" s="3" t="s">
        <v>244</v>
      </c>
      <c r="AC881" s="3" t="s">
        <v>61</v>
      </c>
      <c r="AD881" s="3" t="s">
        <v>48</v>
      </c>
      <c r="AF881" s="3" t="s">
        <v>117</v>
      </c>
      <c r="AH881" s="3" t="s">
        <v>244</v>
      </c>
      <c r="AL881" s="9" t="str">
        <f t="array" ref="AL881">"[" &amp; TEXTJOIN(", ", TRUE, IF(LEN(AM881:AQ881), CHAR(34)&amp;AM881:AQ881&amp;CHAR(34), )) &amp; "]"
</f>
        <v>["Biological resource use", "Climate change &amp; severe weather", "Invasive &amp; other problematic species, genes &amp; diseases"]</v>
      </c>
      <c r="AM881" s="3" t="s">
        <v>52</v>
      </c>
      <c r="AN881" s="3" t="s">
        <v>118</v>
      </c>
      <c r="AO881" s="3" t="s">
        <v>54</v>
      </c>
      <c r="AP881" s="3"/>
      <c r="AQ881" s="3"/>
      <c r="AR881" s="3" t="s">
        <v>52</v>
      </c>
      <c r="AS881" s="3" t="s">
        <v>118</v>
      </c>
      <c r="AT881" s="3" t="s">
        <v>54</v>
      </c>
      <c r="AW881" s="8" t="s">
        <v>2839</v>
      </c>
    </row>
    <row r="882">
      <c r="A882" s="3">
        <v>217.0</v>
      </c>
      <c r="B882" s="3" t="s">
        <v>40</v>
      </c>
      <c r="C882" s="3" t="s">
        <v>601</v>
      </c>
      <c r="D882" s="3">
        <v>2001.0</v>
      </c>
      <c r="E882" s="3" t="s">
        <v>602</v>
      </c>
      <c r="F882" s="3" t="s">
        <v>81</v>
      </c>
      <c r="H882" s="3" t="s">
        <v>82</v>
      </c>
      <c r="I882" s="3" t="s">
        <v>2147</v>
      </c>
      <c r="J882" s="3" t="s">
        <v>82</v>
      </c>
      <c r="K882" s="3" t="s">
        <v>2217</v>
      </c>
      <c r="L882" s="3" t="s">
        <v>2840</v>
      </c>
      <c r="M882" s="3" t="s">
        <v>314</v>
      </c>
      <c r="N882" s="3" t="s">
        <v>254</v>
      </c>
      <c r="S882" s="9" t="str">
        <f t="array" ref="S882">"[" &amp; TEXTJOIN(", ", TRUE, IF(LEN(T882:AB882), CHAR(34)&amp;T882:AB882&amp;CHAR(34), )) &amp; "]"
</f>
        <v>["Hunting &amp; Collecting Terrestrial Animals", "Logging &amp; Wood Harvesting", "Roads &amp; railroads", "Housing &amp; urban areas"]</v>
      </c>
      <c r="T882" s="3" t="s">
        <v>2138</v>
      </c>
      <c r="U882" s="3" t="s">
        <v>2139</v>
      </c>
      <c r="V882" s="3"/>
      <c r="W882" s="3" t="s">
        <v>63</v>
      </c>
      <c r="Y882" s="3" t="s">
        <v>70</v>
      </c>
      <c r="AC882" s="3" t="s">
        <v>61</v>
      </c>
      <c r="AD882" s="3" t="s">
        <v>48</v>
      </c>
      <c r="AF882" s="3" t="s">
        <v>63</v>
      </c>
      <c r="AH882" s="3" t="s">
        <v>70</v>
      </c>
      <c r="AL882" s="9" t="str">
        <f t="array" ref="AL882">"[" &amp; TEXTJOIN(", ", TRUE, IF(LEN(AM882:AQ882), CHAR(34)&amp;AM882:AQ882&amp;CHAR(34), )) &amp; "]"
</f>
        <v>["Biological resource use", "Transportation &amp; service corridors", "Residential &amp; commercial development"]</v>
      </c>
      <c r="AM882" s="3" t="s">
        <v>52</v>
      </c>
      <c r="AN882" s="3" t="s">
        <v>65</v>
      </c>
      <c r="AO882" s="3" t="s">
        <v>71</v>
      </c>
      <c r="AP882" s="3"/>
      <c r="AQ882" s="3"/>
      <c r="AR882" s="3" t="s">
        <v>52</v>
      </c>
      <c r="AS882" s="3" t="s">
        <v>65</v>
      </c>
      <c r="AT882" s="3" t="s">
        <v>71</v>
      </c>
      <c r="AW882" s="8" t="s">
        <v>2841</v>
      </c>
    </row>
    <row r="883">
      <c r="A883" s="3">
        <v>5.0</v>
      </c>
      <c r="B883" s="3" t="s">
        <v>40</v>
      </c>
      <c r="C883" s="3" t="s">
        <v>79</v>
      </c>
      <c r="D883" s="3">
        <v>2004.0</v>
      </c>
      <c r="E883" s="3" t="s">
        <v>80</v>
      </c>
      <c r="F883" s="3" t="s">
        <v>81</v>
      </c>
      <c r="H883" s="3" t="s">
        <v>82</v>
      </c>
      <c r="I883" s="3" t="s">
        <v>2147</v>
      </c>
      <c r="J883" s="3" t="s">
        <v>82</v>
      </c>
      <c r="K883" s="3" t="s">
        <v>2217</v>
      </c>
      <c r="L883" s="3" t="s">
        <v>2256</v>
      </c>
      <c r="M883" s="3" t="s">
        <v>83</v>
      </c>
      <c r="S883" s="9" t="str">
        <f t="array" ref="S883">"[" &amp; TEXTJOIN(", ", TRUE, IF(LEN(T883:AB883), CHAR(34)&amp;T883:AB883&amp;CHAR(34), )) &amp; "]"
</f>
        <v>["Annual &amp; perennial non-timber crops", "Livestock farming &amp; ranching", "Hunting &amp; collecting terrestrial animals", "Roads &amp; railroads", "Housing &amp; urban areas"]</v>
      </c>
      <c r="T883" s="3" t="s">
        <v>60</v>
      </c>
      <c r="U883" s="3" t="s">
        <v>47</v>
      </c>
      <c r="V883" s="3"/>
      <c r="W883" s="3" t="s">
        <v>2178</v>
      </c>
      <c r="Y883" s="3" t="s">
        <v>63</v>
      </c>
      <c r="AA883" s="3" t="s">
        <v>70</v>
      </c>
      <c r="AC883" s="3" t="s">
        <v>60</v>
      </c>
      <c r="AD883" s="3" t="s">
        <v>47</v>
      </c>
      <c r="AF883" s="3" t="s">
        <v>61</v>
      </c>
      <c r="AH883" s="3" t="s">
        <v>63</v>
      </c>
      <c r="AJ883" s="3" t="s">
        <v>70</v>
      </c>
      <c r="AL883" s="9" t="str">
        <f t="array" ref="AL883">"[" &amp; TEXTJOIN(", ", TRUE, IF(LEN(AM883:AQ883), CHAR(34)&amp;AM883:AQ883&amp;CHAR(34), )) &amp; "]"
</f>
        <v>["Agriculture &amp; aquaculture", "Biological resource use", "Transportation &amp; service corridors", "Residential &amp; commercial development"]</v>
      </c>
      <c r="AM883" s="3" t="s">
        <v>51</v>
      </c>
      <c r="AN883" s="3" t="s">
        <v>52</v>
      </c>
      <c r="AO883" s="3" t="s">
        <v>65</v>
      </c>
      <c r="AP883" s="3" t="s">
        <v>71</v>
      </c>
      <c r="AR883" s="3" t="s">
        <v>51</v>
      </c>
      <c r="AS883" s="3" t="s">
        <v>52</v>
      </c>
      <c r="AT883" s="3" t="s">
        <v>65</v>
      </c>
      <c r="AU883" s="3" t="s">
        <v>71</v>
      </c>
      <c r="AV883" s="3" t="s">
        <v>78</v>
      </c>
      <c r="AW883" s="8" t="s">
        <v>2842</v>
      </c>
    </row>
    <row r="884">
      <c r="A884" s="3">
        <v>84.0</v>
      </c>
      <c r="B884" s="3" t="s">
        <v>40</v>
      </c>
      <c r="C884" s="3" t="s">
        <v>330</v>
      </c>
      <c r="D884" s="3">
        <v>2007.0</v>
      </c>
      <c r="E884" s="3" t="s">
        <v>331</v>
      </c>
      <c r="F884" s="3" t="s">
        <v>81</v>
      </c>
      <c r="H884" s="3" t="s">
        <v>82</v>
      </c>
      <c r="I884" s="3" t="s">
        <v>2147</v>
      </c>
      <c r="J884" s="3" t="s">
        <v>82</v>
      </c>
      <c r="K884" s="3" t="s">
        <v>2217</v>
      </c>
      <c r="L884" s="3" t="s">
        <v>2221</v>
      </c>
      <c r="M884" s="3" t="s">
        <v>317</v>
      </c>
      <c r="S884" s="9" t="str">
        <f t="array" ref="S884">"[" &amp; TEXTJOIN(", ", TRUE, IF(LEN(T884:AB884), CHAR(34)&amp;T884:AB884&amp;CHAR(34), )) &amp; "]"
</f>
        <v>["Hunting &amp; Collecting Terrestrial Animals"]</v>
      </c>
      <c r="T884" s="3" t="s">
        <v>2138</v>
      </c>
      <c r="U884" s="3"/>
      <c r="V884" s="3"/>
      <c r="AC884" s="3" t="s">
        <v>61</v>
      </c>
      <c r="AF884" s="3" t="s">
        <v>332</v>
      </c>
      <c r="AL884" s="9" t="str">
        <f t="array" ref="AL884">"[" &amp; TEXTJOIN(", ", TRUE, IF(LEN(AM884:AQ884), CHAR(34)&amp;AM884:AQ884&amp;CHAR(34), )) &amp; "]"
</f>
        <v>["Biological resource use", "Climate change &amp; severe weather"]</v>
      </c>
      <c r="AM884" s="3" t="s">
        <v>52</v>
      </c>
      <c r="AN884" s="3" t="s">
        <v>118</v>
      </c>
      <c r="AO884" s="3"/>
      <c r="AP884" s="3"/>
      <c r="AQ884" s="3"/>
      <c r="AR884" s="3" t="s">
        <v>52</v>
      </c>
      <c r="AS884" s="3" t="s">
        <v>118</v>
      </c>
      <c r="AW884" s="8" t="s">
        <v>2843</v>
      </c>
    </row>
    <row r="885">
      <c r="A885" s="3">
        <v>105.0</v>
      </c>
      <c r="B885" s="3" t="s">
        <v>40</v>
      </c>
      <c r="C885" s="3" t="s">
        <v>378</v>
      </c>
      <c r="D885" s="3">
        <v>2001.0</v>
      </c>
      <c r="E885" s="3" t="s">
        <v>379</v>
      </c>
      <c r="F885" s="3" t="s">
        <v>81</v>
      </c>
      <c r="H885" s="3" t="s">
        <v>82</v>
      </c>
      <c r="I885" s="3" t="s">
        <v>2147</v>
      </c>
      <c r="J885" s="3" t="s">
        <v>82</v>
      </c>
      <c r="K885" s="3" t="s">
        <v>2217</v>
      </c>
      <c r="L885" s="3" t="s">
        <v>2218</v>
      </c>
      <c r="M885" s="3" t="s">
        <v>254</v>
      </c>
      <c r="S885" s="9" t="str">
        <f t="array" ref="S885">"[" &amp; TEXTJOIN(", ", TRUE, IF(LEN(T885:AB885), CHAR(34)&amp;T885:AB885&amp;CHAR(34), )) &amp; "]"
</f>
        <v>["Hunting &amp; Collecting Terrestrial Animals"]</v>
      </c>
      <c r="T885" s="3" t="s">
        <v>2138</v>
      </c>
      <c r="U885" s="3"/>
      <c r="V885" s="3"/>
      <c r="AC885" s="3" t="s">
        <v>61</v>
      </c>
      <c r="AF885" s="3" t="s">
        <v>87</v>
      </c>
      <c r="AL885" s="9" t="str">
        <f t="array" ref="AL885">"[" &amp; TEXTJOIN(", ", TRUE, IF(LEN(AM885:AQ885), CHAR(34)&amp;AM885:AQ885&amp;CHAR(34), )) &amp; "]"
</f>
        <v>["Biological resource use", "Human intrusions &amp; disturbance"]</v>
      </c>
      <c r="AM885" s="3" t="s">
        <v>52</v>
      </c>
      <c r="AN885" s="3" t="s">
        <v>121</v>
      </c>
      <c r="AO885" s="3"/>
      <c r="AP885" s="3"/>
      <c r="AQ885" s="3"/>
      <c r="AR885" s="3" t="s">
        <v>52</v>
      </c>
      <c r="AS885" s="3" t="s">
        <v>121</v>
      </c>
      <c r="AW885" s="8" t="s">
        <v>2844</v>
      </c>
    </row>
    <row r="886">
      <c r="A886" s="3">
        <v>755.0</v>
      </c>
      <c r="B886" s="3" t="s">
        <v>40</v>
      </c>
      <c r="C886" s="3" t="s">
        <v>1624</v>
      </c>
      <c r="D886" s="3">
        <v>2008.0</v>
      </c>
      <c r="E886" s="3" t="s">
        <v>1625</v>
      </c>
      <c r="F886" s="3" t="s">
        <v>1225</v>
      </c>
      <c r="H886" s="3" t="s">
        <v>82</v>
      </c>
      <c r="I886" s="3" t="s">
        <v>2147</v>
      </c>
      <c r="J886" s="3" t="s">
        <v>82</v>
      </c>
      <c r="K886" s="3" t="s">
        <v>2217</v>
      </c>
      <c r="L886" s="3" t="s">
        <v>2237</v>
      </c>
      <c r="M886" s="3" t="s">
        <v>384</v>
      </c>
      <c r="S886" s="9" t="str">
        <f t="array" ref="S886">"[" &amp; TEXTJOIN(", ", TRUE, IF(LEN(T886:AB886), CHAR(34)&amp;T886:AB886&amp;CHAR(34), )) &amp; "]"
</f>
        <v>["Diseases of unknown cause"]</v>
      </c>
      <c r="T886" s="3"/>
      <c r="U886" s="3"/>
      <c r="V886" s="3"/>
      <c r="W886" s="3" t="s">
        <v>392</v>
      </c>
      <c r="AF886" s="3" t="s">
        <v>392</v>
      </c>
      <c r="AL886" s="9" t="str">
        <f t="array" ref="AL886">"[" &amp; TEXTJOIN(", ", TRUE, IF(LEN(AM886:AQ886), CHAR(34)&amp;AM886:AQ886&amp;CHAR(34), )) &amp; "]"
</f>
        <v>["Pollution", "Invasive &amp; other problematic species, genes &amp; diseases"]</v>
      </c>
      <c r="AM886" s="3" t="s">
        <v>64</v>
      </c>
      <c r="AN886" s="3" t="s">
        <v>54</v>
      </c>
      <c r="AO886" s="3"/>
      <c r="AP886" s="3"/>
      <c r="AQ886" s="3"/>
      <c r="AR886" s="3" t="s">
        <v>64</v>
      </c>
      <c r="AS886" s="3" t="s">
        <v>54</v>
      </c>
      <c r="AW886" s="8" t="s">
        <v>2845</v>
      </c>
    </row>
    <row r="887">
      <c r="A887" s="3">
        <v>223.0</v>
      </c>
      <c r="B887" s="3" t="s">
        <v>40</v>
      </c>
      <c r="C887" s="3" t="s">
        <v>611</v>
      </c>
      <c r="D887" s="3">
        <v>2005.0</v>
      </c>
      <c r="E887" s="3" t="s">
        <v>612</v>
      </c>
      <c r="F887" s="3" t="s">
        <v>81</v>
      </c>
      <c r="H887" s="3" t="s">
        <v>82</v>
      </c>
      <c r="I887" s="3" t="s">
        <v>2147</v>
      </c>
      <c r="J887" s="3" t="s">
        <v>82</v>
      </c>
      <c r="K887" s="3" t="s">
        <v>2217</v>
      </c>
      <c r="L887" s="3" t="s">
        <v>2218</v>
      </c>
      <c r="M887" s="3" t="s">
        <v>254</v>
      </c>
      <c r="S887" s="9" t="str">
        <f t="array" ref="S887">"[" &amp; TEXTJOIN(", ", TRUE, IF(LEN(T887:AB887), CHAR(34)&amp;T887:AB887&amp;CHAR(34), )) &amp; "]"
</f>
        <v>["Hunting &amp; Collecting Terrestrial Animals", "Roads &amp; railroads"]</v>
      </c>
      <c r="T887" s="3" t="s">
        <v>2138</v>
      </c>
      <c r="U887" s="3"/>
      <c r="V887" s="3"/>
      <c r="W887" s="3" t="s">
        <v>63</v>
      </c>
      <c r="AC887" s="3" t="s">
        <v>61</v>
      </c>
      <c r="AF887" s="3" t="s">
        <v>63</v>
      </c>
      <c r="AL887" s="9" t="str">
        <f t="array" ref="AL887">"[" &amp; TEXTJOIN(", ", TRUE, IF(LEN(AM887:AQ887), CHAR(34)&amp;AM887:AQ887&amp;CHAR(34), )) &amp; "]"
</f>
        <v>["Biological resource use", "Transportation &amp; service corridors"]</v>
      </c>
      <c r="AM887" s="3" t="s">
        <v>52</v>
      </c>
      <c r="AN887" s="3" t="s">
        <v>65</v>
      </c>
      <c r="AO887" s="3"/>
      <c r="AP887" s="3"/>
      <c r="AQ887" s="3"/>
      <c r="AR887" s="3" t="s">
        <v>52</v>
      </c>
      <c r="AS887" s="3" t="s">
        <v>65</v>
      </c>
      <c r="AW887" s="8" t="s">
        <v>2846</v>
      </c>
    </row>
    <row r="888">
      <c r="A888" s="3">
        <v>289.0</v>
      </c>
      <c r="B888" s="3" t="s">
        <v>40</v>
      </c>
      <c r="C888" s="3" t="s">
        <v>744</v>
      </c>
      <c r="D888" s="3">
        <v>2007.0</v>
      </c>
      <c r="E888" s="3" t="s">
        <v>745</v>
      </c>
      <c r="F888" s="3" t="s">
        <v>81</v>
      </c>
      <c r="H888" s="3" t="s">
        <v>82</v>
      </c>
      <c r="I888" s="3" t="s">
        <v>2147</v>
      </c>
      <c r="J888" s="3" t="s">
        <v>82</v>
      </c>
      <c r="K888" s="3" t="s">
        <v>2217</v>
      </c>
      <c r="L888" s="3" t="s">
        <v>2224</v>
      </c>
      <c r="M888" s="3" t="s">
        <v>314</v>
      </c>
      <c r="S888" s="9" t="str">
        <f t="array" ref="S888">"[" &amp; TEXTJOIN(", ", TRUE, IF(LEN(T888:AB888), CHAR(34)&amp;T888:AB888&amp;CHAR(34), )) &amp; "]"
</f>
        <v>["Hunting &amp; Collecting Terrestrial Animals", "Logging &amp; Wood Harvesting"]</v>
      </c>
      <c r="T888" s="3" t="s">
        <v>2138</v>
      </c>
      <c r="U888" s="3" t="s">
        <v>2139</v>
      </c>
      <c r="V888" s="3"/>
      <c r="AC888" s="3" t="s">
        <v>61</v>
      </c>
      <c r="AD888" s="3" t="s">
        <v>48</v>
      </c>
      <c r="AL888" s="9" t="str">
        <f t="array" ref="AL888">"[" &amp; TEXTJOIN(", ", TRUE, IF(LEN(AM888:AQ888), CHAR(34)&amp;AM888:AQ888&amp;CHAR(34), )) &amp; "]"
</f>
        <v>["Biological resource use"]</v>
      </c>
      <c r="AM888" s="3" t="s">
        <v>52</v>
      </c>
      <c r="AN888" s="3"/>
      <c r="AO888" s="3"/>
      <c r="AP888" s="3"/>
      <c r="AQ888" s="3"/>
      <c r="AR888" s="3" t="s">
        <v>52</v>
      </c>
      <c r="AW888" s="8" t="s">
        <v>2847</v>
      </c>
    </row>
    <row r="889">
      <c r="A889" s="3">
        <v>277.0</v>
      </c>
      <c r="B889" s="3" t="s">
        <v>40</v>
      </c>
      <c r="C889" s="3" t="s">
        <v>378</v>
      </c>
      <c r="D889" s="3">
        <v>2002.0</v>
      </c>
      <c r="E889" s="3" t="s">
        <v>721</v>
      </c>
      <c r="F889" s="3" t="s">
        <v>81</v>
      </c>
      <c r="H889" s="3" t="s">
        <v>82</v>
      </c>
      <c r="I889" s="3" t="s">
        <v>2147</v>
      </c>
      <c r="J889" s="3" t="s">
        <v>82</v>
      </c>
      <c r="K889" s="3" t="s">
        <v>2217</v>
      </c>
      <c r="L889" s="3" t="s">
        <v>2218</v>
      </c>
      <c r="M889" s="3" t="s">
        <v>254</v>
      </c>
      <c r="S889" s="9" t="str">
        <f t="array" ref="S889">"[" &amp; TEXTJOIN(", ", TRUE, IF(LEN(T889:AB889), CHAR(34)&amp;T889:AB889&amp;CHAR(34), )) &amp; "]"
</f>
        <v>["Hunting &amp; Collecting Terrestrial Animals"]</v>
      </c>
      <c r="T889" s="3" t="s">
        <v>2138</v>
      </c>
      <c r="U889" s="3"/>
      <c r="V889" s="3"/>
      <c r="AC889" s="3" t="s">
        <v>61</v>
      </c>
      <c r="AL889" s="9" t="str">
        <f t="array" ref="AL889">"[" &amp; TEXTJOIN(", ", TRUE, IF(LEN(AM889:AQ889), CHAR(34)&amp;AM889:AQ889&amp;CHAR(34), )) &amp; "]"
</f>
        <v>["Biological resource use"]</v>
      </c>
      <c r="AM889" s="3" t="s">
        <v>52</v>
      </c>
      <c r="AN889" s="3"/>
      <c r="AO889" s="3"/>
      <c r="AP889" s="3"/>
      <c r="AQ889" s="3"/>
      <c r="AR889" s="3" t="s">
        <v>52</v>
      </c>
      <c r="AW889" s="8" t="s">
        <v>2848</v>
      </c>
    </row>
    <row r="890">
      <c r="A890" s="3">
        <v>282.0</v>
      </c>
      <c r="B890" s="3" t="s">
        <v>40</v>
      </c>
      <c r="C890" s="3" t="s">
        <v>730</v>
      </c>
      <c r="D890" s="3">
        <v>2004.0</v>
      </c>
      <c r="E890" s="3" t="s">
        <v>731</v>
      </c>
      <c r="F890" s="3" t="s">
        <v>81</v>
      </c>
      <c r="H890" s="3" t="s">
        <v>82</v>
      </c>
      <c r="I890" s="3" t="s">
        <v>2147</v>
      </c>
      <c r="J890" s="3" t="s">
        <v>82</v>
      </c>
      <c r="K890" s="3" t="s">
        <v>2217</v>
      </c>
      <c r="L890" s="3" t="s">
        <v>2218</v>
      </c>
      <c r="M890" s="3" t="s">
        <v>254</v>
      </c>
      <c r="S890" s="9" t="str">
        <f t="array" ref="S890">"[" &amp; TEXTJOIN(", ", TRUE, IF(LEN(T890:AB890), CHAR(34)&amp;T890:AB890&amp;CHAR(34), )) &amp; "]"
</f>
        <v>["Hunting &amp; Collecting Terrestrial Animals"]</v>
      </c>
      <c r="T890" s="3" t="s">
        <v>2138</v>
      </c>
      <c r="U890" s="3"/>
      <c r="V890" s="3"/>
      <c r="AC890" s="3" t="s">
        <v>61</v>
      </c>
      <c r="AL890" s="9" t="str">
        <f t="array" ref="AL890">"[" &amp; TEXTJOIN(", ", TRUE, IF(LEN(AM890:AQ890), CHAR(34)&amp;AM890:AQ890&amp;CHAR(34), )) &amp; "]"
</f>
        <v>["Biological resource use"]</v>
      </c>
      <c r="AM890" s="3" t="s">
        <v>52</v>
      </c>
      <c r="AN890" s="3"/>
      <c r="AO890" s="3"/>
      <c r="AP890" s="3"/>
      <c r="AQ890" s="3"/>
      <c r="AR890" s="3" t="s">
        <v>52</v>
      </c>
      <c r="AW890" s="8" t="s">
        <v>2849</v>
      </c>
    </row>
    <row r="891">
      <c r="A891" s="3">
        <v>330.0</v>
      </c>
      <c r="B891" s="3" t="s">
        <v>40</v>
      </c>
      <c r="C891" s="3" t="s">
        <v>828</v>
      </c>
      <c r="D891" s="3">
        <v>2016.0</v>
      </c>
      <c r="E891" s="3" t="s">
        <v>829</v>
      </c>
      <c r="F891" s="3" t="s">
        <v>81</v>
      </c>
      <c r="H891" s="3" t="s">
        <v>82</v>
      </c>
      <c r="I891" s="3" t="s">
        <v>2147</v>
      </c>
      <c r="J891" s="3" t="s">
        <v>82</v>
      </c>
      <c r="K891" s="3" t="s">
        <v>2217</v>
      </c>
      <c r="L891" s="3" t="s">
        <v>2224</v>
      </c>
      <c r="M891" s="3" t="s">
        <v>314</v>
      </c>
      <c r="S891" s="9" t="str">
        <f t="array" ref="S891">"[" &amp; TEXTJOIN(", ", TRUE, IF(LEN(T891:AB891), CHAR(34)&amp;T891:AB891&amp;CHAR(34), )) &amp; "]"
</f>
        <v>["Logging &amp; Wood Harvesting"]</v>
      </c>
      <c r="T891" s="3" t="s">
        <v>2139</v>
      </c>
      <c r="U891" s="3"/>
      <c r="V891" s="3"/>
      <c r="AC891" s="3" t="s">
        <v>48</v>
      </c>
      <c r="AL891" s="9" t="str">
        <f t="array" ref="AL891">"[" &amp; TEXTJOIN(", ", TRUE, IF(LEN(AM891:AQ891), CHAR(34)&amp;AM891:AQ891&amp;CHAR(34), )) &amp; "]"
</f>
        <v>["Biological resource use"]</v>
      </c>
      <c r="AM891" s="3" t="s">
        <v>52</v>
      </c>
      <c r="AN891" s="3"/>
      <c r="AO891" s="3"/>
      <c r="AP891" s="3"/>
      <c r="AQ891" s="3"/>
      <c r="AR891" s="3" t="s">
        <v>52</v>
      </c>
      <c r="AW891" s="8" t="s">
        <v>2850</v>
      </c>
    </row>
    <row r="892">
      <c r="A892" s="3">
        <v>432.0</v>
      </c>
      <c r="B892" s="3" t="s">
        <v>40</v>
      </c>
      <c r="C892" s="3" t="s">
        <v>989</v>
      </c>
      <c r="D892" s="3">
        <v>2010.0</v>
      </c>
      <c r="E892" s="3" t="s">
        <v>990</v>
      </c>
      <c r="F892" s="3" t="s">
        <v>81</v>
      </c>
      <c r="H892" s="3" t="s">
        <v>82</v>
      </c>
      <c r="I892" s="3" t="s">
        <v>2147</v>
      </c>
      <c r="J892" s="3" t="s">
        <v>82</v>
      </c>
      <c r="K892" s="3" t="s">
        <v>2217</v>
      </c>
      <c r="L892" s="3" t="s">
        <v>2218</v>
      </c>
      <c r="M892" s="3" t="s">
        <v>254</v>
      </c>
      <c r="S892" s="9" t="str">
        <f t="array" ref="S892">"[" &amp; TEXTJOIN(", ", TRUE, IF(LEN(T892:AB892), CHAR(34)&amp;T892:AB892&amp;CHAR(34), )) &amp; "]"
</f>
        <v>["Habitat shifting &amp; alteration"]</v>
      </c>
      <c r="T892" s="3" t="s">
        <v>117</v>
      </c>
      <c r="U892" s="3"/>
      <c r="V892" s="3"/>
      <c r="AC892" s="3" t="s">
        <v>117</v>
      </c>
      <c r="AL892" s="9" t="str">
        <f t="array" ref="AL892">"[" &amp; TEXTJOIN(", ", TRUE, IF(LEN(AM892:AQ892), CHAR(34)&amp;AM892:AQ892&amp;CHAR(34), )) &amp; "]"
</f>
        <v>["Climate change &amp; severe weather"]</v>
      </c>
      <c r="AM892" s="3" t="s">
        <v>118</v>
      </c>
      <c r="AN892" s="3"/>
      <c r="AO892" s="3"/>
      <c r="AP892" s="3"/>
      <c r="AQ892" s="3"/>
      <c r="AR892" s="3" t="s">
        <v>118</v>
      </c>
      <c r="AW892" s="8" t="s">
        <v>2851</v>
      </c>
    </row>
    <row r="893">
      <c r="A893" s="3">
        <v>435.0</v>
      </c>
      <c r="B893" s="3" t="s">
        <v>40</v>
      </c>
      <c r="C893" s="3" t="s">
        <v>995</v>
      </c>
      <c r="D893" s="3">
        <v>2012.0</v>
      </c>
      <c r="E893" s="3" t="s">
        <v>996</v>
      </c>
      <c r="F893" s="3" t="s">
        <v>81</v>
      </c>
      <c r="H893" s="3" t="s">
        <v>82</v>
      </c>
      <c r="I893" s="3" t="s">
        <v>2147</v>
      </c>
      <c r="J893" s="3" t="s">
        <v>82</v>
      </c>
      <c r="K893" s="3" t="s">
        <v>2217</v>
      </c>
      <c r="L893" s="3" t="s">
        <v>2218</v>
      </c>
      <c r="M893" s="3" t="s">
        <v>254</v>
      </c>
      <c r="S893" s="9" t="str">
        <f t="array" ref="S893">"[" &amp; TEXTJOIN(", ", TRUE, IF(LEN(T893:AB893), CHAR(34)&amp;T893:AB893&amp;CHAR(34), )) &amp; "]"
</f>
        <v>["Habitat shifting &amp; alteration"]</v>
      </c>
      <c r="T893" s="3" t="s">
        <v>117</v>
      </c>
      <c r="U893" s="3"/>
      <c r="V893" s="3"/>
      <c r="AC893" s="3" t="s">
        <v>117</v>
      </c>
      <c r="AL893" s="9" t="str">
        <f t="array" ref="AL893">"[" &amp; TEXTJOIN(", ", TRUE, IF(LEN(AM893:AQ893), CHAR(34)&amp;AM893:AQ893&amp;CHAR(34), )) &amp; "]"
</f>
        <v>["Climate change &amp; severe weather"]</v>
      </c>
      <c r="AM893" s="3" t="s">
        <v>118</v>
      </c>
      <c r="AN893" s="3"/>
      <c r="AO893" s="3"/>
      <c r="AP893" s="3"/>
      <c r="AQ893" s="3"/>
      <c r="AR893" s="3" t="s">
        <v>118</v>
      </c>
      <c r="AW893" s="8" t="s">
        <v>2852</v>
      </c>
    </row>
    <row r="894">
      <c r="A894" s="3">
        <v>600.0</v>
      </c>
      <c r="B894" s="3" t="s">
        <v>40</v>
      </c>
      <c r="C894" s="3" t="s">
        <v>1326</v>
      </c>
      <c r="D894" s="3">
        <v>2019.0</v>
      </c>
      <c r="E894" s="3" t="s">
        <v>1327</v>
      </c>
      <c r="F894" s="3" t="s">
        <v>81</v>
      </c>
      <c r="H894" s="3" t="s">
        <v>82</v>
      </c>
      <c r="I894" s="3" t="s">
        <v>2147</v>
      </c>
      <c r="J894" s="3" t="s">
        <v>82</v>
      </c>
      <c r="K894" s="3" t="s">
        <v>2217</v>
      </c>
      <c r="L894" s="3" t="s">
        <v>2700</v>
      </c>
      <c r="M894" s="3" t="s">
        <v>866</v>
      </c>
      <c r="S894" s="9" t="str">
        <f t="array" ref="S894">"[" &amp; TEXTJOIN(", ", TRUE, IF(LEN(T894:AB894), CHAR(34)&amp;T894:AB894&amp;CHAR(34), )) &amp; "]"
</f>
        <v>["Introduced genetic material"]</v>
      </c>
      <c r="T894" s="3" t="s">
        <v>77</v>
      </c>
      <c r="U894" s="3"/>
      <c r="V894" s="3"/>
      <c r="AC894" s="3" t="s">
        <v>77</v>
      </c>
      <c r="AL894" s="9" t="str">
        <f t="array" ref="AL894">"[" &amp; TEXTJOIN(", ", TRUE, IF(LEN(AM894:AQ894), CHAR(34)&amp;AM894:AQ894&amp;CHAR(34), )) &amp; "]"
</f>
        <v>["Invasive &amp; other problematic species, genes &amp; diseases"]</v>
      </c>
      <c r="AM894" s="3" t="s">
        <v>54</v>
      </c>
      <c r="AN894" s="3"/>
      <c r="AO894" s="3"/>
      <c r="AP894" s="3"/>
      <c r="AQ894" s="3"/>
      <c r="AR894" s="3" t="s">
        <v>54</v>
      </c>
      <c r="AW894" s="8" t="s">
        <v>2853</v>
      </c>
    </row>
    <row r="895">
      <c r="A895" s="3">
        <v>549.0</v>
      </c>
      <c r="B895" s="3" t="s">
        <v>40</v>
      </c>
      <c r="C895" s="3" t="s">
        <v>1221</v>
      </c>
      <c r="D895" s="3">
        <v>2011.0</v>
      </c>
      <c r="E895" s="3" t="s">
        <v>1222</v>
      </c>
      <c r="F895" s="3" t="s">
        <v>81</v>
      </c>
      <c r="H895" s="3" t="s">
        <v>82</v>
      </c>
      <c r="I895" s="3" t="s">
        <v>2147</v>
      </c>
      <c r="J895" s="3" t="s">
        <v>82</v>
      </c>
      <c r="K895" s="3" t="s">
        <v>2217</v>
      </c>
      <c r="L895" s="3" t="s">
        <v>2155</v>
      </c>
      <c r="M895" s="3" t="s">
        <v>1001</v>
      </c>
      <c r="S895" s="9" t="str">
        <f t="array" ref="S895">"[" &amp; TEXTJOIN(", ", TRUE, IF(LEN(T895:AB895), CHAR(34)&amp;T895:AB895&amp;CHAR(34), )) &amp; "]"
</f>
        <v>["Problematic native species/diseases"]</v>
      </c>
      <c r="T895" s="3" t="s">
        <v>244</v>
      </c>
      <c r="U895" s="3"/>
      <c r="V895" s="3"/>
      <c r="AC895" s="3" t="s">
        <v>244</v>
      </c>
      <c r="AL895" s="9" t="str">
        <f t="array" ref="AL895">"[" &amp; TEXTJOIN(", ", TRUE, IF(LEN(AM895:AQ895), CHAR(34)&amp;AM895:AQ895&amp;CHAR(34), )) &amp; "]"
</f>
        <v>["Invasive &amp; other problematic species, genes &amp; diseases"]</v>
      </c>
      <c r="AM895" s="3" t="s">
        <v>54</v>
      </c>
      <c r="AN895" s="3"/>
      <c r="AO895" s="3"/>
      <c r="AP895" s="3"/>
      <c r="AQ895" s="3"/>
      <c r="AR895" s="3" t="s">
        <v>54</v>
      </c>
      <c r="AW895" s="8" t="s">
        <v>2854</v>
      </c>
    </row>
    <row r="896">
      <c r="A896" s="3">
        <v>545.0</v>
      </c>
      <c r="B896" s="3" t="s">
        <v>40</v>
      </c>
      <c r="C896" s="3" t="s">
        <v>1213</v>
      </c>
      <c r="D896" s="3">
        <v>2010.0</v>
      </c>
      <c r="E896" s="3" t="s">
        <v>1214</v>
      </c>
      <c r="F896" s="3" t="s">
        <v>81</v>
      </c>
      <c r="H896" s="3" t="s">
        <v>82</v>
      </c>
      <c r="I896" s="3" t="s">
        <v>2147</v>
      </c>
      <c r="J896" s="3" t="s">
        <v>82</v>
      </c>
      <c r="K896" s="3" t="s">
        <v>2217</v>
      </c>
      <c r="L896" s="3" t="s">
        <v>2237</v>
      </c>
      <c r="M896" s="3" t="s">
        <v>384</v>
      </c>
      <c r="S896" s="9" t="str">
        <f t="array" ref="S896">"[" &amp; TEXTJOIN(", ", TRUE, IF(LEN(T896:AB896), CHAR(34)&amp;T896:AB896&amp;CHAR(34), )) &amp; "]"
</f>
        <v>["Viral/prion-induced diseases"]</v>
      </c>
      <c r="T896" s="3" t="s">
        <v>385</v>
      </c>
      <c r="U896" s="3"/>
      <c r="V896" s="3"/>
      <c r="AC896" s="3" t="s">
        <v>385</v>
      </c>
      <c r="AL896" s="9" t="str">
        <f t="array" ref="AL896">"[" &amp; TEXTJOIN(", ", TRUE, IF(LEN(AM896:AQ896), CHAR(34)&amp;AM896:AQ896&amp;CHAR(34), )) &amp; "]"
</f>
        <v>["Invasive &amp; other problematic species, genes &amp; diseases"]</v>
      </c>
      <c r="AM896" s="3" t="s">
        <v>54</v>
      </c>
      <c r="AN896" s="3"/>
      <c r="AO896" s="3"/>
      <c r="AP896" s="3"/>
      <c r="AQ896" s="3"/>
      <c r="AR896" s="3" t="s">
        <v>54</v>
      </c>
      <c r="AW896" s="8" t="s">
        <v>2855</v>
      </c>
    </row>
    <row r="897">
      <c r="A897" s="3">
        <v>550.0</v>
      </c>
      <c r="B897" s="3" t="s">
        <v>40</v>
      </c>
      <c r="C897" s="3" t="s">
        <v>1223</v>
      </c>
      <c r="D897" s="3">
        <v>2011.0</v>
      </c>
      <c r="E897" s="3" t="s">
        <v>1224</v>
      </c>
      <c r="F897" s="3" t="s">
        <v>1225</v>
      </c>
      <c r="H897" s="3" t="s">
        <v>82</v>
      </c>
      <c r="I897" s="3" t="s">
        <v>2147</v>
      </c>
      <c r="J897" s="3" t="s">
        <v>82</v>
      </c>
      <c r="K897" s="3" t="s">
        <v>2217</v>
      </c>
      <c r="L897" s="3" t="s">
        <v>2237</v>
      </c>
      <c r="M897" s="3" t="s">
        <v>384</v>
      </c>
      <c r="S897" s="9" t="str">
        <f t="array" ref="S897">"[" &amp; TEXTJOIN(", ", TRUE, IF(LEN(T897:AB897), CHAR(34)&amp;T897:AB897&amp;CHAR(34), )) &amp; "]"
</f>
        <v>["Viral/prion-induced diseases"]</v>
      </c>
      <c r="T897" s="3" t="s">
        <v>385</v>
      </c>
      <c r="U897" s="3"/>
      <c r="V897" s="3"/>
      <c r="AC897" s="3" t="s">
        <v>385</v>
      </c>
      <c r="AL897" s="9" t="str">
        <f t="array" ref="AL897">"[" &amp; TEXTJOIN(", ", TRUE, IF(LEN(AM897:AQ897), CHAR(34)&amp;AM897:AQ897&amp;CHAR(34), )) &amp; "]"
</f>
        <v>["Invasive &amp; other problematic species, genes &amp; diseases"]</v>
      </c>
      <c r="AM897" s="3" t="s">
        <v>54</v>
      </c>
      <c r="AN897" s="3"/>
      <c r="AO897" s="3"/>
      <c r="AP897" s="3"/>
      <c r="AQ897" s="3"/>
      <c r="AR897" s="3" t="s">
        <v>54</v>
      </c>
      <c r="AW897" s="8" t="s">
        <v>2856</v>
      </c>
    </row>
    <row r="898">
      <c r="A898" s="3">
        <v>533.0</v>
      </c>
      <c r="B898" s="3" t="s">
        <v>40</v>
      </c>
      <c r="C898" s="3" t="s">
        <v>1189</v>
      </c>
      <c r="D898" s="3">
        <v>2009.0</v>
      </c>
      <c r="E898" s="3" t="s">
        <v>1190</v>
      </c>
      <c r="F898" s="3" t="s">
        <v>81</v>
      </c>
      <c r="H898" s="3" t="s">
        <v>82</v>
      </c>
      <c r="I898" s="3" t="s">
        <v>2147</v>
      </c>
      <c r="J898" s="3" t="s">
        <v>82</v>
      </c>
      <c r="K898" s="3" t="s">
        <v>2217</v>
      </c>
      <c r="L898" s="3" t="s">
        <v>2237</v>
      </c>
      <c r="M898" s="3" t="s">
        <v>384</v>
      </c>
      <c r="S898" s="9"/>
      <c r="U898" s="3"/>
      <c r="V898" s="3"/>
      <c r="AC898" s="3" t="s">
        <v>493</v>
      </c>
      <c r="AL898" s="9" t="str">
        <f t="array" ref="AL898">"[" &amp; TEXTJOIN(", ", TRUE, IF(LEN(AM898:AQ898), CHAR(34)&amp;AM898:AQ898&amp;CHAR(34), )) &amp; "]"
</f>
        <v>["Invasive &amp; other problematic species, genes &amp; diseases"]</v>
      </c>
      <c r="AM898" s="3" t="s">
        <v>54</v>
      </c>
      <c r="AN898" s="3"/>
      <c r="AO898" s="3"/>
      <c r="AP898" s="3"/>
      <c r="AQ898" s="3"/>
      <c r="AR898" s="3" t="s">
        <v>54</v>
      </c>
      <c r="AW898" s="8" t="s">
        <v>2857</v>
      </c>
    </row>
    <row r="899">
      <c r="A899" s="3">
        <v>675.0</v>
      </c>
      <c r="B899" s="3" t="s">
        <v>40</v>
      </c>
      <c r="C899" s="3" t="s">
        <v>1462</v>
      </c>
      <c r="D899" s="3">
        <v>2003.0</v>
      </c>
      <c r="E899" s="3" t="s">
        <v>1463</v>
      </c>
      <c r="F899" s="3" t="s">
        <v>81</v>
      </c>
      <c r="H899" s="3" t="s">
        <v>82</v>
      </c>
      <c r="I899" s="3" t="s">
        <v>2147</v>
      </c>
      <c r="J899" s="3" t="s">
        <v>82</v>
      </c>
      <c r="K899" s="3" t="s">
        <v>2217</v>
      </c>
      <c r="L899" s="3" t="s">
        <v>2224</v>
      </c>
      <c r="M899" s="3" t="s">
        <v>314</v>
      </c>
      <c r="S899" s="9"/>
      <c r="T899" s="3"/>
      <c r="U899" s="3"/>
      <c r="V899" s="3"/>
      <c r="AL899" s="9" t="str">
        <f t="array" ref="AL899">"[" &amp; TEXTJOIN(", ", TRUE, IF(LEN(AM899:AQ899), CHAR(34)&amp;AM899:AQ899&amp;CHAR(34), )) &amp; "]"
</f>
        <v>[]</v>
      </c>
      <c r="AN899" s="3"/>
      <c r="AO899" s="3"/>
      <c r="AP899" s="3"/>
      <c r="AQ899" s="3"/>
      <c r="AR899" s="3" t="s">
        <v>78</v>
      </c>
      <c r="AW899" s="8" t="s">
        <v>2858</v>
      </c>
    </row>
    <row r="900">
      <c r="A900" s="3">
        <v>689.0</v>
      </c>
      <c r="B900" s="3" t="s">
        <v>40</v>
      </c>
      <c r="C900" s="3" t="s">
        <v>1490</v>
      </c>
      <c r="D900" s="3">
        <v>2006.0</v>
      </c>
      <c r="E900" s="3" t="s">
        <v>1491</v>
      </c>
      <c r="F900" s="3" t="s">
        <v>81</v>
      </c>
      <c r="H900" s="3" t="s">
        <v>82</v>
      </c>
      <c r="I900" s="3" t="s">
        <v>2147</v>
      </c>
      <c r="J900" s="3" t="s">
        <v>82</v>
      </c>
      <c r="K900" s="3" t="s">
        <v>2217</v>
      </c>
      <c r="L900" s="3" t="s">
        <v>2218</v>
      </c>
      <c r="M900" s="3" t="s">
        <v>254</v>
      </c>
      <c r="S900" s="9"/>
      <c r="T900" s="3"/>
      <c r="U900" s="3"/>
      <c r="V900" s="3"/>
      <c r="AL900" s="9" t="str">
        <f t="array" ref="AL900">"[" &amp; TEXTJOIN(", ", TRUE, IF(LEN(AM900:AQ900), CHAR(34)&amp;AM900:AQ900&amp;CHAR(34), )) &amp; "]"
</f>
        <v>[]</v>
      </c>
      <c r="AN900" s="3"/>
      <c r="AO900" s="3"/>
      <c r="AP900" s="3"/>
      <c r="AQ900" s="3"/>
      <c r="AR900" s="3" t="s">
        <v>78</v>
      </c>
      <c r="AW900" s="8" t="s">
        <v>2859</v>
      </c>
    </row>
    <row r="901">
      <c r="A901" s="3">
        <v>833.0</v>
      </c>
      <c r="B901" s="3" t="s">
        <v>40</v>
      </c>
      <c r="C901" s="3" t="s">
        <v>1780</v>
      </c>
      <c r="D901" s="3">
        <v>2007.0</v>
      </c>
      <c r="E901" s="3" t="s">
        <v>1781</v>
      </c>
      <c r="F901" s="3" t="s">
        <v>81</v>
      </c>
      <c r="H901" s="3" t="s">
        <v>82</v>
      </c>
      <c r="I901" s="3" t="s">
        <v>2147</v>
      </c>
      <c r="J901" s="3" t="s">
        <v>82</v>
      </c>
      <c r="K901" s="3" t="s">
        <v>2217</v>
      </c>
      <c r="L901" s="3" t="s">
        <v>2234</v>
      </c>
      <c r="M901" s="3" t="s">
        <v>453</v>
      </c>
      <c r="S901" s="9" t="str">
        <f t="array" ref="S901">"[" &amp; TEXTJOIN(", ", TRUE, IF(LEN(T901:AB901), CHAR(34)&amp;T901:AB901&amp;CHAR(34), )) &amp; "]"
</f>
        <v>["Industrial &amp; military effluents"]</v>
      </c>
      <c r="T901" s="3" t="s">
        <v>147</v>
      </c>
      <c r="U901" s="3"/>
      <c r="V901" s="3"/>
      <c r="AC901" s="3" t="s">
        <v>147</v>
      </c>
      <c r="AL901" s="9" t="str">
        <f t="array" ref="AL901">"[" &amp; TEXTJOIN(", ", TRUE, IF(LEN(AM901:AQ901), CHAR(34)&amp;AM901:AQ901&amp;CHAR(34), )) &amp; "]"
</f>
        <v>["Pollution"]</v>
      </c>
      <c r="AM901" s="3" t="s">
        <v>64</v>
      </c>
      <c r="AN901" s="3"/>
      <c r="AO901" s="3"/>
      <c r="AP901" s="3"/>
      <c r="AQ901" s="3"/>
      <c r="AR901" s="3" t="s">
        <v>64</v>
      </c>
      <c r="AW901" s="8" t="s">
        <v>2860</v>
      </c>
    </row>
    <row r="902">
      <c r="A902" s="3">
        <v>203.0</v>
      </c>
      <c r="B902" s="3" t="s">
        <v>40</v>
      </c>
      <c r="C902" s="3" t="s">
        <v>573</v>
      </c>
      <c r="D902" s="3">
        <v>2012.0</v>
      </c>
      <c r="E902" s="3" t="s">
        <v>574</v>
      </c>
      <c r="F902" s="3" t="s">
        <v>575</v>
      </c>
      <c r="H902" s="3" t="s">
        <v>44</v>
      </c>
      <c r="I902" s="3" t="s">
        <v>2147</v>
      </c>
      <c r="J902" s="3" t="s">
        <v>45</v>
      </c>
      <c r="L902" s="3" t="s">
        <v>2275</v>
      </c>
      <c r="M902" s="3" t="s">
        <v>461</v>
      </c>
      <c r="S902" s="9" t="str">
        <f t="array" ref="S902">"[" &amp; TEXTJOIN(", ", TRUE, IF(LEN(T902:AB902), CHAR(34)&amp;T902:AB902&amp;CHAR(34), )) &amp; "]"
</f>
        <v>["Hunting &amp; Collecting Terrestrial Animals", "Fishing &amp; Harvesting Aquatic Resources"]</v>
      </c>
      <c r="T902" s="3" t="s">
        <v>2138</v>
      </c>
      <c r="U902" s="3" t="s">
        <v>2164</v>
      </c>
      <c r="V902" s="3"/>
      <c r="AC902" s="3" t="s">
        <v>61</v>
      </c>
      <c r="AD902" s="3" t="s">
        <v>247</v>
      </c>
      <c r="AF902" s="3" t="s">
        <v>87</v>
      </c>
      <c r="AH902" s="3" t="s">
        <v>87</v>
      </c>
      <c r="AL902" s="9" t="str">
        <f t="array" ref="AL902">"[" &amp; TEXTJOIN(", ", TRUE, IF(LEN(AM902:AQ902), CHAR(34)&amp;AM902:AQ902&amp;CHAR(34), )) &amp; "]"
</f>
        <v>["Biological resource use", "Residential &amp; commercial development", "Pollution", "Climate change &amp; severe weather"]</v>
      </c>
      <c r="AM902" s="3" t="s">
        <v>52</v>
      </c>
      <c r="AN902" s="3" t="s">
        <v>71</v>
      </c>
      <c r="AO902" s="3" t="s">
        <v>64</v>
      </c>
      <c r="AQ902" s="3" t="s">
        <v>118</v>
      </c>
      <c r="AR902" s="3" t="s">
        <v>52</v>
      </c>
      <c r="AS902" s="3" t="s">
        <v>71</v>
      </c>
      <c r="AT902" s="3" t="s">
        <v>64</v>
      </c>
      <c r="AU902" s="3" t="s">
        <v>78</v>
      </c>
      <c r="AV902" s="3" t="s">
        <v>118</v>
      </c>
      <c r="AW902" s="8" t="s">
        <v>2861</v>
      </c>
    </row>
    <row r="903">
      <c r="A903" s="3">
        <v>216.0</v>
      </c>
      <c r="B903" s="3" t="s">
        <v>40</v>
      </c>
      <c r="C903" s="3" t="s">
        <v>599</v>
      </c>
      <c r="D903" s="3">
        <v>2017.0</v>
      </c>
      <c r="E903" s="3" t="s">
        <v>600</v>
      </c>
      <c r="F903" s="3" t="s">
        <v>433</v>
      </c>
      <c r="H903" s="3" t="s">
        <v>44</v>
      </c>
      <c r="I903" s="3" t="s">
        <v>2147</v>
      </c>
      <c r="J903" s="3" t="s">
        <v>45</v>
      </c>
      <c r="L903" s="3" t="s">
        <v>2157</v>
      </c>
      <c r="M903" s="3" t="s">
        <v>485</v>
      </c>
      <c r="S903" s="9" t="str">
        <f t="array" ref="S903">"[" &amp; TEXTJOIN(", ", TRUE, IF(LEN(T903:AB903), CHAR(34)&amp;T903:AB903&amp;CHAR(34), )) &amp; "]"
</f>
        <v>["Hunting &amp; Collecting Terrestrial Animals", "Fishing &amp; Harvesting Aquatic Resources", "Roads &amp; railroads"]</v>
      </c>
      <c r="T903" s="3" t="s">
        <v>2138</v>
      </c>
      <c r="U903" s="3" t="s">
        <v>2164</v>
      </c>
      <c r="V903" s="3"/>
      <c r="W903" s="3" t="s">
        <v>63</v>
      </c>
      <c r="AC903" s="3" t="s">
        <v>61</v>
      </c>
      <c r="AD903" s="3" t="s">
        <v>247</v>
      </c>
      <c r="AF903" s="3" t="s">
        <v>63</v>
      </c>
      <c r="AH903" s="3" t="s">
        <v>87</v>
      </c>
      <c r="AL903" s="9" t="str">
        <f t="array" ref="AL903">"[" &amp; TEXTJOIN(", ", TRUE, IF(LEN(AM903:AQ903), CHAR(34)&amp;AM903:AQ903&amp;CHAR(34), )) &amp; "]"
</f>
        <v>["Biological resource use", "Transportation &amp; service corridors", "Pollution"]</v>
      </c>
      <c r="AM903" s="3" t="s">
        <v>52</v>
      </c>
      <c r="AN903" s="3" t="s">
        <v>65</v>
      </c>
      <c r="AO903" s="3" t="s">
        <v>64</v>
      </c>
      <c r="AP903" s="3"/>
      <c r="AQ903" s="3"/>
      <c r="AR903" s="3" t="s">
        <v>52</v>
      </c>
      <c r="AS903" s="3" t="s">
        <v>65</v>
      </c>
      <c r="AT903" s="3" t="s">
        <v>64</v>
      </c>
      <c r="AW903" s="8" t="s">
        <v>2862</v>
      </c>
    </row>
    <row r="904">
      <c r="A904" s="3">
        <v>445.0</v>
      </c>
      <c r="B904" s="3" t="s">
        <v>40</v>
      </c>
      <c r="C904" s="3" t="s">
        <v>1016</v>
      </c>
      <c r="D904" s="3">
        <v>1997.0</v>
      </c>
      <c r="E904" s="3" t="s">
        <v>1017</v>
      </c>
      <c r="F904" s="3" t="s">
        <v>433</v>
      </c>
      <c r="H904" s="3" t="s">
        <v>44</v>
      </c>
      <c r="I904" s="3" t="s">
        <v>2147</v>
      </c>
      <c r="J904" s="3" t="s">
        <v>45</v>
      </c>
      <c r="L904" s="3" t="s">
        <v>2186</v>
      </c>
      <c r="M904" s="3" t="s">
        <v>46</v>
      </c>
      <c r="S904" s="9" t="str">
        <f t="array" ref="S904">"[" &amp; TEXTJOIN(", ", TRUE, IF(LEN(T904:AB904), CHAR(34)&amp;T904:AB904&amp;CHAR(34), )) &amp; "]"
</f>
        <v>["Mining &amp; quarrying", "Hunting &amp; collecting terrestrial animals", "Logging &amp; wood harvesting", "Roads &amp; railroads", "Dams &amp; water management/use", "Industrial &amp; military effluents"]</v>
      </c>
      <c r="T904" s="3" t="s">
        <v>238</v>
      </c>
      <c r="U904" s="3"/>
      <c r="V904" s="3"/>
      <c r="W904" s="3" t="s">
        <v>2178</v>
      </c>
      <c r="X904" s="3" t="s">
        <v>2188</v>
      </c>
      <c r="Y904" s="3" t="s">
        <v>63</v>
      </c>
      <c r="AA904" s="3" t="s">
        <v>49</v>
      </c>
      <c r="AB904" s="3" t="s">
        <v>147</v>
      </c>
      <c r="AC904" s="3" t="s">
        <v>238</v>
      </c>
      <c r="AF904" s="3" t="s">
        <v>61</v>
      </c>
      <c r="AG904" s="3" t="s">
        <v>48</v>
      </c>
      <c r="AH904" s="3" t="s">
        <v>63</v>
      </c>
      <c r="AJ904" s="3" t="s">
        <v>49</v>
      </c>
      <c r="AK904" s="3" t="s">
        <v>147</v>
      </c>
      <c r="AL904" s="9" t="str">
        <f t="array" ref="AL904">"[" &amp; TEXTJOIN(", ", TRUE, IF(LEN(AM904:AQ904), CHAR(34)&amp;AM904:AQ904&amp;CHAR(34), )) &amp; "]"
</f>
        <v>["Energy production &amp; mining", "Biological resource use", "Transportation &amp; service corridors", "Natural system modifications", "Pollution"]</v>
      </c>
      <c r="AM904" s="3" t="s">
        <v>235</v>
      </c>
      <c r="AN904" s="3" t="s">
        <v>52</v>
      </c>
      <c r="AO904" s="3" t="s">
        <v>65</v>
      </c>
      <c r="AP904" s="3" t="s">
        <v>53</v>
      </c>
      <c r="AQ904" s="3" t="s">
        <v>64</v>
      </c>
      <c r="AR904" s="3" t="s">
        <v>235</v>
      </c>
      <c r="AS904" s="3" t="s">
        <v>52</v>
      </c>
      <c r="AT904" s="3" t="s">
        <v>65</v>
      </c>
      <c r="AU904" s="3" t="s">
        <v>53</v>
      </c>
      <c r="AV904" s="3" t="s">
        <v>64</v>
      </c>
      <c r="AW904" s="8" t="s">
        <v>2863</v>
      </c>
    </row>
    <row r="905">
      <c r="A905" s="3">
        <v>733.0</v>
      </c>
      <c r="B905" s="3" t="s">
        <v>40</v>
      </c>
      <c r="C905" s="3" t="s">
        <v>1582</v>
      </c>
      <c r="D905" s="3">
        <v>2017.0</v>
      </c>
      <c r="E905" s="3" t="s">
        <v>1583</v>
      </c>
      <c r="F905" s="3" t="s">
        <v>433</v>
      </c>
      <c r="H905" s="3" t="s">
        <v>44</v>
      </c>
      <c r="I905" s="3" t="s">
        <v>2147</v>
      </c>
      <c r="J905" s="3" t="s">
        <v>45</v>
      </c>
      <c r="L905" s="3" t="s">
        <v>2157</v>
      </c>
      <c r="M905" s="3" t="s">
        <v>485</v>
      </c>
      <c r="S905" s="9" t="str">
        <f t="array" ref="S905">"[" &amp; TEXTJOIN(", ", TRUE, IF(LEN(T905:AB905), CHAR(34)&amp;T905:AB905&amp;CHAR(34), )) &amp; "]"
</f>
        <v>["Industrial &amp; military effluents", "Hunting &amp; collecting terrestrial animals", "Fishing &amp; harvesting aquatic resources", "Mining &amp; quarrying", "Invasive &amp; other problematic species, genes &amp; diseases"]</v>
      </c>
      <c r="T905" s="3" t="s">
        <v>147</v>
      </c>
      <c r="U905" s="3"/>
      <c r="V905" s="3"/>
      <c r="W905" s="3" t="s">
        <v>2178</v>
      </c>
      <c r="X905" s="3" t="s">
        <v>2468</v>
      </c>
      <c r="AA905" s="3" t="s">
        <v>238</v>
      </c>
      <c r="AB905" s="3" t="s">
        <v>54</v>
      </c>
      <c r="AC905" s="3" t="s">
        <v>147</v>
      </c>
      <c r="AF905" s="3" t="s">
        <v>61</v>
      </c>
      <c r="AG905" s="3" t="s">
        <v>247</v>
      </c>
      <c r="AJ905" s="3" t="s">
        <v>238</v>
      </c>
      <c r="AK905" s="3" t="s">
        <v>54</v>
      </c>
      <c r="AL905" s="9" t="str">
        <f t="array" ref="AL905">"[" &amp; TEXTJOIN(", ", TRUE, IF(LEN(AM905:AQ905), CHAR(34)&amp;AM905:AQ905&amp;CHAR(34), )) &amp; "]"
</f>
        <v>["Pollution", "Biological resource use", "Transportation &amp; service corridors", "Energy production &amp; mining", "Pollution"]</v>
      </c>
      <c r="AM905" s="3" t="s">
        <v>64</v>
      </c>
      <c r="AN905" s="3" t="s">
        <v>52</v>
      </c>
      <c r="AO905" s="3" t="s">
        <v>65</v>
      </c>
      <c r="AP905" s="3" t="s">
        <v>235</v>
      </c>
      <c r="AQ905" s="3" t="s">
        <v>64</v>
      </c>
      <c r="AR905" s="3" t="s">
        <v>64</v>
      </c>
      <c r="AS905" s="3" t="s">
        <v>52</v>
      </c>
      <c r="AT905" s="3" t="s">
        <v>65</v>
      </c>
      <c r="AU905" s="3" t="s">
        <v>235</v>
      </c>
      <c r="AV905" s="3" t="s">
        <v>64</v>
      </c>
      <c r="AW905" s="8" t="s">
        <v>2864</v>
      </c>
    </row>
    <row r="906">
      <c r="A906" s="3">
        <v>132.0</v>
      </c>
      <c r="B906" s="3" t="s">
        <v>40</v>
      </c>
      <c r="C906" s="3" t="s">
        <v>431</v>
      </c>
      <c r="D906" s="3">
        <v>2012.0</v>
      </c>
      <c r="E906" s="3" t="s">
        <v>432</v>
      </c>
      <c r="F906" s="3" t="s">
        <v>433</v>
      </c>
      <c r="H906" s="3" t="s">
        <v>44</v>
      </c>
      <c r="I906" s="3" t="s">
        <v>2147</v>
      </c>
      <c r="J906" s="3" t="s">
        <v>45</v>
      </c>
      <c r="L906" s="3" t="s">
        <v>2186</v>
      </c>
      <c r="M906" s="3" t="s">
        <v>46</v>
      </c>
      <c r="S906" s="9" t="str">
        <f t="array" ref="S906">"[" &amp; TEXTJOIN(", ", TRUE, IF(LEN(T906:AB906), CHAR(34)&amp;T906:AB906&amp;CHAR(34), )) &amp; "]"
</f>
        <v>["Hunting &amp; Collecting Terrestrial Animals", "Dams &amp; water management/use"]</v>
      </c>
      <c r="T906" s="3" t="s">
        <v>2138</v>
      </c>
      <c r="U906" s="3"/>
      <c r="V906" s="3"/>
      <c r="W906" s="3" t="s">
        <v>49</v>
      </c>
      <c r="AC906" s="3" t="s">
        <v>61</v>
      </c>
      <c r="AF906" s="3" t="s">
        <v>49</v>
      </c>
      <c r="AL906" s="9" t="str">
        <f t="array" ref="AL906">"[" &amp; TEXTJOIN(", ", TRUE, IF(LEN(AM906:AQ906), CHAR(34)&amp;AM906:AQ906&amp;CHAR(34), )) &amp; "]"
</f>
        <v>["Biological resource use", "Natural system modifications"]</v>
      </c>
      <c r="AM906" s="3" t="s">
        <v>52</v>
      </c>
      <c r="AN906" s="3" t="s">
        <v>53</v>
      </c>
      <c r="AO906" s="3"/>
      <c r="AP906" s="3"/>
      <c r="AQ906" s="3"/>
      <c r="AR906" s="3" t="s">
        <v>52</v>
      </c>
      <c r="AS906" s="3" t="s">
        <v>53</v>
      </c>
      <c r="AW906" s="8" t="s">
        <v>2865</v>
      </c>
    </row>
    <row r="907">
      <c r="A907" s="3">
        <v>551.0</v>
      </c>
      <c r="B907" s="3" t="s">
        <v>40</v>
      </c>
      <c r="C907" s="3" t="s">
        <v>1226</v>
      </c>
      <c r="D907" s="3">
        <v>2011.0</v>
      </c>
      <c r="E907" s="3" t="s">
        <v>1227</v>
      </c>
      <c r="F907" s="3" t="s">
        <v>433</v>
      </c>
      <c r="H907" s="3" t="s">
        <v>44</v>
      </c>
      <c r="I907" s="3" t="s">
        <v>2147</v>
      </c>
      <c r="J907" s="3" t="s">
        <v>45</v>
      </c>
      <c r="L907" s="3" t="s">
        <v>2275</v>
      </c>
      <c r="M907" s="3" t="s">
        <v>461</v>
      </c>
      <c r="S907" s="9" t="str">
        <f t="array" ref="S907">"[" &amp; TEXTJOIN(", ", TRUE, IF(LEN(T907:AB907), CHAR(34)&amp;T907:AB907&amp;CHAR(34), )) &amp; "]"
</f>
        <v>["Invasive non-native/alien species/diseases"]</v>
      </c>
      <c r="T907" s="3" t="s">
        <v>50</v>
      </c>
      <c r="U907" s="3"/>
      <c r="V907" s="3"/>
      <c r="AC907" s="3" t="s">
        <v>50</v>
      </c>
      <c r="AL907" s="9" t="str">
        <f t="array" ref="AL907">"[" &amp; TEXTJOIN(", ", TRUE, IF(LEN(AM907:AQ907), CHAR(34)&amp;AM907:AQ907&amp;CHAR(34), )) &amp; "]"
</f>
        <v>["Invasive &amp; other problematic species, genes &amp; diseases"]</v>
      </c>
      <c r="AM907" s="3" t="s">
        <v>54</v>
      </c>
      <c r="AN907" s="3"/>
      <c r="AO907" s="3"/>
      <c r="AP907" s="3"/>
      <c r="AQ907" s="3"/>
      <c r="AR907" s="3" t="s">
        <v>54</v>
      </c>
      <c r="AW907" s="8" t="s">
        <v>2866</v>
      </c>
    </row>
    <row r="908">
      <c r="A908" s="3">
        <v>565.0</v>
      </c>
      <c r="B908" s="3" t="s">
        <v>40</v>
      </c>
      <c r="C908" s="3" t="s">
        <v>1254</v>
      </c>
      <c r="D908" s="3">
        <v>2014.0</v>
      </c>
      <c r="E908" s="3" t="s">
        <v>1255</v>
      </c>
      <c r="F908" s="3" t="s">
        <v>433</v>
      </c>
      <c r="H908" s="3" t="s">
        <v>44</v>
      </c>
      <c r="I908" s="3" t="s">
        <v>2147</v>
      </c>
      <c r="J908" s="3" t="s">
        <v>45</v>
      </c>
      <c r="L908" s="3" t="s">
        <v>2150</v>
      </c>
      <c r="M908" s="3" t="s">
        <v>275</v>
      </c>
      <c r="S908" s="9" t="str">
        <f t="array" ref="S908">"[" &amp; TEXTJOIN(", ", TRUE, IF(LEN(T908:AB908), CHAR(34)&amp;T908:AB908&amp;CHAR(34), )) &amp; "]"
</f>
        <v>["Invasive non-native/alien species/diseases"]</v>
      </c>
      <c r="T908" s="3"/>
      <c r="U908" s="3" t="s">
        <v>50</v>
      </c>
      <c r="V908" s="3"/>
      <c r="AD908" s="3" t="s">
        <v>50</v>
      </c>
      <c r="AL908" s="9" t="str">
        <f t="array" ref="AL908">"[" &amp; TEXTJOIN(", ", TRUE, IF(LEN(AM908:AQ908), CHAR(34)&amp;AM908:AQ908&amp;CHAR(34), )) &amp; "]"
</f>
        <v>["Invasive &amp; other problematic species, genes &amp; diseases"]</v>
      </c>
      <c r="AM908" s="3" t="s">
        <v>54</v>
      </c>
      <c r="AN908" s="3"/>
      <c r="AO908" s="3"/>
      <c r="AP908" s="3"/>
      <c r="AQ908" s="3"/>
      <c r="AR908" s="3" t="s">
        <v>54</v>
      </c>
      <c r="AW908" s="8" t="s">
        <v>2867</v>
      </c>
    </row>
    <row r="909">
      <c r="A909" s="3">
        <v>353.0</v>
      </c>
      <c r="B909" s="3" t="s">
        <v>40</v>
      </c>
      <c r="C909" s="3" t="s">
        <v>875</v>
      </c>
      <c r="D909" s="3">
        <v>2019.0</v>
      </c>
      <c r="E909" s="3" t="s">
        <v>876</v>
      </c>
      <c r="F909" s="3" t="s">
        <v>877</v>
      </c>
      <c r="H909" s="3" t="s">
        <v>101</v>
      </c>
      <c r="I909" s="3" t="s">
        <v>2283</v>
      </c>
      <c r="J909" s="3" t="s">
        <v>102</v>
      </c>
      <c r="L909" s="3" t="s">
        <v>2549</v>
      </c>
      <c r="M909" s="3" t="s">
        <v>205</v>
      </c>
      <c r="N909" s="3" t="s">
        <v>155</v>
      </c>
      <c r="S909" s="9" t="str">
        <f t="array" ref="S909">"[" &amp; TEXTJOIN(", ", TRUE, IF(LEN(T909:AB909), CHAR(34)&amp;T909:AB909&amp;CHAR(34), )) &amp; "]"
</f>
        <v>["Hunting &amp; Collecting Terrestrial Animals"]</v>
      </c>
      <c r="T909" s="3" t="s">
        <v>2138</v>
      </c>
      <c r="U909" s="3"/>
      <c r="V909" s="3"/>
      <c r="AC909" s="3" t="s">
        <v>61</v>
      </c>
      <c r="AL909" s="9" t="str">
        <f t="array" ref="AL909">"[" &amp; TEXTJOIN(", ", TRUE, IF(LEN(AM909:AQ909), CHAR(34)&amp;AM909:AQ909&amp;CHAR(34), )) &amp; "]"
</f>
        <v>["Biological resource use"]</v>
      </c>
      <c r="AM909" s="3" t="s">
        <v>52</v>
      </c>
      <c r="AN909" s="3"/>
      <c r="AO909" s="3"/>
      <c r="AP909" s="3"/>
      <c r="AQ909" s="3"/>
      <c r="AR909" s="3" t="s">
        <v>52</v>
      </c>
      <c r="AW909" s="8" t="s">
        <v>2868</v>
      </c>
    </row>
    <row r="910">
      <c r="A910" s="3">
        <v>722.0</v>
      </c>
      <c r="B910" s="3" t="s">
        <v>40</v>
      </c>
      <c r="C910" s="3" t="s">
        <v>1557</v>
      </c>
      <c r="D910" s="3">
        <v>2018.0</v>
      </c>
      <c r="E910" s="3" t="s">
        <v>1558</v>
      </c>
      <c r="F910" s="3" t="s">
        <v>57</v>
      </c>
      <c r="H910" s="3" t="s">
        <v>58</v>
      </c>
      <c r="I910" s="3" t="s">
        <v>2142</v>
      </c>
      <c r="J910" s="3" t="s">
        <v>58</v>
      </c>
      <c r="L910" s="3" t="s">
        <v>2143</v>
      </c>
      <c r="M910" s="3" t="s">
        <v>110</v>
      </c>
      <c r="S910" s="9" t="str">
        <f t="array" ref="S910">"[" &amp; TEXTJOIN(", ", TRUE, IF(LEN(T910:AB910), CHAR(34)&amp;T910:AB910&amp;CHAR(34), )) &amp; "]"
</f>
        <v>["Industrial &amp; military effluents", "Agricultural &amp; forestry effluents", "Hunting &amp; collecting terrestrial animals", "Marine &amp; freshwater aquaculture", "Roads &amp; railroads"]</v>
      </c>
      <c r="T910" s="3" t="s">
        <v>147</v>
      </c>
      <c r="U910" s="3" t="s">
        <v>62</v>
      </c>
      <c r="V910" s="3"/>
      <c r="W910" s="3" t="s">
        <v>2178</v>
      </c>
      <c r="Y910" s="3" t="s">
        <v>111</v>
      </c>
      <c r="AA910" s="3" t="s">
        <v>63</v>
      </c>
      <c r="AC910" s="3" t="s">
        <v>147</v>
      </c>
      <c r="AD910" s="3" t="s">
        <v>62</v>
      </c>
      <c r="AF910" s="3" t="s">
        <v>61</v>
      </c>
      <c r="AH910" s="3" t="s">
        <v>111</v>
      </c>
      <c r="AJ910" s="3" t="s">
        <v>63</v>
      </c>
      <c r="AL910" s="9" t="str">
        <f t="array" ref="AL910">"[" &amp; TEXTJOIN(", ", TRUE, IF(LEN(AM910:AQ910), CHAR(34)&amp;AM910:AQ910&amp;CHAR(34), )) &amp; "]"
</f>
        <v>["Pollution", "Biological resource use", "Agriculture &amp; aquaculture", "Transportation &amp; service corridors"]</v>
      </c>
      <c r="AM910" s="3" t="s">
        <v>64</v>
      </c>
      <c r="AN910" s="3" t="s">
        <v>52</v>
      </c>
      <c r="AO910" s="3" t="s">
        <v>51</v>
      </c>
      <c r="AP910" s="3" t="s">
        <v>65</v>
      </c>
      <c r="AQ910" s="3"/>
      <c r="AR910" s="3" t="s">
        <v>64</v>
      </c>
      <c r="AS910" s="3" t="s">
        <v>52</v>
      </c>
      <c r="AT910" s="3" t="s">
        <v>51</v>
      </c>
      <c r="AU910" s="3" t="s">
        <v>65</v>
      </c>
      <c r="AW910" s="8" t="s">
        <v>2869</v>
      </c>
    </row>
    <row r="911">
      <c r="A911" s="3">
        <v>122.0</v>
      </c>
      <c r="B911" s="3" t="s">
        <v>40</v>
      </c>
      <c r="C911" s="3" t="s">
        <v>413</v>
      </c>
      <c r="D911" s="3">
        <v>2001.0</v>
      </c>
      <c r="E911" s="3" t="s">
        <v>414</v>
      </c>
      <c r="F911" s="3" t="s">
        <v>57</v>
      </c>
      <c r="H911" s="3" t="s">
        <v>58</v>
      </c>
      <c r="I911" s="3" t="s">
        <v>2142</v>
      </c>
      <c r="J911" s="3" t="s">
        <v>58</v>
      </c>
      <c r="L911" s="3" t="s">
        <v>2168</v>
      </c>
      <c r="M911" s="3" t="s">
        <v>286</v>
      </c>
      <c r="S911" s="9" t="str">
        <f t="array" ref="S911">"[" &amp; TEXTJOIN(", ", TRUE, IF(LEN(T911:AB911), CHAR(34)&amp;T911:AB911&amp;CHAR(34), )) &amp; "]"
</f>
        <v>["Hunting &amp; Collecting Terrestrial Animals", "Dams &amp; water management/use", "Annual &amp; perennial non-timber crops", "Livestock farming &amp; ranching", "Invasive non-native/alien species/diseases", "Industrial &amp; military effluents"]</v>
      </c>
      <c r="T911" s="3" t="s">
        <v>2138</v>
      </c>
      <c r="U911" s="3"/>
      <c r="V911" s="3"/>
      <c r="W911" s="3" t="s">
        <v>49</v>
      </c>
      <c r="Y911" s="3" t="s">
        <v>60</v>
      </c>
      <c r="Z911" s="3" t="s">
        <v>47</v>
      </c>
      <c r="AA911" s="3" t="s">
        <v>50</v>
      </c>
      <c r="AB911" s="3" t="s">
        <v>147</v>
      </c>
      <c r="AC911" s="3" t="s">
        <v>61</v>
      </c>
      <c r="AF911" s="3" t="s">
        <v>49</v>
      </c>
      <c r="AH911" s="3" t="s">
        <v>60</v>
      </c>
      <c r="AI911" s="3" t="s">
        <v>47</v>
      </c>
      <c r="AJ911" s="3" t="s">
        <v>50</v>
      </c>
      <c r="AK911" s="3" t="s">
        <v>147</v>
      </c>
      <c r="AL911" s="9" t="str">
        <f t="array" ref="AL911">"[" &amp; TEXTJOIN(", ", TRUE, IF(LEN(AM911:AQ911), CHAR(34)&amp;AM911:AQ911&amp;CHAR(34), )) &amp; "]"
</f>
        <v>["Biological resource use", "Natural system modifications", "Agriculture &amp; aquaculture", "Invasive &amp; other problematic species, genes &amp; diseases", "Pollution"]</v>
      </c>
      <c r="AM911" s="3" t="s">
        <v>52</v>
      </c>
      <c r="AN911" s="3" t="s">
        <v>53</v>
      </c>
      <c r="AO911" s="3" t="s">
        <v>51</v>
      </c>
      <c r="AP911" s="3" t="s">
        <v>54</v>
      </c>
      <c r="AQ911" s="3" t="s">
        <v>64</v>
      </c>
      <c r="AR911" s="3" t="s">
        <v>52</v>
      </c>
      <c r="AS911" s="3" t="s">
        <v>53</v>
      </c>
      <c r="AT911" s="3" t="s">
        <v>51</v>
      </c>
      <c r="AU911" s="3" t="s">
        <v>54</v>
      </c>
      <c r="AV911" s="3" t="s">
        <v>64</v>
      </c>
      <c r="AW911" s="8" t="s">
        <v>2870</v>
      </c>
    </row>
    <row r="912">
      <c r="A912" s="3">
        <v>715.0</v>
      </c>
      <c r="B912" s="3" t="s">
        <v>40</v>
      </c>
      <c r="C912" s="3" t="s">
        <v>1541</v>
      </c>
      <c r="D912" s="3">
        <v>2015.0</v>
      </c>
      <c r="E912" s="3" t="s">
        <v>1542</v>
      </c>
      <c r="F912" s="3" t="s">
        <v>253</v>
      </c>
      <c r="H912" s="3" t="s">
        <v>58</v>
      </c>
      <c r="I912" s="3" t="s">
        <v>2142</v>
      </c>
      <c r="J912" s="3" t="s">
        <v>58</v>
      </c>
      <c r="L912" s="3" t="s">
        <v>2143</v>
      </c>
      <c r="M912" s="3" t="s">
        <v>110</v>
      </c>
      <c r="S912" s="9" t="str">
        <f t="array" ref="S912">"[" &amp; TEXTJOIN(", ", TRUE, IF(LEN(T912:AB912), CHAR(34)&amp;T912:AB912&amp;CHAR(34), )) &amp; "]"
</f>
        <v>["Marine &amp; freshwater aquaculture", "Hunting &amp; collecting terrestrial animals"]</v>
      </c>
      <c r="U912" s="3"/>
      <c r="V912" s="3"/>
      <c r="W912" s="3" t="s">
        <v>111</v>
      </c>
      <c r="Y912" s="3" t="s">
        <v>2178</v>
      </c>
      <c r="AC912" s="3" t="s">
        <v>87</v>
      </c>
      <c r="AF912" s="3" t="s">
        <v>111</v>
      </c>
      <c r="AH912" s="3" t="s">
        <v>61</v>
      </c>
      <c r="AJ912" s="3" t="s">
        <v>143</v>
      </c>
      <c r="AL912" s="9" t="str">
        <f t="array" ref="AL912">"[" &amp; TEXTJOIN(", ", TRUE, IF(LEN(AM912:AQ912), CHAR(34)&amp;AM912:AQ912&amp;CHAR(34), )) &amp; "]"
</f>
        <v>["Pollution", "Agriculture &amp; aquaculture", "Biological resource use", "Natural system modifications"]</v>
      </c>
      <c r="AM912" s="3" t="s">
        <v>64</v>
      </c>
      <c r="AN912" s="3" t="s">
        <v>51</v>
      </c>
      <c r="AO912" s="3" t="s">
        <v>52</v>
      </c>
      <c r="AP912" s="3" t="s">
        <v>53</v>
      </c>
      <c r="AQ912" s="3"/>
      <c r="AR912" s="3" t="s">
        <v>64</v>
      </c>
      <c r="AS912" s="3" t="s">
        <v>51</v>
      </c>
      <c r="AT912" s="3" t="s">
        <v>52</v>
      </c>
      <c r="AU912" s="3" t="s">
        <v>53</v>
      </c>
      <c r="AW912" s="8" t="s">
        <v>2871</v>
      </c>
    </row>
    <row r="913">
      <c r="A913" s="3">
        <v>473.0</v>
      </c>
      <c r="B913" s="3" t="s">
        <v>40</v>
      </c>
      <c r="C913" s="3" t="s">
        <v>1072</v>
      </c>
      <c r="D913" s="3">
        <v>2008.0</v>
      </c>
      <c r="E913" s="3" t="s">
        <v>1073</v>
      </c>
      <c r="F913" s="3" t="s">
        <v>57</v>
      </c>
      <c r="H913" s="3" t="s">
        <v>58</v>
      </c>
      <c r="I913" s="3" t="s">
        <v>2142</v>
      </c>
      <c r="J913" s="3" t="s">
        <v>58</v>
      </c>
      <c r="L913" s="3" t="s">
        <v>2168</v>
      </c>
      <c r="M913" s="3" t="s">
        <v>286</v>
      </c>
      <c r="S913" s="9" t="str">
        <f t="array" ref="S913">"[" &amp; TEXTJOIN(", ", TRUE, IF(LEN(T913:AB913), CHAR(34)&amp;T913:AB913&amp;CHAR(34), )) &amp; "]"
</f>
        <v>["Introduced genetic material", "Invasive non-native/alien species/diseases", "Dams &amp; water management/use", "Hunting &amp; collecting terrestrial animals", "Industrial &amp; military effluents"]</v>
      </c>
      <c r="T913" s="3" t="s">
        <v>77</v>
      </c>
      <c r="U913" s="3" t="s">
        <v>50</v>
      </c>
      <c r="V913" s="3"/>
      <c r="W913" s="3" t="s">
        <v>49</v>
      </c>
      <c r="Y913" s="3" t="s">
        <v>2178</v>
      </c>
      <c r="AA913" s="3" t="s">
        <v>147</v>
      </c>
      <c r="AC913" s="3" t="s">
        <v>77</v>
      </c>
      <c r="AD913" s="3" t="s">
        <v>50</v>
      </c>
      <c r="AF913" s="3" t="s">
        <v>49</v>
      </c>
      <c r="AH913" s="3" t="s">
        <v>61</v>
      </c>
      <c r="AJ913" s="3" t="s">
        <v>147</v>
      </c>
      <c r="AL913" s="9" t="str">
        <f t="array" ref="AL913">"[" &amp; TEXTJOIN(", ", TRUE, IF(LEN(AM913:AQ913), CHAR(34)&amp;AM913:AQ913&amp;CHAR(34), )) &amp; "]"
</f>
        <v>["Invasive &amp; other problematic species, genes &amp; diseases", "Natural system modifications", "Biological resource use", "Pollution"]</v>
      </c>
      <c r="AM913" s="3" t="s">
        <v>54</v>
      </c>
      <c r="AN913" s="3" t="s">
        <v>53</v>
      </c>
      <c r="AO913" s="3" t="s">
        <v>52</v>
      </c>
      <c r="AP913" s="3" t="s">
        <v>64</v>
      </c>
      <c r="AQ913" s="3"/>
      <c r="AR913" s="3" t="s">
        <v>54</v>
      </c>
      <c r="AS913" s="3" t="s">
        <v>53</v>
      </c>
      <c r="AT913" s="3" t="s">
        <v>52</v>
      </c>
      <c r="AU913" s="3" t="s">
        <v>64</v>
      </c>
      <c r="AW913" s="8" t="s">
        <v>2872</v>
      </c>
    </row>
    <row r="914">
      <c r="A914" s="3">
        <v>124.0</v>
      </c>
      <c r="B914" s="3" t="s">
        <v>40</v>
      </c>
      <c r="C914" s="3" t="s">
        <v>417</v>
      </c>
      <c r="D914" s="3">
        <v>1995.0</v>
      </c>
      <c r="E914" s="3" t="s">
        <v>418</v>
      </c>
      <c r="F914" s="3" t="s">
        <v>57</v>
      </c>
      <c r="H914" s="3" t="s">
        <v>58</v>
      </c>
      <c r="I914" s="3" t="s">
        <v>2142</v>
      </c>
      <c r="J914" s="3" t="s">
        <v>58</v>
      </c>
      <c r="L914" s="3" t="s">
        <v>2168</v>
      </c>
      <c r="M914" s="3" t="s">
        <v>286</v>
      </c>
      <c r="S914" s="9" t="str">
        <f t="array" ref="S914">"[" &amp; TEXTJOIN(", ", TRUE, IF(LEN(T914:AB914), CHAR(34)&amp;T914:AB914&amp;CHAR(34), )) &amp; "]"
</f>
        <v>["Hunting &amp; Collecting Terrestrial Animals", "Logging &amp; Wood Harvesting", "Dams &amp; water management/use", "Invasive non-native/alien species/diseases", "Introduced genetic material"]</v>
      </c>
      <c r="T914" s="3" t="s">
        <v>2138</v>
      </c>
      <c r="U914" s="3" t="s">
        <v>2139</v>
      </c>
      <c r="V914" s="3"/>
      <c r="W914" s="3" t="s">
        <v>49</v>
      </c>
      <c r="Y914" s="3" t="s">
        <v>50</v>
      </c>
      <c r="Z914" s="3" t="s">
        <v>77</v>
      </c>
      <c r="AC914" s="3" t="s">
        <v>61</v>
      </c>
      <c r="AD914" s="3" t="s">
        <v>48</v>
      </c>
      <c r="AF914" s="3" t="s">
        <v>49</v>
      </c>
      <c r="AH914" s="3" t="s">
        <v>50</v>
      </c>
      <c r="AI914" s="3" t="s">
        <v>77</v>
      </c>
      <c r="AL914" s="9" t="str">
        <f t="array" ref="AL914">"[" &amp; TEXTJOIN(", ", TRUE, IF(LEN(AM914:AQ914), CHAR(34)&amp;AM914:AQ914&amp;CHAR(34), )) &amp; "]"
</f>
        <v>["Biological resource use", "Natural system modifications", "Invasive &amp; other problematic species, genes &amp; diseases"]</v>
      </c>
      <c r="AM914" s="3" t="s">
        <v>52</v>
      </c>
      <c r="AN914" s="3" t="s">
        <v>53</v>
      </c>
      <c r="AO914" s="3" t="s">
        <v>54</v>
      </c>
      <c r="AP914" s="3"/>
      <c r="AQ914" s="3"/>
      <c r="AR914" s="3" t="s">
        <v>52</v>
      </c>
      <c r="AS914" s="3" t="s">
        <v>53</v>
      </c>
      <c r="AT914" s="3" t="s">
        <v>54</v>
      </c>
      <c r="AW914" s="8" t="s">
        <v>2873</v>
      </c>
    </row>
    <row r="915">
      <c r="A915" s="3">
        <v>726.0</v>
      </c>
      <c r="B915" s="3" t="s">
        <v>40</v>
      </c>
      <c r="C915" s="3" t="s">
        <v>1566</v>
      </c>
      <c r="D915" s="3">
        <v>2018.0</v>
      </c>
      <c r="E915" s="3" t="s">
        <v>1567</v>
      </c>
      <c r="F915" s="3" t="s">
        <v>57</v>
      </c>
      <c r="H915" s="3" t="s">
        <v>58</v>
      </c>
      <c r="I915" s="3" t="s">
        <v>2142</v>
      </c>
      <c r="J915" s="3" t="s">
        <v>58</v>
      </c>
      <c r="L915" s="3" t="s">
        <v>2340</v>
      </c>
      <c r="M915" s="3" t="s">
        <v>76</v>
      </c>
      <c r="S915" s="9" t="str">
        <f t="array" ref="S915">"[" &amp; TEXTJOIN(", ", TRUE, IF(LEN(T915:AB915), CHAR(34)&amp;T915:AB915&amp;CHAR(34), )) &amp; "]"
</f>
        <v>["Agricultural &amp; forestry effluents", "Hunting &amp; collecting terrestrial animals", "Dams &amp; water management/use", "Invasive non-native/alien species/diseases"]</v>
      </c>
      <c r="T915" s="3" t="s">
        <v>62</v>
      </c>
      <c r="U915" s="3"/>
      <c r="V915" s="3"/>
      <c r="W915" s="3" t="s">
        <v>2178</v>
      </c>
      <c r="Y915" s="3" t="s">
        <v>49</v>
      </c>
      <c r="AA915" s="3" t="s">
        <v>50</v>
      </c>
      <c r="AC915" s="3" t="s">
        <v>62</v>
      </c>
      <c r="AF915" s="3" t="s">
        <v>61</v>
      </c>
      <c r="AH915" s="3" t="s">
        <v>49</v>
      </c>
      <c r="AJ915" s="3" t="s">
        <v>50</v>
      </c>
      <c r="AL915" s="9" t="str">
        <f t="array" ref="AL915">"[" &amp; TEXTJOIN(", ", TRUE, IF(LEN(AM915:AQ915), CHAR(34)&amp;AM915:AQ915&amp;CHAR(34), )) &amp; "]"
</f>
        <v>["Pollution", "Biological resource use", "Natural system modifications", "Invasive &amp; other problematic species, genes &amp; diseases"]</v>
      </c>
      <c r="AM915" s="3" t="s">
        <v>64</v>
      </c>
      <c r="AN915" s="3" t="s">
        <v>52</v>
      </c>
      <c r="AO915" s="3" t="s">
        <v>53</v>
      </c>
      <c r="AP915" s="3" t="s">
        <v>54</v>
      </c>
      <c r="AR915" s="3" t="s">
        <v>64</v>
      </c>
      <c r="AS915" s="3" t="s">
        <v>52</v>
      </c>
      <c r="AT915" s="3" t="s">
        <v>53</v>
      </c>
      <c r="AU915" s="3" t="s">
        <v>54</v>
      </c>
      <c r="AV915" s="3" t="s">
        <v>78</v>
      </c>
      <c r="AW915" s="8" t="s">
        <v>2874</v>
      </c>
    </row>
    <row r="916">
      <c r="A916" s="3">
        <v>731.0</v>
      </c>
      <c r="B916" s="3" t="s">
        <v>40</v>
      </c>
      <c r="C916" s="3" t="s">
        <v>1578</v>
      </c>
      <c r="D916" s="3">
        <v>2016.0</v>
      </c>
      <c r="E916" s="3" t="s">
        <v>1579</v>
      </c>
      <c r="F916" s="3" t="s">
        <v>57</v>
      </c>
      <c r="H916" s="3" t="s">
        <v>58</v>
      </c>
      <c r="I916" s="3" t="s">
        <v>2142</v>
      </c>
      <c r="J916" s="3" t="s">
        <v>58</v>
      </c>
      <c r="L916" s="3" t="s">
        <v>2143</v>
      </c>
      <c r="M916" s="3" t="s">
        <v>110</v>
      </c>
      <c r="S916" s="9" t="str">
        <f t="array" ref="S916">"[" &amp; TEXTJOIN(", ", TRUE, IF(LEN(T916:AB916), CHAR(34)&amp;T916:AB916&amp;CHAR(34), )) &amp; "]"
</f>
        <v>["Industrial &amp; military effluents", "Hunting &amp; collecting terrestrial animals", "Dams &amp; water management/use"]</v>
      </c>
      <c r="T916" s="3" t="s">
        <v>147</v>
      </c>
      <c r="U916" s="3"/>
      <c r="V916" s="3"/>
      <c r="W916" s="3" t="s">
        <v>2178</v>
      </c>
      <c r="Y916" s="3" t="s">
        <v>49</v>
      </c>
      <c r="AC916" s="3" t="s">
        <v>147</v>
      </c>
      <c r="AF916" s="3" t="s">
        <v>61</v>
      </c>
      <c r="AH916" s="3" t="s">
        <v>49</v>
      </c>
      <c r="AL916" s="9" t="str">
        <f t="array" ref="AL916">"[" &amp; TEXTJOIN(", ", TRUE, IF(LEN(AM916:AQ916), CHAR(34)&amp;AM916:AQ916&amp;CHAR(34), )) &amp; "]"
</f>
        <v>["Pollution", "Biological resource use", "Natural system modifications"]</v>
      </c>
      <c r="AM916" s="3" t="s">
        <v>64</v>
      </c>
      <c r="AN916" s="3" t="s">
        <v>52</v>
      </c>
      <c r="AO916" s="3" t="s">
        <v>53</v>
      </c>
      <c r="AP916" s="3"/>
      <c r="AQ916" s="3"/>
      <c r="AR916" s="3" t="s">
        <v>64</v>
      </c>
      <c r="AS916" s="3" t="s">
        <v>52</v>
      </c>
      <c r="AT916" s="3" t="s">
        <v>53</v>
      </c>
      <c r="AW916" s="8" t="s">
        <v>2875</v>
      </c>
    </row>
    <row r="917">
      <c r="A917" s="3">
        <v>168.0</v>
      </c>
      <c r="B917" s="3" t="s">
        <v>40</v>
      </c>
      <c r="C917" s="3" t="s">
        <v>506</v>
      </c>
      <c r="D917" s="3">
        <v>2003.0</v>
      </c>
      <c r="E917" s="3" t="s">
        <v>507</v>
      </c>
      <c r="F917" s="3" t="s">
        <v>57</v>
      </c>
      <c r="H917" s="3" t="s">
        <v>58</v>
      </c>
      <c r="I917" s="3" t="s">
        <v>2142</v>
      </c>
      <c r="J917" s="3" t="s">
        <v>58</v>
      </c>
      <c r="L917" s="3" t="s">
        <v>2143</v>
      </c>
      <c r="M917" s="3" t="s">
        <v>110</v>
      </c>
      <c r="S917" s="9" t="str">
        <f t="array" ref="S917">"[" &amp; TEXTJOIN(", ", TRUE, IF(LEN(T917:AB917), CHAR(34)&amp;T917:AB917&amp;CHAR(34), )) &amp; "]"
</f>
        <v>["Hunting &amp; Collecting Terrestrial Animals"]</v>
      </c>
      <c r="T917" s="3" t="s">
        <v>2138</v>
      </c>
      <c r="U917" s="3"/>
      <c r="V917" s="3"/>
      <c r="AC917" s="3" t="s">
        <v>61</v>
      </c>
      <c r="AF917" s="3" t="s">
        <v>87</v>
      </c>
      <c r="AH917" s="3" t="s">
        <v>134</v>
      </c>
      <c r="AL917" s="9" t="str">
        <f t="array" ref="AL917">"[" &amp; TEXTJOIN(", ", TRUE, IF(LEN(AM917:AQ917), CHAR(34)&amp;AM917:AQ917&amp;CHAR(34), )) &amp; "]"
</f>
        <v>["Biological resource use", "Pollution", "Natural system modifications"]</v>
      </c>
      <c r="AM917" s="3" t="s">
        <v>52</v>
      </c>
      <c r="AN917" s="3" t="s">
        <v>64</v>
      </c>
      <c r="AO917" s="3" t="s">
        <v>53</v>
      </c>
      <c r="AP917" s="3"/>
      <c r="AQ917" s="3"/>
      <c r="AR917" s="3" t="s">
        <v>52</v>
      </c>
      <c r="AS917" s="3" t="s">
        <v>64</v>
      </c>
      <c r="AT917" s="3" t="s">
        <v>53</v>
      </c>
      <c r="AW917" s="8" t="s">
        <v>2876</v>
      </c>
    </row>
    <row r="918">
      <c r="A918" s="3">
        <v>471.0</v>
      </c>
      <c r="B918" s="3" t="s">
        <v>40</v>
      </c>
      <c r="C918" s="3" t="s">
        <v>1068</v>
      </c>
      <c r="D918" s="3">
        <v>2017.0</v>
      </c>
      <c r="E918" s="3" t="s">
        <v>1069</v>
      </c>
      <c r="F918" s="3" t="s">
        <v>57</v>
      </c>
      <c r="H918" s="3" t="s">
        <v>58</v>
      </c>
      <c r="I918" s="3" t="s">
        <v>2142</v>
      </c>
      <c r="J918" s="3" t="s">
        <v>58</v>
      </c>
      <c r="L918" s="3" t="s">
        <v>2168</v>
      </c>
      <c r="M918" s="3" t="s">
        <v>286</v>
      </c>
      <c r="S918" s="9" t="str">
        <f t="array" ref="S918">"[" &amp; TEXTJOIN(", ", TRUE, IF(LEN(T918:AB918), CHAR(34)&amp;T918:AB918&amp;CHAR(34), )) &amp; "]"
</f>
        <v>["Invasive non-native/alien species/diseases", "Hunting &amp; collecting terrestrial animals", "Industrial &amp; military effluents"]</v>
      </c>
      <c r="T918" s="3" t="s">
        <v>50</v>
      </c>
      <c r="U918" s="3"/>
      <c r="V918" s="3"/>
      <c r="W918" s="3" t="s">
        <v>2178</v>
      </c>
      <c r="Y918" s="3" t="s">
        <v>147</v>
      </c>
      <c r="AC918" s="3" t="s">
        <v>50</v>
      </c>
      <c r="AF918" s="3" t="s">
        <v>61</v>
      </c>
      <c r="AH918" s="3" t="s">
        <v>147</v>
      </c>
      <c r="AL918" s="9" t="str">
        <f t="array" ref="AL918">"[" &amp; TEXTJOIN(", ", TRUE, IF(LEN(AM918:AQ918), CHAR(34)&amp;AM918:AQ918&amp;CHAR(34), )) &amp; "]"
</f>
        <v>["Invasive &amp; other problematic species, genes &amp; diseases", "Biological resource use", "Pollution"]</v>
      </c>
      <c r="AM918" s="3" t="s">
        <v>54</v>
      </c>
      <c r="AN918" s="3" t="s">
        <v>52</v>
      </c>
      <c r="AO918" s="3" t="s">
        <v>64</v>
      </c>
      <c r="AP918" s="3"/>
      <c r="AQ918" s="3"/>
      <c r="AR918" s="3" t="s">
        <v>54</v>
      </c>
      <c r="AS918" s="3" t="s">
        <v>52</v>
      </c>
      <c r="AT918" s="3" t="s">
        <v>64</v>
      </c>
      <c r="AW918" s="8" t="s">
        <v>2877</v>
      </c>
    </row>
    <row r="919">
      <c r="A919" s="3">
        <v>126.0</v>
      </c>
      <c r="B919" s="3" t="s">
        <v>40</v>
      </c>
      <c r="C919" s="3" t="s">
        <v>421</v>
      </c>
      <c r="D919" s="3">
        <v>2010.0</v>
      </c>
      <c r="E919" s="3" t="s">
        <v>422</v>
      </c>
      <c r="F919" s="3" t="s">
        <v>57</v>
      </c>
      <c r="H919" s="3" t="s">
        <v>58</v>
      </c>
      <c r="I919" s="3" t="s">
        <v>2142</v>
      </c>
      <c r="J919" s="3" t="s">
        <v>58</v>
      </c>
      <c r="L919" s="3" t="s">
        <v>2143</v>
      </c>
      <c r="M919" s="3" t="s">
        <v>110</v>
      </c>
      <c r="S919" s="9" t="str">
        <f t="array" ref="S919">"[" &amp; TEXTJOIN(", ", TRUE, IF(LEN(T919:AB919), CHAR(34)&amp;T919:AB919&amp;CHAR(34), )) &amp; "]"
</f>
        <v>["Hunting &amp; Collecting Terrestrial Animals", "Dams &amp; water management/use", "Industrial &amp; military effluents", "Agricultural &amp; forestry effluents"]</v>
      </c>
      <c r="T919" s="3" t="s">
        <v>2138</v>
      </c>
      <c r="U919" s="3"/>
      <c r="V919" s="3"/>
      <c r="W919" s="3" t="s">
        <v>49</v>
      </c>
      <c r="Y919" s="3" t="s">
        <v>147</v>
      </c>
      <c r="Z919" s="3" t="s">
        <v>62</v>
      </c>
      <c r="AC919" s="3" t="s">
        <v>61</v>
      </c>
      <c r="AF919" s="3" t="s">
        <v>49</v>
      </c>
      <c r="AG919" s="3" t="s">
        <v>134</v>
      </c>
      <c r="AH919" s="3" t="s">
        <v>147</v>
      </c>
      <c r="AI919" s="3" t="s">
        <v>62</v>
      </c>
      <c r="AL919" s="9" t="str">
        <f t="array" ref="AL919">"[" &amp; TEXTJOIN(", ", TRUE, IF(LEN(AM919:AQ919), CHAR(34)&amp;AM919:AQ919&amp;CHAR(34), )) &amp; "]"
</f>
        <v>["Biological resource use", "Natural system modifications", "Pollution"]</v>
      </c>
      <c r="AM919" s="3" t="s">
        <v>52</v>
      </c>
      <c r="AN919" s="3" t="s">
        <v>53</v>
      </c>
      <c r="AO919" s="3" t="s">
        <v>64</v>
      </c>
      <c r="AP919" s="3"/>
      <c r="AQ919" s="3"/>
      <c r="AR919" s="3" t="s">
        <v>52</v>
      </c>
      <c r="AS919" s="3" t="s">
        <v>53</v>
      </c>
      <c r="AT919" s="3" t="s">
        <v>64</v>
      </c>
      <c r="AW919" s="8" t="s">
        <v>2878</v>
      </c>
    </row>
    <row r="920" hidden="1">
      <c r="A920" s="3">
        <v>778.0</v>
      </c>
      <c r="B920" s="3" t="s">
        <v>126</v>
      </c>
      <c r="C920" s="3" t="s">
        <v>1671</v>
      </c>
      <c r="D920" s="3">
        <v>1999.0</v>
      </c>
      <c r="E920" s="3" t="s">
        <v>1672</v>
      </c>
      <c r="F920" s="3" t="s">
        <v>129</v>
      </c>
      <c r="G920" s="3"/>
      <c r="H920" s="3" t="s">
        <v>82</v>
      </c>
      <c r="I920" s="3"/>
      <c r="J920" s="3" t="s">
        <v>82</v>
      </c>
      <c r="K920" s="3"/>
      <c r="L920" s="3"/>
      <c r="M920" s="3" t="s">
        <v>384</v>
      </c>
      <c r="S920" s="3"/>
      <c r="T920" s="3"/>
      <c r="U920" s="3"/>
      <c r="V920" s="3"/>
      <c r="AC920" s="3" t="s">
        <v>147</v>
      </c>
      <c r="AL920" s="3"/>
      <c r="AM920" s="3"/>
      <c r="AN920" s="3"/>
      <c r="AO920" s="3"/>
      <c r="AP920" s="3"/>
      <c r="AQ920" s="3"/>
      <c r="AR920" s="3" t="s">
        <v>64</v>
      </c>
      <c r="AW920" s="8" t="s">
        <v>2135</v>
      </c>
    </row>
    <row r="921" hidden="1">
      <c r="A921" s="3">
        <v>781.0</v>
      </c>
      <c r="B921" s="3" t="s">
        <v>72</v>
      </c>
      <c r="C921" s="3" t="s">
        <v>1677</v>
      </c>
      <c r="D921" s="3">
        <v>2004.0</v>
      </c>
      <c r="E921" s="3" t="s">
        <v>1678</v>
      </c>
      <c r="F921" s="3" t="s">
        <v>129</v>
      </c>
      <c r="G921" s="3"/>
      <c r="H921" s="3" t="s">
        <v>82</v>
      </c>
      <c r="I921" s="3"/>
      <c r="J921" s="3" t="s">
        <v>82</v>
      </c>
      <c r="K921" s="3"/>
      <c r="L921" s="3"/>
      <c r="M921" s="3" t="s">
        <v>83</v>
      </c>
      <c r="S921" s="3"/>
      <c r="T921" s="3"/>
      <c r="U921" s="3"/>
      <c r="V921" s="3"/>
      <c r="AC921" s="3" t="s">
        <v>147</v>
      </c>
      <c r="AL921" s="3"/>
      <c r="AM921" s="3"/>
      <c r="AN921" s="3"/>
      <c r="AO921" s="3"/>
      <c r="AP921" s="3"/>
      <c r="AQ921" s="3"/>
      <c r="AR921" s="3" t="s">
        <v>64</v>
      </c>
      <c r="AW921" s="8" t="s">
        <v>2135</v>
      </c>
    </row>
    <row r="922">
      <c r="A922" s="3">
        <v>64.0</v>
      </c>
      <c r="B922" s="3" t="s">
        <v>40</v>
      </c>
      <c r="C922" s="3" t="s">
        <v>271</v>
      </c>
      <c r="D922" s="3">
        <v>1996.0</v>
      </c>
      <c r="E922" s="3" t="s">
        <v>272</v>
      </c>
      <c r="F922" s="3" t="s">
        <v>57</v>
      </c>
      <c r="H922" s="3" t="s">
        <v>58</v>
      </c>
      <c r="I922" s="3" t="s">
        <v>2142</v>
      </c>
      <c r="J922" s="3" t="s">
        <v>58</v>
      </c>
      <c r="L922" s="3" t="s">
        <v>2879</v>
      </c>
      <c r="M922" s="3" t="s">
        <v>86</v>
      </c>
      <c r="S922" s="9" t="str">
        <f t="array" ref="S922">"[" &amp; TEXTJOIN(", ", TRUE, IF(LEN(T922:AB922), CHAR(34)&amp;T922:AB922&amp;CHAR(34), )) &amp; "]"
</f>
        <v>["Hunting &amp; Collecting Terrestrial Animals", "Livestock farming &amp; ranching", "Annual &amp; perennial non-timber crops"]</v>
      </c>
      <c r="T922" s="3" t="s">
        <v>2138</v>
      </c>
      <c r="U922" s="3"/>
      <c r="V922" s="3"/>
      <c r="W922" s="3" t="s">
        <v>47</v>
      </c>
      <c r="X922" s="3" t="s">
        <v>60</v>
      </c>
      <c r="AC922" s="3" t="s">
        <v>61</v>
      </c>
      <c r="AF922" s="3" t="s">
        <v>47</v>
      </c>
      <c r="AG922" s="3" t="s">
        <v>60</v>
      </c>
      <c r="AH922" s="3" t="s">
        <v>87</v>
      </c>
      <c r="AL922" s="9" t="str">
        <f t="array" ref="AL922">"[" &amp; TEXTJOIN(", ", TRUE, IF(LEN(AM922:AQ922), CHAR(34)&amp;AM922:AQ922&amp;CHAR(34), )) &amp; "]"
</f>
        <v>["Biological resource use", "Agriculture &amp; aquaculture", "Residential &amp; commercial development"]</v>
      </c>
      <c r="AM922" s="3" t="s">
        <v>52</v>
      </c>
      <c r="AN922" s="3" t="s">
        <v>51</v>
      </c>
      <c r="AO922" s="3" t="s">
        <v>71</v>
      </c>
      <c r="AP922" s="3"/>
      <c r="AQ922" s="3"/>
      <c r="AR922" s="3" t="s">
        <v>52</v>
      </c>
      <c r="AS922" s="3" t="s">
        <v>51</v>
      </c>
      <c r="AT922" s="3" t="s">
        <v>71</v>
      </c>
      <c r="AW922" s="8" t="s">
        <v>2880</v>
      </c>
    </row>
    <row r="923">
      <c r="A923" s="3">
        <v>6.0</v>
      </c>
      <c r="B923" s="3" t="s">
        <v>40</v>
      </c>
      <c r="C923" s="3" t="s">
        <v>84</v>
      </c>
      <c r="D923" s="3">
        <v>2003.0</v>
      </c>
      <c r="E923" s="3" t="s">
        <v>85</v>
      </c>
      <c r="F923" s="3" t="s">
        <v>57</v>
      </c>
      <c r="H923" s="3" t="s">
        <v>58</v>
      </c>
      <c r="I923" s="3" t="s">
        <v>2142</v>
      </c>
      <c r="J923" s="3" t="s">
        <v>58</v>
      </c>
      <c r="L923" s="3" t="s">
        <v>2879</v>
      </c>
      <c r="M923" s="3" t="s">
        <v>86</v>
      </c>
      <c r="S923" s="9" t="str">
        <f t="array" ref="S923">"[" &amp; TEXTJOIN(", ", TRUE, IF(LEN(T923:AB923), CHAR(34)&amp;T923:AB923&amp;CHAR(34), )) &amp; "]"
</f>
        <v>["Logging &amp; wood harvesting", "Roads &amp; railroads"]</v>
      </c>
      <c r="U923" s="3"/>
      <c r="V923" s="3"/>
      <c r="W923" s="3" t="s">
        <v>2188</v>
      </c>
      <c r="Y923" s="3" t="s">
        <v>63</v>
      </c>
      <c r="AC923" s="3" t="s">
        <v>87</v>
      </c>
      <c r="AF923" s="3" t="s">
        <v>48</v>
      </c>
      <c r="AH923" s="3" t="s">
        <v>63</v>
      </c>
      <c r="AL923" s="9" t="str">
        <f t="array" ref="AL923">"[" &amp; TEXTJOIN(", ", TRUE, IF(LEN(AM923:AQ923), CHAR(34)&amp;AM923:AQ923&amp;CHAR(34), )) &amp; "]"
</f>
        <v>["Agriculture &amp; aquaculture", "Biological resource use", "Transportation &amp; service corridors"]</v>
      </c>
      <c r="AM923" s="3" t="s">
        <v>51</v>
      </c>
      <c r="AN923" s="3" t="s">
        <v>52</v>
      </c>
      <c r="AO923" s="3" t="s">
        <v>65</v>
      </c>
      <c r="AP923" s="3"/>
      <c r="AQ923" s="3"/>
      <c r="AR923" s="3" t="s">
        <v>51</v>
      </c>
      <c r="AS923" s="3" t="s">
        <v>52</v>
      </c>
      <c r="AT923" s="3" t="s">
        <v>65</v>
      </c>
      <c r="AW923" s="8" t="s">
        <v>2881</v>
      </c>
    </row>
    <row r="924">
      <c r="A924" s="3">
        <v>759.0</v>
      </c>
      <c r="B924" s="3" t="s">
        <v>40</v>
      </c>
      <c r="C924" s="3" t="s">
        <v>1632</v>
      </c>
      <c r="D924" s="3">
        <v>2001.0</v>
      </c>
      <c r="E924" s="3" t="s">
        <v>1633</v>
      </c>
      <c r="F924" s="3" t="s">
        <v>57</v>
      </c>
      <c r="H924" s="3" t="s">
        <v>58</v>
      </c>
      <c r="I924" s="3" t="s">
        <v>2142</v>
      </c>
      <c r="J924" s="3" t="s">
        <v>58</v>
      </c>
      <c r="L924" s="3" t="s">
        <v>2340</v>
      </c>
      <c r="M924" s="3" t="s">
        <v>76</v>
      </c>
      <c r="S924" s="9" t="str">
        <f t="array" ref="S924">"[" &amp; TEXTJOIN(", ", TRUE, IF(LEN(T924:AB924), CHAR(34)&amp;T924:AB924&amp;CHAR(34), )) &amp; "]"
</f>
        <v>["Industrial &amp; military effluents", "Dams &amp; water management/use", "Roads &amp; railroads"]</v>
      </c>
      <c r="T924" s="3" t="s">
        <v>147</v>
      </c>
      <c r="U924" s="3"/>
      <c r="V924" s="3"/>
      <c r="W924" s="3" t="s">
        <v>49</v>
      </c>
      <c r="Y924" s="3" t="s">
        <v>63</v>
      </c>
      <c r="AC924" s="3" t="s">
        <v>147</v>
      </c>
      <c r="AF924" s="3" t="s">
        <v>49</v>
      </c>
      <c r="AH924" s="3" t="s">
        <v>63</v>
      </c>
      <c r="AL924" s="9" t="str">
        <f t="array" ref="AL924">"[" &amp; TEXTJOIN(", ", TRUE, IF(LEN(AM924:AQ924), CHAR(34)&amp;AM924:AQ924&amp;CHAR(34), )) &amp; "]"
</f>
        <v>["Pollution", "Natural system modifications", "Transportation &amp; service corridors"]</v>
      </c>
      <c r="AM924" s="3" t="s">
        <v>64</v>
      </c>
      <c r="AN924" s="3" t="s">
        <v>53</v>
      </c>
      <c r="AO924" s="3" t="s">
        <v>65</v>
      </c>
      <c r="AP924" s="3"/>
      <c r="AQ924" s="3"/>
      <c r="AR924" s="3" t="s">
        <v>64</v>
      </c>
      <c r="AS924" s="3" t="s">
        <v>53</v>
      </c>
      <c r="AT924" s="3" t="s">
        <v>65</v>
      </c>
      <c r="AW924" s="8" t="s">
        <v>2882</v>
      </c>
    </row>
    <row r="925">
      <c r="A925" s="3">
        <v>58.0</v>
      </c>
      <c r="B925" s="3" t="s">
        <v>40</v>
      </c>
      <c r="C925" s="3" t="s">
        <v>251</v>
      </c>
      <c r="D925" s="3">
        <v>1995.0</v>
      </c>
      <c r="E925" s="3" t="s">
        <v>252</v>
      </c>
      <c r="F925" s="3" t="s">
        <v>253</v>
      </c>
      <c r="H925" s="3" t="s">
        <v>58</v>
      </c>
      <c r="I925" s="3" t="s">
        <v>2142</v>
      </c>
      <c r="J925" s="3" t="s">
        <v>58</v>
      </c>
      <c r="L925" s="3" t="s">
        <v>2218</v>
      </c>
      <c r="M925" s="3" t="s">
        <v>254</v>
      </c>
      <c r="S925" s="9" t="str">
        <f t="array" ref="S925">"[" &amp; TEXTJOIN(", ", TRUE, IF(LEN(T925:AB925), CHAR(34)&amp;T925:AB925&amp;CHAR(34), )) &amp; "]"
</f>
        <v>["Hunting &amp; Collecting Terrestrial Animals"]</v>
      </c>
      <c r="T925" s="3" t="s">
        <v>2138</v>
      </c>
      <c r="U925" s="3"/>
      <c r="V925" s="3"/>
      <c r="AC925" s="3" t="s">
        <v>61</v>
      </c>
      <c r="AF925" s="3" t="s">
        <v>87</v>
      </c>
      <c r="AL925" s="9" t="str">
        <f t="array" ref="AL925">"[" &amp; TEXTJOIN(", ", TRUE, IF(LEN(AM925:AQ925), CHAR(34)&amp;AM925:AQ925&amp;CHAR(34), )) &amp; "]"
</f>
        <v>["Biological resource use", "Agriculture &amp; aquaculture"]</v>
      </c>
      <c r="AM925" s="3" t="s">
        <v>52</v>
      </c>
      <c r="AN925" s="3" t="s">
        <v>51</v>
      </c>
      <c r="AP925" s="3"/>
      <c r="AQ925" s="3"/>
      <c r="AR925" s="3" t="s">
        <v>52</v>
      </c>
      <c r="AS925" s="3" t="s">
        <v>51</v>
      </c>
      <c r="AT925" s="3" t="s">
        <v>78</v>
      </c>
      <c r="AW925" s="8" t="s">
        <v>2883</v>
      </c>
    </row>
    <row r="926">
      <c r="A926" s="3">
        <v>631.0</v>
      </c>
      <c r="B926" s="3" t="s">
        <v>40</v>
      </c>
      <c r="C926" s="3" t="s">
        <v>1378</v>
      </c>
      <c r="D926" s="3">
        <v>2013.0</v>
      </c>
      <c r="E926" s="3" t="s">
        <v>1379</v>
      </c>
      <c r="F926" s="3" t="s">
        <v>57</v>
      </c>
      <c r="H926" s="3" t="s">
        <v>58</v>
      </c>
      <c r="I926" s="3" t="s">
        <v>2142</v>
      </c>
      <c r="J926" s="3" t="s">
        <v>58</v>
      </c>
      <c r="L926" s="3" t="s">
        <v>2143</v>
      </c>
      <c r="M926" s="3" t="s">
        <v>110</v>
      </c>
      <c r="S926" s="9"/>
      <c r="U926" s="3"/>
      <c r="V926" s="3"/>
      <c r="AC926" s="3" t="s">
        <v>134</v>
      </c>
      <c r="AF926" s="3" t="s">
        <v>87</v>
      </c>
      <c r="AL926" s="9" t="str">
        <f t="array" ref="AL926">"[" &amp; TEXTJOIN(", ", TRUE, IF(LEN(AM926:AQ926), CHAR(34)&amp;AM926:AQ926&amp;CHAR(34), )) &amp; "]"
</f>
        <v>["Natural system modifications", "Human intrusions &amp; disturbance"]</v>
      </c>
      <c r="AM926" s="3" t="s">
        <v>53</v>
      </c>
      <c r="AN926" s="3" t="s">
        <v>121</v>
      </c>
      <c r="AO926" s="3"/>
      <c r="AP926" s="3"/>
      <c r="AQ926" s="3"/>
      <c r="AR926" s="3" t="s">
        <v>53</v>
      </c>
      <c r="AS926" s="3" t="s">
        <v>121</v>
      </c>
      <c r="AW926" s="8" t="s">
        <v>2884</v>
      </c>
    </row>
    <row r="927">
      <c r="A927" s="3">
        <v>16.0</v>
      </c>
      <c r="B927" s="3" t="s">
        <v>40</v>
      </c>
      <c r="C927" s="3" t="s">
        <v>131</v>
      </c>
      <c r="D927" s="3">
        <v>2013.0</v>
      </c>
      <c r="E927" s="3" t="s">
        <v>132</v>
      </c>
      <c r="F927" s="3" t="s">
        <v>57</v>
      </c>
      <c r="H927" s="3" t="s">
        <v>58</v>
      </c>
      <c r="I927" s="3" t="s">
        <v>2142</v>
      </c>
      <c r="J927" s="3" t="s">
        <v>58</v>
      </c>
      <c r="L927" s="3" t="s">
        <v>2885</v>
      </c>
      <c r="M927" s="3" t="s">
        <v>133</v>
      </c>
      <c r="S927" s="9" t="str">
        <f t="array" ref="S927">"[" &amp; TEXTJOIN(", ", TRUE, IF(LEN(T927:AB927), CHAR(34)&amp;T927:AB927&amp;CHAR(34), )) &amp; "]"
</f>
        <v>["Annual &amp; perennial non-timber crops", "Livestock farming &amp; ranching", "Dams &amp; water management/use"]</v>
      </c>
      <c r="T927" s="3" t="s">
        <v>60</v>
      </c>
      <c r="U927" s="3" t="s">
        <v>47</v>
      </c>
      <c r="V927" s="3"/>
      <c r="X927" s="3" t="s">
        <v>49</v>
      </c>
      <c r="AC927" s="3" t="s">
        <v>60</v>
      </c>
      <c r="AD927" s="3" t="s">
        <v>47</v>
      </c>
      <c r="AF927" s="3" t="s">
        <v>134</v>
      </c>
      <c r="AG927" s="3" t="s">
        <v>49</v>
      </c>
      <c r="AL927" s="9" t="str">
        <f t="array" ref="AL927">"[" &amp; TEXTJOIN(", ", TRUE, IF(LEN(AM927:AQ927), CHAR(34)&amp;AM927:AQ927&amp;CHAR(34), )) &amp; "]"
</f>
        <v>["Agriculture &amp; aquaculture", "Natural system modifications"]</v>
      </c>
      <c r="AM927" s="3" t="s">
        <v>51</v>
      </c>
      <c r="AN927" s="3" t="s">
        <v>53</v>
      </c>
      <c r="AP927" s="3"/>
      <c r="AQ927" s="3"/>
      <c r="AR927" s="3" t="s">
        <v>51</v>
      </c>
      <c r="AS927" s="3" t="s">
        <v>53</v>
      </c>
      <c r="AT927" s="3" t="s">
        <v>78</v>
      </c>
      <c r="AW927" s="8" t="s">
        <v>2886</v>
      </c>
    </row>
    <row r="928">
      <c r="A928" s="3">
        <v>762.0</v>
      </c>
      <c r="B928" s="3" t="s">
        <v>40</v>
      </c>
      <c r="C928" s="3" t="s">
        <v>1638</v>
      </c>
      <c r="D928" s="3">
        <v>2006.0</v>
      </c>
      <c r="E928" s="3" t="s">
        <v>1639</v>
      </c>
      <c r="F928" s="3" t="s">
        <v>57</v>
      </c>
      <c r="H928" s="3" t="s">
        <v>58</v>
      </c>
      <c r="I928" s="3" t="s">
        <v>2142</v>
      </c>
      <c r="J928" s="3" t="s">
        <v>58</v>
      </c>
      <c r="L928" s="3" t="s">
        <v>2168</v>
      </c>
      <c r="M928" s="3" t="s">
        <v>286</v>
      </c>
      <c r="S928" s="9" t="str">
        <f t="array" ref="S928">"[" &amp; TEXTJOIN(", ", TRUE, IF(LEN(T928:AB928), CHAR(34)&amp;T928:AB928&amp;CHAR(34), )) &amp; "]"
</f>
        <v>["Industrial &amp; military effluents", "Dams &amp; water management/use"]</v>
      </c>
      <c r="T928" s="3" t="s">
        <v>147</v>
      </c>
      <c r="U928" s="3"/>
      <c r="V928" s="3"/>
      <c r="W928" s="3" t="s">
        <v>49</v>
      </c>
      <c r="AC928" s="3" t="s">
        <v>147</v>
      </c>
      <c r="AF928" s="3" t="s">
        <v>49</v>
      </c>
      <c r="AL928" s="9" t="str">
        <f t="array" ref="AL928">"[" &amp; TEXTJOIN(", ", TRUE, IF(LEN(AM928:AQ928), CHAR(34)&amp;AM928:AQ928&amp;CHAR(34), )) &amp; "]"
</f>
        <v>["Pollution", "Natural system modifications"]</v>
      </c>
      <c r="AM928" s="3" t="s">
        <v>64</v>
      </c>
      <c r="AN928" s="3" t="s">
        <v>53</v>
      </c>
      <c r="AO928" s="3"/>
      <c r="AP928" s="3"/>
      <c r="AQ928" s="3"/>
      <c r="AR928" s="3" t="s">
        <v>64</v>
      </c>
      <c r="AS928" s="3" t="s">
        <v>53</v>
      </c>
      <c r="AW928" s="8" t="s">
        <v>2887</v>
      </c>
    </row>
    <row r="929">
      <c r="A929" s="3">
        <v>636.0</v>
      </c>
      <c r="B929" s="3" t="s">
        <v>40</v>
      </c>
      <c r="C929" s="3" t="s">
        <v>429</v>
      </c>
      <c r="D929" s="3">
        <v>2002.0</v>
      </c>
      <c r="E929" s="3" t="s">
        <v>1387</v>
      </c>
      <c r="F929" s="3" t="s">
        <v>57</v>
      </c>
      <c r="H929" s="3" t="s">
        <v>58</v>
      </c>
      <c r="I929" s="3" t="s">
        <v>2142</v>
      </c>
      <c r="J929" s="3" t="s">
        <v>58</v>
      </c>
      <c r="L929" s="3" t="s">
        <v>2168</v>
      </c>
      <c r="M929" s="3" t="s">
        <v>286</v>
      </c>
      <c r="S929" s="9" t="str">
        <f t="array" ref="S929">"[" &amp; TEXTJOIN(", ", TRUE, IF(LEN(T929:AB929), CHAR(34)&amp;T929:AB929&amp;CHAR(34), )) &amp; "]"
</f>
        <v>["Dams &amp; water management/use", "Industrial &amp; military effluents", "Agricultural &amp; forestry effluents"]</v>
      </c>
      <c r="T929" s="3" t="s">
        <v>49</v>
      </c>
      <c r="U929" s="3"/>
      <c r="V929" s="3"/>
      <c r="W929" s="3" t="s">
        <v>147</v>
      </c>
      <c r="X929" s="3" t="s">
        <v>62</v>
      </c>
      <c r="AC929" s="3" t="s">
        <v>49</v>
      </c>
      <c r="AF929" s="3" t="s">
        <v>147</v>
      </c>
      <c r="AG929" s="3" t="s">
        <v>62</v>
      </c>
      <c r="AL929" s="9" t="str">
        <f t="array" ref="AL929">"[" &amp; TEXTJOIN(", ", TRUE, IF(LEN(AM929:AQ929), CHAR(34)&amp;AM929:AQ929&amp;CHAR(34), )) &amp; "]"
</f>
        <v>["Natural system modifications", "Pollution"]</v>
      </c>
      <c r="AM929" s="3" t="s">
        <v>53</v>
      </c>
      <c r="AN929" s="3" t="s">
        <v>64</v>
      </c>
      <c r="AO929" s="3"/>
      <c r="AP929" s="3"/>
      <c r="AQ929" s="3"/>
      <c r="AR929" s="3" t="s">
        <v>53</v>
      </c>
      <c r="AS929" s="3" t="s">
        <v>64</v>
      </c>
      <c r="AW929" s="8" t="s">
        <v>2888</v>
      </c>
    </row>
    <row r="930">
      <c r="A930" s="3">
        <v>220.0</v>
      </c>
      <c r="B930" s="3" t="s">
        <v>40</v>
      </c>
      <c r="C930" s="3" t="s">
        <v>606</v>
      </c>
      <c r="D930" s="3">
        <v>1993.0</v>
      </c>
      <c r="E930" s="3" t="s">
        <v>607</v>
      </c>
      <c r="F930" s="3" t="s">
        <v>57</v>
      </c>
      <c r="H930" s="3" t="s">
        <v>58</v>
      </c>
      <c r="I930" s="3" t="s">
        <v>2142</v>
      </c>
      <c r="J930" s="3" t="s">
        <v>58</v>
      </c>
      <c r="L930" s="3" t="s">
        <v>2311</v>
      </c>
      <c r="M930" s="3" t="s">
        <v>69</v>
      </c>
      <c r="S930" s="9" t="str">
        <f t="array" ref="S930">"[" &amp; TEXTJOIN(", ", TRUE, IF(LEN(T930:AB930), CHAR(34)&amp;T930:AB930&amp;CHAR(34), )) &amp; "]"
</f>
        <v>["Hunting &amp; Collecting Terrestrial Animals", "Roads &amp; railroads"]</v>
      </c>
      <c r="T930" s="3" t="s">
        <v>2138</v>
      </c>
      <c r="U930" s="3"/>
      <c r="V930" s="3"/>
      <c r="W930" s="3" t="s">
        <v>63</v>
      </c>
      <c r="AC930" s="3" t="s">
        <v>61</v>
      </c>
      <c r="AF930" s="3" t="s">
        <v>63</v>
      </c>
      <c r="AL930" s="9" t="str">
        <f t="array" ref="AL930">"[" &amp; TEXTJOIN(", ", TRUE, IF(LEN(AM930:AQ930), CHAR(34)&amp;AM930:AQ930&amp;CHAR(34), )) &amp; "]"
</f>
        <v>["Biological resource use", "Transportation &amp; service corridors"]</v>
      </c>
      <c r="AM930" s="3" t="s">
        <v>52</v>
      </c>
      <c r="AN930" s="3" t="s">
        <v>65</v>
      </c>
      <c r="AO930" s="3"/>
      <c r="AP930" s="3"/>
      <c r="AQ930" s="3"/>
      <c r="AR930" s="3" t="s">
        <v>52</v>
      </c>
      <c r="AS930" s="3" t="s">
        <v>65</v>
      </c>
      <c r="AW930" s="8" t="s">
        <v>2889</v>
      </c>
    </row>
    <row r="931">
      <c r="A931" s="3">
        <v>35.0</v>
      </c>
      <c r="B931" s="3" t="s">
        <v>40</v>
      </c>
      <c r="C931" s="3" t="s">
        <v>190</v>
      </c>
      <c r="D931" s="3">
        <v>2010.0</v>
      </c>
      <c r="E931" s="3" t="s">
        <v>191</v>
      </c>
      <c r="F931" s="3" t="s">
        <v>57</v>
      </c>
      <c r="H931" s="3" t="s">
        <v>58</v>
      </c>
      <c r="I931" s="3" t="s">
        <v>2142</v>
      </c>
      <c r="J931" s="3" t="s">
        <v>58</v>
      </c>
      <c r="L931" s="3" t="s">
        <v>2890</v>
      </c>
      <c r="M931" s="3" t="s">
        <v>192</v>
      </c>
      <c r="S931" s="9" t="str">
        <f t="array" ref="S931">"[" &amp; TEXTJOIN(", ", TRUE, IF(LEN(T931:AB931), CHAR(34)&amp;T931:AB931&amp;CHAR(34), )) &amp; "]"
</f>
        <v>["Annual &amp; perennial non-timber crops", "Livestock farming &amp; ranching"]</v>
      </c>
      <c r="T931" s="3" t="s">
        <v>60</v>
      </c>
      <c r="U931" s="3" t="s">
        <v>47</v>
      </c>
      <c r="V931" s="3"/>
      <c r="AC931" s="3" t="s">
        <v>60</v>
      </c>
      <c r="AD931" s="3" t="s">
        <v>47</v>
      </c>
      <c r="AL931" s="9" t="str">
        <f t="array" ref="AL931">"[" &amp; TEXTJOIN(", ", TRUE, IF(LEN(AM931:AQ931), CHAR(34)&amp;AM931:AQ931&amp;CHAR(34), )) &amp; "]"
</f>
        <v>["Agriculture &amp; aquaculture"]</v>
      </c>
      <c r="AM931" s="3" t="s">
        <v>51</v>
      </c>
      <c r="AN931" s="3"/>
      <c r="AO931" s="3"/>
      <c r="AP931" s="3"/>
      <c r="AQ931" s="3"/>
      <c r="AR931" s="3" t="s">
        <v>51</v>
      </c>
      <c r="AW931" s="8" t="s">
        <v>2891</v>
      </c>
    </row>
    <row r="932">
      <c r="A932" s="3">
        <v>29.0</v>
      </c>
      <c r="B932" s="3" t="s">
        <v>40</v>
      </c>
      <c r="C932" s="3" t="s">
        <v>176</v>
      </c>
      <c r="D932" s="3">
        <v>2000.0</v>
      </c>
      <c r="E932" s="3" t="s">
        <v>177</v>
      </c>
      <c r="F932" s="3" t="s">
        <v>57</v>
      </c>
      <c r="H932" s="3" t="s">
        <v>58</v>
      </c>
      <c r="I932" s="3" t="s">
        <v>2142</v>
      </c>
      <c r="J932" s="3" t="s">
        <v>58</v>
      </c>
      <c r="L932" s="3" t="s">
        <v>2143</v>
      </c>
      <c r="M932" s="3" t="s">
        <v>110</v>
      </c>
      <c r="S932" s="9" t="str">
        <f t="array" ref="S932">"[" &amp; TEXTJOIN(", ", TRUE, IF(LEN(T932:AB932), CHAR(34)&amp;T932:AB932&amp;CHAR(34), )) &amp; "]"
</f>
        <v>["Marine &amp; freshwater aquaculture"]</v>
      </c>
      <c r="T932" s="3" t="s">
        <v>111</v>
      </c>
      <c r="U932" s="3"/>
      <c r="V932" s="3"/>
      <c r="AC932" s="3" t="s">
        <v>111</v>
      </c>
      <c r="AL932" s="9" t="str">
        <f t="array" ref="AL932">"[" &amp; TEXTJOIN(", ", TRUE, IF(LEN(AM932:AQ932), CHAR(34)&amp;AM932:AQ932&amp;CHAR(34), )) &amp; "]"
</f>
        <v>["Agriculture &amp; aquaculture"]</v>
      </c>
      <c r="AM932" s="3" t="s">
        <v>51</v>
      </c>
      <c r="AN932" s="3"/>
      <c r="AO932" s="3"/>
      <c r="AP932" s="3"/>
      <c r="AQ932" s="3"/>
      <c r="AR932" s="3" t="s">
        <v>51</v>
      </c>
      <c r="AW932" s="8" t="s">
        <v>2892</v>
      </c>
    </row>
    <row r="933">
      <c r="A933" s="3">
        <v>286.0</v>
      </c>
      <c r="B933" s="3" t="s">
        <v>40</v>
      </c>
      <c r="C933" s="3" t="s">
        <v>738</v>
      </c>
      <c r="D933" s="3">
        <v>2006.0</v>
      </c>
      <c r="E933" s="3" t="s">
        <v>739</v>
      </c>
      <c r="F933" s="3" t="s">
        <v>57</v>
      </c>
      <c r="H933" s="3" t="s">
        <v>58</v>
      </c>
      <c r="I933" s="3" t="s">
        <v>2142</v>
      </c>
      <c r="J933" s="3" t="s">
        <v>58</v>
      </c>
      <c r="L933" s="3" t="s">
        <v>2311</v>
      </c>
      <c r="M933" s="3" t="s">
        <v>69</v>
      </c>
      <c r="S933" s="9" t="str">
        <f t="array" ref="S933">"[" &amp; TEXTJOIN(", ", TRUE, IF(LEN(T933:AB933), CHAR(34)&amp;T933:AB933&amp;CHAR(34), )) &amp; "]"
</f>
        <v>["Hunting &amp; Collecting Terrestrial Animals"]</v>
      </c>
      <c r="T933" s="3" t="s">
        <v>2138</v>
      </c>
      <c r="U933" s="3"/>
      <c r="V933" s="3"/>
      <c r="AC933" s="3" t="s">
        <v>61</v>
      </c>
      <c r="AL933" s="9" t="str">
        <f t="array" ref="AL933">"[" &amp; TEXTJOIN(", ", TRUE, IF(LEN(AM933:AQ933), CHAR(34)&amp;AM933:AQ933&amp;CHAR(34), )) &amp; "]"
</f>
        <v>["Biological resource use"]</v>
      </c>
      <c r="AM933" s="3" t="s">
        <v>52</v>
      </c>
      <c r="AN933" s="3"/>
      <c r="AO933" s="3"/>
      <c r="AP933" s="3"/>
      <c r="AQ933" s="3"/>
      <c r="AR933" s="3" t="s">
        <v>52</v>
      </c>
      <c r="AW933" s="8" t="s">
        <v>2893</v>
      </c>
    </row>
    <row r="934">
      <c r="A934" s="3">
        <v>312.0</v>
      </c>
      <c r="B934" s="3" t="s">
        <v>40</v>
      </c>
      <c r="C934" s="3" t="s">
        <v>792</v>
      </c>
      <c r="D934" s="3">
        <v>2012.0</v>
      </c>
      <c r="E934" s="3" t="s">
        <v>793</v>
      </c>
      <c r="F934" s="3" t="s">
        <v>57</v>
      </c>
      <c r="H934" s="3" t="s">
        <v>58</v>
      </c>
      <c r="I934" s="3" t="s">
        <v>2142</v>
      </c>
      <c r="J934" s="3" t="s">
        <v>58</v>
      </c>
      <c r="L934" s="3" t="s">
        <v>2515</v>
      </c>
      <c r="M934" s="3" t="s">
        <v>69</v>
      </c>
      <c r="N934" s="3" t="s">
        <v>285</v>
      </c>
      <c r="S934" s="9" t="str">
        <f t="array" ref="S934">"[" &amp; TEXTJOIN(", ", TRUE, IF(LEN(T934:AB934), CHAR(34)&amp;T934:AB934&amp;CHAR(34), )) &amp; "]"
</f>
        <v>["Hunting &amp; Collecting Terrestrial Animals"]</v>
      </c>
      <c r="T934" s="3" t="s">
        <v>2138</v>
      </c>
      <c r="U934" s="3"/>
      <c r="V934" s="3"/>
      <c r="AC934" s="3" t="s">
        <v>61</v>
      </c>
      <c r="AL934" s="9" t="str">
        <f t="array" ref="AL934">"[" &amp; TEXTJOIN(", ", TRUE, IF(LEN(AM934:AQ934), CHAR(34)&amp;AM934:AQ934&amp;CHAR(34), )) &amp; "]"
</f>
        <v>["Biological resource use"]</v>
      </c>
      <c r="AM934" s="3" t="s">
        <v>52</v>
      </c>
      <c r="AN934" s="3"/>
      <c r="AO934" s="3"/>
      <c r="AP934" s="3"/>
      <c r="AQ934" s="3"/>
      <c r="AR934" s="3" t="s">
        <v>52</v>
      </c>
      <c r="AW934" s="8" t="s">
        <v>2894</v>
      </c>
    </row>
    <row r="935">
      <c r="A935" s="3">
        <v>267.0</v>
      </c>
      <c r="B935" s="3" t="s">
        <v>40</v>
      </c>
      <c r="C935" s="3" t="s">
        <v>701</v>
      </c>
      <c r="D935" s="3">
        <v>2000.0</v>
      </c>
      <c r="E935" s="3" t="s">
        <v>702</v>
      </c>
      <c r="F935" s="3" t="s">
        <v>253</v>
      </c>
      <c r="H935" s="3" t="s">
        <v>58</v>
      </c>
      <c r="I935" s="3" t="s">
        <v>2142</v>
      </c>
      <c r="J935" s="3" t="s">
        <v>58</v>
      </c>
      <c r="L935" s="3" t="s">
        <v>2166</v>
      </c>
      <c r="M935" s="3" t="s">
        <v>96</v>
      </c>
      <c r="S935" s="9" t="str">
        <f t="array" ref="S935">"[" &amp; TEXTJOIN(", ", TRUE, IF(LEN(T935:AB935), CHAR(34)&amp;T935:AB935&amp;CHAR(34), )) &amp; "]"
</f>
        <v>["Hunting &amp; Collecting Terrestrial Animals"]</v>
      </c>
      <c r="T935" s="3" t="s">
        <v>2138</v>
      </c>
      <c r="U935" s="3"/>
      <c r="V935" s="3"/>
      <c r="AC935" s="3" t="s">
        <v>61</v>
      </c>
      <c r="AL935" s="9" t="str">
        <f t="array" ref="AL935">"[" &amp; TEXTJOIN(", ", TRUE, IF(LEN(AM935:AQ935), CHAR(34)&amp;AM935:AQ935&amp;CHAR(34), )) &amp; "]"
</f>
        <v>["Biological resource use"]</v>
      </c>
      <c r="AM935" s="3" t="s">
        <v>52</v>
      </c>
      <c r="AN935" s="3"/>
      <c r="AO935" s="3"/>
      <c r="AP935" s="3"/>
      <c r="AQ935" s="3"/>
      <c r="AR935" s="3" t="s">
        <v>52</v>
      </c>
      <c r="AW935" s="8" t="s">
        <v>2895</v>
      </c>
    </row>
    <row r="936">
      <c r="A936" s="3">
        <v>274.0</v>
      </c>
      <c r="B936" s="3" t="s">
        <v>40</v>
      </c>
      <c r="C936" s="3" t="s">
        <v>715</v>
      </c>
      <c r="D936" s="3">
        <v>2001.0</v>
      </c>
      <c r="E936" s="3" t="s">
        <v>716</v>
      </c>
      <c r="F936" s="3" t="s">
        <v>253</v>
      </c>
      <c r="H936" s="3" t="s">
        <v>58</v>
      </c>
      <c r="I936" s="3" t="s">
        <v>2142</v>
      </c>
      <c r="J936" s="3" t="s">
        <v>58</v>
      </c>
      <c r="L936" s="3" t="s">
        <v>2218</v>
      </c>
      <c r="M936" s="3" t="s">
        <v>254</v>
      </c>
      <c r="S936" s="9" t="str">
        <f t="array" ref="S936">"[" &amp; TEXTJOIN(", ", TRUE, IF(LEN(T936:AB936), CHAR(34)&amp;T936:AB936&amp;CHAR(34), )) &amp; "]"
</f>
        <v>["Hunting &amp; Collecting Terrestrial Animals"]</v>
      </c>
      <c r="T936" s="3" t="s">
        <v>2138</v>
      </c>
      <c r="U936" s="3"/>
      <c r="V936" s="3"/>
      <c r="AC936" s="3" t="s">
        <v>61</v>
      </c>
      <c r="AL936" s="9" t="str">
        <f t="array" ref="AL936">"[" &amp; TEXTJOIN(", ", TRUE, IF(LEN(AM936:AQ936), CHAR(34)&amp;AM936:AQ936&amp;CHAR(34), )) &amp; "]"
</f>
        <v>["Biological resource use"]</v>
      </c>
      <c r="AM936" s="3" t="s">
        <v>52</v>
      </c>
      <c r="AN936" s="3"/>
      <c r="AO936" s="3"/>
      <c r="AP936" s="3"/>
      <c r="AQ936" s="3"/>
      <c r="AR936" s="3" t="s">
        <v>52</v>
      </c>
      <c r="AW936" s="8" t="s">
        <v>2896</v>
      </c>
    </row>
    <row r="937">
      <c r="A937" s="3">
        <v>285.0</v>
      </c>
      <c r="B937" s="3" t="s">
        <v>40</v>
      </c>
      <c r="C937" s="3" t="s">
        <v>736</v>
      </c>
      <c r="D937" s="3">
        <v>2005.0</v>
      </c>
      <c r="E937" s="3" t="s">
        <v>737</v>
      </c>
      <c r="F937" s="3" t="s">
        <v>253</v>
      </c>
      <c r="H937" s="3" t="s">
        <v>58</v>
      </c>
      <c r="I937" s="3" t="s">
        <v>2142</v>
      </c>
      <c r="J937" s="3" t="s">
        <v>58</v>
      </c>
      <c r="L937" s="3" t="s">
        <v>2218</v>
      </c>
      <c r="M937" s="3" t="s">
        <v>254</v>
      </c>
      <c r="S937" s="9" t="str">
        <f t="array" ref="S937">"[" &amp; TEXTJOIN(", ", TRUE, IF(LEN(T937:AB937), CHAR(34)&amp;T937:AB937&amp;CHAR(34), )) &amp; "]"
</f>
        <v>["Hunting &amp; Collecting Terrestrial Animals"]</v>
      </c>
      <c r="T937" s="3" t="s">
        <v>2138</v>
      </c>
      <c r="U937" s="3"/>
      <c r="V937" s="3"/>
      <c r="AC937" s="3" t="s">
        <v>61</v>
      </c>
      <c r="AL937" s="9" t="str">
        <f t="array" ref="AL937">"[" &amp; TEXTJOIN(", ", TRUE, IF(LEN(AM937:AQ937), CHAR(34)&amp;AM937:AQ937&amp;CHAR(34), )) &amp; "]"
</f>
        <v>["Biological resource use"]</v>
      </c>
      <c r="AM937" s="3" t="s">
        <v>52</v>
      </c>
      <c r="AN937" s="3"/>
      <c r="AO937" s="3"/>
      <c r="AP937" s="3"/>
      <c r="AQ937" s="3"/>
      <c r="AR937" s="3" t="s">
        <v>52</v>
      </c>
      <c r="AW937" s="8" t="s">
        <v>2897</v>
      </c>
    </row>
    <row r="938">
      <c r="A938" s="3">
        <v>288.0</v>
      </c>
      <c r="B938" s="3" t="s">
        <v>40</v>
      </c>
      <c r="C938" s="3" t="s">
        <v>742</v>
      </c>
      <c r="D938" s="3">
        <v>2006.0</v>
      </c>
      <c r="E938" s="3" t="s">
        <v>743</v>
      </c>
      <c r="F938" s="3" t="s">
        <v>253</v>
      </c>
      <c r="H938" s="3" t="s">
        <v>58</v>
      </c>
      <c r="I938" s="3" t="s">
        <v>2142</v>
      </c>
      <c r="J938" s="3" t="s">
        <v>58</v>
      </c>
      <c r="L938" s="3" t="s">
        <v>2218</v>
      </c>
      <c r="M938" s="3" t="s">
        <v>254</v>
      </c>
      <c r="S938" s="9" t="str">
        <f t="array" ref="S938">"[" &amp; TEXTJOIN(", ", TRUE, IF(LEN(T938:AB938), CHAR(34)&amp;T938:AB938&amp;CHAR(34), )) &amp; "]"
</f>
        <v>["Hunting &amp; Collecting Terrestrial Animals"]</v>
      </c>
      <c r="T938" s="3" t="s">
        <v>2138</v>
      </c>
      <c r="U938" s="3"/>
      <c r="V938" s="3"/>
      <c r="AC938" s="3" t="s">
        <v>61</v>
      </c>
      <c r="AL938" s="9" t="str">
        <f t="array" ref="AL938">"[" &amp; TEXTJOIN(", ", TRUE, IF(LEN(AM938:AQ938), CHAR(34)&amp;AM938:AQ938&amp;CHAR(34), )) &amp; "]"
</f>
        <v>["Biological resource use"]</v>
      </c>
      <c r="AM938" s="3" t="s">
        <v>52</v>
      </c>
      <c r="AN938" s="3"/>
      <c r="AO938" s="3"/>
      <c r="AP938" s="3"/>
      <c r="AQ938" s="3"/>
      <c r="AR938" s="3" t="s">
        <v>52</v>
      </c>
      <c r="AW938" s="8" t="s">
        <v>2898</v>
      </c>
    </row>
    <row r="939">
      <c r="A939" s="3">
        <v>301.0</v>
      </c>
      <c r="B939" s="3" t="s">
        <v>40</v>
      </c>
      <c r="C939" s="3" t="s">
        <v>770</v>
      </c>
      <c r="D939" s="3">
        <v>2009.0</v>
      </c>
      <c r="E939" s="3" t="s">
        <v>771</v>
      </c>
      <c r="F939" s="3" t="s">
        <v>253</v>
      </c>
      <c r="H939" s="3" t="s">
        <v>58</v>
      </c>
      <c r="I939" s="3" t="s">
        <v>2142</v>
      </c>
      <c r="J939" s="3" t="s">
        <v>58</v>
      </c>
      <c r="L939" s="3" t="s">
        <v>2218</v>
      </c>
      <c r="M939" s="3" t="s">
        <v>254</v>
      </c>
      <c r="S939" s="9" t="str">
        <f t="array" ref="S939">"[" &amp; TEXTJOIN(", ", TRUE, IF(LEN(T939:AB939), CHAR(34)&amp;T939:AB939&amp;CHAR(34), )) &amp; "]"
</f>
        <v>["Hunting &amp; Collecting Terrestrial Animals"]</v>
      </c>
      <c r="T939" s="3" t="s">
        <v>2138</v>
      </c>
      <c r="U939" s="3"/>
      <c r="V939" s="3"/>
      <c r="AC939" s="3" t="s">
        <v>61</v>
      </c>
      <c r="AL939" s="9" t="str">
        <f t="array" ref="AL939">"[" &amp; TEXTJOIN(", ", TRUE, IF(LEN(AM939:AQ939), CHAR(34)&amp;AM939:AQ939&amp;CHAR(34), )) &amp; "]"
</f>
        <v>["Biological resource use"]</v>
      </c>
      <c r="AM939" s="3" t="s">
        <v>52</v>
      </c>
      <c r="AN939" s="3"/>
      <c r="AO939" s="3"/>
      <c r="AP939" s="3"/>
      <c r="AQ939" s="3"/>
      <c r="AR939" s="3" t="s">
        <v>52</v>
      </c>
      <c r="AW939" s="8" t="s">
        <v>2899</v>
      </c>
    </row>
    <row r="940">
      <c r="A940" s="3">
        <v>327.0</v>
      </c>
      <c r="B940" s="3" t="s">
        <v>40</v>
      </c>
      <c r="C940" s="3" t="s">
        <v>822</v>
      </c>
      <c r="D940" s="3">
        <v>2015.0</v>
      </c>
      <c r="E940" s="3" t="s">
        <v>823</v>
      </c>
      <c r="F940" s="3" t="s">
        <v>253</v>
      </c>
      <c r="H940" s="3" t="s">
        <v>58</v>
      </c>
      <c r="I940" s="3" t="s">
        <v>2142</v>
      </c>
      <c r="J940" s="3" t="s">
        <v>58</v>
      </c>
      <c r="L940" s="3" t="s">
        <v>2218</v>
      </c>
      <c r="M940" s="3" t="s">
        <v>254</v>
      </c>
      <c r="S940" s="9" t="str">
        <f t="array" ref="S940">"[" &amp; TEXTJOIN(", ", TRUE, IF(LEN(T940:AB940), CHAR(34)&amp;T940:AB940&amp;CHAR(34), )) &amp; "]"
</f>
        <v>["Hunting &amp; Collecting Terrestrial Animals"]</v>
      </c>
      <c r="T940" s="3" t="s">
        <v>2138</v>
      </c>
      <c r="U940" s="3"/>
      <c r="V940" s="3"/>
      <c r="AC940" s="3" t="s">
        <v>61</v>
      </c>
      <c r="AL940" s="9" t="str">
        <f t="array" ref="AL940">"[" &amp; TEXTJOIN(", ", TRUE, IF(LEN(AM940:AQ940), CHAR(34)&amp;AM940:AQ940&amp;CHAR(34), )) &amp; "]"
</f>
        <v>["Biological resource use"]</v>
      </c>
      <c r="AM940" s="3" t="s">
        <v>52</v>
      </c>
      <c r="AN940" s="3"/>
      <c r="AO940" s="3"/>
      <c r="AP940" s="3"/>
      <c r="AQ940" s="3"/>
      <c r="AR940" s="3" t="s">
        <v>52</v>
      </c>
      <c r="AW940" s="8" t="s">
        <v>2900</v>
      </c>
    </row>
    <row r="941">
      <c r="A941" s="3">
        <v>355.0</v>
      </c>
      <c r="B941" s="3" t="s">
        <v>40</v>
      </c>
      <c r="C941" s="3" t="s">
        <v>881</v>
      </c>
      <c r="D941" s="3">
        <v>2019.0</v>
      </c>
      <c r="E941" s="3" t="s">
        <v>882</v>
      </c>
      <c r="F941" s="3" t="s">
        <v>253</v>
      </c>
      <c r="H941" s="3" t="s">
        <v>58</v>
      </c>
      <c r="I941" s="3" t="s">
        <v>2142</v>
      </c>
      <c r="J941" s="3" t="s">
        <v>58</v>
      </c>
      <c r="L941" s="3" t="s">
        <v>2218</v>
      </c>
      <c r="M941" s="3" t="s">
        <v>254</v>
      </c>
      <c r="S941" s="9" t="str">
        <f t="array" ref="S941">"[" &amp; TEXTJOIN(", ", TRUE, IF(LEN(T941:AB941), CHAR(34)&amp;T941:AB941&amp;CHAR(34), )) &amp; "]"
</f>
        <v>["Hunting &amp; Collecting Terrestrial Animals"]</v>
      </c>
      <c r="T941" s="3" t="s">
        <v>2138</v>
      </c>
      <c r="U941" s="3"/>
      <c r="V941" s="3"/>
      <c r="AC941" s="3" t="s">
        <v>61</v>
      </c>
      <c r="AL941" s="9" t="str">
        <f t="array" ref="AL941">"[" &amp; TEXTJOIN(", ", TRUE, IF(LEN(AM941:AQ941), CHAR(34)&amp;AM941:AQ941&amp;CHAR(34), )) &amp; "]"
</f>
        <v>["Biological resource use"]</v>
      </c>
      <c r="AM941" s="3" t="s">
        <v>52</v>
      </c>
      <c r="AN941" s="3"/>
      <c r="AO941" s="3"/>
      <c r="AP941" s="3"/>
      <c r="AQ941" s="3"/>
      <c r="AR941" s="3" t="s">
        <v>52</v>
      </c>
      <c r="AW941" s="8" t="s">
        <v>2901</v>
      </c>
    </row>
    <row r="942">
      <c r="A942" s="3">
        <v>434.0</v>
      </c>
      <c r="B942" s="3" t="s">
        <v>40</v>
      </c>
      <c r="C942" s="3" t="s">
        <v>993</v>
      </c>
      <c r="D942" s="3">
        <v>2011.0</v>
      </c>
      <c r="E942" s="3" t="s">
        <v>994</v>
      </c>
      <c r="F942" s="3" t="s">
        <v>57</v>
      </c>
      <c r="H942" s="3" t="s">
        <v>58</v>
      </c>
      <c r="I942" s="3" t="s">
        <v>2142</v>
      </c>
      <c r="J942" s="3" t="s">
        <v>58</v>
      </c>
      <c r="L942" s="3" t="s">
        <v>2143</v>
      </c>
      <c r="M942" s="3" t="s">
        <v>110</v>
      </c>
      <c r="S942" s="9" t="str">
        <f t="array" ref="S942">"[" &amp; TEXTJOIN(", ", TRUE, IF(LEN(T942:AB942), CHAR(34)&amp;T942:AB942&amp;CHAR(34), )) &amp; "]"
</f>
        <v>["Habitat shifting &amp; alteration"]</v>
      </c>
      <c r="T942" s="3" t="s">
        <v>117</v>
      </c>
      <c r="U942" s="3"/>
      <c r="V942" s="3"/>
      <c r="AC942" s="3" t="s">
        <v>117</v>
      </c>
      <c r="AL942" s="9" t="str">
        <f t="array" ref="AL942">"[" &amp; TEXTJOIN(", ", TRUE, IF(LEN(AM942:AQ942), CHAR(34)&amp;AM942:AQ942&amp;CHAR(34), )) &amp; "]"
</f>
        <v>["Climate change &amp; severe weather"]</v>
      </c>
      <c r="AM942" s="3" t="s">
        <v>118</v>
      </c>
      <c r="AN942" s="3"/>
      <c r="AO942" s="3"/>
      <c r="AP942" s="3"/>
      <c r="AQ942" s="3"/>
      <c r="AR942" s="3" t="s">
        <v>118</v>
      </c>
      <c r="AW942" s="8" t="s">
        <v>2902</v>
      </c>
    </row>
    <row r="943">
      <c r="A943" s="3">
        <v>506.0</v>
      </c>
      <c r="B943" s="3" t="s">
        <v>40</v>
      </c>
      <c r="C943" s="3" t="s">
        <v>1135</v>
      </c>
      <c r="D943" s="3">
        <v>2000.0</v>
      </c>
      <c r="E943" s="3" t="s">
        <v>1136</v>
      </c>
      <c r="F943" s="3" t="s">
        <v>57</v>
      </c>
      <c r="H943" s="3" t="s">
        <v>58</v>
      </c>
      <c r="I943" s="3" t="s">
        <v>2142</v>
      </c>
      <c r="J943" s="3" t="s">
        <v>58</v>
      </c>
      <c r="L943" s="3" t="s">
        <v>2168</v>
      </c>
      <c r="M943" s="3" t="s">
        <v>286</v>
      </c>
      <c r="S943" s="9" t="str">
        <f t="array" ref="S943">"[" &amp; TEXTJOIN(", ", TRUE, IF(LEN(T943:AB943), CHAR(34)&amp;T943:AB943&amp;CHAR(34), )) &amp; "]"
</f>
        <v>["Introduced genetic material"]</v>
      </c>
      <c r="T943" s="3" t="s">
        <v>77</v>
      </c>
      <c r="U943" s="3"/>
      <c r="V943" s="3"/>
      <c r="AC943" s="3" t="s">
        <v>77</v>
      </c>
      <c r="AL943" s="9" t="str">
        <f t="array" ref="AL943">"[" &amp; TEXTJOIN(", ", TRUE, IF(LEN(AM943:AQ943), CHAR(34)&amp;AM943:AQ943&amp;CHAR(34), )) &amp; "]"
</f>
        <v>["Invasive &amp; other problematic species, genes &amp; diseases"]</v>
      </c>
      <c r="AM943" s="3" t="s">
        <v>54</v>
      </c>
      <c r="AN943" s="3"/>
      <c r="AO943" s="3"/>
      <c r="AP943" s="3"/>
      <c r="AQ943" s="3"/>
      <c r="AR943" s="3" t="s">
        <v>54</v>
      </c>
      <c r="AW943" s="8" t="s">
        <v>2903</v>
      </c>
    </row>
    <row r="944">
      <c r="A944" s="3">
        <v>517.0</v>
      </c>
      <c r="B944" s="3" t="s">
        <v>40</v>
      </c>
      <c r="C944" s="3" t="s">
        <v>1157</v>
      </c>
      <c r="D944" s="3">
        <v>2005.0</v>
      </c>
      <c r="E944" s="3" t="s">
        <v>1158</v>
      </c>
      <c r="F944" s="3" t="s">
        <v>57</v>
      </c>
      <c r="H944" s="3" t="s">
        <v>58</v>
      </c>
      <c r="I944" s="3" t="s">
        <v>2142</v>
      </c>
      <c r="J944" s="3" t="s">
        <v>58</v>
      </c>
      <c r="L944" s="3" t="s">
        <v>2334</v>
      </c>
      <c r="M944" s="3" t="s">
        <v>286</v>
      </c>
      <c r="N944" s="3" t="s">
        <v>76</v>
      </c>
      <c r="S944" s="9" t="str">
        <f t="array" ref="S944">"[" &amp; TEXTJOIN(", ", TRUE, IF(LEN(T944:AB944), CHAR(34)&amp;T944:AB944&amp;CHAR(34), )) &amp; "]"
</f>
        <v>["Introduced genetic material"]</v>
      </c>
      <c r="T944" s="3" t="s">
        <v>77</v>
      </c>
      <c r="U944" s="3"/>
      <c r="V944" s="3"/>
      <c r="AC944" s="3" t="s">
        <v>77</v>
      </c>
      <c r="AL944" s="9" t="str">
        <f t="array" ref="AL944">"[" &amp; TEXTJOIN(", ", TRUE, IF(LEN(AM944:AQ944), CHAR(34)&amp;AM944:AQ944&amp;CHAR(34), )) &amp; "]"
</f>
        <v>["Invasive &amp; other problematic species, genes &amp; diseases"]</v>
      </c>
      <c r="AM944" s="3" t="s">
        <v>54</v>
      </c>
      <c r="AN944" s="3"/>
      <c r="AO944" s="3"/>
      <c r="AP944" s="3"/>
      <c r="AQ944" s="3"/>
      <c r="AR944" s="3" t="s">
        <v>54</v>
      </c>
      <c r="AW944" s="8" t="s">
        <v>2904</v>
      </c>
    </row>
    <row r="945">
      <c r="A945" s="3">
        <v>547.0</v>
      </c>
      <c r="B945" s="3" t="s">
        <v>40</v>
      </c>
      <c r="C945" s="3" t="s">
        <v>1217</v>
      </c>
      <c r="D945" s="3">
        <v>2011.0</v>
      </c>
      <c r="E945" s="3" t="s">
        <v>1218</v>
      </c>
      <c r="F945" s="3" t="s">
        <v>57</v>
      </c>
      <c r="H945" s="3" t="s">
        <v>58</v>
      </c>
      <c r="I945" s="3" t="s">
        <v>2142</v>
      </c>
      <c r="J945" s="3" t="s">
        <v>58</v>
      </c>
      <c r="L945" s="3" t="s">
        <v>2168</v>
      </c>
      <c r="M945" s="3" t="s">
        <v>286</v>
      </c>
      <c r="S945" s="9" t="str">
        <f t="array" ref="S945">"[" &amp; TEXTJOIN(", ", TRUE, IF(LEN(T945:AB945), CHAR(34)&amp;T945:AB945&amp;CHAR(34), )) &amp; "]"
</f>
        <v>["Introduced genetic material"]</v>
      </c>
      <c r="T945" s="3" t="s">
        <v>77</v>
      </c>
      <c r="U945" s="3"/>
      <c r="V945" s="3"/>
      <c r="AC945" s="3" t="s">
        <v>77</v>
      </c>
      <c r="AL945" s="9" t="str">
        <f t="array" ref="AL945">"[" &amp; TEXTJOIN(", ", TRUE, IF(LEN(AM945:AQ945), CHAR(34)&amp;AM945:AQ945&amp;CHAR(34), )) &amp; "]"
</f>
        <v>["Invasive &amp; other problematic species, genes &amp; diseases"]</v>
      </c>
      <c r="AM945" s="3" t="s">
        <v>54</v>
      </c>
      <c r="AN945" s="3"/>
      <c r="AO945" s="3"/>
      <c r="AP945" s="3"/>
      <c r="AQ945" s="3"/>
      <c r="AR945" s="3" t="s">
        <v>54</v>
      </c>
      <c r="AW945" s="8" t="s">
        <v>2905</v>
      </c>
    </row>
    <row r="946">
      <c r="A946" s="3">
        <v>512.0</v>
      </c>
      <c r="B946" s="3" t="s">
        <v>40</v>
      </c>
      <c r="C946" s="3" t="s">
        <v>1147</v>
      </c>
      <c r="D946" s="3">
        <v>2003.0</v>
      </c>
      <c r="E946" s="3" t="s">
        <v>1148</v>
      </c>
      <c r="F946" s="3" t="s">
        <v>57</v>
      </c>
      <c r="H946" s="3" t="s">
        <v>58</v>
      </c>
      <c r="I946" s="3" t="s">
        <v>2142</v>
      </c>
      <c r="J946" s="3" t="s">
        <v>58</v>
      </c>
      <c r="L946" s="3" t="s">
        <v>2168</v>
      </c>
      <c r="M946" s="3" t="s">
        <v>286</v>
      </c>
      <c r="S946" s="9" t="str">
        <f t="array" ref="S946">"[" &amp; TEXTJOIN(", ", TRUE, IF(LEN(T946:AB946), CHAR(34)&amp;T946:AB946&amp;CHAR(34), )) &amp; "]"
</f>
        <v>["Invasive non-native/alien species/diseases"]</v>
      </c>
      <c r="T946" s="3" t="s">
        <v>50</v>
      </c>
      <c r="U946" s="3"/>
      <c r="V946" s="3"/>
      <c r="AC946" s="3" t="s">
        <v>50</v>
      </c>
      <c r="AL946" s="9" t="str">
        <f t="array" ref="AL946">"[" &amp; TEXTJOIN(", ", TRUE, IF(LEN(AM946:AQ946), CHAR(34)&amp;AM946:AQ946&amp;CHAR(34), )) &amp; "]"
</f>
        <v>["Invasive &amp; other problematic species, genes &amp; diseases"]</v>
      </c>
      <c r="AM946" s="3" t="s">
        <v>54</v>
      </c>
      <c r="AN946" s="3"/>
      <c r="AO946" s="3"/>
      <c r="AP946" s="3"/>
      <c r="AQ946" s="3"/>
      <c r="AR946" s="3" t="s">
        <v>54</v>
      </c>
      <c r="AW946" s="8" t="s">
        <v>2906</v>
      </c>
    </row>
    <row r="947">
      <c r="A947" s="3">
        <v>522.0</v>
      </c>
      <c r="B947" s="3" t="s">
        <v>40</v>
      </c>
      <c r="C947" s="3" t="s">
        <v>1167</v>
      </c>
      <c r="D947" s="3">
        <v>2007.0</v>
      </c>
      <c r="E947" s="3" t="s">
        <v>1168</v>
      </c>
      <c r="F947" s="3" t="s">
        <v>57</v>
      </c>
      <c r="H947" s="3" t="s">
        <v>58</v>
      </c>
      <c r="I947" s="3" t="s">
        <v>2142</v>
      </c>
      <c r="J947" s="3" t="s">
        <v>58</v>
      </c>
      <c r="L947" s="3" t="s">
        <v>2168</v>
      </c>
      <c r="M947" s="3" t="s">
        <v>286</v>
      </c>
      <c r="S947" s="9" t="str">
        <f t="array" ref="S947">"[" &amp; TEXTJOIN(", ", TRUE, IF(LEN(T947:AB947), CHAR(34)&amp;T947:AB947&amp;CHAR(34), )) &amp; "]"
</f>
        <v>["Invasive non-native/alien species/diseases"]</v>
      </c>
      <c r="T947" s="3" t="s">
        <v>50</v>
      </c>
      <c r="U947" s="3"/>
      <c r="V947" s="3"/>
      <c r="AC947" s="3" t="s">
        <v>50</v>
      </c>
      <c r="AL947" s="9" t="str">
        <f t="array" ref="AL947">"[" &amp; TEXTJOIN(", ", TRUE, IF(LEN(AM947:AQ947), CHAR(34)&amp;AM947:AQ947&amp;CHAR(34), )) &amp; "]"
</f>
        <v>["Invasive &amp; other problematic species, genes &amp; diseases"]</v>
      </c>
      <c r="AM947" s="3" t="s">
        <v>54</v>
      </c>
      <c r="AN947" s="3"/>
      <c r="AO947" s="3"/>
      <c r="AP947" s="3"/>
      <c r="AQ947" s="3"/>
      <c r="AR947" s="3" t="s">
        <v>54</v>
      </c>
      <c r="AW947" s="8" t="s">
        <v>2907</v>
      </c>
    </row>
    <row r="948">
      <c r="A948" s="3">
        <v>548.0</v>
      </c>
      <c r="B948" s="3" t="s">
        <v>40</v>
      </c>
      <c r="C948" s="3" t="s">
        <v>1219</v>
      </c>
      <c r="D948" s="3">
        <v>2011.0</v>
      </c>
      <c r="E948" s="3" t="s">
        <v>1220</v>
      </c>
      <c r="F948" s="3" t="s">
        <v>57</v>
      </c>
      <c r="H948" s="3" t="s">
        <v>58</v>
      </c>
      <c r="I948" s="3" t="s">
        <v>2142</v>
      </c>
      <c r="J948" s="3" t="s">
        <v>58</v>
      </c>
      <c r="L948" s="3" t="s">
        <v>2908</v>
      </c>
      <c r="M948" s="3" t="s">
        <v>76</v>
      </c>
      <c r="N948" s="3" t="s">
        <v>69</v>
      </c>
      <c r="O948" s="3" t="s">
        <v>96</v>
      </c>
      <c r="S948" s="9" t="str">
        <f t="array" ref="S948">"[" &amp; TEXTJOIN(", ", TRUE, IF(LEN(T948:AB948), CHAR(34)&amp;T948:AB948&amp;CHAR(34), )) &amp; "]"
</f>
        <v>["Invasive non-native/alien species/diseases"]</v>
      </c>
      <c r="T948" s="3" t="s">
        <v>50</v>
      </c>
      <c r="U948" s="3"/>
      <c r="V948" s="3"/>
      <c r="AC948" s="3" t="s">
        <v>50</v>
      </c>
      <c r="AL948" s="9" t="str">
        <f t="array" ref="AL948">"[" &amp; TEXTJOIN(", ", TRUE, IF(LEN(AM948:AQ948), CHAR(34)&amp;AM948:AQ948&amp;CHAR(34), )) &amp; "]"
</f>
        <v>["Invasive &amp; other problematic species, genes &amp; diseases"]</v>
      </c>
      <c r="AM948" s="3" t="s">
        <v>54</v>
      </c>
      <c r="AN948" s="3"/>
      <c r="AO948" s="3"/>
      <c r="AP948" s="3"/>
      <c r="AQ948" s="3"/>
      <c r="AR948" s="3" t="s">
        <v>54</v>
      </c>
      <c r="AW948" s="8" t="s">
        <v>2909</v>
      </c>
    </row>
    <row r="949">
      <c r="A949" s="3">
        <v>570.0</v>
      </c>
      <c r="B949" s="3" t="s">
        <v>40</v>
      </c>
      <c r="C949" s="3" t="s">
        <v>1264</v>
      </c>
      <c r="D949" s="3">
        <v>2015.0</v>
      </c>
      <c r="E949" s="3" t="s">
        <v>1265</v>
      </c>
      <c r="F949" s="3" t="s">
        <v>57</v>
      </c>
      <c r="H949" s="3" t="s">
        <v>58</v>
      </c>
      <c r="I949" s="3" t="s">
        <v>2142</v>
      </c>
      <c r="J949" s="3" t="s">
        <v>58</v>
      </c>
      <c r="L949" s="3" t="s">
        <v>2340</v>
      </c>
      <c r="M949" s="3" t="s">
        <v>76</v>
      </c>
      <c r="S949" s="9" t="str">
        <f t="array" ref="S949">"[" &amp; TEXTJOIN(", ", TRUE, IF(LEN(T949:AB949), CHAR(34)&amp;T949:AB949&amp;CHAR(34), )) &amp; "]"
</f>
        <v>["Invasive non-native/alien species/diseases"]</v>
      </c>
      <c r="T949" s="3" t="s">
        <v>50</v>
      </c>
      <c r="U949" s="3"/>
      <c r="V949" s="3"/>
      <c r="AC949" s="3" t="s">
        <v>50</v>
      </c>
      <c r="AL949" s="9" t="str">
        <f t="array" ref="AL949">"[" &amp; TEXTJOIN(", ", TRUE, IF(LEN(AM949:AQ949), CHAR(34)&amp;AM949:AQ949&amp;CHAR(34), )) &amp; "]"
</f>
        <v>["Invasive &amp; other problematic species, genes &amp; diseases"]</v>
      </c>
      <c r="AM949" s="3" t="s">
        <v>54</v>
      </c>
      <c r="AN949" s="3"/>
      <c r="AO949" s="3"/>
      <c r="AP949" s="3"/>
      <c r="AQ949" s="3"/>
      <c r="AR949" s="3" t="s">
        <v>54</v>
      </c>
      <c r="AW949" s="8" t="s">
        <v>2910</v>
      </c>
    </row>
    <row r="950">
      <c r="A950" s="3">
        <v>577.0</v>
      </c>
      <c r="B950" s="3" t="s">
        <v>40</v>
      </c>
      <c r="C950" s="3" t="s">
        <v>1278</v>
      </c>
      <c r="D950" s="3">
        <v>2016.0</v>
      </c>
      <c r="E950" s="3" t="s">
        <v>1279</v>
      </c>
      <c r="F950" s="3" t="s">
        <v>57</v>
      </c>
      <c r="H950" s="3" t="s">
        <v>58</v>
      </c>
      <c r="I950" s="3" t="s">
        <v>2142</v>
      </c>
      <c r="J950" s="3" t="s">
        <v>58</v>
      </c>
      <c r="L950" s="3" t="s">
        <v>2168</v>
      </c>
      <c r="M950" s="3" t="s">
        <v>286</v>
      </c>
      <c r="S950" s="9" t="str">
        <f t="array" ref="S950">"[" &amp; TEXTJOIN(", ", TRUE, IF(LEN(T950:AB950), CHAR(34)&amp;T950:AB950&amp;CHAR(34), )) &amp; "]"
</f>
        <v>["Invasive non-native/alien species/diseases"]</v>
      </c>
      <c r="T950" s="3" t="s">
        <v>50</v>
      </c>
      <c r="U950" s="3"/>
      <c r="V950" s="3"/>
      <c r="AC950" s="3" t="s">
        <v>50</v>
      </c>
      <c r="AL950" s="9" t="str">
        <f t="array" ref="AL950">"[" &amp; TEXTJOIN(", ", TRUE, IF(LEN(AM950:AQ950), CHAR(34)&amp;AM950:AQ950&amp;CHAR(34), )) &amp; "]"
</f>
        <v>["Invasive &amp; other problematic species, genes &amp; diseases"]</v>
      </c>
      <c r="AM950" s="3" t="s">
        <v>54</v>
      </c>
      <c r="AN950" s="3"/>
      <c r="AO950" s="3"/>
      <c r="AP950" s="3"/>
      <c r="AQ950" s="3"/>
      <c r="AR950" s="3" t="s">
        <v>54</v>
      </c>
      <c r="AW950" s="8" t="s">
        <v>2911</v>
      </c>
    </row>
    <row r="951">
      <c r="A951" s="3">
        <v>578.0</v>
      </c>
      <c r="B951" s="3" t="s">
        <v>40</v>
      </c>
      <c r="C951" s="3" t="s">
        <v>1280</v>
      </c>
      <c r="D951" s="3">
        <v>2016.0</v>
      </c>
      <c r="E951" s="3" t="s">
        <v>1281</v>
      </c>
      <c r="F951" s="3" t="s">
        <v>57</v>
      </c>
      <c r="H951" s="3" t="s">
        <v>58</v>
      </c>
      <c r="I951" s="3" t="s">
        <v>2142</v>
      </c>
      <c r="J951" s="3" t="s">
        <v>58</v>
      </c>
      <c r="L951" s="3" t="s">
        <v>2168</v>
      </c>
      <c r="M951" s="3" t="s">
        <v>286</v>
      </c>
      <c r="S951" s="9" t="str">
        <f t="array" ref="S951">"[" &amp; TEXTJOIN(", ", TRUE, IF(LEN(T951:AB951), CHAR(34)&amp;T951:AB951&amp;CHAR(34), )) &amp; "]"
</f>
        <v>["Invasive non-native/alien species/diseases"]</v>
      </c>
      <c r="T951" s="3" t="s">
        <v>50</v>
      </c>
      <c r="U951" s="3"/>
      <c r="V951" s="3"/>
      <c r="AC951" s="3" t="s">
        <v>50</v>
      </c>
      <c r="AL951" s="9" t="str">
        <f t="array" ref="AL951">"[" &amp; TEXTJOIN(", ", TRUE, IF(LEN(AM951:AQ951), CHAR(34)&amp;AM951:AQ951&amp;CHAR(34), )) &amp; "]"
</f>
        <v>["Invasive &amp; other problematic species, genes &amp; diseases"]</v>
      </c>
      <c r="AM951" s="3" t="s">
        <v>54</v>
      </c>
      <c r="AN951" s="3"/>
      <c r="AO951" s="3"/>
      <c r="AP951" s="3"/>
      <c r="AQ951" s="3"/>
      <c r="AR951" s="3" t="s">
        <v>54</v>
      </c>
      <c r="AW951" s="8" t="s">
        <v>2912</v>
      </c>
    </row>
    <row r="952">
      <c r="A952" s="3">
        <v>555.0</v>
      </c>
      <c r="B952" s="3" t="s">
        <v>40</v>
      </c>
      <c r="C952" s="3" t="s">
        <v>1234</v>
      </c>
      <c r="D952" s="3">
        <v>2012.0</v>
      </c>
      <c r="E952" s="3" t="s">
        <v>1235</v>
      </c>
      <c r="F952" s="3" t="s">
        <v>57</v>
      </c>
      <c r="H952" s="3" t="s">
        <v>58</v>
      </c>
      <c r="I952" s="3" t="s">
        <v>2142</v>
      </c>
      <c r="J952" s="3" t="s">
        <v>58</v>
      </c>
      <c r="L952" s="3" t="s">
        <v>2913</v>
      </c>
      <c r="M952" s="3" t="s">
        <v>59</v>
      </c>
      <c r="N952" s="3" t="s">
        <v>286</v>
      </c>
      <c r="S952" s="9" t="str">
        <f t="array" ref="S952">"[" &amp; TEXTJOIN(", ", TRUE, IF(LEN(T952:AB952), CHAR(34)&amp;T952:AB952&amp;CHAR(34), )) &amp; "]"
</f>
        <v>["Problematic native species/diseases"]</v>
      </c>
      <c r="T952" s="3" t="s">
        <v>244</v>
      </c>
      <c r="U952" s="3"/>
      <c r="V952" s="3"/>
      <c r="AC952" s="3" t="s">
        <v>244</v>
      </c>
      <c r="AL952" s="9" t="str">
        <f t="array" ref="AL952">"[" &amp; TEXTJOIN(", ", TRUE, IF(LEN(AM952:AQ952), CHAR(34)&amp;AM952:AQ952&amp;CHAR(34), )) &amp; "]"
</f>
        <v>["Invasive &amp; other problematic species, genes &amp; diseases"]</v>
      </c>
      <c r="AM952" s="3" t="s">
        <v>54</v>
      </c>
      <c r="AN952" s="3"/>
      <c r="AO952" s="3"/>
      <c r="AP952" s="3"/>
      <c r="AQ952" s="3"/>
      <c r="AR952" s="3" t="s">
        <v>54</v>
      </c>
      <c r="AW952" s="8" t="s">
        <v>2914</v>
      </c>
    </row>
    <row r="953">
      <c r="A953" s="3">
        <v>574.0</v>
      </c>
      <c r="B953" s="3" t="s">
        <v>40</v>
      </c>
      <c r="C953" s="3" t="s">
        <v>1273</v>
      </c>
      <c r="D953" s="3">
        <v>2016.0</v>
      </c>
      <c r="E953" s="3" t="s">
        <v>1274</v>
      </c>
      <c r="F953" s="3" t="s">
        <v>57</v>
      </c>
      <c r="H953" s="3" t="s">
        <v>58</v>
      </c>
      <c r="I953" s="3" t="s">
        <v>2142</v>
      </c>
      <c r="J953" s="3" t="s">
        <v>58</v>
      </c>
      <c r="L953" s="3" t="s">
        <v>2517</v>
      </c>
      <c r="M953" s="3" t="s">
        <v>285</v>
      </c>
      <c r="N953" s="3" t="s">
        <v>69</v>
      </c>
      <c r="S953" s="9" t="str">
        <f t="array" ref="S953">"[" &amp; TEXTJOIN(", ", TRUE, IF(LEN(T953:AB953), CHAR(34)&amp;T953:AB953&amp;CHAR(34), )) &amp; "]"
</f>
        <v>["Problematic native species/diseases"]</v>
      </c>
      <c r="T953" s="3" t="s">
        <v>244</v>
      </c>
      <c r="U953" s="3"/>
      <c r="V953" s="3"/>
      <c r="AC953" s="3" t="s">
        <v>244</v>
      </c>
      <c r="AL953" s="9" t="str">
        <f t="array" ref="AL953">"[" &amp; TEXTJOIN(", ", TRUE, IF(LEN(AM953:AQ953), CHAR(34)&amp;AM953:AQ953&amp;CHAR(34), )) &amp; "]"
</f>
        <v>["Invasive &amp; other problematic species, genes &amp; diseases"]</v>
      </c>
      <c r="AM953" s="3" t="s">
        <v>54</v>
      </c>
      <c r="AN953" s="3"/>
      <c r="AO953" s="3"/>
      <c r="AP953" s="3"/>
      <c r="AQ953" s="3"/>
      <c r="AR953" s="3" t="s">
        <v>54</v>
      </c>
      <c r="AW953" s="8" t="s">
        <v>2915</v>
      </c>
    </row>
    <row r="954">
      <c r="A954" s="3">
        <v>583.0</v>
      </c>
      <c r="B954" s="3" t="s">
        <v>40</v>
      </c>
      <c r="C954" s="3" t="s">
        <v>1291</v>
      </c>
      <c r="D954" s="3">
        <v>2017.0</v>
      </c>
      <c r="E954" s="3" t="s">
        <v>1292</v>
      </c>
      <c r="F954" s="3" t="s">
        <v>57</v>
      </c>
      <c r="H954" s="3" t="s">
        <v>58</v>
      </c>
      <c r="I954" s="3" t="s">
        <v>2142</v>
      </c>
      <c r="J954" s="3" t="s">
        <v>58</v>
      </c>
      <c r="L954" s="3" t="s">
        <v>2168</v>
      </c>
      <c r="M954" s="3" t="s">
        <v>286</v>
      </c>
      <c r="S954" s="9" t="str">
        <f t="array" ref="S954">"[" &amp; TEXTJOIN(", ", TRUE, IF(LEN(T954:AB954), CHAR(34)&amp;T954:AB954&amp;CHAR(34), )) &amp; "]"
</f>
        <v>["Problematic native species/diseases"]</v>
      </c>
      <c r="T954" s="3" t="s">
        <v>244</v>
      </c>
      <c r="U954" s="3"/>
      <c r="V954" s="3"/>
      <c r="AC954" s="3" t="s">
        <v>244</v>
      </c>
      <c r="AL954" s="9" t="str">
        <f t="array" ref="AL954">"[" &amp; TEXTJOIN(", ", TRUE, IF(LEN(AM954:AQ954), CHAR(34)&amp;AM954:AQ954&amp;CHAR(34), )) &amp; "]"
</f>
        <v>["Invasive &amp; other problematic species, genes &amp; diseases"]</v>
      </c>
      <c r="AM954" s="3" t="s">
        <v>54</v>
      </c>
      <c r="AN954" s="3"/>
      <c r="AO954" s="3"/>
      <c r="AP954" s="3"/>
      <c r="AQ954" s="3"/>
      <c r="AR954" s="3" t="s">
        <v>54</v>
      </c>
      <c r="AW954" s="8" t="s">
        <v>2916</v>
      </c>
    </row>
    <row r="955">
      <c r="A955" s="3">
        <v>508.0</v>
      </c>
      <c r="B955" s="3" t="s">
        <v>40</v>
      </c>
      <c r="C955" s="3" t="s">
        <v>1139</v>
      </c>
      <c r="D955" s="3">
        <v>2001.0</v>
      </c>
      <c r="E955" s="3" t="s">
        <v>1140</v>
      </c>
      <c r="F955" s="3" t="s">
        <v>57</v>
      </c>
      <c r="H955" s="3" t="s">
        <v>58</v>
      </c>
      <c r="I955" s="3" t="s">
        <v>2142</v>
      </c>
      <c r="J955" s="3" t="s">
        <v>58</v>
      </c>
      <c r="L955" s="3" t="s">
        <v>2168</v>
      </c>
      <c r="M955" s="3" t="s">
        <v>286</v>
      </c>
      <c r="S955" s="9" t="str">
        <f t="array" ref="S955">"[" &amp; TEXTJOIN(", ", TRUE, IF(LEN(T955:AB955), CHAR(34)&amp;T955:AB955&amp;CHAR(34), )) &amp; "]"
</f>
        <v>["Viral/prion-induced diseases"]</v>
      </c>
      <c r="T955" s="3" t="s">
        <v>385</v>
      </c>
      <c r="U955" s="3"/>
      <c r="V955" s="3"/>
      <c r="AC955" s="3" t="s">
        <v>385</v>
      </c>
      <c r="AL955" s="9" t="str">
        <f t="array" ref="AL955">"[" &amp; TEXTJOIN(", ", TRUE, IF(LEN(AM955:AQ955), CHAR(34)&amp;AM955:AQ955&amp;CHAR(34), )) &amp; "]"
</f>
        <v>["Invasive &amp; other problematic species, genes &amp; diseases"]</v>
      </c>
      <c r="AM955" s="3" t="s">
        <v>54</v>
      </c>
      <c r="AN955" s="3"/>
      <c r="AO955" s="3"/>
      <c r="AP955" s="3"/>
      <c r="AQ955" s="3"/>
      <c r="AR955" s="3" t="s">
        <v>54</v>
      </c>
      <c r="AW955" s="8" t="s">
        <v>2917</v>
      </c>
    </row>
    <row r="956">
      <c r="A956" s="3">
        <v>580.0</v>
      </c>
      <c r="B956" s="3" t="s">
        <v>40</v>
      </c>
      <c r="C956" s="3" t="s">
        <v>1284</v>
      </c>
      <c r="D956" s="3">
        <v>2016.0</v>
      </c>
      <c r="E956" s="3" t="s">
        <v>1285</v>
      </c>
      <c r="F956" s="3" t="s">
        <v>57</v>
      </c>
      <c r="H956" s="3" t="s">
        <v>58</v>
      </c>
      <c r="I956" s="3" t="s">
        <v>2142</v>
      </c>
      <c r="J956" s="3" t="s">
        <v>58</v>
      </c>
      <c r="L956" s="3" t="s">
        <v>2143</v>
      </c>
      <c r="M956" s="3" t="s">
        <v>110</v>
      </c>
      <c r="S956" s="9" t="str">
        <f t="array" ref="S956">"[" &amp; TEXTJOIN(", ", TRUE, IF(LEN(T956:AB956), CHAR(34)&amp;T956:AB956&amp;CHAR(34), )) &amp; "]"
</f>
        <v>["Viral/prion-induced diseases"]</v>
      </c>
      <c r="T956" s="3" t="s">
        <v>385</v>
      </c>
      <c r="U956" s="3"/>
      <c r="V956" s="3"/>
      <c r="AC956" s="3" t="s">
        <v>385</v>
      </c>
      <c r="AL956" s="9" t="str">
        <f t="array" ref="AL956">"[" &amp; TEXTJOIN(", ", TRUE, IF(LEN(AM956:AQ956), CHAR(34)&amp;AM956:AQ956&amp;CHAR(34), )) &amp; "]"
</f>
        <v>["Invasive &amp; other problematic species, genes &amp; diseases"]</v>
      </c>
      <c r="AM956" s="3" t="s">
        <v>54</v>
      </c>
      <c r="AN956" s="3"/>
      <c r="AO956" s="3"/>
      <c r="AP956" s="3"/>
      <c r="AQ956" s="3"/>
      <c r="AR956" s="3" t="s">
        <v>54</v>
      </c>
      <c r="AW956" s="8" t="s">
        <v>2918</v>
      </c>
    </row>
    <row r="957">
      <c r="A957" s="3">
        <v>676.0</v>
      </c>
      <c r="B957" s="3" t="s">
        <v>40</v>
      </c>
      <c r="C957" s="3" t="s">
        <v>1464</v>
      </c>
      <c r="D957" s="3">
        <v>2003.0</v>
      </c>
      <c r="E957" s="3" t="s">
        <v>1465</v>
      </c>
      <c r="F957" s="3" t="s">
        <v>57</v>
      </c>
      <c r="H957" s="3" t="s">
        <v>58</v>
      </c>
      <c r="I957" s="3" t="s">
        <v>2142</v>
      </c>
      <c r="J957" s="3" t="s">
        <v>58</v>
      </c>
      <c r="L957" s="3" t="s">
        <v>2168</v>
      </c>
      <c r="M957" s="3" t="s">
        <v>286</v>
      </c>
      <c r="S957" s="9"/>
      <c r="T957" s="3"/>
      <c r="U957" s="3"/>
      <c r="V957" s="3"/>
      <c r="AL957" s="9" t="str">
        <f t="array" ref="AL957">"[" &amp; TEXTJOIN(", ", TRUE, IF(LEN(AM957:AQ957), CHAR(34)&amp;AM957:AQ957&amp;CHAR(34), )) &amp; "]"
</f>
        <v>[]</v>
      </c>
      <c r="AN957" s="3"/>
      <c r="AO957" s="3"/>
      <c r="AP957" s="3"/>
      <c r="AQ957" s="3"/>
      <c r="AR957" s="3" t="s">
        <v>78</v>
      </c>
      <c r="AW957" s="8" t="s">
        <v>2919</v>
      </c>
    </row>
    <row r="958">
      <c r="A958" s="3">
        <v>679.0</v>
      </c>
      <c r="B958" s="3" t="s">
        <v>40</v>
      </c>
      <c r="C958" s="3" t="s">
        <v>1470</v>
      </c>
      <c r="D958" s="3">
        <v>2004.0</v>
      </c>
      <c r="E958" s="3" t="s">
        <v>1471</v>
      </c>
      <c r="F958" s="3" t="s">
        <v>57</v>
      </c>
      <c r="H958" s="3" t="s">
        <v>58</v>
      </c>
      <c r="I958" s="3" t="s">
        <v>2142</v>
      </c>
      <c r="J958" s="3" t="s">
        <v>58</v>
      </c>
      <c r="L958" s="3" t="s">
        <v>2168</v>
      </c>
      <c r="M958" s="3" t="s">
        <v>286</v>
      </c>
      <c r="S958" s="9"/>
      <c r="T958" s="3"/>
      <c r="U958" s="3"/>
      <c r="V958" s="3"/>
      <c r="AL958" s="9" t="str">
        <f t="array" ref="AL958">"[" &amp; TEXTJOIN(", ", TRUE, IF(LEN(AM958:AQ958), CHAR(34)&amp;AM958:AQ958&amp;CHAR(34), )) &amp; "]"
</f>
        <v>[]</v>
      </c>
      <c r="AN958" s="3"/>
      <c r="AO958" s="3"/>
      <c r="AP958" s="3"/>
      <c r="AQ958" s="3"/>
      <c r="AR958" s="3" t="s">
        <v>78</v>
      </c>
      <c r="AW958" s="8" t="s">
        <v>2920</v>
      </c>
    </row>
    <row r="959">
      <c r="A959" s="3">
        <v>681.0</v>
      </c>
      <c r="B959" s="3" t="s">
        <v>40</v>
      </c>
      <c r="C959" s="3" t="s">
        <v>1474</v>
      </c>
      <c r="D959" s="3">
        <v>2005.0</v>
      </c>
      <c r="E959" s="3" t="s">
        <v>1475</v>
      </c>
      <c r="F959" s="3" t="s">
        <v>57</v>
      </c>
      <c r="H959" s="3" t="s">
        <v>58</v>
      </c>
      <c r="I959" s="3" t="s">
        <v>2142</v>
      </c>
      <c r="J959" s="3" t="s">
        <v>58</v>
      </c>
      <c r="L959" s="3" t="s">
        <v>2168</v>
      </c>
      <c r="M959" s="3" t="s">
        <v>286</v>
      </c>
      <c r="S959" s="9"/>
      <c r="T959" s="3"/>
      <c r="U959" s="3"/>
      <c r="V959" s="3"/>
      <c r="AL959" s="9" t="str">
        <f t="array" ref="AL959">"[" &amp; TEXTJOIN(", ", TRUE, IF(LEN(AM959:AQ959), CHAR(34)&amp;AM959:AQ959&amp;CHAR(34), )) &amp; "]"
</f>
        <v>[]</v>
      </c>
      <c r="AN959" s="3"/>
      <c r="AO959" s="3"/>
      <c r="AP959" s="3"/>
      <c r="AQ959" s="3"/>
      <c r="AR959" s="3" t="s">
        <v>78</v>
      </c>
      <c r="AW959" s="8" t="s">
        <v>2921</v>
      </c>
    </row>
    <row r="960" hidden="1">
      <c r="A960" s="3">
        <v>881.0</v>
      </c>
      <c r="B960" s="3" t="s">
        <v>40</v>
      </c>
      <c r="C960" s="3" t="s">
        <v>1876</v>
      </c>
      <c r="D960" s="3">
        <v>2019.0</v>
      </c>
      <c r="E960" s="3" t="s">
        <v>1877</v>
      </c>
      <c r="F960" s="3" t="s">
        <v>129</v>
      </c>
      <c r="G960" s="3"/>
      <c r="H960" s="3" t="s">
        <v>82</v>
      </c>
      <c r="I960" s="3"/>
      <c r="J960" s="3" t="s">
        <v>82</v>
      </c>
      <c r="K960" s="3"/>
      <c r="L960" s="3"/>
      <c r="M960" s="3" t="s">
        <v>384</v>
      </c>
      <c r="S960" s="3"/>
      <c r="T960" s="3"/>
      <c r="U960" s="3"/>
      <c r="V960" s="3"/>
      <c r="AC960" s="3" t="s">
        <v>147</v>
      </c>
      <c r="AL960" s="3"/>
      <c r="AM960" s="3"/>
      <c r="AN960" s="3"/>
      <c r="AO960" s="3"/>
      <c r="AP960" s="3"/>
      <c r="AQ960" s="3"/>
      <c r="AR960" s="3" t="s">
        <v>64</v>
      </c>
    </row>
    <row r="961" hidden="1">
      <c r="A961" s="3">
        <v>882.0</v>
      </c>
      <c r="B961" s="3" t="s">
        <v>40</v>
      </c>
      <c r="C961" s="3" t="s">
        <v>1878</v>
      </c>
      <c r="D961" s="3">
        <v>2020.0</v>
      </c>
      <c r="E961" s="3" t="s">
        <v>1879</v>
      </c>
      <c r="F961" s="3" t="s">
        <v>129</v>
      </c>
      <c r="G961" s="3"/>
      <c r="H961" s="3" t="s">
        <v>82</v>
      </c>
      <c r="I961" s="3"/>
      <c r="J961" s="3" t="s">
        <v>82</v>
      </c>
      <c r="K961" s="3"/>
      <c r="L961" s="3"/>
      <c r="M961" s="3" t="s">
        <v>317</v>
      </c>
      <c r="S961" s="3"/>
      <c r="T961" s="3"/>
      <c r="U961" s="3"/>
      <c r="V961" s="3"/>
      <c r="AC961" s="3" t="s">
        <v>147</v>
      </c>
      <c r="AL961" s="3"/>
      <c r="AM961" s="3"/>
      <c r="AN961" s="3"/>
      <c r="AO961" s="3"/>
      <c r="AP961" s="3"/>
      <c r="AQ961" s="3"/>
      <c r="AR961" s="3" t="s">
        <v>64</v>
      </c>
    </row>
    <row r="962" hidden="1">
      <c r="A962" s="3">
        <v>885.0</v>
      </c>
      <c r="B962" s="3" t="s">
        <v>40</v>
      </c>
      <c r="C962" s="3" t="s">
        <v>1886</v>
      </c>
      <c r="D962" s="3">
        <v>2020.0</v>
      </c>
      <c r="E962" s="3" t="s">
        <v>1887</v>
      </c>
      <c r="F962" s="3" t="s">
        <v>129</v>
      </c>
      <c r="G962" s="3"/>
      <c r="H962" s="3" t="s">
        <v>82</v>
      </c>
      <c r="I962" s="3"/>
      <c r="J962" s="3" t="s">
        <v>82</v>
      </c>
      <c r="K962" s="3"/>
      <c r="L962" s="3"/>
      <c r="M962" s="3" t="s">
        <v>453</v>
      </c>
      <c r="S962" s="3"/>
      <c r="T962" s="3"/>
      <c r="U962" s="3"/>
      <c r="V962" s="3"/>
      <c r="AC962" s="3" t="s">
        <v>147</v>
      </c>
      <c r="AL962" s="3"/>
      <c r="AM962" s="3"/>
      <c r="AN962" s="3"/>
      <c r="AO962" s="3"/>
      <c r="AP962" s="3"/>
      <c r="AQ962" s="3"/>
      <c r="AR962" s="3" t="s">
        <v>64</v>
      </c>
    </row>
    <row r="963" hidden="1">
      <c r="A963" s="3">
        <v>887.0</v>
      </c>
      <c r="B963" s="3" t="s">
        <v>106</v>
      </c>
      <c r="D963" s="3">
        <v>1987.0</v>
      </c>
      <c r="E963" s="3" t="s">
        <v>1889</v>
      </c>
      <c r="F963" s="3" t="s">
        <v>129</v>
      </c>
      <c r="G963" s="3"/>
      <c r="H963" s="3" t="s">
        <v>82</v>
      </c>
      <c r="I963" s="3"/>
      <c r="K963" s="3"/>
      <c r="L963" s="3"/>
      <c r="M963" s="3" t="s">
        <v>384</v>
      </c>
      <c r="S963" s="3"/>
      <c r="T963" s="3"/>
      <c r="U963" s="3"/>
      <c r="V963" s="3"/>
      <c r="AC963" s="3" t="s">
        <v>147</v>
      </c>
      <c r="AL963" s="3"/>
      <c r="AM963" s="3"/>
      <c r="AN963" s="3"/>
      <c r="AO963" s="3"/>
      <c r="AP963" s="3"/>
      <c r="AQ963" s="3"/>
      <c r="AR963" s="3" t="s">
        <v>64</v>
      </c>
    </row>
    <row r="964" hidden="1">
      <c r="A964" s="3">
        <v>893.0</v>
      </c>
      <c r="B964" s="3" t="s">
        <v>106</v>
      </c>
      <c r="C964" s="3" t="s">
        <v>1895</v>
      </c>
      <c r="D964" s="3">
        <v>1990.0</v>
      </c>
      <c r="E964" s="3" t="s">
        <v>1896</v>
      </c>
      <c r="F964" s="3" t="s">
        <v>129</v>
      </c>
      <c r="G964" s="3"/>
      <c r="H964" s="3" t="s">
        <v>82</v>
      </c>
      <c r="I964" s="3"/>
      <c r="K964" s="3"/>
      <c r="L964" s="3"/>
      <c r="M964" s="3" t="s">
        <v>384</v>
      </c>
      <c r="S964" s="3"/>
      <c r="T964" s="3"/>
      <c r="U964" s="3"/>
      <c r="V964" s="3"/>
      <c r="AC964" s="3" t="s">
        <v>147</v>
      </c>
      <c r="AL964" s="3"/>
      <c r="AM964" s="3"/>
      <c r="AN964" s="3"/>
      <c r="AO964" s="3"/>
      <c r="AP964" s="3"/>
      <c r="AQ964" s="3"/>
      <c r="AR964" s="3" t="s">
        <v>64</v>
      </c>
    </row>
    <row r="965" hidden="1">
      <c r="A965" s="3">
        <v>896.0</v>
      </c>
      <c r="B965" s="3" t="s">
        <v>106</v>
      </c>
      <c r="C965" s="3" t="s">
        <v>1901</v>
      </c>
      <c r="D965" s="3">
        <v>1991.0</v>
      </c>
      <c r="E965" s="3" t="s">
        <v>1902</v>
      </c>
      <c r="F965" s="3" t="s">
        <v>129</v>
      </c>
      <c r="G965" s="3"/>
      <c r="H965" s="3" t="s">
        <v>82</v>
      </c>
      <c r="I965" s="3"/>
      <c r="K965" s="3"/>
      <c r="L965" s="3"/>
      <c r="M965" s="3" t="s">
        <v>384</v>
      </c>
      <c r="S965" s="3"/>
      <c r="T965" s="3"/>
      <c r="U965" s="3"/>
      <c r="V965" s="3"/>
      <c r="AC965" s="3" t="s">
        <v>147</v>
      </c>
      <c r="AL965" s="3"/>
      <c r="AM965" s="3"/>
      <c r="AN965" s="3"/>
      <c r="AO965" s="3"/>
      <c r="AP965" s="3"/>
      <c r="AQ965" s="3"/>
      <c r="AR965" s="3" t="s">
        <v>64</v>
      </c>
    </row>
    <row r="966" hidden="1">
      <c r="A966" s="3">
        <v>899.0</v>
      </c>
      <c r="B966" s="3" t="s">
        <v>106</v>
      </c>
      <c r="C966" s="3" t="s">
        <v>1907</v>
      </c>
      <c r="D966" s="3">
        <v>1992.0</v>
      </c>
      <c r="E966" s="3" t="s">
        <v>1908</v>
      </c>
      <c r="F966" s="3" t="s">
        <v>129</v>
      </c>
      <c r="G966" s="3"/>
      <c r="H966" s="3" t="s">
        <v>82</v>
      </c>
      <c r="I966" s="3"/>
      <c r="K966" s="3"/>
      <c r="L966" s="3"/>
      <c r="M966" s="3" t="s">
        <v>384</v>
      </c>
      <c r="S966" s="3"/>
      <c r="T966" s="3"/>
      <c r="U966" s="3"/>
      <c r="V966" s="3"/>
      <c r="AC966" s="3" t="s">
        <v>147</v>
      </c>
      <c r="AL966" s="3"/>
      <c r="AM966" s="3"/>
      <c r="AN966" s="3"/>
      <c r="AO966" s="3"/>
      <c r="AP966" s="3"/>
      <c r="AQ966" s="3"/>
      <c r="AR966" s="3" t="s">
        <v>64</v>
      </c>
    </row>
    <row r="967" hidden="1">
      <c r="A967" s="3">
        <v>908.0</v>
      </c>
      <c r="B967" s="3" t="s">
        <v>106</v>
      </c>
      <c r="D967" s="3">
        <v>2001.0</v>
      </c>
      <c r="E967" s="3" t="s">
        <v>1923</v>
      </c>
      <c r="F967" s="3" t="s">
        <v>129</v>
      </c>
      <c r="G967" s="3"/>
      <c r="H967" s="3" t="s">
        <v>82</v>
      </c>
      <c r="I967" s="3"/>
      <c r="K967" s="3"/>
      <c r="L967" s="3"/>
      <c r="M967" s="3" t="s">
        <v>453</v>
      </c>
      <c r="S967" s="3"/>
      <c r="T967" s="3"/>
      <c r="U967" s="3"/>
      <c r="V967" s="3"/>
      <c r="AC967" s="3" t="s">
        <v>125</v>
      </c>
      <c r="AL967" s="3"/>
      <c r="AM967" s="3"/>
      <c r="AN967" s="3"/>
      <c r="AO967" s="3"/>
      <c r="AP967" s="3"/>
      <c r="AQ967" s="3"/>
      <c r="AR967" s="3" t="s">
        <v>64</v>
      </c>
    </row>
    <row r="968" hidden="1">
      <c r="A968" s="3">
        <v>917.0</v>
      </c>
      <c r="B968" s="3" t="s">
        <v>40</v>
      </c>
      <c r="C968" s="3" t="s">
        <v>1936</v>
      </c>
      <c r="D968" s="3">
        <v>2019.0</v>
      </c>
      <c r="E968" s="3" t="s">
        <v>1937</v>
      </c>
      <c r="F968" s="3" t="s">
        <v>129</v>
      </c>
      <c r="G968" s="3"/>
      <c r="H968" s="3" t="s">
        <v>82</v>
      </c>
      <c r="I968" s="3"/>
      <c r="J968" s="3" t="s">
        <v>82</v>
      </c>
      <c r="K968" s="3"/>
      <c r="L968" s="3"/>
      <c r="M968" s="3" t="s">
        <v>83</v>
      </c>
      <c r="S968" s="3"/>
      <c r="T968" s="3"/>
      <c r="U968" s="3"/>
      <c r="V968" s="3"/>
      <c r="W968" s="3"/>
      <c r="X968" s="3"/>
      <c r="Y968" s="3"/>
      <c r="Z968" s="3"/>
      <c r="AC968" s="3" t="s">
        <v>70</v>
      </c>
      <c r="AF968" s="3" t="s">
        <v>60</v>
      </c>
      <c r="AH968" s="3" t="s">
        <v>63</v>
      </c>
      <c r="AL968" s="3"/>
      <c r="AM968" s="3"/>
      <c r="AN968" s="3"/>
      <c r="AO968" s="3"/>
      <c r="AP968" s="3"/>
      <c r="AQ968" s="3"/>
      <c r="AR968" s="3" t="s">
        <v>71</v>
      </c>
      <c r="AS968" s="3" t="s">
        <v>51</v>
      </c>
      <c r="AT968" s="3" t="s">
        <v>65</v>
      </c>
    </row>
    <row r="969" hidden="1">
      <c r="A969" s="3">
        <v>940.0</v>
      </c>
      <c r="B969" s="3" t="s">
        <v>40</v>
      </c>
      <c r="C969" s="3" t="s">
        <v>1986</v>
      </c>
      <c r="D969" s="3">
        <v>2013.0</v>
      </c>
      <c r="E969" s="3" t="s">
        <v>1987</v>
      </c>
      <c r="F969" s="3" t="s">
        <v>129</v>
      </c>
      <c r="G969" s="3"/>
      <c r="H969" s="3" t="s">
        <v>82</v>
      </c>
      <c r="I969" s="3"/>
      <c r="J969" s="3" t="s">
        <v>82</v>
      </c>
      <c r="K969" s="3"/>
      <c r="L969" s="3"/>
      <c r="M969" s="3" t="s">
        <v>314</v>
      </c>
      <c r="N969" s="3" t="s">
        <v>453</v>
      </c>
      <c r="S969" s="3"/>
      <c r="T969" s="3"/>
      <c r="U969" s="3"/>
      <c r="V969" s="3"/>
      <c r="AC969" s="3" t="s">
        <v>70</v>
      </c>
      <c r="AL969" s="3"/>
      <c r="AM969" s="3"/>
      <c r="AN969" s="3"/>
      <c r="AO969" s="3"/>
      <c r="AP969" s="3"/>
      <c r="AQ969" s="3"/>
      <c r="AR969" s="3" t="s">
        <v>71</v>
      </c>
    </row>
    <row r="970" hidden="1">
      <c r="A970" s="3">
        <v>942.0</v>
      </c>
      <c r="B970" s="3" t="s">
        <v>40</v>
      </c>
      <c r="C970" s="3" t="s">
        <v>1990</v>
      </c>
      <c r="D970" s="3">
        <v>2016.0</v>
      </c>
      <c r="E970" s="3" t="s">
        <v>1991</v>
      </c>
      <c r="F970" s="3" t="s">
        <v>129</v>
      </c>
      <c r="G970" s="3"/>
      <c r="H970" s="3" t="s">
        <v>82</v>
      </c>
      <c r="I970" s="3"/>
      <c r="J970" s="3" t="s">
        <v>82</v>
      </c>
      <c r="K970" s="3"/>
      <c r="L970" s="3"/>
      <c r="M970" s="3" t="s">
        <v>1001</v>
      </c>
      <c r="S970" s="3"/>
      <c r="T970" s="3"/>
      <c r="U970" s="3"/>
      <c r="V970" s="3"/>
      <c r="AC970" s="3" t="s">
        <v>70</v>
      </c>
      <c r="AL970" s="3"/>
      <c r="AM970" s="3"/>
      <c r="AN970" s="3"/>
      <c r="AO970" s="3"/>
      <c r="AP970" s="3"/>
      <c r="AQ970" s="3"/>
      <c r="AR970" s="3" t="s">
        <v>71</v>
      </c>
    </row>
    <row r="971" hidden="1">
      <c r="A971" s="3">
        <v>960.0</v>
      </c>
      <c r="B971" s="3" t="s">
        <v>40</v>
      </c>
      <c r="C971" s="3" t="s">
        <v>2026</v>
      </c>
      <c r="D971" s="3">
        <v>2012.0</v>
      </c>
      <c r="E971" s="3" t="s">
        <v>2027</v>
      </c>
      <c r="F971" s="3" t="s">
        <v>129</v>
      </c>
      <c r="G971" s="3"/>
      <c r="H971" s="3" t="s">
        <v>82</v>
      </c>
      <c r="I971" s="3"/>
      <c r="J971" s="3" t="s">
        <v>82</v>
      </c>
      <c r="K971" s="3"/>
      <c r="L971" s="3"/>
      <c r="M971" s="3" t="s">
        <v>254</v>
      </c>
      <c r="S971" s="3"/>
      <c r="T971" s="3"/>
      <c r="U971" s="3"/>
      <c r="V971" s="3"/>
      <c r="W971" s="3"/>
      <c r="X971" s="3"/>
      <c r="AA971" s="3"/>
      <c r="AB971" s="3"/>
      <c r="AC971" s="3" t="s">
        <v>63</v>
      </c>
      <c r="AF971" s="3" t="s">
        <v>162</v>
      </c>
      <c r="AJ971" s="3" t="s">
        <v>117</v>
      </c>
      <c r="AL971" s="3"/>
      <c r="AM971" s="3"/>
      <c r="AN971" s="3"/>
      <c r="AO971" s="3"/>
      <c r="AP971" s="3"/>
      <c r="AQ971" s="3"/>
      <c r="AR971" s="3" t="s">
        <v>65</v>
      </c>
      <c r="AS971" s="3" t="s">
        <v>121</v>
      </c>
      <c r="AU971" s="3" t="s">
        <v>118</v>
      </c>
    </row>
    <row r="972" hidden="1">
      <c r="A972" s="3">
        <v>966.0</v>
      </c>
      <c r="B972" s="3" t="s">
        <v>40</v>
      </c>
      <c r="C972" s="3" t="s">
        <v>2037</v>
      </c>
      <c r="D972" s="3">
        <v>2013.0</v>
      </c>
      <c r="E972" s="3" t="s">
        <v>2038</v>
      </c>
      <c r="F972" s="3" t="s">
        <v>129</v>
      </c>
      <c r="G972" s="3"/>
      <c r="H972" s="3" t="s">
        <v>82</v>
      </c>
      <c r="I972" s="3"/>
      <c r="J972" s="3" t="s">
        <v>82</v>
      </c>
      <c r="K972" s="3"/>
      <c r="L972" s="3"/>
      <c r="M972" s="3" t="s">
        <v>254</v>
      </c>
      <c r="S972" s="3"/>
      <c r="T972" s="3"/>
      <c r="U972" s="3"/>
      <c r="V972" s="3"/>
      <c r="W972" s="3"/>
      <c r="X972" s="3"/>
      <c r="Y972" s="3"/>
      <c r="Z972" s="3"/>
      <c r="AA972" s="3"/>
      <c r="AB972" s="3"/>
      <c r="AC972" s="3" t="s">
        <v>63</v>
      </c>
      <c r="AF972" s="3" t="s">
        <v>70</v>
      </c>
      <c r="AH972" s="3" t="s">
        <v>162</v>
      </c>
      <c r="AJ972" s="3" t="s">
        <v>117</v>
      </c>
      <c r="AK972" s="3" t="s">
        <v>61</v>
      </c>
      <c r="AL972" s="3"/>
      <c r="AM972" s="3"/>
      <c r="AN972" s="3"/>
      <c r="AO972" s="3"/>
      <c r="AP972" s="3"/>
      <c r="AQ972" s="3"/>
      <c r="AR972" s="3" t="s">
        <v>65</v>
      </c>
      <c r="AS972" s="3" t="s">
        <v>71</v>
      </c>
      <c r="AT972" s="3" t="s">
        <v>121</v>
      </c>
      <c r="AU972" s="3" t="s">
        <v>118</v>
      </c>
      <c r="AV972" s="3" t="s">
        <v>2039</v>
      </c>
    </row>
    <row r="973" hidden="1">
      <c r="A973" s="3">
        <v>967.0</v>
      </c>
      <c r="B973" s="3" t="s">
        <v>40</v>
      </c>
      <c r="C973" s="3" t="s">
        <v>2040</v>
      </c>
      <c r="D973" s="3">
        <v>2003.0</v>
      </c>
      <c r="E973" s="3" t="s">
        <v>2041</v>
      </c>
      <c r="F973" s="3" t="s">
        <v>129</v>
      </c>
      <c r="G973" s="3"/>
      <c r="H973" s="3" t="s">
        <v>82</v>
      </c>
      <c r="I973" s="3"/>
      <c r="J973" s="3" t="s">
        <v>82</v>
      </c>
      <c r="K973" s="3"/>
      <c r="L973" s="3"/>
      <c r="M973" s="3" t="s">
        <v>254</v>
      </c>
      <c r="S973" s="3"/>
      <c r="T973" s="3"/>
      <c r="U973" s="3"/>
      <c r="V973" s="3"/>
      <c r="W973" s="3"/>
      <c r="X973" s="3"/>
      <c r="AC973" s="3" t="s">
        <v>63</v>
      </c>
      <c r="AF973" s="3" t="s">
        <v>87</v>
      </c>
      <c r="AL973" s="3"/>
      <c r="AM973" s="3"/>
      <c r="AN973" s="3"/>
      <c r="AO973" s="3"/>
      <c r="AP973" s="3"/>
      <c r="AQ973" s="3"/>
      <c r="AR973" s="3" t="s">
        <v>65</v>
      </c>
      <c r="AS973" s="3" t="s">
        <v>71</v>
      </c>
    </row>
    <row r="974">
      <c r="A974" s="3">
        <v>682.0</v>
      </c>
      <c r="B974" s="3" t="s">
        <v>40</v>
      </c>
      <c r="C974" s="3" t="s">
        <v>1476</v>
      </c>
      <c r="D974" s="3">
        <v>2005.0</v>
      </c>
      <c r="E974" s="3" t="s">
        <v>1477</v>
      </c>
      <c r="F974" s="3" t="s">
        <v>57</v>
      </c>
      <c r="H974" s="3" t="s">
        <v>58</v>
      </c>
      <c r="I974" s="3" t="s">
        <v>2142</v>
      </c>
      <c r="J974" s="3" t="s">
        <v>58</v>
      </c>
      <c r="L974" s="3" t="s">
        <v>2168</v>
      </c>
      <c r="M974" s="3" t="s">
        <v>286</v>
      </c>
      <c r="S974" s="9"/>
      <c r="T974" s="3"/>
      <c r="U974" s="3"/>
      <c r="V974" s="3"/>
      <c r="AL974" s="9" t="str">
        <f t="array" ref="AL974">"[" &amp; TEXTJOIN(", ", TRUE, IF(LEN(AM974:AQ974), CHAR(34)&amp;AM974:AQ974&amp;CHAR(34), )) &amp; "]"
</f>
        <v>[]</v>
      </c>
      <c r="AN974" s="3"/>
      <c r="AO974" s="3"/>
      <c r="AP974" s="3"/>
      <c r="AQ974" s="3"/>
      <c r="AR974" s="3" t="s">
        <v>78</v>
      </c>
      <c r="AW974" s="8" t="s">
        <v>2922</v>
      </c>
    </row>
    <row r="975">
      <c r="A975" s="3">
        <v>701.0</v>
      </c>
      <c r="B975" s="3" t="s">
        <v>40</v>
      </c>
      <c r="C975" s="3" t="s">
        <v>1514</v>
      </c>
      <c r="D975" s="3">
        <v>2014.0</v>
      </c>
      <c r="E975" s="3" t="s">
        <v>1515</v>
      </c>
      <c r="F975" s="3" t="s">
        <v>57</v>
      </c>
      <c r="H975" s="3" t="s">
        <v>58</v>
      </c>
      <c r="I975" s="3" t="s">
        <v>2142</v>
      </c>
      <c r="J975" s="3" t="s">
        <v>58</v>
      </c>
      <c r="L975" s="3" t="s">
        <v>2168</v>
      </c>
      <c r="M975" s="3" t="s">
        <v>286</v>
      </c>
      <c r="S975" s="9"/>
      <c r="T975" s="3"/>
      <c r="U975" s="3"/>
      <c r="V975" s="3"/>
      <c r="AL975" s="9" t="str">
        <f t="array" ref="AL975">"[" &amp; TEXTJOIN(", ", TRUE, IF(LEN(AM975:AQ975), CHAR(34)&amp;AM975:AQ975&amp;CHAR(34), )) &amp; "]"
</f>
        <v>[]</v>
      </c>
      <c r="AN975" s="3"/>
      <c r="AO975" s="3"/>
      <c r="AP975" s="3"/>
      <c r="AQ975" s="3"/>
      <c r="AR975" s="3" t="s">
        <v>78</v>
      </c>
      <c r="AW975" s="8" t="s">
        <v>2923</v>
      </c>
    </row>
    <row r="976">
      <c r="A976" s="3">
        <v>703.0</v>
      </c>
      <c r="B976" s="3" t="s">
        <v>40</v>
      </c>
      <c r="C976" s="3" t="s">
        <v>1518</v>
      </c>
      <c r="D976" s="3">
        <v>2015.0</v>
      </c>
      <c r="E976" s="3" t="s">
        <v>1519</v>
      </c>
      <c r="F976" s="3" t="s">
        <v>57</v>
      </c>
      <c r="H976" s="3" t="s">
        <v>58</v>
      </c>
      <c r="I976" s="3" t="s">
        <v>2142</v>
      </c>
      <c r="J976" s="3" t="s">
        <v>58</v>
      </c>
      <c r="L976" s="3" t="s">
        <v>2168</v>
      </c>
      <c r="M976" s="3" t="s">
        <v>286</v>
      </c>
      <c r="S976" s="9"/>
      <c r="T976" s="3"/>
      <c r="U976" s="3"/>
      <c r="V976" s="3"/>
      <c r="AL976" s="9" t="str">
        <f t="array" ref="AL976">"[" &amp; TEXTJOIN(", ", TRUE, IF(LEN(AM976:AQ976), CHAR(34)&amp;AM976:AQ976&amp;CHAR(34), )) &amp; "]"
</f>
        <v>[]</v>
      </c>
      <c r="AN976" s="3"/>
      <c r="AO976" s="3"/>
      <c r="AP976" s="3"/>
      <c r="AQ976" s="3"/>
      <c r="AR976" s="3" t="s">
        <v>78</v>
      </c>
      <c r="AW976" s="8" t="s">
        <v>2924</v>
      </c>
    </row>
    <row r="977">
      <c r="A977" s="3">
        <v>709.0</v>
      </c>
      <c r="B977" s="3" t="s">
        <v>40</v>
      </c>
      <c r="C977" s="3" t="s">
        <v>1530</v>
      </c>
      <c r="D977" s="3">
        <v>2018.0</v>
      </c>
      <c r="E977" s="3" t="s">
        <v>1531</v>
      </c>
      <c r="F977" s="3" t="s">
        <v>57</v>
      </c>
      <c r="H977" s="3" t="s">
        <v>58</v>
      </c>
      <c r="I977" s="3" t="s">
        <v>2142</v>
      </c>
      <c r="J977" s="3" t="s">
        <v>58</v>
      </c>
      <c r="L977" s="3" t="s">
        <v>2168</v>
      </c>
      <c r="M977" s="3" t="s">
        <v>286</v>
      </c>
      <c r="S977" s="9"/>
      <c r="T977" s="3"/>
      <c r="U977" s="3"/>
      <c r="V977" s="3"/>
      <c r="AL977" s="9" t="str">
        <f t="array" ref="AL977">"[" &amp; TEXTJOIN(", ", TRUE, IF(LEN(AM977:AQ977), CHAR(34)&amp;AM977:AQ977&amp;CHAR(34), )) &amp; "]"
</f>
        <v>[]</v>
      </c>
      <c r="AN977" s="3"/>
      <c r="AO977" s="3"/>
      <c r="AP977" s="3"/>
      <c r="AQ977" s="3"/>
      <c r="AR977" s="3" t="s">
        <v>78</v>
      </c>
      <c r="AW977" s="8" t="s">
        <v>2925</v>
      </c>
    </row>
    <row r="978">
      <c r="A978" s="3">
        <v>691.0</v>
      </c>
      <c r="B978" s="3" t="s">
        <v>40</v>
      </c>
      <c r="C978" s="3" t="s">
        <v>1494</v>
      </c>
      <c r="D978" s="3">
        <v>2007.0</v>
      </c>
      <c r="E978" s="3" t="s">
        <v>1495</v>
      </c>
      <c r="F978" s="3" t="s">
        <v>253</v>
      </c>
      <c r="H978" s="3" t="s">
        <v>58</v>
      </c>
      <c r="I978" s="3" t="s">
        <v>2142</v>
      </c>
      <c r="J978" s="3" t="s">
        <v>58</v>
      </c>
      <c r="L978" s="3" t="s">
        <v>2218</v>
      </c>
      <c r="M978" s="3" t="s">
        <v>254</v>
      </c>
      <c r="S978" s="9"/>
      <c r="T978" s="3"/>
      <c r="U978" s="3"/>
      <c r="V978" s="3"/>
      <c r="AL978" s="9" t="str">
        <f t="array" ref="AL978">"[" &amp; TEXTJOIN(", ", TRUE, IF(LEN(AM978:AQ978), CHAR(34)&amp;AM978:AQ978&amp;CHAR(34), )) &amp; "]"
</f>
        <v>[]</v>
      </c>
      <c r="AN978" s="3"/>
      <c r="AO978" s="3"/>
      <c r="AP978" s="3"/>
      <c r="AQ978" s="3"/>
      <c r="AR978" s="3" t="s">
        <v>78</v>
      </c>
      <c r="AW978" s="8" t="s">
        <v>2926</v>
      </c>
    </row>
    <row r="979" hidden="1">
      <c r="A979" s="3">
        <v>159.0</v>
      </c>
      <c r="B979" s="3" t="s">
        <v>106</v>
      </c>
      <c r="C979" s="3" t="s">
        <v>486</v>
      </c>
      <c r="D979" s="3">
        <v>2011.0</v>
      </c>
      <c r="E979" s="3" t="s">
        <v>487</v>
      </c>
      <c r="F979" s="3" t="s">
        <v>81</v>
      </c>
      <c r="H979" s="3" t="s">
        <v>82</v>
      </c>
      <c r="I979" s="3"/>
      <c r="K979" s="3"/>
      <c r="L979" s="3"/>
      <c r="M979" s="3" t="s">
        <v>384</v>
      </c>
      <c r="S979" s="3"/>
      <c r="T979" s="3"/>
      <c r="U979" s="3"/>
      <c r="V979" s="3"/>
      <c r="W979" s="3"/>
      <c r="X979" s="3"/>
      <c r="Y979" s="3"/>
      <c r="Z979" s="3"/>
      <c r="AA979" s="3"/>
      <c r="AB979" s="3"/>
      <c r="AC979" s="3" t="s">
        <v>61</v>
      </c>
      <c r="AF979" s="3" t="s">
        <v>147</v>
      </c>
      <c r="AH979" s="3" t="s">
        <v>392</v>
      </c>
      <c r="AJ979" s="3" t="s">
        <v>111</v>
      </c>
      <c r="AL979" s="3"/>
      <c r="AM979" s="3"/>
      <c r="AN979" s="3"/>
      <c r="AO979" s="3"/>
      <c r="AP979" s="3"/>
      <c r="AQ979" s="3"/>
      <c r="AR979" s="3" t="s">
        <v>52</v>
      </c>
      <c r="AS979" s="3" t="s">
        <v>64</v>
      </c>
      <c r="AT979" s="3" t="s">
        <v>54</v>
      </c>
      <c r="AU979" s="3" t="s">
        <v>51</v>
      </c>
      <c r="AW979" s="8" t="s">
        <v>2135</v>
      </c>
    </row>
    <row r="980">
      <c r="A980" s="3">
        <v>710.0</v>
      </c>
      <c r="B980" s="3" t="s">
        <v>40</v>
      </c>
      <c r="C980" s="3" t="s">
        <v>1532</v>
      </c>
      <c r="D980" s="3">
        <v>2018.0</v>
      </c>
      <c r="E980" s="3" t="s">
        <v>1533</v>
      </c>
      <c r="F980" s="3" t="s">
        <v>253</v>
      </c>
      <c r="H980" s="3" t="s">
        <v>58</v>
      </c>
      <c r="I980" s="3" t="s">
        <v>2142</v>
      </c>
      <c r="J980" s="3" t="s">
        <v>58</v>
      </c>
      <c r="L980" s="3" t="s">
        <v>2218</v>
      </c>
      <c r="M980" s="3" t="s">
        <v>254</v>
      </c>
      <c r="S980" s="9"/>
      <c r="T980" s="3"/>
      <c r="U980" s="3"/>
      <c r="V980" s="3"/>
      <c r="AL980" s="9" t="str">
        <f t="array" ref="AL980">"[" &amp; TEXTJOIN(", ", TRUE, IF(LEN(AM980:AQ980), CHAR(34)&amp;AM980:AQ980&amp;CHAR(34), )) &amp; "]"
</f>
        <v>[]</v>
      </c>
      <c r="AN980" s="3"/>
      <c r="AO980" s="3"/>
      <c r="AP980" s="3"/>
      <c r="AQ980" s="3"/>
      <c r="AR980" s="3" t="s">
        <v>78</v>
      </c>
      <c r="AW980" s="8" t="s">
        <v>2927</v>
      </c>
    </row>
    <row r="981">
      <c r="A981" s="3">
        <v>692.0</v>
      </c>
      <c r="B981" s="3" t="s">
        <v>40</v>
      </c>
      <c r="C981" s="3" t="s">
        <v>1496</v>
      </c>
      <c r="D981" s="3">
        <v>2007.0</v>
      </c>
      <c r="E981" s="3" t="s">
        <v>1497</v>
      </c>
      <c r="F981" s="3" t="s">
        <v>559</v>
      </c>
      <c r="H981" s="3" t="s">
        <v>58</v>
      </c>
      <c r="I981" s="3" t="s">
        <v>2142</v>
      </c>
      <c r="J981" s="3" t="s">
        <v>58</v>
      </c>
      <c r="L981" s="3" t="s">
        <v>2143</v>
      </c>
      <c r="M981" s="3" t="s">
        <v>110</v>
      </c>
      <c r="S981" s="9"/>
      <c r="T981" s="3"/>
      <c r="U981" s="3"/>
      <c r="V981" s="3"/>
      <c r="AL981" s="9" t="str">
        <f t="array" ref="AL981">"[" &amp; TEXTJOIN(", ", TRUE, IF(LEN(AM981:AQ981), CHAR(34)&amp;AM981:AQ981&amp;CHAR(34), )) &amp; "]"
</f>
        <v>[]</v>
      </c>
      <c r="AN981" s="3"/>
      <c r="AO981" s="3"/>
      <c r="AP981" s="3"/>
      <c r="AQ981" s="3"/>
      <c r="AR981" s="3" t="s">
        <v>78</v>
      </c>
      <c r="AW981" s="8" t="s">
        <v>2928</v>
      </c>
    </row>
    <row r="982">
      <c r="A982" s="3">
        <v>863.0</v>
      </c>
      <c r="B982" s="3" t="s">
        <v>40</v>
      </c>
      <c r="C982" s="3" t="s">
        <v>1840</v>
      </c>
      <c r="D982" s="3">
        <v>2014.0</v>
      </c>
      <c r="E982" s="3" t="s">
        <v>1841</v>
      </c>
      <c r="F982" s="3" t="s">
        <v>57</v>
      </c>
      <c r="H982" s="3" t="s">
        <v>58</v>
      </c>
      <c r="I982" s="3" t="s">
        <v>2142</v>
      </c>
      <c r="J982" s="3" t="s">
        <v>58</v>
      </c>
      <c r="L982" s="3" t="s">
        <v>2929</v>
      </c>
      <c r="M982" s="3" t="s">
        <v>388</v>
      </c>
      <c r="N982" s="3" t="s">
        <v>287</v>
      </c>
      <c r="O982" s="3" t="s">
        <v>76</v>
      </c>
      <c r="S982" s="9" t="str">
        <f t="array" ref="S982">"[" &amp; TEXTJOIN(", ", TRUE, IF(LEN(T982:AB982), CHAR(34)&amp;T982:AB982&amp;CHAR(34), )) &amp; "]"
</f>
        <v>["Agricultural &amp; forestry effluents"]</v>
      </c>
      <c r="T982" s="3" t="s">
        <v>62</v>
      </c>
      <c r="U982" s="3"/>
      <c r="V982" s="3"/>
      <c r="AC982" s="3" t="s">
        <v>62</v>
      </c>
      <c r="AL982" s="9" t="str">
        <f t="array" ref="AL982">"[" &amp; TEXTJOIN(", ", TRUE, IF(LEN(AM982:AQ982), CHAR(34)&amp;AM982:AQ982&amp;CHAR(34), )) &amp; "]"
</f>
        <v>["Pollution"]</v>
      </c>
      <c r="AM982" s="3" t="s">
        <v>64</v>
      </c>
      <c r="AN982" s="3"/>
      <c r="AO982" s="3"/>
      <c r="AP982" s="3"/>
      <c r="AQ982" s="3"/>
      <c r="AR982" s="3" t="s">
        <v>64</v>
      </c>
      <c r="AW982" s="8" t="s">
        <v>2930</v>
      </c>
    </row>
    <row r="983">
      <c r="A983" s="3">
        <v>809.0</v>
      </c>
      <c r="B983" s="3" t="s">
        <v>40</v>
      </c>
      <c r="C983" s="3" t="s">
        <v>1732</v>
      </c>
      <c r="D983" s="3">
        <v>1998.0</v>
      </c>
      <c r="E983" s="3" t="s">
        <v>1733</v>
      </c>
      <c r="F983" s="3" t="s">
        <v>57</v>
      </c>
      <c r="H983" s="3" t="s">
        <v>58</v>
      </c>
      <c r="I983" s="3" t="s">
        <v>2142</v>
      </c>
      <c r="J983" s="3" t="s">
        <v>58</v>
      </c>
      <c r="L983" s="3" t="s">
        <v>2143</v>
      </c>
      <c r="M983" s="3" t="s">
        <v>110</v>
      </c>
      <c r="S983" s="9" t="str">
        <f t="array" ref="S983">"[" &amp; TEXTJOIN(", ", TRUE, IF(LEN(T983:AB983), CHAR(34)&amp;T983:AB983&amp;CHAR(34), )) &amp; "]"
</f>
        <v>["Industrial &amp; military effluents"]</v>
      </c>
      <c r="T983" s="3" t="s">
        <v>147</v>
      </c>
      <c r="U983" s="3"/>
      <c r="V983" s="3"/>
      <c r="AC983" s="3" t="s">
        <v>147</v>
      </c>
      <c r="AL983" s="9" t="str">
        <f t="array" ref="AL983">"[" &amp; TEXTJOIN(", ", TRUE, IF(LEN(AM983:AQ983), CHAR(34)&amp;AM983:AQ983&amp;CHAR(34), )) &amp; "]"
</f>
        <v>["Pollution"]</v>
      </c>
      <c r="AM983" s="3" t="s">
        <v>64</v>
      </c>
      <c r="AN983" s="3"/>
      <c r="AO983" s="3"/>
      <c r="AP983" s="3"/>
      <c r="AQ983" s="3"/>
      <c r="AR983" s="3" t="s">
        <v>64</v>
      </c>
      <c r="AW983" s="8" t="s">
        <v>2931</v>
      </c>
    </row>
    <row r="984">
      <c r="A984" s="3">
        <v>814.0</v>
      </c>
      <c r="B984" s="3" t="s">
        <v>40</v>
      </c>
      <c r="C984" s="3" t="s">
        <v>1742</v>
      </c>
      <c r="D984" s="3">
        <v>2000.0</v>
      </c>
      <c r="E984" s="3" t="s">
        <v>1743</v>
      </c>
      <c r="F984" s="3" t="s">
        <v>57</v>
      </c>
      <c r="H984" s="3" t="s">
        <v>58</v>
      </c>
      <c r="I984" s="3" t="s">
        <v>2142</v>
      </c>
      <c r="J984" s="3" t="s">
        <v>58</v>
      </c>
      <c r="L984" s="3" t="s">
        <v>2932</v>
      </c>
      <c r="M984" s="3" t="s">
        <v>110</v>
      </c>
      <c r="N984" s="3" t="s">
        <v>1001</v>
      </c>
      <c r="O984" s="3" t="s">
        <v>453</v>
      </c>
      <c r="S984" s="9" t="str">
        <f t="array" ref="S984">"[" &amp; TEXTJOIN(", ", TRUE, IF(LEN(T984:AB984), CHAR(34)&amp;T984:AB984&amp;CHAR(34), )) &amp; "]"
</f>
        <v>["Industrial &amp; military effluents"]</v>
      </c>
      <c r="T984" s="3" t="s">
        <v>147</v>
      </c>
      <c r="U984" s="3"/>
      <c r="V984" s="3"/>
      <c r="AC984" s="3" t="s">
        <v>147</v>
      </c>
      <c r="AL984" s="9" t="str">
        <f t="array" ref="AL984">"[" &amp; TEXTJOIN(", ", TRUE, IF(LEN(AM984:AQ984), CHAR(34)&amp;AM984:AQ984&amp;CHAR(34), )) &amp; "]"
</f>
        <v>["Pollution"]</v>
      </c>
      <c r="AM984" s="3" t="s">
        <v>64</v>
      </c>
      <c r="AN984" s="3"/>
      <c r="AO984" s="3"/>
      <c r="AP984" s="3"/>
      <c r="AQ984" s="3"/>
      <c r="AR984" s="3" t="s">
        <v>64</v>
      </c>
      <c r="AW984" s="8" t="s">
        <v>2933</v>
      </c>
    </row>
    <row r="985">
      <c r="A985" s="3">
        <v>803.0</v>
      </c>
      <c r="B985" s="3" t="s">
        <v>40</v>
      </c>
      <c r="C985" s="3" t="s">
        <v>1719</v>
      </c>
      <c r="D985" s="3">
        <v>1997.0</v>
      </c>
      <c r="E985" s="3" t="s">
        <v>1720</v>
      </c>
      <c r="F985" s="3" t="s">
        <v>1721</v>
      </c>
      <c r="H985" s="3" t="s">
        <v>58</v>
      </c>
      <c r="I985" s="3" t="s">
        <v>2142</v>
      </c>
      <c r="J985" s="3" t="s">
        <v>58</v>
      </c>
      <c r="L985" s="3" t="s">
        <v>2143</v>
      </c>
      <c r="M985" s="3" t="s">
        <v>110</v>
      </c>
      <c r="S985" s="9" t="str">
        <f t="array" ref="S985">"[" &amp; TEXTJOIN(", ", TRUE, IF(LEN(T985:AB985), CHAR(34)&amp;T985:AB985&amp;CHAR(34), )) &amp; "]"
</f>
        <v>["Industrial &amp; military effluents"]</v>
      </c>
      <c r="T985" s="3" t="s">
        <v>147</v>
      </c>
      <c r="U985" s="3"/>
      <c r="V985" s="3"/>
      <c r="AC985" s="3" t="s">
        <v>147</v>
      </c>
      <c r="AL985" s="9" t="str">
        <f t="array" ref="AL985">"[" &amp; TEXTJOIN(", ", TRUE, IF(LEN(AM985:AQ985), CHAR(34)&amp;AM985:AQ985&amp;CHAR(34), )) &amp; "]"
</f>
        <v>["Pollution"]</v>
      </c>
      <c r="AM985" s="3" t="s">
        <v>64</v>
      </c>
      <c r="AN985" s="3"/>
      <c r="AO985" s="3"/>
      <c r="AP985" s="3"/>
      <c r="AQ985" s="3"/>
      <c r="AR985" s="3" t="s">
        <v>64</v>
      </c>
      <c r="AW985" s="8" t="s">
        <v>2934</v>
      </c>
    </row>
    <row r="986">
      <c r="A986" s="3">
        <v>870.0</v>
      </c>
      <c r="B986" s="3" t="s">
        <v>40</v>
      </c>
      <c r="C986" s="3" t="s">
        <v>1853</v>
      </c>
      <c r="D986" s="3">
        <v>2016.0</v>
      </c>
      <c r="E986" s="3" t="s">
        <v>1854</v>
      </c>
      <c r="F986" s="3" t="s">
        <v>1855</v>
      </c>
      <c r="H986" s="3" t="s">
        <v>58</v>
      </c>
      <c r="I986" s="3" t="s">
        <v>2142</v>
      </c>
      <c r="J986" s="3" t="s">
        <v>58</v>
      </c>
      <c r="L986" s="3" t="s">
        <v>2143</v>
      </c>
      <c r="M986" s="3" t="s">
        <v>110</v>
      </c>
      <c r="S986" s="9" t="str">
        <f t="array" ref="S986">"[" &amp; TEXTJOIN(", ", TRUE, IF(LEN(T986:AB986), CHAR(34)&amp;T986:AB986&amp;CHAR(34), )) &amp; "]"
</f>
        <v>["Industrial &amp; military effluents"]</v>
      </c>
      <c r="T986" s="3" t="s">
        <v>147</v>
      </c>
      <c r="U986" s="3"/>
      <c r="V986" s="3"/>
      <c r="AC986" s="3" t="s">
        <v>147</v>
      </c>
      <c r="AL986" s="9" t="str">
        <f t="array" ref="AL986">"[" &amp; TEXTJOIN(", ", TRUE, IF(LEN(AM986:AQ986), CHAR(34)&amp;AM986:AQ986&amp;CHAR(34), )) &amp; "]"
</f>
        <v>["Pollution"]</v>
      </c>
      <c r="AM986" s="3" t="s">
        <v>64</v>
      </c>
      <c r="AN986" s="3"/>
      <c r="AO986" s="3"/>
      <c r="AP986" s="3"/>
      <c r="AQ986" s="3"/>
      <c r="AR986" s="3" t="s">
        <v>64</v>
      </c>
      <c r="AW986" s="8" t="s">
        <v>2935</v>
      </c>
    </row>
    <row r="987">
      <c r="A987" s="3">
        <v>860.0</v>
      </c>
      <c r="B987" s="3" t="s">
        <v>40</v>
      </c>
      <c r="C987" s="3" t="s">
        <v>1834</v>
      </c>
      <c r="D987" s="3">
        <v>2013.0</v>
      </c>
      <c r="E987" s="3" t="s">
        <v>1835</v>
      </c>
      <c r="F987" s="3" t="s">
        <v>253</v>
      </c>
      <c r="H987" s="3" t="s">
        <v>58</v>
      </c>
      <c r="I987" s="3" t="s">
        <v>2142</v>
      </c>
      <c r="J987" s="3" t="s">
        <v>58</v>
      </c>
      <c r="L987" s="3" t="s">
        <v>2143</v>
      </c>
      <c r="M987" s="3" t="s">
        <v>110</v>
      </c>
      <c r="S987" s="9" t="str">
        <f t="array" ref="S987">"[" &amp; TEXTJOIN(", ", TRUE, IF(LEN(T987:AB987), CHAR(34)&amp;T987:AB987&amp;CHAR(34), )) &amp; "]"
</f>
        <v>["Industrial &amp; military effluents"]</v>
      </c>
      <c r="T987" s="3" t="s">
        <v>147</v>
      </c>
      <c r="U987" s="3"/>
      <c r="V987" s="3"/>
      <c r="AC987" s="3" t="s">
        <v>147</v>
      </c>
      <c r="AL987" s="9" t="str">
        <f t="array" ref="AL987">"[" &amp; TEXTJOIN(", ", TRUE, IF(LEN(AM987:AQ987), CHAR(34)&amp;AM987:AQ987&amp;CHAR(34), )) &amp; "]"
</f>
        <v>["Pollution"]</v>
      </c>
      <c r="AM987" s="3" t="s">
        <v>64</v>
      </c>
      <c r="AN987" s="3"/>
      <c r="AO987" s="3"/>
      <c r="AP987" s="3"/>
      <c r="AQ987" s="3"/>
      <c r="AR987" s="3" t="s">
        <v>64</v>
      </c>
      <c r="AW987" s="8" t="s">
        <v>2936</v>
      </c>
    </row>
    <row r="988">
      <c r="A988" s="3">
        <v>719.0</v>
      </c>
      <c r="B988" s="3" t="s">
        <v>40</v>
      </c>
      <c r="C988" s="3" t="s">
        <v>1551</v>
      </c>
      <c r="D988" s="3">
        <v>2013.0</v>
      </c>
      <c r="E988" s="3" t="s">
        <v>1552</v>
      </c>
      <c r="F988" s="3" t="s">
        <v>172</v>
      </c>
      <c r="H988" s="3" t="s">
        <v>91</v>
      </c>
      <c r="I988" s="3" t="s">
        <v>2136</v>
      </c>
      <c r="J988" s="3" t="s">
        <v>91</v>
      </c>
      <c r="L988" s="3" t="s">
        <v>2937</v>
      </c>
      <c r="M988" s="3" t="s">
        <v>92</v>
      </c>
      <c r="N988" s="3" t="s">
        <v>173</v>
      </c>
      <c r="S988" s="9" t="str">
        <f t="array" ref="S988">"[" &amp; TEXTJOIN(", ", TRUE, IF(LEN(T988:AB988), CHAR(34)&amp;T988:AB988&amp;CHAR(34), )) &amp; "]"
</f>
        <v>["Agricultural &amp; forestry effluents"]</v>
      </c>
      <c r="T988" s="3" t="s">
        <v>62</v>
      </c>
      <c r="U988" s="3"/>
      <c r="V988" s="3"/>
      <c r="AC988" s="3" t="s">
        <v>62</v>
      </c>
      <c r="AF988" s="3" t="s">
        <v>87</v>
      </c>
      <c r="AH988" s="3" t="s">
        <v>87</v>
      </c>
      <c r="AL988" s="9" t="str">
        <f t="array" ref="AL988">"[" &amp; TEXTJOIN(", ", TRUE, IF(LEN(AM988:AQ988), CHAR(34)&amp;AM988:AQ988&amp;CHAR(34), )) &amp; "]"
</f>
        <v>["Pollution", "Agriculture &amp; aquaculture", "Residential &amp; commercial development"]</v>
      </c>
      <c r="AM988" s="3" t="s">
        <v>64</v>
      </c>
      <c r="AN988" s="3" t="s">
        <v>51</v>
      </c>
      <c r="AO988" s="3" t="s">
        <v>71</v>
      </c>
      <c r="AP988" s="3"/>
      <c r="AQ988" s="3"/>
      <c r="AR988" s="3" t="s">
        <v>64</v>
      </c>
      <c r="AS988" s="3" t="s">
        <v>51</v>
      </c>
      <c r="AT988" s="3" t="s">
        <v>71</v>
      </c>
      <c r="AW988" s="8" t="s">
        <v>2938</v>
      </c>
    </row>
    <row r="989">
      <c r="A989" s="3">
        <v>27.0</v>
      </c>
      <c r="B989" s="3" t="s">
        <v>40</v>
      </c>
      <c r="C989" s="3" t="s">
        <v>170</v>
      </c>
      <c r="D989" s="3">
        <v>1985.0</v>
      </c>
      <c r="E989" s="3" t="s">
        <v>171</v>
      </c>
      <c r="F989" s="3" t="s">
        <v>172</v>
      </c>
      <c r="H989" s="3" t="s">
        <v>91</v>
      </c>
      <c r="I989" s="3" t="s">
        <v>2136</v>
      </c>
      <c r="J989" s="3" t="s">
        <v>91</v>
      </c>
      <c r="L989" s="3" t="s">
        <v>2183</v>
      </c>
      <c r="M989" s="3" t="s">
        <v>173</v>
      </c>
      <c r="S989" s="9" t="str">
        <f t="array" ref="S989">"[" &amp; TEXTJOIN(", ", TRUE, IF(LEN(T989:AB989), CHAR(34)&amp;T989:AB989&amp;CHAR(34), )) &amp; "]"
</f>
        <v>["Annual &amp; perennial non-timber crops"]</v>
      </c>
      <c r="T989" s="3" t="s">
        <v>60</v>
      </c>
      <c r="U989" s="3"/>
      <c r="V989" s="3"/>
      <c r="AC989" s="3" t="s">
        <v>60</v>
      </c>
      <c r="AL989" s="9" t="str">
        <f t="array" ref="AL989">"[" &amp; TEXTJOIN(", ", TRUE, IF(LEN(AM989:AQ989), CHAR(34)&amp;AM989:AQ989&amp;CHAR(34), )) &amp; "]"
</f>
        <v>["Agriculture &amp; aquaculture"]</v>
      </c>
      <c r="AM989" s="3" t="s">
        <v>51</v>
      </c>
      <c r="AN989" s="3"/>
      <c r="AO989" s="3"/>
      <c r="AP989" s="3"/>
      <c r="AQ989" s="3"/>
      <c r="AR989" s="3" t="s">
        <v>51</v>
      </c>
      <c r="AW989" s="8" t="s">
        <v>2939</v>
      </c>
    </row>
    <row r="990">
      <c r="A990" s="3">
        <v>640.0</v>
      </c>
      <c r="B990" s="3" t="s">
        <v>40</v>
      </c>
      <c r="C990" s="3" t="s">
        <v>1394</v>
      </c>
      <c r="D990" s="3">
        <v>1998.0</v>
      </c>
      <c r="E990" s="3" t="s">
        <v>1395</v>
      </c>
      <c r="F990" s="3" t="s">
        <v>172</v>
      </c>
      <c r="H990" s="3" t="s">
        <v>91</v>
      </c>
      <c r="I990" s="3" t="s">
        <v>2136</v>
      </c>
      <c r="J990" s="3" t="s">
        <v>91</v>
      </c>
      <c r="L990" s="3" t="s">
        <v>2836</v>
      </c>
      <c r="M990" s="3" t="s">
        <v>92</v>
      </c>
      <c r="S990" s="9"/>
      <c r="U990" s="3"/>
      <c r="V990" s="3"/>
      <c r="AC990" s="3" t="s">
        <v>134</v>
      </c>
      <c r="AL990" s="9" t="str">
        <f t="array" ref="AL990">"[" &amp; TEXTJOIN(", ", TRUE, IF(LEN(AM990:AQ990), CHAR(34)&amp;AM990:AQ990&amp;CHAR(34), )) &amp; "]"
</f>
        <v>["Natural system modifications"]</v>
      </c>
      <c r="AM990" s="3" t="s">
        <v>53</v>
      </c>
      <c r="AN990" s="3"/>
      <c r="AO990" s="3"/>
      <c r="AP990" s="3"/>
      <c r="AQ990" s="3"/>
      <c r="AR990" s="3" t="s">
        <v>53</v>
      </c>
      <c r="AW990" s="8" t="s">
        <v>2940</v>
      </c>
    </row>
    <row r="991">
      <c r="A991" s="3">
        <v>641.0</v>
      </c>
      <c r="B991" s="3" t="s">
        <v>40</v>
      </c>
      <c r="C991" s="3" t="s">
        <v>1396</v>
      </c>
      <c r="D991" s="3">
        <v>2000.0</v>
      </c>
      <c r="E991" s="3" t="s">
        <v>1397</v>
      </c>
      <c r="F991" s="3" t="s">
        <v>172</v>
      </c>
      <c r="H991" s="3" t="s">
        <v>91</v>
      </c>
      <c r="I991" s="3" t="s">
        <v>2136</v>
      </c>
      <c r="J991" s="3" t="s">
        <v>91</v>
      </c>
      <c r="L991" s="3" t="s">
        <v>2937</v>
      </c>
      <c r="M991" s="3" t="s">
        <v>92</v>
      </c>
      <c r="N991" s="3" t="s">
        <v>173</v>
      </c>
      <c r="S991" s="9"/>
      <c r="U991" s="3"/>
      <c r="V991" s="3"/>
      <c r="AC991" s="3" t="s">
        <v>134</v>
      </c>
      <c r="AL991" s="9" t="str">
        <f t="array" ref="AL991">"[" &amp; TEXTJOIN(", ", TRUE, IF(LEN(AM991:AQ991), CHAR(34)&amp;AM991:AQ991&amp;CHAR(34), )) &amp; "]"
</f>
        <v>["Natural system modifications"]</v>
      </c>
      <c r="AM991" s="3" t="s">
        <v>53</v>
      </c>
      <c r="AN991" s="3"/>
      <c r="AO991" s="3"/>
      <c r="AP991" s="3"/>
      <c r="AQ991" s="3"/>
      <c r="AR991" s="3" t="s">
        <v>53</v>
      </c>
      <c r="AW991" s="8" t="s">
        <v>2941</v>
      </c>
    </row>
    <row r="992">
      <c r="A992" s="3">
        <v>787.0</v>
      </c>
      <c r="B992" s="3" t="s">
        <v>40</v>
      </c>
      <c r="C992" s="3" t="s">
        <v>1689</v>
      </c>
      <c r="D992" s="3">
        <v>1992.0</v>
      </c>
      <c r="E992" s="3" t="s">
        <v>1690</v>
      </c>
      <c r="F992" s="3" t="s">
        <v>172</v>
      </c>
      <c r="H992" s="3" t="s">
        <v>91</v>
      </c>
      <c r="I992" s="3" t="s">
        <v>2136</v>
      </c>
      <c r="J992" s="3" t="s">
        <v>91</v>
      </c>
      <c r="L992" s="3" t="s">
        <v>2937</v>
      </c>
      <c r="M992" s="3" t="s">
        <v>92</v>
      </c>
      <c r="N992" s="3" t="s">
        <v>173</v>
      </c>
      <c r="S992" s="9" t="str">
        <f t="array" ref="S992">"[" &amp; TEXTJOIN(", ", TRUE, IF(LEN(T992:AB992), CHAR(34)&amp;T992:AB992&amp;CHAR(34), )) &amp; "]"
</f>
        <v>["Agricultural &amp; forestry effluents", "Industrial &amp; military effluents"]</v>
      </c>
      <c r="T992" s="3" t="s">
        <v>62</v>
      </c>
      <c r="U992" s="3" t="s">
        <v>147</v>
      </c>
      <c r="V992" s="3"/>
      <c r="AC992" s="3" t="s">
        <v>62</v>
      </c>
      <c r="AD992" s="3" t="s">
        <v>147</v>
      </c>
      <c r="AL992" s="9" t="str">
        <f t="array" ref="AL992">"[" &amp; TEXTJOIN(", ", TRUE, IF(LEN(AM992:AQ992), CHAR(34)&amp;AM992:AQ992&amp;CHAR(34), )) &amp; "]"
</f>
        <v>["Pollution"]</v>
      </c>
      <c r="AM992" s="3" t="s">
        <v>64</v>
      </c>
      <c r="AN992" s="3"/>
      <c r="AO992" s="3"/>
      <c r="AP992" s="3"/>
      <c r="AQ992" s="3"/>
      <c r="AR992" s="3" t="s">
        <v>64</v>
      </c>
      <c r="AW992" s="8" t="s">
        <v>2942</v>
      </c>
    </row>
    <row r="993">
      <c r="A993" s="3">
        <v>183.0</v>
      </c>
      <c r="B993" s="3" t="s">
        <v>40</v>
      </c>
      <c r="C993" s="3" t="s">
        <v>539</v>
      </c>
      <c r="D993" s="3">
        <v>2011.0</v>
      </c>
      <c r="E993" s="3" t="s">
        <v>540</v>
      </c>
      <c r="F993" s="3" t="s">
        <v>541</v>
      </c>
      <c r="H993" s="3" t="s">
        <v>541</v>
      </c>
      <c r="I993" s="3" t="s">
        <v>2943</v>
      </c>
      <c r="J993" s="3" t="s">
        <v>541</v>
      </c>
      <c r="L993" s="3" t="s">
        <v>2944</v>
      </c>
      <c r="M993" s="3" t="s">
        <v>384</v>
      </c>
      <c r="N993" s="3" t="s">
        <v>461</v>
      </c>
      <c r="S993" s="9" t="str">
        <f t="array" ref="S993">"[" &amp; TEXTJOIN(", ", TRUE, IF(LEN(T993:AB993), CHAR(34)&amp;T993:AB993&amp;CHAR(34), )) &amp; "]"
</f>
        <v>["Hunting &amp; Collecting Terrestrial Animals", "Fishing &amp; Harvesting Aquatic Resources", "Industrial &amp; military effluents"]</v>
      </c>
      <c r="T993" s="3" t="s">
        <v>2138</v>
      </c>
      <c r="U993" s="3" t="s">
        <v>2164</v>
      </c>
      <c r="V993" s="3"/>
      <c r="W993" s="3" t="s">
        <v>147</v>
      </c>
      <c r="AC993" s="3" t="s">
        <v>61</v>
      </c>
      <c r="AD993" s="3" t="s">
        <v>247</v>
      </c>
      <c r="AF993" s="3" t="s">
        <v>147</v>
      </c>
      <c r="AL993" s="9" t="str">
        <f t="array" ref="AL993">"[" &amp; TEXTJOIN(", ", TRUE, IF(LEN(AM993:AQ993), CHAR(34)&amp;AM993:AQ993&amp;CHAR(34), )) &amp; "]"
</f>
        <v>["Biological resource use", "Pollution"]</v>
      </c>
      <c r="AM993" s="3" t="s">
        <v>52</v>
      </c>
      <c r="AN993" s="3" t="s">
        <v>64</v>
      </c>
      <c r="AO993" s="3"/>
      <c r="AP993" s="3"/>
      <c r="AQ993" s="3"/>
      <c r="AR993" s="3" t="s">
        <v>52</v>
      </c>
      <c r="AS993" s="3" t="s">
        <v>64</v>
      </c>
      <c r="AW993" s="8" t="s">
        <v>2945</v>
      </c>
    </row>
    <row r="994">
      <c r="A994" s="3">
        <v>241.0</v>
      </c>
      <c r="B994" s="3" t="s">
        <v>40</v>
      </c>
      <c r="C994" s="3" t="s">
        <v>648</v>
      </c>
      <c r="D994" s="3">
        <v>2000.0</v>
      </c>
      <c r="E994" s="3" t="s">
        <v>649</v>
      </c>
      <c r="F994" s="3" t="s">
        <v>541</v>
      </c>
      <c r="H994" s="3" t="s">
        <v>541</v>
      </c>
      <c r="I994" s="3" t="s">
        <v>2943</v>
      </c>
      <c r="J994" s="3" t="s">
        <v>541</v>
      </c>
      <c r="L994" s="3" t="s">
        <v>2946</v>
      </c>
      <c r="M994" s="3" t="s">
        <v>635</v>
      </c>
      <c r="S994" s="9" t="str">
        <f t="array" ref="S994">"[" &amp; TEXTJOIN(", ", TRUE, IF(LEN(T994:AB994), CHAR(34)&amp;T994:AB994&amp;CHAR(34), )) &amp; "]"
</f>
        <v>["Hunting &amp; Collecting Terrestrial Animals"]</v>
      </c>
      <c r="T994" s="3" t="s">
        <v>2138</v>
      </c>
      <c r="U994" s="3"/>
      <c r="V994" s="3"/>
      <c r="AC994" s="3" t="s">
        <v>61</v>
      </c>
      <c r="AL994" s="9" t="str">
        <f t="array" ref="AL994">"[" &amp; TEXTJOIN(", ", TRUE, IF(LEN(AM994:AQ994), CHAR(34)&amp;AM994:AQ994&amp;CHAR(34), )) &amp; "]"
</f>
        <v>["Biological resource use"]</v>
      </c>
      <c r="AM994" s="3" t="s">
        <v>52</v>
      </c>
      <c r="AO994" s="3"/>
      <c r="AP994" s="3"/>
      <c r="AQ994" s="3"/>
      <c r="AR994" s="3" t="s">
        <v>52</v>
      </c>
      <c r="AS994" s="3" t="s">
        <v>650</v>
      </c>
      <c r="AW994" s="8" t="s">
        <v>2947</v>
      </c>
    </row>
    <row r="995" hidden="1">
      <c r="A995" s="3">
        <v>934.0</v>
      </c>
      <c r="B995" s="3" t="s">
        <v>40</v>
      </c>
      <c r="C995" s="3" t="s">
        <v>1972</v>
      </c>
      <c r="D995" s="3">
        <v>2007.0</v>
      </c>
      <c r="E995" s="3" t="s">
        <v>1973</v>
      </c>
      <c r="F995" s="3" t="s">
        <v>81</v>
      </c>
      <c r="H995" s="3" t="s">
        <v>82</v>
      </c>
      <c r="I995" s="3"/>
      <c r="J995" s="3" t="s">
        <v>82</v>
      </c>
      <c r="K995" s="3"/>
      <c r="L995" s="3"/>
      <c r="M995" s="3" t="s">
        <v>254</v>
      </c>
      <c r="S995" s="3"/>
      <c r="T995" s="3"/>
      <c r="U995" s="3"/>
      <c r="V995" s="3"/>
      <c r="W995" s="3"/>
      <c r="X995" s="3"/>
      <c r="Y995" s="3"/>
      <c r="Z995" s="3"/>
      <c r="AA995" s="3"/>
      <c r="AB995" s="3"/>
      <c r="AC995" s="3" t="s">
        <v>87</v>
      </c>
      <c r="AF995" s="3" t="s">
        <v>63</v>
      </c>
      <c r="AH995" s="3" t="s">
        <v>48</v>
      </c>
      <c r="AJ995" s="3" t="s">
        <v>162</v>
      </c>
      <c r="AK995" s="3" t="s">
        <v>117</v>
      </c>
      <c r="AL995" s="3"/>
      <c r="AM995" s="3"/>
      <c r="AN995" s="3"/>
      <c r="AO995" s="3"/>
      <c r="AP995" s="3"/>
      <c r="AQ995" s="3"/>
      <c r="AR995" s="3" t="s">
        <v>71</v>
      </c>
      <c r="AS995" s="3" t="s">
        <v>65</v>
      </c>
      <c r="AT995" s="3" t="s">
        <v>52</v>
      </c>
      <c r="AU995" s="3" t="s">
        <v>121</v>
      </c>
      <c r="AV995" s="3" t="s">
        <v>118</v>
      </c>
    </row>
    <row r="996">
      <c r="A996" s="3">
        <v>297.0</v>
      </c>
      <c r="B996" s="3" t="s">
        <v>40</v>
      </c>
      <c r="C996" s="3" t="s">
        <v>760</v>
      </c>
      <c r="D996" s="3">
        <v>2008.0</v>
      </c>
      <c r="E996" s="3" t="s">
        <v>761</v>
      </c>
      <c r="F996" s="3" t="s">
        <v>541</v>
      </c>
      <c r="H996" s="3" t="s">
        <v>541</v>
      </c>
      <c r="I996" s="3" t="s">
        <v>2943</v>
      </c>
      <c r="J996" s="3" t="s">
        <v>541</v>
      </c>
      <c r="L996" s="3" t="s">
        <v>2946</v>
      </c>
      <c r="M996" s="3" t="s">
        <v>635</v>
      </c>
      <c r="S996" s="9" t="str">
        <f t="array" ref="S996">"[" &amp; TEXTJOIN(", ", TRUE, IF(LEN(T996:AB996), CHAR(34)&amp;T996:AB996&amp;CHAR(34), )) &amp; "]"
</f>
        <v>["Hunting &amp; Collecting Terrestrial Animals"]</v>
      </c>
      <c r="T996" s="3" t="s">
        <v>2138</v>
      </c>
      <c r="U996" s="3"/>
      <c r="V996" s="3"/>
      <c r="AC996" s="3" t="s">
        <v>61</v>
      </c>
      <c r="AL996" s="9" t="str">
        <f t="array" ref="AL996">"[" &amp; TEXTJOIN(", ", TRUE, IF(LEN(AM996:AQ996), CHAR(34)&amp;AM996:AQ996&amp;CHAR(34), )) &amp; "]"
</f>
        <v>["Biological resource use"]</v>
      </c>
      <c r="AM996" s="3" t="s">
        <v>52</v>
      </c>
      <c r="AN996" s="3"/>
      <c r="AO996" s="3"/>
      <c r="AP996" s="3"/>
      <c r="AQ996" s="3"/>
      <c r="AR996" s="3" t="s">
        <v>52</v>
      </c>
      <c r="AW996" s="8" t="s">
        <v>2948</v>
      </c>
    </row>
    <row r="997">
      <c r="A997" s="3">
        <v>318.0</v>
      </c>
      <c r="B997" s="3" t="s">
        <v>40</v>
      </c>
      <c r="C997" s="3" t="s">
        <v>804</v>
      </c>
      <c r="D997" s="3">
        <v>2013.0</v>
      </c>
      <c r="E997" s="3" t="s">
        <v>805</v>
      </c>
      <c r="F997" s="3" t="s">
        <v>541</v>
      </c>
      <c r="H997" s="3" t="s">
        <v>541</v>
      </c>
      <c r="I997" s="3" t="s">
        <v>2943</v>
      </c>
      <c r="J997" s="3" t="s">
        <v>541</v>
      </c>
      <c r="L997" s="3" t="s">
        <v>2944</v>
      </c>
      <c r="M997" s="3" t="s">
        <v>384</v>
      </c>
      <c r="N997" s="3" t="s">
        <v>461</v>
      </c>
      <c r="S997" s="9" t="str">
        <f t="array" ref="S997">"[" &amp; TEXTJOIN(", ", TRUE, IF(LEN(T997:AB997), CHAR(34)&amp;T997:AB997&amp;CHAR(34), )) &amp; "]"
</f>
        <v>["Hunting &amp; Collecting Terrestrial Animals"]</v>
      </c>
      <c r="T997" s="3" t="s">
        <v>2138</v>
      </c>
      <c r="U997" s="3"/>
      <c r="V997" s="3"/>
      <c r="AC997" s="3" t="s">
        <v>61</v>
      </c>
      <c r="AL997" s="9" t="str">
        <f t="array" ref="AL997">"[" &amp; TEXTJOIN(", ", TRUE, IF(LEN(AM997:AQ997), CHAR(34)&amp;AM997:AQ997&amp;CHAR(34), )) &amp; "]"
</f>
        <v>["Biological resource use"]</v>
      </c>
      <c r="AM997" s="3" t="s">
        <v>52</v>
      </c>
      <c r="AN997" s="3"/>
      <c r="AO997" s="3"/>
      <c r="AP997" s="3"/>
      <c r="AQ997" s="3"/>
      <c r="AR997" s="3" t="s">
        <v>52</v>
      </c>
      <c r="AW997" s="8" t="s">
        <v>2949</v>
      </c>
    </row>
    <row r="998" hidden="1">
      <c r="A998" s="3">
        <v>158.0</v>
      </c>
      <c r="B998" s="3" t="s">
        <v>106</v>
      </c>
      <c r="D998" s="3">
        <v>2001.0</v>
      </c>
      <c r="E998" s="3" t="s">
        <v>483</v>
      </c>
      <c r="F998" s="3" t="s">
        <v>484</v>
      </c>
      <c r="G998" s="3"/>
      <c r="H998" s="3" t="s">
        <v>44</v>
      </c>
      <c r="I998" s="3"/>
      <c r="K998" s="3"/>
      <c r="L998" s="3"/>
      <c r="M998" s="3" t="s">
        <v>485</v>
      </c>
      <c r="S998" s="3"/>
      <c r="T998" s="3"/>
      <c r="U998" s="3"/>
      <c r="V998" s="3"/>
      <c r="W998" s="3"/>
      <c r="X998" s="3"/>
      <c r="Y998" s="3"/>
      <c r="Z998" s="3"/>
      <c r="AC998" s="3" t="s">
        <v>61</v>
      </c>
      <c r="AD998" s="3" t="s">
        <v>267</v>
      </c>
      <c r="AF998" s="3" t="s">
        <v>125</v>
      </c>
      <c r="AH998" s="3" t="s">
        <v>260</v>
      </c>
      <c r="AL998" s="3"/>
      <c r="AM998" s="3"/>
      <c r="AN998" s="3"/>
      <c r="AO998" s="3"/>
      <c r="AP998" s="3"/>
      <c r="AQ998" s="3"/>
      <c r="AR998" s="3" t="s">
        <v>52</v>
      </c>
      <c r="AS998" s="3" t="s">
        <v>64</v>
      </c>
      <c r="AT998" s="3" t="s">
        <v>121</v>
      </c>
      <c r="AW998" s="8" t="s">
        <v>2135</v>
      </c>
    </row>
    <row r="999" hidden="1">
      <c r="A999" s="3">
        <v>468.0</v>
      </c>
      <c r="B999" s="3" t="s">
        <v>106</v>
      </c>
      <c r="C999" s="3" t="s">
        <v>1062</v>
      </c>
      <c r="D999" s="3">
        <v>1997.0</v>
      </c>
      <c r="E999" s="3" t="s">
        <v>1063</v>
      </c>
      <c r="F999" s="3" t="s">
        <v>484</v>
      </c>
      <c r="G999" s="3"/>
      <c r="H999" s="3" t="s">
        <v>44</v>
      </c>
      <c r="I999" s="3"/>
      <c r="K999" s="3"/>
      <c r="L999" s="3"/>
      <c r="M999" s="3" t="s">
        <v>46</v>
      </c>
      <c r="S999" s="3"/>
      <c r="T999" s="3"/>
      <c r="U999" s="3"/>
      <c r="V999" s="3"/>
      <c r="W999" s="3"/>
      <c r="X999" s="3"/>
      <c r="Y999" s="3"/>
      <c r="Z999" s="3"/>
      <c r="AC999" s="3" t="s">
        <v>385</v>
      </c>
      <c r="AF999" s="3" t="s">
        <v>61</v>
      </c>
      <c r="AH999" s="3" t="s">
        <v>162</v>
      </c>
      <c r="AL999" s="3"/>
      <c r="AM999" s="3"/>
      <c r="AN999" s="3"/>
      <c r="AO999" s="3"/>
      <c r="AP999" s="3"/>
      <c r="AQ999" s="3"/>
      <c r="AR999" s="3" t="s">
        <v>54</v>
      </c>
      <c r="AS999" s="3" t="s">
        <v>52</v>
      </c>
      <c r="AT999" s="3" t="s">
        <v>121</v>
      </c>
      <c r="AW999" s="8" t="s">
        <v>2135</v>
      </c>
    </row>
    <row r="1000" hidden="1">
      <c r="A1000" s="3">
        <v>81.0</v>
      </c>
      <c r="B1000" s="3" t="s">
        <v>106</v>
      </c>
      <c r="D1000" s="3">
        <v>2001.0</v>
      </c>
      <c r="E1000" s="3" t="s">
        <v>320</v>
      </c>
      <c r="F1000" s="3" t="s">
        <v>321</v>
      </c>
      <c r="G1000" s="3"/>
      <c r="H1000" s="3" t="s">
        <v>101</v>
      </c>
      <c r="I1000" s="3"/>
      <c r="K1000" s="3"/>
      <c r="L1000" s="3"/>
      <c r="M1000" s="3" t="s">
        <v>309</v>
      </c>
      <c r="S1000" s="3"/>
      <c r="T1000" s="3"/>
      <c r="U1000" s="3"/>
      <c r="V1000" s="3"/>
      <c r="W1000" s="3"/>
      <c r="X1000" s="3"/>
      <c r="Y1000" s="3"/>
      <c r="Z1000" s="3"/>
      <c r="AA1000" s="3"/>
      <c r="AB1000" s="3"/>
      <c r="AC1000" s="3" t="s">
        <v>48</v>
      </c>
      <c r="AD1000" s="3" t="s">
        <v>61</v>
      </c>
      <c r="AE1000" s="3" t="s">
        <v>267</v>
      </c>
      <c r="AF1000" s="3" t="s">
        <v>322</v>
      </c>
      <c r="AH1000" s="3" t="s">
        <v>125</v>
      </c>
      <c r="AJ1000" s="3" t="s">
        <v>323</v>
      </c>
      <c r="AL1000" s="3"/>
      <c r="AM1000" s="3"/>
      <c r="AN1000" s="3"/>
      <c r="AO1000" s="3"/>
      <c r="AP1000" s="3"/>
      <c r="AQ1000" s="3"/>
      <c r="AR1000" s="3" t="s">
        <v>52</v>
      </c>
      <c r="AS1000" s="3" t="s">
        <v>118</v>
      </c>
      <c r="AT1000" s="3" t="s">
        <v>64</v>
      </c>
      <c r="AU1000" s="3" t="s">
        <v>121</v>
      </c>
      <c r="AW1000" s="8" t="s">
        <v>2135</v>
      </c>
    </row>
    <row r="1001">
      <c r="A1001" s="3">
        <v>442.0</v>
      </c>
      <c r="B1001" s="3" t="s">
        <v>40</v>
      </c>
      <c r="C1001" s="3" t="s">
        <v>1010</v>
      </c>
      <c r="D1001" s="3">
        <v>2018.0</v>
      </c>
      <c r="E1001" s="3" t="s">
        <v>1011</v>
      </c>
      <c r="F1001" s="3" t="s">
        <v>541</v>
      </c>
      <c r="H1001" s="3" t="s">
        <v>541</v>
      </c>
      <c r="I1001" s="3" t="s">
        <v>2943</v>
      </c>
      <c r="J1001" s="3" t="s">
        <v>541</v>
      </c>
      <c r="L1001" s="3" t="s">
        <v>2211</v>
      </c>
      <c r="M1001" s="3" t="s">
        <v>266</v>
      </c>
      <c r="S1001" s="9" t="str">
        <f t="array" ref="S1001">"[" &amp; TEXTJOIN(", ", TRUE, IF(LEN(T1001:AB1001), CHAR(34)&amp;T1001:AB1001&amp;CHAR(34), )) &amp; "]"
</f>
        <v>["Habitat shifting &amp; alteration"]</v>
      </c>
      <c r="T1001" s="3" t="s">
        <v>117</v>
      </c>
      <c r="U1001" s="3"/>
      <c r="V1001" s="3"/>
      <c r="AC1001" s="3" t="s">
        <v>117</v>
      </c>
      <c r="AL1001" s="9" t="str">
        <f t="array" ref="AL1001">"[" &amp; TEXTJOIN(", ", TRUE, IF(LEN(AM1001:AQ1001), CHAR(34)&amp;AM1001:AQ1001&amp;CHAR(34), )) &amp; "]"
</f>
        <v>["Climate change &amp; severe weather"]</v>
      </c>
      <c r="AM1001" s="3" t="s">
        <v>118</v>
      </c>
      <c r="AN1001" s="3"/>
      <c r="AO1001" s="3"/>
      <c r="AP1001" s="3"/>
      <c r="AQ1001" s="3"/>
      <c r="AR1001" s="3" t="s">
        <v>118</v>
      </c>
      <c r="AW1001" s="8" t="s">
        <v>2950</v>
      </c>
    </row>
    <row r="1002">
      <c r="A1002" s="3">
        <v>869.0</v>
      </c>
      <c r="B1002" s="3" t="s">
        <v>40</v>
      </c>
      <c r="C1002" s="3" t="s">
        <v>1851</v>
      </c>
      <c r="D1002" s="3">
        <v>2016.0</v>
      </c>
      <c r="E1002" s="3" t="s">
        <v>1852</v>
      </c>
      <c r="F1002" s="3" t="s">
        <v>541</v>
      </c>
      <c r="H1002" s="3" t="s">
        <v>541</v>
      </c>
      <c r="I1002" s="3" t="s">
        <v>2943</v>
      </c>
      <c r="J1002" s="3" t="s">
        <v>541</v>
      </c>
      <c r="L1002" s="3" t="s">
        <v>2951</v>
      </c>
      <c r="M1002" s="3" t="s">
        <v>110</v>
      </c>
      <c r="N1002" s="3" t="s">
        <v>453</v>
      </c>
      <c r="S1002" s="9" t="str">
        <f t="array" ref="S1002">"[" &amp; TEXTJOIN(", ", TRUE, IF(LEN(T1002:AB1002), CHAR(34)&amp;T1002:AB1002&amp;CHAR(34), )) &amp; "]"
</f>
        <v>["Industrial &amp; military effluents", "Agricultural &amp; forestry effluents"]</v>
      </c>
      <c r="T1002" s="3" t="s">
        <v>147</v>
      </c>
      <c r="U1002" s="3" t="s">
        <v>62</v>
      </c>
      <c r="V1002" s="3"/>
      <c r="AC1002" s="3" t="s">
        <v>147</v>
      </c>
      <c r="AD1002" s="3" t="s">
        <v>62</v>
      </c>
      <c r="AL1002" s="9" t="str">
        <f t="array" ref="AL1002">"[" &amp; TEXTJOIN(", ", TRUE, IF(LEN(AM1002:AQ1002), CHAR(34)&amp;AM1002:AQ1002&amp;CHAR(34), )) &amp; "]"
</f>
        <v>["Pollution"]</v>
      </c>
      <c r="AM1002" s="3" t="s">
        <v>64</v>
      </c>
      <c r="AN1002" s="3"/>
      <c r="AO1002" s="3"/>
      <c r="AP1002" s="3"/>
      <c r="AQ1002" s="3"/>
      <c r="AR1002" s="3" t="s">
        <v>64</v>
      </c>
      <c r="AW1002" s="8" t="s">
        <v>2952</v>
      </c>
    </row>
    <row r="1003" hidden="1">
      <c r="A1003" s="3">
        <v>13.0</v>
      </c>
      <c r="B1003" s="3" t="s">
        <v>106</v>
      </c>
      <c r="C1003" s="3" t="s">
        <v>119</v>
      </c>
      <c r="D1003" s="3">
        <v>1993.0</v>
      </c>
      <c r="E1003" s="3" t="s">
        <v>120</v>
      </c>
      <c r="F1003" s="3" t="s">
        <v>90</v>
      </c>
      <c r="G1003" s="3"/>
      <c r="H1003" s="3" t="s">
        <v>91</v>
      </c>
      <c r="I1003" s="3"/>
      <c r="K1003" s="3"/>
      <c r="L1003" s="3"/>
      <c r="M1003" s="3" t="s">
        <v>92</v>
      </c>
      <c r="S1003" s="3"/>
      <c r="T1003" s="3"/>
      <c r="U1003" s="3"/>
      <c r="V1003" s="3"/>
      <c r="W1003" s="3"/>
      <c r="X1003" s="3"/>
      <c r="Y1003" s="3"/>
      <c r="Z1003" s="3"/>
      <c r="AC1003" s="3" t="s">
        <v>87</v>
      </c>
      <c r="AF1003" s="3" t="s">
        <v>87</v>
      </c>
      <c r="AH1003" s="3" t="s">
        <v>61</v>
      </c>
      <c r="AL1003" s="3"/>
      <c r="AM1003" s="3"/>
      <c r="AN1003" s="3"/>
      <c r="AO1003" s="3"/>
      <c r="AP1003" s="3"/>
      <c r="AQ1003" s="3"/>
      <c r="AR1003" s="3" t="s">
        <v>51</v>
      </c>
      <c r="AS1003" s="3" t="s">
        <v>121</v>
      </c>
      <c r="AT1003" s="3" t="s">
        <v>52</v>
      </c>
      <c r="AW1003" s="8" t="s">
        <v>2135</v>
      </c>
    </row>
    <row r="1004" hidden="1">
      <c r="A1004" s="3">
        <v>363.0</v>
      </c>
      <c r="B1004" s="3" t="s">
        <v>106</v>
      </c>
      <c r="C1004" s="3" t="s">
        <v>898</v>
      </c>
      <c r="D1004" s="3">
        <v>1995.0</v>
      </c>
      <c r="E1004" s="3" t="s">
        <v>899</v>
      </c>
      <c r="F1004" s="3" t="s">
        <v>90</v>
      </c>
      <c r="G1004" s="3"/>
      <c r="H1004" s="3" t="s">
        <v>91</v>
      </c>
      <c r="I1004" s="3"/>
      <c r="K1004" s="3"/>
      <c r="L1004" s="3"/>
      <c r="M1004" s="3" t="s">
        <v>92</v>
      </c>
      <c r="S1004" s="3"/>
      <c r="T1004" s="3"/>
      <c r="U1004" s="3"/>
      <c r="V1004" s="3"/>
      <c r="AC1004" s="3" t="s">
        <v>61</v>
      </c>
      <c r="AD1004" s="3" t="s">
        <v>48</v>
      </c>
      <c r="AL1004" s="3"/>
      <c r="AM1004" s="3"/>
      <c r="AN1004" s="3"/>
      <c r="AO1004" s="3"/>
      <c r="AP1004" s="3"/>
      <c r="AQ1004" s="3"/>
      <c r="AR1004" s="3" t="s">
        <v>52</v>
      </c>
      <c r="AW1004" s="8" t="s">
        <v>2135</v>
      </c>
    </row>
    <row r="1005" hidden="1"/>
    <row r="1006" hidden="1"/>
  </sheetData>
  <autoFilter ref="$A$1:$AW$1006">
    <filterColumn colId="48">
      <filters>
        <filter val="&quot;Organochlorine and heavy-metal contaminants in wild mammals and birds of Urbino-Pesaro province, Italy: An analytic overview for potential bioindicators&quot; OR"/>
        <filter val="&quot;Genetic diversity and fitness in black-footed ferrets before and during a bottleneck&quot; OR"/>
        <filter val="&quot;Patterns of growth and body condition in sea otters from the Aleutian archipelago before and after the recent population decline&quot; OR"/>
        <filter val="&quot;Understanding the propensity of wild predators to illegal poison baiting&quot; OR"/>
        <filter val="&quot;Aleutian disease serology, protein electrophoresis, and pathology of the European mink (Mustela lutreola) from Navarra, Spain&quot; OR"/>
        <filter val="&quot;Washing Oiled Sea Otters&quot; OR"/>
        <filter val="&quot;Diversity of mtDNA in Southern river otter (Lontra provocax) from Argentinean Patagonia&quot; OR"/>
        <filter val="&quot;Popularity of pet otters on YouTube: evidence of an emerging trade threat&quot; OR"/>
        <filter val="&quot;Utility of two modified-live virus canine distemper vaccines in wild-caught fishers (Pekania pennanti)&quot; OR"/>
        <filter val="&quot;Habitat correlates of the Eurasian otter Lutra lutra recolonizing Central Poland&quot; OR"/>
        <filter val="&quot;Adult sex-ratio distortion in the native European polecat is related to the expansion of the invasive American mink&quot; OR"/>
        <filter val="&quot;Status of sea otters (Enhydra lutris) in Mexico&quot; OR"/>
        <filter val="&quot;Human-wildlife competition for Korean pine seeds: vertebrate responses and implications for mixed forests on Changbai Mountain, China&quot; OR"/>
        <filter val="&quot;Organochlorine pesticides, PCBs, heavy metals and anticoagulant rodenticides in tissues of Eurasian otters (Lutra lutra) from upper Loire River catchment (France)&quot; OR"/>
        <filter val="&quot;Ecology, conservation and human history of marine mammals in the Gulf of California and Pacific coast of Baja California, Mexico&quot; OR"/>
        <filter val="&quot;Toxoplasma gondii in stranded marine mammals from the North Sea and Eastern Atlantic Ocean: Findings and diagnostic difficulties&quot; OR"/>
        <filter val="&quot;Chlorinated hydrocarbon contaminants in feces of river otters from the southern Pacific coast of Canada, 1998-2004&quot; OR"/>
        <filter val="&quot;Connectivity of peripheral and core populations of North American wolverines&quot; OR"/>
        <filter val="&quot;Small-clawed otters (Aonyx cinereus) in Indonesian rice fields: latrine site characteristics and visitation frequency&quot; OR"/>
        <filter val="&quot;Estimation of the diet of chungungo Lontra felina (Molina, 1782) in two locations of the coast of the Biobio Region, Chile&quot; OR"/>
        <filter val="&quot;Effects of the Exxon Valdez oil spill on river otters: Injury and recovery of a sentinel species&quot; OR"/>
        <filter val="&quot;Carnivores' diversity and conflicts with humans in Musk Deer National Park, Azad Jammu and Kashmir, Pakistan&quot; OR"/>
        <filter val="&quot;Nonlinear responses of wolverine populations to declining winter snowpack&quot; OR"/>
        <filter val="&quot;Carnivores (Mammalia: Carnivora) in South China: a status review with notes on the commercial trade&quot; OR"/>
        <filter val="&quot;The development of methods for immunophenotypic and lymphocyte function analyzes for assessment of Southern sea otter (Enhydra lutris nereis) health&quot; OR"/>
        <filter val="&quot;The habitat, ecological life conditions, and usage characteristics of the otter (Lutra lutra L. 1758) in the Balikdami Wildlife Development Area&quot; OR"/>
        <filter val="&quot;Inbreeding causes decreased seminal quality affecting pregnancy and litter size in the endangered black-footed ferret&quot; OR"/>
        <filter val="&quot;Experimental design and taxonomic scope of fragmentation studies on European mammals: current status and future priorities&quot; OR"/>
        <filter val="&quot;Role of isolation and habitat quality in shaping species abundance: a test with badgers (Meles meles L.) in a gradient of forest fragmentation&quot; OR"/>
        <filter val="&quot;Pathological findings in the red fox (Vulpes vulpes), stone marten (Martes foina) and raccoon dog (Nyctereutes procyonoides), with special emphasis on infectious and zoonotic agents in Northern Germany&quot; OR"/>
        <filter val="&quot;Human-wildlife conflicts at pond fisheries in eastern Poland: perceptions and management of wildlife damage&quot; OR"/>
        <filter val="&quot;Paradigm Shifts in Habitat Ecology of Threatened Newfoundland Martens&quot; OR"/>
        <filter val="&quot;Genetic Effects of Sable (Martes zibellina L.) Reintroduction in Western Siberia&quot; OR"/>
        <filter val="&quot;Adverse Outcome Pathway and Risks of Anticoagulant Rodenticides to Predatory Wildlife&quot; OR"/>
        <filter val="&quot;The relative influence of riparian habitat structure and fish availability on otter Lutra lutra L-sprainting activity in a small Mediterranean catchment&quot; OR"/>
        <filter val="&quot;A protozoal-associated epizootic impacting marine wildlife: Mass-mortality of southern sea otters (Enhydra lutris nereis) due to Sarcocystis neurona infection&quot; OR"/>
        <filter val="&quot;Potential for sea otter exposure to remnants of buried oil from the exxon valdez oil spill&quot; OR"/>
        <filter val="&quot;MUSTELID, SQUIRREL, AND PORCUPINE POPULATION TRENDS DURING A SNOWSHOE HARE CYCLE&quot; OR"/>
        <filter val="&quot;Retention time of chlorophacinone in black-tailed prairie dogs informs secondary hazards from a prairie dog rodenticide bait&quot; OR"/>
        <filter val="&quot;Contamination status and accumulation profiles of organotins in sea otters (Enhydra lutris) found dead along the coasts of California, Washington, Alaska (USA), and Kamchatka (Russia)&quot; OR"/>
        <filter val="&quot;Genetic variability of wolverines (Gulo gulo) from the Northwest Territories, Canada: Conservation implications&quot; OR"/>
        <filter val="&quot;Low wolverine (Gulo gulo) density in a national park complex of the Canadian Rocky Mountains&quot; OR"/>
        <filter val="&quot;Dietary overlap among generalist carnivores in relation to the impact of the introduced raccoon dog Nyctereutes procyonoides on native predators in northern Belarus&quot; OR"/>
        <filter val="&quot;Anticoagulant Rodenticides on our Public and Community Lands: Spatial Distribution of Exposure and Poisoning of a Rare Forest Carnivore&quot; OR"/>
        <filter val="&quot;Genetic diversity and individual identification of reintroduced otters (Lutra lutra) in north-eastern Spain by DNA genotyping of spraints&quot; OR"/>
        <filter val="&quot;THE DECLINE OF MINK IN GEORGIA, NORTH-CAROLINA, AND SOUTH-CAROLINA - THE ROLE OF CONTAMINANTS&quot; OR"/>
        <filter val="&quot;Changes in the diet of coastal otters after the Prestige oil spill (Galicia, north-west Spain)&quot; OR"/>
        <filter val="&quot;Impacts of Pollutants on Beavers and Otters with Implications for Ecosystem Ramifications&quot; OR"/>
        <filter val="&quot;Induction of cytochrome P450 1A1 expression in captive river otters fed Prudhoe Bay crude oil: evaluation by immunohistochemistry and quantitative RT-PCR&quot; OR"/>
        <filter val="&quot;Modeling predator habitat to enhance reintroduction planning&quot; OR"/>
        <filter val="&quot;Genetic monitoring suggests increasing structure following recolonization by fishers&quot; OR"/>
        <filter val="&quot;Habitat use and spatial behaviour of the endangered Southern river otter (Lontra provocax) in riparian habitats of Chile: Conservation implications&quot; OR"/>
        <filter val="&quot;The effect of a major drainage divide on the gene flow of a semiaquatic carnivore, the Eurasian otter&quot; OR"/>
        <filter val="&quot;Measurement of serum immunoglobulin concentration in killer whales and sea otters by radial immunodiffusion&quot; OR"/>
        <filter val="&quot;The importance of ponds for the otter (Lutra lutra) during drought periods in Mediterranean ecosystems: A case study in Bergantes River&quot; OR"/>
        <filter val="&quot;The Neotropical otter Lontra longicaudis: a comprehensive update on the current knowledge and conservation status of this semiaquatic carnivore&quot; OR"/>
        <filter val="&quot;European mink-polecat hybridization events: Hazards from natural process?&quot; OR"/>
        <filter val="&quot;Factors associated with wolverine Gulo gulo predation on domestic sheep&quot; OR"/>
        <filter val="&quot;Satellite-detected forest disturbance forecasts American marten population decline: The case for supportive space-based monitoring&quot; OR"/>
        <filter val="&quot;Population subdivision and peripheral isolation in American badgers (Taxidea taxus) and implications for conservation planning in Canada&quot; OR"/>
        <filter val="&quot;Dynamics of abundance and population structure of sea otters, Enhydra lutris L., on the Commander Archipelago and activity of their migrations between Islands&quot; OR"/>
        <filter val="&quot;Patterns of mortality in southern sea otters (Enhydra lutris nereis) from 1998-2001&quot; OR"/>
        <filter val="&quot;Sea otter population declines in the Aleutian archipelago&quot; OR"/>
        <filter val="&quot;Using stochastic simulation to evaluate competing risks of wildfires and fuels management on an isolated forest carnivore&quot; OR"/>
        <filter val="&quot;Conservation genetics of the fisher (Pekania pennanti) based on mitochondrial DNA sequencing&quot; OR"/>
        <filter val="&quot;Records of Recovering American Marten, Martes americana, in New Hampshire&quot; OR"/>
        <filter val="&quot;Good medicine for conservation biology: The intersection of epidemiology and conservation theory&quot; OR"/>
        <filter val="&quot;Influence of landscape pattern on habitat use by American marten in an industrial forest&quot; OR"/>
        <filter val="&quot;Resource Selection by Black-Footed Ferrets in South Dakota and Montana&quot; OR"/>
        <filter val="&quot;Raising awareness of the plight of the critically endangered European mink in Spain is not miscommunication: a response to Melero&quot; OR"/>
        <filter val="&quot;Polychlorinated Biphenyls and Reproductive Performance in Otters From the Norwegian Coast&quot; OR"/>
        <filter val="&quot;Genetic diversity of reintroduced American martens in Michigan's Lower Peninsula&quot; OR"/>
        <filter val="&quot;Density of Fishers and the Efficacy of Relative Abundance Indices and Small-Scale Occupancy Estimation to Detect a Population Decline on the Hoopa Valley Indian Reservation, California&quot; OR"/>
        <filter val="&quot;Habitat, Climate, and Fisher and Marten Distributions&quot; OR"/>
        <filter val="&quot;Conflict between Fishermen and Giant Otters Pteronura brasiliensis in Western Brazilian Amazon&quot; OR"/>
        <filter val="&quot;Animal decisions and conservation: the recolonization of a severely polluted river by the Eurasian otter&quot; OR"/>
        <filter val="&quot;The structure of vertebrate predator community in north-eastern Belarus before and after naturalization of the American mink and raccoon dog&quot; OR"/>
        <filter val="&quot;MARTEN ACTIVITY IN UNCUT AND LOGGED BOREAL FORESTS IN ONTARIO&quot; OR"/>
        <filter val="&quot;Genetic structure of North American wolverine (Gulo gulo) populations&quot; OR"/>
        <filter val="&quot;Otter, come out!': taking away the stone on the southernmost Italian Lutra lutra population&quot; OR"/>
        <filter val="&quot;DECLINE OF OTTER LUTRA-LUTRA L IN BRITAIN - ANALYSIS OF HUNTING RECORDS AND DISCUSSION OF CAUSES&quot; OR"/>
        <filter val="&quot;Human-modified landscape acts as refuge for mammals in Atlantic Forest&quot; OR"/>
        <filter val="&quot;Impact of Population Expansion on Genetic Diversity and Structure of River Otters (Lontra canadensis) in Central North America&quot; OR"/>
        <filter val="&quot;Ecological effectiveness: Conservation goals for interactive species&quot; OR"/>
        <filter val="&quot;A comparison on the response to forest fragmentation by medium-sized Iberian carnivores in central Spain&quot; OR"/>
        <filter val="&quot;Landscape features in the habitat selection of European mink (Mustela lutreola) in south-western Europe&quot; OR"/>
        <filter val="&quot;Invasive American Mink: Linking Pathogen Risk Between Domestic and Endangered Carnivores&quot; OR"/>
        <filter val="&quot;PAST AND PRESENT DISTRIBUTION OF BADGERS MELES-MELES IN THE COPENHAGEN AREA&quot; OR"/>
        <filter val="&quot;EVIDENCE FOR RECOVERY OF BODY-MASS AND HAPTOGLOBIN VALUES OF RIVER OTTERS FOLLOWING THE EXXON-VALDEZ OIL-SPILL&quot; OR"/>
        <filter val="&quot;Distemper virus as a cause of central nervous disease and death in badgers (Meles meles) in Denmark&quot; OR"/>
        <filter val="&quot;Helminth communities of the autochthonous mustelids Mustela lutreola and M. putorius and the introduced Neovison vison in south-western France&quot; OR"/>
        <filter val="&quot;Do alien North American mink compete for resources with native South American river otter in Argentinean Patagonia?&quot; OR"/>
        <filter val="&quot;Hybridization between escaped domestic and wild American mink (Neovison vison)&quot; OR"/>
        <filter val="&quot;Home range and movements of long-tailed weasels in a landscape fragmented by agriculture&quot; OR"/>
        <filter val="&quot;Secondary rodenticide poisoning risk arising from winter farmyard use by the European polecat Mustela putorius&quot; OR"/>
        <filter val="&quot;The presence of rabbits adjacent to roads increases polecat road mortality&quot; OR"/>
        <filter val="&quot;Growth in otter (Lutra lutra) populations in the UK as shown by long-term monitoring&quot; OR"/>
        <filter val="&quot;Reductions in the dietary niche of southern sea otters (Enhydra lutris nereis) from the Holocene to the Anthropocene&quot; OR"/>
        <filter val="&quot;River otters in Yellowstone Lake depend on a declining cutthroat trout population&quot; OR"/>
        <filter val="&quot;The marine otter Lontra felina (Molina, 1782): A review of its present status and implications for future conservation&quot; OR"/>
        <filter val="&quot;Decline in endangered species as an indication of anthropic pressures: The case of European mink Mustela lutreola western population&quot; OR"/>
        <filter val="&quot;Fishers, farms, and forests in eastern North America&quot; OR"/>
        <filter val="&quot;Foraging plasticity in a highly specialized carnivore, the endangered black-footed ferret&quot; OR"/>
        <filter val="&quot;Review and quantitative meta-analysis of diet suggests the Eurasian otter (Lutra lutra) is likely to be a poor bioindicator&quot; OR"/>
        <filter val="&quot;Habitat selection of American marten in a logged landscape at the southern fringe of the boreal forest&quot; OR"/>
        <filter val="&quot;Mammals of Cleopatra's Needle Critical Habitat: Outcomes of a rapid assessment&quot; OR"/>
        <filter val="&quot;Reports on badgers Meles meles in Dutch newspapers 1900-2013: same animals, different framings?&quot; OR"/>
        <filter val="&quot;Genetic diversity and population structure in the endangered giant otter, Pteronura brasiliensis&quot; OR"/>
        <filter val="&quot;Clinical pathology and assessment of pathogen exposure in southern and Alaskan sea otters&quot; OR"/>
        <filter val="&quot;Prolonged recovery of sea otters from the Exxon Valdez oil spill? A re-examination of the evidence&quot; OR"/>
        <filter val="&quot;CONTAMINANTS IN FISHES FROM GREAT LAKES-INFLUENCED SECTIONS AND ABOVE DAMS OF 3 MICHIGAN RIVERS .2. IMPLICATIONS FOR HEALTH OF MINK&quot; OR"/>
        <filter val="&quot;Effects of extensive fishpond management and human disturbance factors on Eurasian otter (Lutra lutra L. 1758) populations in Eastern Europe&quot; OR"/>
        <filter val="&quot;PREVALENCE TO TOXOPLASMA GONDII AND SARCOCYSTIS SPP. IN A REINTRODUCED FISHER (Pekania pennanti) POPULATION IN PENNSYLVANIA&quot; OR"/>
        <filter val="&quot;The conservation of medium-sized mammals in two private ecological reserves of Veracruz, Mexico&quot; OR"/>
        <filter val="&quot;ORGANOCHLORINE PESTICIDE-RESIDUES AND PCBS IN OTTER SCATS FROM NATAL&quot; OR"/>
        <filter val="&quot;Habitat utilization by sympatric European mink Mustela lutreola and polecats Mustela putorius in south-western France&quot; OR"/>
        <filter val="&quot;Otter Lutra lutra population expansion: assessing habitat suitability and connectivity in southern Italy&quot; OR"/>
        <filter val="&quot;Distribution and broadscale habitat relations of the wolverine in the contiguous United States&quot; OR"/>
        <filter val="&quot;THE STATUS OF THE BADGER MELES-MELES (L, 1758) (CARNIVORA, MUSTELIDAE) IN EUROPE&quot; OR"/>
        <filter val="&quot;Recovery of Wolverines in the Western United States: Recent Extirpation and Recolonization or Range Retraction and Expansion?&quot; OR"/>
        <filter val="&quot;European badger habitat requirements in the Netherlands - combining ecological niche models with neighbourhood analysis&quot; OR"/>
        <filter val="&quot;Trends in distribution of the European mink (Mustela lutreola L., 1761) in Spain: 1950-1999&quot; OR"/>
        <filter val="&quot;Quantifying long-term risks to sea otters from the 1989 'Exxon Valdez' oil spill: Reply to Harwell &amp; Gentile (2013) Reply COMMENT&quot; OR"/>
        <filter val="&quot;Molecular survey of genetic diversity in the endangered European mink Mustela lutreola&quot; OR"/>
        <filter val="&quot;Evaluation of an indirect fluorescent antibody test (IFAT) for demonstration of antibodies to Toxoplasma gondii in the sea otter (Enhydra lutris)&quot; OR"/>
        <filter val="&quot;The role of feral mammals on wildlife infectious disease prevalence in two nature reserves within Mexico City limits&quot; OR"/>
        <filter val="&quot;PCBs and their putative effects on polecat (Mustela putorius) populations in Central Europe&quot; OR"/>
        <filter val="&quot;Geographic characteristics of sable (Martes zibellina) distribution over time in Northeast China&quot; OR"/>
        <filter val="&quot;Spatial and temporal exposure patterns in non-target small mammals during brodifacoum rat control&quot; OR"/>
        <filter val="&quot;A SNOWSHOE HARE SNARE SYSTEM TO MINIMIZE CAPTURE OF MARTEN&quot; OR"/>
        <filter val="&quot;An assessment of British farmers' and gamekeepers' experiences, attitudes and practices in relation to the European Polecat Mustela putorius&quot; OR"/>
        <filter val="&quot;Genetic structure and evidence for recent population decline in Eurasian otter populations in the Czech and Slovak Republics: implications for conservation&quot; OR"/>
        <filter val="&quot;MORTALITY OF SEA OTTERS IN PRINCE-WILLIAM SOUND FOLLOWING THE EXXON-VALDEZ OIL-SPILL&quot; OR"/>
        <filter val="&quot;Relationship between small-game hunting and carnivore diversity in central Spain&quot; OR"/>
        <filter val="&quot;Could residual oil from the Exxon Valdez spill create a long-term population&quot; OR"/>
        <filter val="&quot;THE OCCURRENCE OF PATHOGENS IN AN ENDANGERED POPULATION OF AMERICAN BADGERS (TAXIDEA TAXUS JACKSONI) IN ONTARIO, CANADA&quot; OR"/>
        <filter val="&quot;Stream health, topography, and land use influences on the distribution of the Eurasian otter Lutra lutra in the Nakdong River basin, South Korea&quot; OR"/>
        <filter val="&quot;Do American mink kill European mink? Cautionary message for future recovery efforts&quot; OR"/>
        <filter val="&quot;Inferring geographic isolation of wolverines in California using historical DNA&quot; OR"/>
        <filter val="&quot;Reoccupation of historical areas by the endangered giant river otter Pteronura brasiliensis (Carnivora: Mustelidae) in Central Amazonia, Brazil&quot; OR"/>
        <filter val="&quot;The role of habitat enhancement in the return of the European otter (Lutra lutra) to Northumberland&quot; OR"/>
        <filter val="&quot;Applying ecological knowledge in landscape planning: a simulation model as a tool to evaluate scenarios for the badger in the Netherlands&quot; OR"/>
        <filter val="&quot;A test of aversive agents on wolverines&quot; OR"/>
        <filter val="&quot;ORGANOCHLORINE RESIDUE LEVELS IN THE EUROPEAN MINK (MUSTELA-LUTREOLA) IN NORTHERN SPAIN&quot; OR"/>
        <filter val="&quot;The importance of thinking big: Large-scale prey conservation drives black-footed ferret reintroduction success&quot; OR"/>
        <filter val="&quot;The selective dietary accumulation of planar polychlorinated biphenyls in the otter (Lutra lutra)&quot; OR"/>
        <filter val="&quot;Large-scale variation in density of an aquatic ecosystem indicator species&quot; OR"/>
        <filter val="&quot;Chronic oral exposure to bunker C fuel oil causes adrenal insufficiency in ranch mink (Neovison vison)&quot; OR"/>
        <filter val="&quot;Safeguarding the Pantanal wetlands: Threats and conservation initiatives&quot; OR"/>
        <filter val="&quot;STUDY ON EVALUATING THE CONSERVATION STATUS OF SPECIES OF MAMMALS AT THE NATURAL PROTECTED AREA GILORT RIVER&quot; OR"/>
        <filter val="&quot;Genetic structure of sensitive and endangered northwestern badger populations (Taxidea taxus taxus and T-t. jeffersonii)&quot; OR"/>
        <filter val="&quot;Effects of agro-forestry activities, cattle-raising practices and food-related factors in badger sett location and use in Portugal&quot; OR"/>
        <filter val="&quot;Estimating distribution and connectivity of recolonizing American marten in the northeastern United States using expert elicitation techniques&quot; OR"/>
        <filter val="&quot;Demography of the Giant Otter (Pteronura brasiliensis) in Manu National Park, South-Eastern Peru: Implications for Conservation&quot; OR"/>
        <filter val="&quot;Reproduction, abundance, and population growth for a fisher (Pekania pennanti) population in the Sierra National Forest, California&quot; OR"/>
        <filter val="&quot;Congener-specific model for polychlorinated biphenyl effects on otter (Lutra lutra) and associated sediment quality criteria&quot; OR"/>
        <filter val="&quot;The influence of public access and sett visibility on badger (Meles meles) sett disturbance and persistence&quot; OR"/>
        <filter val="&quot;Spatio-temporal population genetics of the Danish pine marten (Martes martes)&quot; OR"/>
        <filter val="&quot;Rapid expansion of the American mink poses a serious threat to the European mink in Spain&quot; OR"/>
        <filter val="&quot;PCBS AND ORGANOCHLORINE PESTICIDE-RESIDUES IN OTTER (LUTRA-LUTRA) SPRAINTS FROM WELSH CATCHMENTS AND THEIR SIGNIFICANCE TO OTTER CONSERVATION STRATEGIES&quot; OR"/>
        <filter val="&quot;Determining carnivore habitat use in a rubber/forest landscape in Brazil using multispecies occupancy models&quot; OR"/>
        <filter val="&quot;DISTRIBUTION AND STATUS OF SMALL AND MEDIUM-SIZED CARNIVORES IN LATVIA&quot; OR"/>
        <filter val="&quot;Carnivores as focal species for conservation planning in the Rocky Mountain region&quot; OR"/>
        <filter val="&quot;Bartonella spp. Exposure in Northern and Southern Sea Otters in Alaska and California&quot; OR"/>
        <filter val="&quot;THE EUROPEAN PINE MARTEN MARTES-MARTES IN THE BALEARIC-ISLANDS, SPAIN&quot; OR"/>
        <filter val="&quot;The diversity, status and conservation of small carnivores in a montane tropical forest in northern Laos&quot; OR"/>
        <filter val="&quot;Population structure and recent temporal changes in genetic variation in Eurasian otters from Sweden&quot; OR"/>
        <filter val="&quot;ESTIMATING POPULATIONS OF MARINE RIVER OTTERS IN PRINCE WILLIAM SOUND, ALASKA, USING RADIOTRACER IMPLANTS&quot; OR"/>
        <filter val="&quot;Genetic structure of sable (Martes zibellina L.) in Eurasia-analysis of the mitochondrial lineages distribution&quot; OR"/>
        <filter val="&quot;Assessment of genetic variance among source and reintroduced fisher populations&quot; OR"/>
        <filter val="&quot;Terrestrial carnivores and human food production: impact and management&quot; OR"/>
        <filter val="&quot;CAUSE-EFFECT LINKAGES BETWEEN CHEMICALS AND POPULATIONS OF MINK (MUSTELA-VISON) AND OTTER (LUTRA-CANADENSIS) IN THE GREAT-LAKES BASIN&quot; OR"/>
        <filter val="&quot;Correlates to survival of juvenile sea otters in Prince William Sound, Alaska, 1992-1993&quot; OR"/>
        <filter val="&quot;A conceptual framework for understanding illegal killing of large carnivores&quot; OR"/>
        <filter val="&quot;Concentrations of organohalogens (PCBs, DDTs, PBDEs) in hunted and stranded Northern sea otters (Enhydra lutris kenyoni) in Alaska from 1992 to 2010: Links to pathology and feeding ecology&quot; OR"/>
        <filter val="&quot;The diet of denning female Europeanpine martens (Martes martes) in Galloway Forest District, South West Scotland, Great Britain&quot; OR"/>
        <filter val="&quot;THE STATUS OF THE OTTER (LUTRA-LUTRA) IN THE BRITISH-ISLES&quot; OR"/>
        <filter val="&quot;Effect of felling on the distribution of rodents and their predators in a transitional mixed forest&quot; OR"/>
        <filter val="&quot;A review of the status of the Western polecat Mustela putorius: a neglected and declining species?&quot; OR"/>
        <filter val="&quot;Canine Distemper Epizootic in Everglades Mink&quot; OR"/>
        <filter val="&quot;The neglected otters in China: Distribution change in the past 400 years and current conservation status&quot; OR"/>
        <filter val="&quot;A carnivores' oasis? An isolated fisher (Pekania pennanti) population provides insight on persistence of a metapopulation&quot; OR"/>
        <filter val="&quot;Multi-season occupancy analysis reveals large scale competitive exclusion of the critically endangered European mink by the invasive non-native American mink in Spain&quot; OR"/>
        <filter val="&quot;INFORMATION ON BLACK-FOOTED FERRET BIOLOGY COLLECTED WITHIN THE FRAMEWORK OF FERRET CONSERVATION&quot; OR"/>
        <filter val="&quot;Temporal and spatial trends in chlorinated hydrocarbon concentrations of mink in Canadian Lakes Erie and St. Clair&quot; OR"/>
        <filter val="&quot;A multi-temporal approach to model endangered species distribution in Europe. The case of the Eurasian otter in Italy&quot; OR"/>
        <filter val="&quot;Burrow Dusting or Oral Vaccination Prevents Plague-Associated Prairie Dog Colony Collapse&quot; OR"/>
        <filter val="&quot;Winter diet of marten during a snowshoe hare decline&quot; OR"/>
        <filter val="&quot;Eurasian otter Lutra lutra in developing countries: a resurvey of Albania 22 years after the fall of communism&quot; OR"/>
        <filter val="&quot;Detection of Endangered American Martens (Martes americana) in Apostle Islands National Lakeshore, Wisconsin&quot; OR"/>
        <filter val="&quot;RIVER OTTER (LUTRA-CANADENSIS) REINTRODUCTION IN PENNSYLVANIA, PRERELEASE CARE AND CLINICAL-EVALUATION&quot; OR"/>
        <filter val="&quot;Gene Transcript Profiling in Sea Otters Post-Exxon Valdez Oil Spill: A Tool for Marine Ecosystem Health Assessment&quot; OR"/>
        <filter val="&quot;Rediscovery of the Scottish polecat, Mustela putorius: Survival or reintroduction?&quot; OR"/>
        <filter val="&quot;Can the grey literature help us understand the decline and extinction of the Near Threatened Eurasian otter Lutra lutra in Latium, central Italy?&quot; OR"/>
        <filter val="&quot;EFFICACY OF TWO CANINE DISTEMPER VACCINES IN WILD NEARCTIC RIVER OTTERS (LONTRA CANADENSIS)&quot; OR"/>
        <filter val="&quot;Is the western population of the European mink, (Mustela lutreola), a distinct Management Unit for conservation?&quot; OR"/>
        <filter val="&quot;Exposure of stone marten (Martes foina) and polecat (Mustela putorius) to anticoagulant rodenticides: Effects of regulatory restrictions of rodenticide use&quot; OR"/>
        <filter val="&quot;Forest heterogeneity influences habitat selection by fishers (Pekania pennanti) within home ranges&quot; OR"/>
        <filter val="&quot;Impact of predator removal on predator and mountain hare populations in Finland&quot; OR"/>
        <filter val="&quot;River Otter Population Size Estimation Using Noninvasive Latrine Surveys&quot; OR"/>
        <filter val="&quot;Distributional history of the American mink (Neovison vison) in Finland with special reference to the trends in otter (Lutra lutra) populations&quot; OR"/>
        <filter val="&quot;Biological invasions provide a framework for reintroductions: selecting areas in England for pine marten releases&quot; OR"/>
        <filter val="&quot;Habitat Potential Mapping of Marten (Martes flavigula) and Leopard Cat (Prionailurus bengalensis) in South Korea Using Artificial Neural Network Machine Learning&quot; OR"/>
        <filter val="&quot;Novel Bartonella infection in northern and southern sea otters (Enhydra lutris kenyoni and Enhydra lutris nereis)&quot; OR"/>
        <filter val="&quot;Molecular detection and characterization of carnivore parvoviruses in free-ranging Eurasian otters (Lutra lutra) in southern Italy&quot; OR"/>
        <filter val="&quot;Anticoagulant rodenticides in stoats (Mustela erminea) and weasels (Mustela nivalis) in England&quot; OR"/>
        <filter val="&quot;Abundance Trends of American Martens in Michigan Based on Statistical Population Reconstruction&quot; OR"/>
        <filter val="&quot;Limited genetic diversity among Sarcocystis neurona strains infecting southern sea otters precludes distinction between marine and terrestrial isolates&quot; OR"/>
        <filter val="&quot;Seroprevalence of Toxoplasma gondii in the Eurasian otter (Lutra lutra) in England and Wales&quot; OR"/>
        <filter val="&quot;Trace element analysis of three tissues from Eurasian otters (Lutra lutra) in South Korea&quot; OR"/>
        <filter val="&quot;Comparative survival pattern of the syntopic pine and stone martens in a trapped rural area in France&quot; OR"/>
        <filter val="&quot;Interacting effects of climate change, landscape conversion, and harvest on carnivore populations at the range margin: Marten and Lynx in the northern Appalachians&quot; OR"/>
        <filter val="&quot;The American mink in Europe: Status, impacts, and control&quot; OR"/>
        <filter val="&quot;The effects of bovine tuberculosis (Mycobacterium bovis) on mortality in a badger (Meles meles) population in England&quot; OR"/>
        <filter val="&quot;Synanthropy and marine conservation: the case of the marine otter Lontra felina in Southern Chile&quot; OR"/>
        <filter val="&quot;Ecology and biogeography of the Neotropical otter Lontra longicaudis: existing knowledge and open questions&quot; OR"/>
        <filter val="&quot;Lontra longicaudis infected with canine parvovirus and parasitized by Dioctophyma renale&quot; OR"/>
        <filter val="&quot;Factors determining habitat choice of the smooth-coated otter, Lutrogale perspicillata in a South Indian river system&quot; OR"/>
        <filter val="&quot;Factors affecting the occurrence of smooth-coated otter in aquatic systems of the Upper Gangetic Plains, India&quot; OR"/>
        <filter val="&quot;Compensatory immigration counteracts contrasting conservation strategies of wolverines (Gulo gulo) within Scandinavia&quot; OR"/>
        <filter val="&quot;Snow cover and riparian habitat determine the distribution of the short-tailed weasel (Mustela erminea) at its southern range limits in arid western North America&quot; OR"/>
        <filter val="&quot;TEMPORAL ASSOCIATION BETWEEN LAND-BASED RUNOFF EVENTS AND CALIFORNIA SEA OTTER (ENHYDRA LUTRIS NEREIS) PROTOZOAL MORTALITIES&quot; OR"/>
        <filter val="&quot;Use of the ACTH challenge test to identify the predominant glucocorticoid in the southern sea otter (Enhydra lutris nereis)&quot; OR"/>
        <filter val="&quot;Decline in sea otter (Enhydra lutris) populations along the Alaska Peninsula, 1986-2001&quot; OR"/>
        <filter val="&quot;Genetic structure in otter (Lutra lutra) populations in Europe: implications for conservation&quot; OR"/>
        <filter val="&quot;Otters vs. fishermen: Stakeholders' perceptions of otter predation and damage compensation in the Czech Republic&quot; OR"/>
        <filter val="&quot;Causes of mortality in California sea otters during periods of population growth and decline&quot; OR"/>
        <filter val="&quot;Mortality sensitivity in life-stage simulation analysis: A case study of southern sea otters&quot; OR"/>
        <filter val="&quot;Activity patterns and use of resting sites by polecats in an endangered population&quot; OR"/>
        <filter val="&quot;Historical biogeography sets the foundation for contemporary conservation of martens (genus Martes) in northwestern North America&quot; OR"/>
        <filter val="&quot;THE STATUS OF 2 ENDANGERED CARNIVORES OCCURRING IN THE CAPE-PROVINCE, SOUTH-AFRICA, FELIS-SERVAL AND LUTRA-MACULICOLLIS&quot; OR"/>
        <filter val="&quot;Edge-core effects and the effectiveness of traditional reserves in conservation: Eurasian badgers in Donana National Park&quot; OR"/>
        <filter val="&quot;Land use drivers of species re-expansion: inferring colonization dynamics in Eurasian otters&quot; OR"/>
        <filter val="&quot;Microsatellite DNA and mitochondrial DNA variation in remnant and translocated sea otter (Enhydra lutris) populations&quot; OR"/>
        <filter val="&quot;Impacts of Rodenticide and Insecticide Toxicants from Marijuana Cultivation Sites on Fisher Survival Rates in the Sierra National Forest, California&quot; OR"/>
        <filter val="&quot;Factors affecting occupancy by the European mink in south-western Europe&quot; OR"/>
        <filter val="&quot;Genetic bottleneck in the threatened western population of European mink Mustela lutreola&quot; OR"/>
        <filter val="&quot;Mortality Risks and Limits to Population Growth of Fishers&quot; OR"/>
        <filter val="&quot;Assessing the distribution pattern of otters in four rivers of the Indian Himalayan biodiversity hotspot&quot; OR"/>
        <filter val="&quot;Distribution and habitat models of the Eurasian otter, Lutra lutra, in South Korea&quot; OR"/>
        <filter val="&quot;Innovative Techniques for Estimating Illegal Activities in a Human-Wildlife-Management Conflict&quot; OR"/>
        <filter val="&quot;Colonization history and noninvasive monitoring of a reestablished wolverine population&quot; OR"/>
        <filter val="&quot;Riparian vegetation provides crucial shelter for resting otters in a human-dominated landscape&quot; OR"/>
        <filter val="&quot;PREVALENCE OF ANTIBODY TO ALEUTIAN MINK DISEASE VIRUS IN EUROPEAN MINK (MUSTELA LUTREOLA) AND AMERICAN MINK (NEOVISON VISON) IN SPAIN&quot; OR"/>
        <filter val="&quot;OTTER LUTRA-LUTRA L MORTALITY AND MARINE OIL POLLUTION&quot; OR"/>
        <filter val="&quot;Making sense of the policy process for carnivore conservation&quot; OR"/>
        <filter val="&quot;Shaping carnivore communities by predator control: competitor release revisited&quot; OR"/>
        <filter val="&quot;Misleading interpretation of shifting baseline syndrome in the conservation of European mink&quot; OR"/>
        <filter val="&quot;Serology and protein electrophoresis for evidence of exposure to 12 mink pathogens in free-ranging American mink (Neovison vison) in Argentina&quot; OR"/>
        <filter val="&quot;Vaccines for Conservation: Plague, Prairie Dogs &amp; Black-Footed Ferrets as a Case Study&quot; OR"/>
        <filter val="&quot;Transmission of Toxoplasma: Clues from the study of sea otters as sentinels of Toxoplasma gondii flow into the marine environment&quot; OR"/>
        <filter val="&quot;Molecular characterization and prevalence of Halarachne halichoeri in threatened southern sea otters (Enhydra lutris nereis)&quot; OR"/>
        <filter val="&quot;The return of giant otter to the Baniwa Landscape: A multi-scale approach to species recovery in the middle Icana River, Northwest Amazonia, Brazil&quot; OR"/>
        <filter val="&quot;Mercury levels in tissues of otters from Ontario, Canada: Variation with age, sex, and location&quot; OR"/>
        <filter val="&quot;Regional variation in home-range-scale habitat models for fisher (Pekania pennanti) in California&quot; OR"/>
        <filter val="&quot;Long-term effects of the 'Exxon Valdez' oil spill: sea otter foraging in the intertidal as a pathway of exposure to lingering oil&quot; OR"/>
        <filter val="&quot;Conservation importance of Nakai-Nam Theun National Protected Area, Laos, for small carnivores based on camera trap data&quot; OR"/>
        <filter val="&quot;Rabies in a river otter (Lontra canadensis) intended for reintroduction&quot; OR"/>
        <filter val="&quot;Limited effects of a keystone species: trends of sea otters and kelp forests at the Semichi Islands, Alaska&quot; OR"/>
        <filter val="&quot;Effects of mid-winter snow depth on stand selection by Wolverines, Gulo gulo luscus, in the boreal forest&quot; OR"/>
        <filter val="&quot;THE DECLINE OF OTTER LUTRA-LUTRA POPULATIONS IN THE REGION OF THE PAYS-DE-LOIRE, WESTERN FRANCE&quot; OR"/>
        <filter val="&quot;Enteric bacterial pathogen detection in southern sea otters (Enhydra lutris nereis) is associated with coastal urbanization and freshwater runoff&quot; OR"/>
        <filter val="&quot;ORGANOCHLORINE PESTICIDE-RESIDUES AND PCBS IN DANISH OTTERS (LUTRA-LUTRA)&quot; OR"/>
        <filter val="&quot;A distemper outbreak in beech martens (Martes foina) in Flanders&quot; OR"/>
        <filter val="&quot;Habitat selection by European badgers in Mediterranean semi-arid ecosystems&quot; OR"/>
        <filter val="&quot;Mink Farms Predict Aleutian Disease Exposure in Wild American Mink&quot; OR"/>
        <filter val="&quot;Food limitation and the recovery of sea otters following the 'Exxon Valdez' oil spill&quot; OR"/>
        <filter val="&quot;Key landscape factors for Eurasian otter Lutra lutra visiting rates and fish loss in estuarine fish farms&quot; OR"/>
        <filter val="&quot;Effects of prey metapopulation structure on the viability of black-footed ferrets in plague-impacted landscapes: a metamodelling approach&quot; OR"/>
        <filter val="&quot;Lack of Spatial Immunogenetic Structure among Wolverine (Gulo gulo) Populations Suggestive of Broad Scale Balancing Selection&quot; OR"/>
        <filter val="&quot;Conservation genetics and population history of the threatened European mink Mustela lutreola, with an emphasis on the west European population&quot; OR"/>
        <filter val="&quot;Studies of bioaccumulation and biotransformation of PCBs in mustelids based on concentration and congener patterns in predators and preys&quot; OR"/>
        <filter val="&quot;PLAGUE IN A BLACK-FOOTED FERRET (MUSTELA NIGRIPES)&quot; OR"/>
        <filter val="&quot;First report of a naturally patent infection with Dirofilaria immitis in an otter (Lutra lutra)&quot; OR"/>
        <filter val="&quot;Ski Areas affect Pacific Marten Movement, Habitat Use, and Density&quot; OR"/>
        <filter val="&quot;Post-release survival of river otters: Effects of exposure to crude oil and captivity&quot; OR"/>
        <filter val="&quot;Spatial modelling of non-target exposure to anticoagulant rodenticides can inform mitigation options in two boreal predators inhabiting areas with intensive oil and gas development&quot; OR"/>
        <filter val="&quot;Genetic diversity and population structure of the Eurasian otter (Lutra lutra) in France&quot; OR"/>
        <filter val="&quot;Updated status of the Sea Otter, Enhydra lutris, in Canada&quot; OR"/>
        <filter val="&quot;Antibodies to aleutian mink disease parvovirus in free-ranging European mink (Mustela lutreola) and other small carnivores from Southwestern France&quot; OR"/>
        <filter val="&quot;Detecting and inferring cause of change in an Alaska nearshore marine ecosystem&quot; OR"/>
        <filter val="&quot;Genetic Diversity of the Eurasian Otter (Lutra lutra) Population in Israel&quot; OR"/>
        <filter val="&quot;Novel infections of Corynosoma enhydri and Profilicollis sp. (Acanthocephala: Polymorphidae) identified in sea otters Enhydra lutris&quot; OR"/>
        <filter val="&quot;More than range exposure: Global otter vulnerability to climate change&quot; OR"/>
        <filter val="&quot;Current status of knowledge on the neotropical otter (Lontra longicaudis annectens) in Durango, Mexico&quot; OR"/>
        <filter val="&quot;Modelling semi-aquatic vertebrates' distribution at the drainage basin scale: The case of the otter Lutra lutra in Italy&quot; OR"/>
        <filter val="&quot;Biology and conservation of the giant otter Pteronura brasiliensis&quot; OR"/>
        <filter val="&quot;Marine mammal bycatch in gillnet and other entangling net fisheries, 1990 to 2011&quot; OR"/>
        <filter val="&quot;Riverbank assessment and management for the Eurasian otter in the north of Luxembourg&quot; OR"/>
        <filter val="&quot;If a tree falls in a forest: implications of forest structure persistence for the Pacific marten (Martes caurina)&quot; OR"/>
        <filter val="&quot;Use of Aguieira Dam by Eurasian otters in Central Portugal&quot; OR"/>
        <filter val="&quot;Habitat use and diet of endangered southern river otter Lontra provocax in a predominantly palustrine wetland in Chile&quot; OR"/>
        <filter val="&quot;Habitat use by the Cape clawless otter and the spotted-necked otter in the KwaZulu-Natal Drakensberg, South Africa&quot; OR"/>
        <filter val="&quot;Pine marten (Martes martes) distribution and abundance in Ireland: A cross-jurisdictional analysis using non-invasive genetic survey techniques&quot; OR"/>
        <filter val="&quot;Assessing dam implementation impact on threatened carnivores: the case of Alqueva in SE Portugal&quot; OR"/>
        <filter val="&quot;Both forest composition and configuration influence landscape-scale habitat selection by fishers (Pekania pennanti) in mixed coniferous forests of the Northern Rocky Mountains&quot; OR"/>
        <filter val="&quot;Status of the wolverine Gulo gulo in Canada&quot; OR"/>
        <filter val="&quot;Mitigating Highways for a Ghost: Data Collection Challenges and Implications for Managing Wolverines and Transportation Corridors&quot; OR"/>
        <filter val="&quot;The impact of sett disturbance on badger Meles meles numbers; when does protective legislation work?&quot; OR"/>
        <filter val="&quot;Activity and home range in a recently widespread European mink population in Western Europe&quot; OR"/>
        <filter val="&quot;Evaluation of the genetic management of the endangered black-footed ferret (Mustela nigripes)&quot; OR"/>
        <filter val="&quot;The influence of forest fragmentation and landscape pattern on American martens&quot; OR"/>
        <filter val="&quot;Salicaceae afforestations: advantage or disadvantage for Neotropical otter in its southernmost distribution?&quot; OR"/>
        <filter val="&quot;Predicted distribution of the Bornean ferret badger Melogale everetti (Mammalia: Carnivora: Mustelidae) on Borneo&quot; OR"/>
        <filter val="&quot;EFFECTS OF FRESH-WATER AVAILABILITY ON THE SUMMER DISTRIBUTION OF OTTERS LUTRA-LUTRA IN THE SOUTHWEST COAST OF PORTUGAL&quot; OR"/>
        <filter val="&quot;THE ITALIAN ACTION PLAN FOR THE ENDANGERED EURASIAN OTTER LUTRA LUTRA&quot; OR"/>
        <filter val="&quot;Aleutian mink disease parvovirus in wild riparian carnivores in Spain&quot; OR"/>
        <filter val="&quot;Home-range sizes and altitude selection for arctic foxes and wolverines in an alpine environment&quot; OR"/>
        <filter val="&quot;Genetic structure of Eurasian otter (Lutra lutra, Carnivora: Mustelidae) populations from the western Baltic sea region and its implications for the recolonization of north-western Germany&quot; OR"/>
        <filter val="&quot;Social organization and territoriality of giant otters (Carnivora : Mustelidae) in a seasonally flooded savanna in Brazil&quot; OR"/>
        <filter val="&quot;Working with experts to quantify changes in the abundance of furbearers following rapid and large-scale forest harvesting&quot; OR"/>
        <filter val="&quot;Measures of effective population size in sea otters reveal special considerations for wide-ranging species&quot; OR"/>
        <filter val="&quot;Population trends and harvest management of pine marten Martes martes in Scandinavia&quot; OR"/>
        <filter val="&quot;Patterns of genetic variation in the endangered European mink (Mustela lutreola L., 1761)&quot; OR"/>
        <filter val="&quot;Conservation of the European mink (Mustela lutreola): Focus on reproduction and reproductive technologies&quot; OR"/>
        <filter val="&quot;The otter (Lutra lutra Linnaeus, 1758) in Belgium: an unpopular and maltreated species (19th-early 20th centuries)&quot; OR"/>
        <filter val="&quot;Impact of a natural disaster on the habitat and occurrence of Lontra longicaudis (Mustelidae, Carnivora) in Serra da Prata, Parana, Brazil&quot; OR"/>
        <filter val="&quot;Cryptosporidium spp. and Giardia sp in aquatic mammals in northern and northeastern Brazil&quot; OR"/>
        <filter val="&quot;Enzootic Plague Reduces Black-Footed Ferret (Mustela nigripes) Survival in Montana&quot; OR"/>
        <filter val="&quot;Niche overlap of competing carnivores across climatic gradients and the conservation implications of climate change at geographic range margins&quot; OR"/>
        <filter val="&quot;PCB exposure in sea otters and harlequin ducks in relation to history of contamination by the Exxon Valdez oil spill&quot; OR"/>
        <filter val="&quot;Public acceptability of measures to prevent from predation on commercial fish by the endangered Eurasian otter (Lutra lutra) in Natura 2000&quot; OR"/>
        <filter val="&quot;Extirpation and reintroduction of fishers (Pekania pennanti) in Oregon: implications for their conservation in the Pacific states&quot; OR"/>
        <filter val="&quot;Effects of disturbance on forest carnivores of conservation concern in eastern Oregon and Washington&quot; OR"/>
        <filter val="&quot;Scale-dependent Factors Affecting North American River Otter Distribution in the Midwest&quot; OR"/>
        <filter val="&quot;FLEAS OF BLACK-FOOTED FERRETS (MUSTELA NIGRIPES) AND THEIR POTENTIAL ROLE IN THE MOVEMENT OF PLAGUE&quot; OR"/>
        <filter val="&quot;RFLP analysis of the mitochondrial DNA of otters (Lutra lutra) from Europe - implications for conservation of a flagship species&quot; OR"/>
        <filter val="&quot;Implications of introgression for wildlife translocations: the case of North American martens&quot; OR"/>
        <filter val="&quot;Flexible habitat selection paves the way for a recovery of otter populations in the European Alps&quot; OR"/>
        <filter val="&quot;Carnivore conservation planning on Borneo: identifying key carnivore landscapes, research priorities and conservation interventions&quot; OR"/>
        <filter val="&quot;Synthesis of survival rates and causes of mortality in North American wolverines&quot; OR"/>
        <filter val="&quot;Prevalence, distribution and pathological significance of the bile fluke Pseudamphistomum truncatum in Eurasian otters (Lutra lutra) in Great Britain&quot; OR"/>
        <filter val="&quot;Distribution of Eurasian otter biliary parasites, Pseudamphistomum truncatum and Metorchis albidus (Family Opisthorchiidae), in England and Wales&quot; OR"/>
        <filter val="&quot;HYDROCARBON CONCENTRATIONS AND PATTERNS IN FREE-RANGING SEA OTTERS (ENHYDRA LUTRIS) FROM BRITISH COLUMBIA, CANADA&quot; OR"/>
        <filter val="&quot;The illegal exploitation of hog badgers (Arctonyx collaris) in China: genetic evidence exposes regional population impacts&quot; OR"/>
        <filter val="&quot;Stress-related hormones and genetic diversity in sea otters (Enhydra lutris)&quot; OR"/>
        <filter val="&quot;Testing the nutritional-limitation, predator-avoidance, and storm-avoidance hypotheses for restricted sea otter habitat use in the Aleutian Islands, Alaska&quot; OR"/>
        <filter val="&quot;Challenges to reestablishment of free-ranging populations of black-footed ferrets&quot; OR"/>
        <filter val="&quot;Modeling Behavior by Coastal River Otter (Lontra Canadensis) in Response to Prey Availability in Prince William Sound, Alaska: A Spatially-Explicit Individual-Based Approach&quot; OR"/>
        <filter val="&quot;Weasel (Mustela nivalis) decline in NE Spain: prey or land use change?&quot; OR"/>
        <filter val="&quot;The influence of fish abundance on the otter (Lutra lutra) populations in Iberian Mediterranean habitats&quot; OR"/>
        <filter val="&quot;CHANGES IN DISTRIBUTION OF THE EUROPEAN BADGER MELES-MELES IN FINLAND DURING THE RAPID COLONIZATION OF THE RACCOON DOG&quot; OR"/>
        <filter val="&quot;Distribution, Population Status and Habitat Utilization of Common Otter (Lutra lutra) in Neelum Valley, Azad Jammu and Kashmir&quot; OR"/>
        <filter val="&quot;Abundances of red fox and pine marten in relation to the composition of boreal forest landscapes&quot; OR"/>
        <filter val="&quot;Levels of heavy metals and metalloids in critically endangered Iberian lynx and other wild carnivores from Southern Spain&quot; OR"/>
        <filter val="&quot;Mitochondrial DNA and palaeontological evidence for the origins of endangered European mink, Mustela lutreola&quot; OR"/>
        <filter val="&quot;Survival and cause-specific mortality of a protected population of river otters in Minnesota&quot; OR"/>
        <filter val="&quot;Bayesian clustering techniques and progressive partitioning to identify population structuring within a recovering otter population in the UK&quot; OR"/>
        <filter val="&quot;Movement patterns, habitat selection, and corridor use of a typical woodland-dweller species, the European pine marten (Martes martes), in fragmented landscape&quot; OR"/>
        <filter val="&quot;Illegal pet trade on social media as an emerging impediment to the conservation of Asian otters species&quot; OR"/>
        <filter val="&quot;Voles and weasels in the boreal Fennoscandian small mammal community: what happens if the least weasel disappears due to climate change?&quot; OR"/>
        <filter val="&quot;Severe parasitism by Versteria mustelae (Gmelin, 1790) in the critically endangered European mink Mustela lutreola (Linnaeus, 1761) in Spain&quot; OR"/>
        <filter val="&quot;Geographic distribution, natural history and conservation of the lesser grison Galictis cuja (Carnivora: Mustelidae) from Central Patagonia, Argentina&quot; OR"/>
        <filter val="&quot;Using Molecular Epidemiology to Track Toxoplasma gondii from Terrestrial Carnivores to Marine Hosts: Implications for Public Health and Conservation&quot; OR"/>
        <filter val="&quot;Metal levels in tissues of Eurasian otters (Lutra lutra) from Hungary: Variation with sex, age, condition and location&quot; OR"/>
        <filter val="&quot;The response of otters to environmental changes imposed by the construction of large dams&quot; OR"/>
        <filter val="&quot;Genetic diversity of MHC class II DRB alleles in the marbled polecat, Vormela peregusna, in Bulgaria&quot; OR"/>
        <filter val="&quot;LEPTOSPIROSIS IN FREE-RANGING ENDANGERED EUROPEAN MINK (MUSTELA LUTREOLA) AND OTHER SMALL CARNIVORES (MUSTELIDAE, VIVERRIDAE) FROM SOUTHWESTERN FRANCE&quot; OR"/>
        <filter val="&quot;The otter (Lutra lutra) in Sweden - population trends in relation to Sigma DDT and total PCB concentrations during 1968-99&quot; OR"/>
        <filter val="&quot;THE PAST HISTORY AND RECENT DECLINE OF BADGERS MELES-MELES IN ESSEX - AN ANALYSIS OF SOME OF THE CONTRIBUTORY FACTORS&quot; OR"/>
        <filter val="&quot;Evaluating the effect of American mink, an alien invasive species, on the abundance of a native community: is coexistence possible?&quot; OR"/>
        <filter val="&quot;Activity patterns and time budgets of the declining sea otter population at Amchitka Island, Alaska&quot; OR"/>
        <filter val="&quot;THE OTTER LUTRA-LUTRA IN ALBANIA&quot; OR"/>
        <filter val="&quot;Thelazia callipaeda in mustelids from Romania with the European badger, Meles meles, as a new host for this parasite&quot; OR"/>
        <filter val="&quot;Genetic neighbourhood and effective population size in the endangered European mink Mustela lutreola&quot; OR"/>
        <filter val="&quot;Contaminant concentrations in Illinois mink and otter&quot; OR"/>
        <filter val="&quot;Recent history, current status, conservation and management of native mammalian carnivore species in Great Britain&quot; OR"/>
        <filter val="&quot;Sampling affects the detection of genetic subdivision and conservation implications for fisher in the Sierra Nevada&quot; OR"/>
        <filter val="&quot;Assessing the potential for impacts by feral mink on wild mink in Canada&quot; OR"/>
        <filter val="&quot;Progress and status of river otter reintroduction projects in the United States&quot; OR"/>
        <filter val="&quot;Reproductive inefficiency in male blackfooted ferrets (Mustela nigripes)&quot; OR"/>
        <filter val="&quot;A SURVEY OF THE SOUTHERN RIVER OTTER LUTRA-PROVOCAX IN LANIN-NATIONAL-PARK PUELO-NATIONAL-PARK AND LOS-ALERCES-NATIONAL-PARK, ARGENTINA, AND EVALUATION OF ITS CONSERVATION STATUS&quot; OR"/>
        <filter val="&quot;Acanthocephalan parasites in sea otters: Why we need to look beyond associated mortality horizontal ellipsis&quot; OR"/>
        <filter val="&quot;Indirect food web interactions: sea otters and kelp forest fishes in the Aleutian archipelago&quot; OR"/>
        <filter val="&quot;Increasing Concentrations of Perfluoroalkyl Acids in Scandinavian Otters (Lutra lutra) between 1972 and 2011: A New Threat to the Otter Population?&quot; OR"/>
        <filter val="&quot;STRUCTURE, REPRODUCTIVE STATUS AND DYNAMICS OF THE OTTER POPULATION IN BELORUSSIA&quot; OR"/>
        <filter val="&quot;Otters and fish farms in the Sado estuary: ecological and socio-economic basis of a conflict&quot; OR"/>
        <filter val="&quot;DIET AND CONSERVATION STATUS OF CAPE CLAWLESS OTTERS IN EASTERN ZIMBABWE&quot; OR"/>
        <filter val="&quot;A review of the historical evidence of the habitat of the Pine Marten in Cumbria&quot; OR"/>
        <filter val="&quot;Using a genetic network to parameterize a landscape resistance surface for fishers, Pekania pennanti&quot; OR"/>
        <filter val="&quot;Marten Fur Harvests and Landscape Change in West-Central Alberta&quot; OR"/>
        <filter val="&quot;THE OTTER LUTRA-LUTRA IN SOUTHERN ITALY&quot; OR"/>
        <filter val="&quot;The impact of river fragmentation on the population persistence of native and alien mink: an ecological trap for the endangered European mink&quot; OR"/>
        <filter val="&quot;Temporal Changes in Population Dynamics of American Martens&quot; OR"/>
        <filter val="&quot;Assessing Risks to Sea Otters and the Exxon Valdez Oil Spill: New Scenarios, Attributable Risk, and Recovery&quot; OR"/>
        <filter val="&quot;Estimating sustainable harvest in wolverine populations using logistic regression&quot; OR"/>
        <filter val="&quot;Mitochondrial DNA detects Arctonyx collaris from burnt body parts: a wildlife forensic case study in Indo-Burma biodiversity hotspot&quot; OR"/>
        <filter val="&quot;Population genetics of the wolverine in Finland: the road to recovery?&quot; OR"/>
        <filter val="&quot;Fisher survival in eastern Ontario&quot; OR"/>
        <filter val="&quot;Roads, logging, and the large-mammal community of an eastern Canadian boreal forest&quot; OR"/>
        <filter val="&quot;Are badgers 'Under The Weather'? Direct and indirect impacts of climate variation on European badger (Meles meles) population dynamics&quot; OR"/>
        <filter val="&quot;Sea otter population status and the process of recovery from the 1989 'Exxon Valdez' oil spill&quot; OR"/>
        <filter val="&quot;Low Titers of Canine Distemper Virus Antibody in Wild Fishers (Pekania pennanti) in the Eastern USA&quot; OR"/>
        <filter val="&quot;OTTERS IN THE HAWR AL AZIM WETLAND, IRAN&quot; OR"/>
        <filter val="&quot;Indirect effects of bioinvasions in Yellowstone Lake: The response of river otters to declines in native cutthroat trout&quot; OR"/>
        <filter val="&quot;Otters (Lutra lutra) increasing in Central Europe: from the threat of extinction to locally perceived overpopulation?&quot; OR"/>
        <filter val="&quot;FECAL GENOTYPING AND CONTAMINANT ANALYSES REVEAL VARIATION IN INDIVIDUAL RIVER OTTER EXPOSURE TO LOCALIZED PERSISTENT CONTAMINANTS&quot; OR"/>
        <filter val="&quot;Prey choice and habitat use drive sea otter pathogen exposure in a resource-limited coastal system&quot; OR"/>
        <filter val="&quot;The wolverine Gulo gulo population and its distribution in the Great Khingan Mountains, northeastern China&quot; OR"/>
        <filter val="&quot;First report of Borrelia burgdorferi sensu lato in two threatened carnivores: the Marbled polecat, Vormela peregusna and the European mink, Mustela lutreola (Mammalia: Mustelidae)&quot; OR"/>
        <filter val="&quot;Genetic variability and size estimates of the Eurasian otter (Lutra lutra) population in the Bohemian Forest Ecosystem&quot; OR"/>
        <filter val="&quot;Distribution of a recolonising species may not reflect habitat suitability alone: the case of the Eurasian otter (Lutra lutra) in southern Italy&quot; OR"/>
        <filter val="&quot;Interface between black-footed ferret research and operational conservation&quot; OR"/>
        <filter val="&quot;Failure to coordinate management in transboundary populations hinders the achievement of national management goals: The case of wolverines in Scandinavia&quot; OR"/>
        <filter val="&quot;Lead Levels in Eurasian Otters Decline with Time and Reveal Interactions between Sources, Prevailing Weather, And Stream Chemistry&quot; OR"/>
        <filter val="&quot;Gaps in kelp cover may threaten the recovery of California sea otters&quot; OR"/>
        <filter val="&quot;Influence of tree thinning on the abundance of mammals in a Japanese larch Larix kaempferi plantation&quot; OR"/>
        <filter val="&quot;Stock structure of sea otters (Enhydra lutris kenyoni) in Alaska&quot; OR"/>
        <filter val="&quot;SPATIAL RELATIONS IN A HARVESTED POPULATION OF MARTEN IN MAINE&quot; OR"/>
        <filter val="&quot;Complete mitochondrial genome reveals the phylogenetic relationship of sable Martes zibellina linkouensis&quot; OR"/>
        <filter val="&quot;Evidence for persistence and a major range extension of the smooth-coated otter (Lutrogale perspicillata maxwelli; Mustelidae, Carnivora) in Iraq&quot; OR"/>
        <filter val="&quot;EXPERIMENTS ON THE RESPONSE OF SEA OTTERS ENHYDRA-LUTRIS TO OIL CONTAMINATION&quot; OR"/>
        <filter val="&quot;Otter (Lutra lutra) distribution modeling at two resolution scales suited to conservation planning in the Iberian Peninsula&quot; OR"/>
        <filter val="&quot;An endangered species as indicator of freshwater quality: fractal diagnosis of fragmentation within a European mink, Mustela lutreola, population&quot; OR"/>
        <filter val="&quot;Control of mammalian predators in game management and conservation&quot; OR"/>
        <filter val="&quot;Health effects of endocrine-disrupting chemicals on wildlife, with special reference to the European situation&quot; OR"/>
        <filter val="&quot;Body size, and interactions between European and American mink (Mustela lutreola and M-vison) in Eastern Europe&quot; OR"/>
        <filter val="&quot;Body size, niche breadth, and ecologically scaled responses to habitat fragmentation: mammalian predators in an agricultural landscape&quot; OR"/>
        <filter val="&quot;Marten habitat selection in a clearcut boreal landscape&quot; OR"/>
        <filter val="&quot;Genetic diversity and landscape genetic structure of otter (Lutra lutra) populations in Europe&quot; OR"/>
        <filter val="&quot;Does human proximity affect antibody prevalence in marine-foraging river otters (Lontra canadensis)?&quot; OR"/>
        <filter val="&quot;Genome sequencing and conservation genomics in the Scandinavian wolverine population&quot; OR"/>
        <filter val="&quot;The genetic legacy of the 19th-century decline of the British polecat: evidence for extensive introgression from feral ferrets&quot; OR"/>
        <filter val="&quot;Cumulative effects of climate and landscape change drive spatial distribution of Rocky Mountain wolverine (Gulo gulo L.)&quot; OR"/>
        <filter val="&quot;Anthropogenic and seasonal determinants of giant otter sightings along waterways in the northern Brazilian Amazon&quot; OR"/>
        <filter val="&quot;Changes in the prevalence of badger persecution in Northern Ireland&quot; OR"/>
        <filter val="&quot;New Record of Everglades Mink in Everglades National Park from the Stomach of an American Alligator&quot; OR"/>
        <filter val="&quot;Production and toxicity of the marine biotoxin domoic acid and its effects on wildlife: A review&quot; OR"/>
        <filter val="&quot;Status of translocated sea otters at San Nicolas Island, California&quot; OR"/>
        <filter val="&quot;The Sustainability of Wolverine Trapping Mortality in Southern Canada&quot; OR"/>
        <filter val="&quot;Landscape fuel reduction, forest fire, and biophysical linkages to local habitat use and local persistence of fishers (Pekania pennanti) in Sierra Nevada mixed-conifer forests&quot; OR"/>
        <filter val="&quot;Badger hair in shaving brushes comes from protected Eurasian badgers&quot; OR"/>
        <filter val="&quot;Genetic structure of European pine martens (Martes martes), and evidence for introgression with M-americana in England&quot; OR"/>
        <filter val="&quot;CHALLENGES TO BLACK-FOOTED FERRET RECOVERY: PROTECTING PRAIRIE DOGS&quot; OR"/>
        <filter val="&quot;Estimating Trend in Occupancy for the Southern Sierra Fisher Pekania pennanti Population&quot; OR"/>
        <filter val="&quot;Pathology and epidemiology of nasopulmonary acariasis (Halarachne sp.) in southern sea otters (Enhydra lutris nereis)&quot; OR"/>
        <filter val="&quot;Toxoplasma gondii infection in wild mustelids and cats across an urban-rural gradient&quot; OR"/>
        <filter val="&quot;Reproductive characteristics of female wolverines (Gulo gulo) in Scandinavia&quot; OR"/>
        <filter val="&quot;Bayesian analysis of hybridization and introgression between the endangered european mink (Mustela lutreola) and the polecat (Mustela putorius)&quot; OR"/>
        <filter val="&quot;The influence of riparian vegetation, woody debris, stream morphology and human activity on the use of rivers by southern river otters in Lontra provocax in Chile&quot; OR"/>
        <filter val="&quot;A new distributional record for Lyncodon patagonicus (Carnivora: Mustelidae), one of the smallest and least known mustelids of South America&quot; OR"/>
        <filter val="&quot;SIMULATION MODELING OF AMERICAN MARTEN (MARTES AMERICANA) POPULATIONS - VULNERABILITY TO EXTINCTION&quot; OR"/>
        <filter val="&quot;Human North American river otter (Lontra canadensis) attack&quot; OR"/>
        <filter val="&quot;Sea otter population dynamics and the Exxon Valdez oil spill: disentangling the confounding effects&quot; OR"/>
        <filter val="&quot;FATAL ACINETOBACTER BAUMANNII INFECTION IN THE CRITICALLY ENDANGERED EUROPEAN MINK (MUSTELA LUTREOLA)&quot; OR"/>
        <filter val="&quot;Heavy metals in the habitat and throughout the food chain of the Neotropical otter, Lontra longicaudis, in protected Mexican wetlands&quot; OR"/>
        <filter val="&quot;Sea otter mortality estimated from carcasses collected after the Exxon Valdez oil spill&quot; OR"/>
        <filter val="&quot;ESTIMATING THE IMPACT OF PAST PERSECUTION AND HABITAT CHANGES ON THE NUMBERS OF BADGERS MELES-MELES IN BRITAIN&quot; OR"/>
        <filter val="&quot;Possible influence of increased riparian activity (stream modification and agricultural intensification) on abundance of South African otters&quot; OR"/>
        <filter val="&quot;Estimation of polychlorinated biphenyl (PCB) levels in livers of the otter (Lutra lutra) from concentrations in scats and fish&quot; OR"/>
        <filter val="&quot;Marine Mammal Ecotypes: Implications for Otter Conservation and Management&quot; OR"/>
        <filter val="&quot;Habitat Selection of Lontra Longicaudis (Carnivora, Mustelidae) Under the Influence of the Hydroelectric Dam of Penas Blancas River and Its Tributaries, Alajuela, Costa Rica&quot; OR"/>
        <filter val="&quot;ENDEMIC INFECTION OF STRANDED SOUTHERN SEA OTTERS (ENHYDRA LUTRIS NEREIS) WITH NOVEL PARVOVIRUS, POLYOMAVIRUS, AND ADENOVIRUS&quot; OR"/>
        <filter val="&quot;NEPHROLITHIASIS IN FREE-RANGING NORTH AMERICAN RIVEROTTER (LONTRA CANADENSIS) IN NORTH CAROLINA, USA&quot; OR"/>
        <filter val="&quot;Genetic diversity and population structure of wolverine (Gulo gulo) populations at the southern edge of their current distribution in North America with implications for genetic viability&quot; OR"/>
        <filter val="&quot;FIRST RECOVERY OF BIRD ACANTHOCEPHALAN SPHAERIROSTRIS LANCEOIDES IN AN EURASIAN BADGER (MELES MELES) IN ITALY&quot; OR"/>
        <filter val="&quot;PCR screening of mammalian predators (Carnivora) for adenoviruses and herpesviruses: the first detection of a mustelid herpesvirus in Hungary&quot; OR"/>
        <filter val="&quot;Mercury contamination of fish and its implications for other wildlife of the Tapajos Basin, Brazilian Amazon&quot; OR"/>
        <filter val="&quot;BREEDING PATTERNS AND REPRODUCTIVE SUCCESS OF CALIFORNIA SEA OTTERS&quot; OR"/>
        <filter val="&quot;Habitat selection of European badger Meles meles in a highly fragmented forest landscape in northern Italy: the importance of hedgerows and agro-forestry systems&quot; OR"/>
        <filter val="&quot;Recovery of the Endangered giant otter Pteronura brasiliensis on the Yavari-Mirin and Yavari Rivers: a success story for CITES&quot; OR"/>
        <filter val="&quot;Recent Records of Smooth-Coated Otter (Lutrogale perspicillata) from Sindh, Pakistan&quot; OR"/>
        <filter val="&quot;Economic values of threatened mammals in Britain: A case study of the otter Lutra lutra and the water vole Arvicola terrestris&quot; OR"/>
        <filter val="&quot;Presence of the Eurasian otter Lutra lutra on the islands of Greece: a review&quot; OR"/>
        <filter val="&quot;Life history plasticity and population regulation in sea otters&quot; OR"/>
        <filter val="&quot;Quantifying long-term risks to sea otters from the 1989 'Exxon Valdez' oil spill: Comment on Bodkin et al. (2012) COMMENT&quot; OR"/>
        <filter val="&quot;Hybridization of domestic mink with wild American mink (Neovison vison) in eastern Canada&quot; OR"/>
        <filter val="&quot;Ultrastructural and molecular confirmation of the development of Sarcocystis neurona tissue cysts in the central nervous system of southern sea otters (Enhydra lutris nereis)&quot; OR"/>
        <filter val="&quot;A re-evaluation of the role of killer whales Orcinus orca in a population decline of sea otters Enhydra lutris in the Aleutian Islands and a review of alternative hypotheses&quot; OR"/>
        <filter val="&quot;ASSESSMENT OF CLINICAL PATHOLOGY AND PATHOGEN EXPOSURE IN SEA OTTERS (ENHYDRA LUTRIS) BORDERING THE THREATENED POPULATION IN ALASKA&quot; OR"/>
        <filter val="&quot;Interaction between artisanal fishery and the top predator Lontra felina in Chile&quot; OR"/>
        <filter val="&quot;Lessons from lean beasts: conservation biology of the mustelids&quot; OR"/>
        <filter val="&quot;Population status, habitat associations, and distribution of the steppe polecat Mustela eversmanii in Europe&quot; OR"/>
        <filter val="&quot;Polymorphism of the Endangered European Mink (Mustela lutreola, Carnivora, Mustelidae) Population in the Central Forest Reserve and Neighboring Areas&quot; OR"/>
        <filter val="&quot;Habitat use pattern and conservation status of smooth-coated otters Lutrogale perspicillata in the Upper Ganges Basin, India&quot; OR"/>
        <filter val="&quot;Age-dependent changes in sperm production, semen quality, and testicular volume in the black-footed ferret (Mustela nigripes)&quot; OR"/>
        <filter val="&quot;Temporal and spatial dynamics of boreal forest structure in western Newfoundland: Silvicultural implications for marten habitat management&quot; OR"/>
        <filter val="&quot;Can low densities of carnivores result in genetic depletion? An investigation within French polecat populations&quot; OR"/>
        <filter val="&quot;Using presence-absence data to build and test spatial habitat models for the fisher in the Klamath region, USA&quot; OR"/>
        <filter val="&quot;A long-term study of vitamin A and polychlorinated hydrocarbon levels in otters (Lutra lutra) in south west England&quot; OR"/>
        <filter val="&quot;Local ecological knowledge as a tool for assessing the status of threatened vertebrates: a case study in Vietnam&quot; OR"/>
        <filter val="&quot;Phylogeography of the smooth-coated otter (Lutrogale perspicillata): distinct evolutionary lineages and hybridization with the Asian small-clawed otter (Aonyx cinereus)&quot; OR"/>
        <filter val="&quot;Toxoplasma gondii infections in captive black-footed ferrets (Mustela nigripes), 1992-1998: Clinical signs, serology, pathology, and prevention&quot; OR"/>
        <filter val="&quot;Diets of European polecat Mustela putorius in Great Britain during fifty years of population recovery&quot; OR"/>
        <filter val="&quot;A recovering flagship: giant otters, communities and tourism in northern Peru&quot; OR"/>
        <filter val="&quot;Canine distemper virus infection in a lesser grison (Galictis cuja): first report and virus phylogeny&quot; OR"/>
        <filter val="&quot;Dual congenital transmission of Toxoplasma gondii and Sarcocystis neurona in a late-term aborted pup from a chronically infected southern sea otter (Enhydra lutris nereis)&quot; OR"/>
        <filter val="&quot;Genetic analysis of Eurasian otters (Lutra lutra) reveals high admixture in Finland and pronounced differentiation in Sweden&quot; OR"/>
        <filter val="&quot;Conservation activities for the Eurasian otter (Lutra lutra) in South Korea traced from newspapers during 1962-2010&quot; OR"/>
        <filter val="&quot;Linking habitat characteristics with genetic diversity of the European pine marten (Martes martes) in France&quot; OR"/>
        <filter val="&quot;Changes in sea urchins and kelp following a reduction in sea otter density as a result of the Exxon Valdez oil spill&quot; OR"/>
        <filter val="&quot;Testing the generality of the trophic cascade paradigm for sea otters: a case study with kelp forests in northern Washington, USA&quot; OR"/>
        <filter val="&quot;First report of Filaria martis Gmelin, 1790 in the European mink, Mustela lutreola (Linnaeus, 1761)&quot; OR"/>
        <filter val="&quot;The stoat Mustela erminea population decline in northern Belarus and its consequences for weasels Mustela nivalis&quot; OR"/>
        <filter val="&quot;Wolverines in winter: indirect habitat loss and functional responses to backcountry recreation&quot; OR"/>
        <filter val="&quot;Wildlife Mortality Investigation and Disease Research: Contributions of the USGS National Wildlife Health Center to Endangered Species Management and Recovery&quot; OR"/>
        <filter val="&quot;Developing and testing a landscape-scale habitat suitability model for fisher (Pekania pennanti) in forests of interior northern California&quot; OR"/>
        <filter val="&quot;Adapting global conservation strategies to climate change at the European scale: The otter as a flagship species&quot; OR"/>
        <filter val="&quot;Density dependence and risk of extinction in a small population of sea otters&quot; OR"/>
        <filter val="&quot;High liver content of polybrominated diphenyl ether (PBDE) in otters (Lutra lutra) from England and Wales&quot; OR"/>
        <filter val="&quot;Importance of canine distemper virus (CDV) infection in free-ranging Iberian lynxes (Lynx pardinus)&quot; OR"/>
        <filter val="&quot;Short-term responses of mammalian carnivores to a sudden collapse of rabbits in Mediterranean Spain&quot; OR"/>
        <filter val="&quot;Helminth parasites of Mustela lutreola (Linnaeus, 1761) and M-vison Schreber, 1777 in Spain&quot; OR"/>
        <filter val="&quot;Timelines and mechanisms of wildlife population recovery following the Exxon Valdez oil spill&quot; OR"/>
        <filter val="&quot;Improved reproductive success in otters (Lutra lutra), grey seals (Halichoerus grypus) and sea eagles (Haliaeetus albicilla) from Sweden in relation to concentrations of organochlorine contaminants&quot; OR"/>
        <filter val="&quot;Conservation of otter (Lutra lutra) in a Mediterranean area: the importance of habitat quality and temporal variation in water availability&quot; OR"/>
        <filter val="&quot;There and back again? Combining habitat suitability modelling and connectivity analyses to assess a potential return of the otter to Switzerland&quot; OR"/>
        <filter val="&quot;HABITAT QUALITY ASSESSMENT FOR THE EURASIAN OTTER (LUTRA LUTRA) ON THE RIVER JAJROOD, IRAN&quot; OR"/>
        <filter val="&quot;Fossils, diet, and conservation of black-footed ferrets (Mustela nigripes)&quot; OR"/>
        <filter val="&quot;Organochlorine compounds (pesticides and PCBs) in scats of the european otter (Lutra lutra) from an actual expanding population in central france&quot; OR"/>
        <filter val="&quot;PATHOGEN EXPOSURE AND BLOOD CHEMISTRY IN THE WASHINGTON, USA POPULATION OF NORTHERN SEA OTTERS (ENHYDRA LUTRIS KENYONI)&quot; OR"/>
        <filter val="&quot;Multiscale habitat use by wolverines in British Columbia, Canada&quot; OR"/>
        <filter val="&quot;EFFECTS OF CHANGES IN FISH POPULATIONS IN LAKE VICTORIA ON THE FOOD OF OTTERS (LUTRA-MACULICOLLIS SCHINZ AND AONYX-CAPENSIS LICHTENSTEIN)&quot; OR"/>
        <filter val="&quot;WHY IS THE EUROPEAN MINK (MUSTELA-LUTREOLA) DISAPPEARING - A REVIEW OF THE PROCESS AND HYPOTHESES&quot; OR"/>
        <filter val="&quot;Defining key habitats for low density populations of Eurasian badgers in Mediterranean environments&quot; OR"/>
        <filter val="&quot;Status of Pacific Martens (Martes caurina) on the Olympic Peninsula, Washington&quot; OR"/>
        <filter val="&quot;Changes in mammalian body length over 175 years - Adaptations to a fragmented landscape?&quot; OR"/>
        <filter val="&quot;Contamination of European otters (Lutra lutra) by PCB congeners and organochlorinated pesticides in the wetlands of western France&quot; OR"/>
        <filter val="&quot;ORGANOCHLORINE PESTICIDE AND PCB CONTENTS IN OTTER (LUTRA-LUTRA) SCATS FROM WESTERN SCOTLAND&quot; OR"/>
        <filter val="&quot;Characterization of the putatively introduced red alga Acrochaetium secundatum (Acrochaetiales, Rhodophyta) growing epizoically on the pelage of southern sea otters (Enhydra lutris nereis)&quot; OR"/>
        <filter val="&quot;The reintroduction of the Eurasian otter (Lutra lutra) into the Netherlands: hidden life revealed by noninvasive genetic monitoring&quot; OR"/>
        <filter val="&quot;Isolation and Characterization of Microsatellite Markers for the Sable, Martes zibellina (Mammalia: Mustelidae)&quot; OR"/>
        <filter val="&quot;Population Structure and Genetic Diversity of the Endangered South American Giant Otter (Pteronura brasiliensis) from the Orinoco Basin in Colombia: Management Implications and Application to Current Conservation Programs&quot; OR"/>
        <filter val="&quot;Tools for Assessing Climate Impacts on Fish and Wildlife&quot; OR"/>
        <filter val="&quot;River Otter Distribution in Nebraska&quot; OR"/>
        <filter val="&quot;Identification of novel haplotypes and interpretation of gene flow of mitochondrial DNA control region of Eurasian otter (Lutra lutra) for the effective conservation&quot; OR"/>
        <filter val="&quot;Long-term increase in secondary exposure to anticoagulant rodenticides in European polecats &amp;ITMustela putorius&amp;IT in Great Britain&quot; OR"/>
        <filter val="&quot;Detection of Aleutian disease antibodies in feral American mink in southern England&quot; OR"/>
        <filter val="&quot;Serologic Detection of Subtype-specific Antibodies to Influenza A Viruses in Southern Sea Otters (Enhydra lutris nereis)&quot; OR"/>
        <filter val="&quot;Landscape Genetics of Fishers (Pekania pennanti) in the Northeast: Dispersal Barriers and Historical Influences&quot; OR"/>
        <filter val="&quot;Patterns of Natural and Human-Caused Mortality Factors of a Rare Forest Carnivore, the Fisher (Pekania pennanti) in California&quot; OR"/>
        <filter val="&quot;Mechanisms influencing the winter distribution of wolverine Gulo gulo luscus ien the southern Columbia Mountains, Canada&quot; OR"/>
        <filter val="&quot;Genetic legacies of translocation and relictual populations of American marten at the southeastern margin of their distribution&quot; OR"/>
        <filter val="&quot;Mitochondrial phylogeography and conservation genetics of wolverine (Gulo gulo) of northwestern North America&quot; OR"/>
        <filter val="&quot;Prevalence of embedded shotgun pellets in protected and in legally hunted medium-sized carnivores in Denmark&quot; OR"/>
        <filter val="&quot;Summer Precipitation Predicts Spatial Distributions of Semiaquatic Mammals&quot; OR"/>
        <filter val="&quot;The abundance and distribution of wolverines in British Columbia, Canada&quot; OR"/>
        <filter val="&quot;SURVIVAL IN AN INTENSIVELY TRAPPED MARTEN POPULATION IN MAINE&quot; OR"/>
        <filter val="&quot;Is polecat (Mustela putorius) diet affected by mediterraneity&quot; OR"/>
        <filter val="&quot;Temporal variation in the population characteristics of harvested wolverine (Gulo gulo) in northwestern Canada&quot; OR"/>
        <filter val="&quot;Impact of culling on relative abundance of the European badger (Meles meles) in Ireland&quot; OR"/>
        <filter val="&quot;ISOLATION AND CHARACTERIZATION OF A NOVEL MARINE BRUCELLA FROM A SOUTHERN SEA OTTER (ENHYDRA LUTRIS NEREIS), CALIFORNIA, USA&quot; OR"/>
        <filter val="&quot;Wildlife health indicators and mercury exposure: A case study of river otters (Lontra canadensis) in central British Columbia, Canada&quot; OR"/>
        <filter val="&quot;The otter (Lutra lutra) situation in Latvia and Sweden related to PCB and DDT levels&quot; OR"/>
        <filter val="&quot;Genetic isolation of wolverine (Gulo gulo) populations at the eastern periphery of their North American distribution&quot; OR"/>
        <filter val="&quot;Effects of environmental methylmercury on the health of wild birds, mammals, and fish&quot; OR"/>
        <filter val="&quot;Assessment of the sustainability of wolverine harvest in British Columbia, Canada&quot; OR"/>
        <filter val="&quot;Historical and Contemporary DNA Indicate Fisher Decline and Isolation Occurred Prior to the European Settlement of California&quot; OR"/>
        <filter val="&quot;Potential Role of Prey in the Recovery of American Martens to Wisconsin&quot; OR"/>
        <filter val="&quot;Historical and contemporary distributions of carnivores in forests of the Sierra Nevada, California, USA&quot; OR"/>
        <filter val="&quot;A Road Map for 21st Century Genetic Restoration: Gene Pool Enrichment of the Black-Footed Ferret&quot; OR"/>
        <filter val="&quot;Genetic variation and population structure in Scandinavian wolverine (Gulo gulo) populations&quot; OR"/>
        <filter val="&quot;The effects of hexachlorobenzene on mink in the Canadian environment: An ecological risk assessment&quot; OR"/>
        <filter val="&quot;Defining conservation status using limited information: the case of Patagonian otters Lontra provocax in Argentina&quot; OR"/>
        <filter val="&quot;SEROLOGIC SURVEY FOR SELECTED VIRAL PATHOGENS IN FREE-RANGING ENDANGERED EUROPEAN MINK (MUSTELA LUTREOLA) AND OTHER MUSTELIDS FROM SOUTH-WESTERN FRANCE&quot; OR"/>
        <filter val="&quot;Setting Realistic Recovery Targets for Two Interacting Endangered Species, Sea Otter and Northern Abalone&quot; OR"/>
        <filter val="&quot;The Near Threatened Eurasian otter Lutra lutra in Morocco: no sign of recovery&quot; OR"/>
        <filter val="&quot;Multiscale landscape genetics of American marten at their southern range periphery&quot; OR"/>
        <filter val="&quot;Genotypic and phenotypic consequences of reintroduction history in the black-footed ferret (Mustela nigripes)&quot; OR"/>
        <filter val="&quot;Landscape-scale habitat selection by fishers translocated to the Olympic Peninsula of Washington&quot; OR"/>
        <filter val="&quot;Evaluating River Otter Demography Using Noninvasive Genetic Methods&quot; OR"/>
        <filter val="&quot;An unidentified filarial species and its impact on fitness in wild populations of the black-footed ferret (Mustela nigripes)&quot; OR"/>
        <filter val="&quot;Protozoal meningoencephalitis in sea otters (Enhydra lutris): a histopathological and immunohistochemical study of naturally occurring cases&quot; OR"/>
        <filter val="&quot;Simulated effects of habitat loss and fragmentation on a solitary mustelid predator&quot; OR"/>
        <filter val="&quot;Differential response of a carnivore community to predator control: a spatio-temporal observational study&quot; OR"/>
        <filter val="&quot;Developing a criterion for delisting the southern sea otter under the US endangered species act&quot; OR"/>
        <filter val="&quot;Influence of black-tailed prairie dog towns (Cynomys ludovicianus) on carnivore distributions in the Oklahoma Panhandle&quot; OR"/>
        <filter val="&quot;Landscape features influence postrelease predation on endangered black-footed ferrets&quot; OR"/>
        <filter val="&quot;Osteosarcoma of the Maxilla with Concurrent Osteoma in a Southern Sea Otter (Enhydra lutris nereis)&quot; OR"/>
        <filter val="&quot;CORRELATES OF MERCURY IN FEMALE RIVER OTTERS (LONTRA CANADENSIS) FROM NOVA SCOTIA, CANADA&quot; OR"/>
        <filter val="&quot;SEA OTTER DIETS IN A DECLINING POPULATION IN ALASKA&quot; OR"/>
        <filter val="&quot;Describing vegetation characteristics used by two rare forest-dwelling species: Will established reserves provide for coastal marten in Oregon?&quot; OR"/>
        <filter val="&quot;Genetic diversity and structure of the fisher (Pekania pennanti) in a peninsular and peripheral metapopulation&quot; OR"/>
        <filter val="&quot;EXPOSURE OF SEA OTTERS AND HARLEQUIN DUCKS IN PRINCE WILLIAM SOUND, ALASKA, USA, TO SHORELINE OIL RESIDUES 20 YEARS AFTER THE EXXON VALDEZ OIL SPILL&quot; OR"/>
        <filter val="&quot;MERCURY IN DANISH OTTERS (LUTRA-LUTRA)&quot; OR"/>
        <filter val="&quot;Food habits of wolverine Gulo gulo in montane ecosystems of British Columbia, Canada&quot; OR"/>
        <filter val="&quot;AN ESTIMATE OF NUMBERS AND HABITAT PREFERENCES OF OTTERS LUTRA-LUTRA IN SHETLAND, UK&quot; OR"/>
        <filter val="&quot;Genetic variation and structure of fisher (Pekania pennanti) populations across North America&quot; OR"/>
        <filter val="&quot;Past and present: the status and distribution of otters (Carnivora: Lutrinae sp.) in China&quot; OR"/>
        <filter val="&quot;Status of American martens in coastal forests of the Pacific states&quot; OR"/>
        <filter val="&quot;The Congo clawless otter (Aonyx congicus) (Mustelidae: Lutrinae sp.): a review of its systematics, distribution and conservation status&quot; OR"/>
        <filter val="&quot;Sylvatic Plague Vaccine: A New Tool for Conservation of Threatened and Endangered Species?&quot; OR"/>
        <filter val="&quot;Mortality of Siberian polecats and black-footed ferrets released onto prairie dog colonies&quot; OR"/>
        <filter val="&quot;Natural, human and spatial constraints to expanding populations of otters in the Iberian Peninsula&quot; OR"/>
        <filter val="&quot;Predicted distribution of the yellow-throated marten Martes flavigula (Mammalia: Carnivora: Mustelidae) on Borneo&quot; OR"/>
        <filter val="&quot;Characteristics of sex-biased dispersal and gene flow in coastal river otters: implications for natural recolonization of extirpated populations&quot; OR"/>
        <filter val="&quot;THE BADGER (MELES-MELES) IN BRITAIN - PRESENT STATUS AND FUTURE POPULATION-CHANGES&quot; OR"/>
        <filter val="&quot;Toward sustainable ecosystem services from the Aleutian Archipelago&quot; OR"/>
        <filter val="&quot;Reintroduction of the Eurasian badger (Meles meles) in a protected area of northern Italy&quot; OR"/>
        <filter val="&quot;Invasion of the raccoon dog Nyctereutes procyonoides in Europe: History of colonization, features behind its success, and threats to native fauna&quot; OR"/>
        <filter val="&quot;Association of Toxoplasma gondii oocysts with fresh, estuarine, and marine macroaggregates&quot; OR"/>
        <filter val="&quot;Conservation of the Asian small-clawed otter (Aonyx cinereus) in human-modified landscapes, Western Ghats, India&quot; OR"/>
        <filter val="&quot;Assessment of population structure in Hungarian otter populations&quot; OR"/>
        <filter val="&quot;Levels of organochlorine pesticides and polychlorinated biphenyls in the critically endangered Iberian lynx and other sympatric carnivores in Spain&quot; OR"/>
        <filter val="&quot;Effect of Estuarine Wetland Degradation on Transport of Toxoplasma gondii Surrogates from Land to Sea&quot; OR"/>
        <filter val="&quot;Management strategies for the wolverine in Scandinavia&quot; OR"/>
        <filter val="&quot;Forest cover influences occurrence of mammalian carnivores within Brazilian Atlantic Forest&quot; OR"/>
        <filter val="&quot;CHANGES IN DIETS OF RIVER OTTERS IN PRINCE WILLIAM SOUND, ALASKA - EFFECTS OF THE EXXON-VALDEZ OIL-SPILL&quot; OR"/>
        <filter val="&quot;Application of biomarkers for exposure and effect of polyhalogenated aromatic hydrocarbons in naturally exposed European otters (Lutra lutra)&quot; OR"/>
        <filter val="&quot;Giant otter population responses to habitat expansion and degradation induced by a mega hydroelectric dam&quot; OR"/>
        <filter val="&quot;Large scale faecal (spraint) counts indicate the population status of endangered Eurasian otters (Lutra lutra)&quot; OR"/>
        <filter val="&quot;Decline and recovery in otter Lutra lutra populations in Italy&quot; OR"/>
        <filter val="&quot;The relationship between population density and body size of wolverines Gulo gulo in Scandinavia&quot; OR"/>
        <filter val="&quot;Decline in American Marten Occupancy Rates at Sagehen Experimental Forest, California&quot; OR"/>
        <filter val="&quot;The use of hydroelectric lakes by giant otters Pteronura brasiliensis: Balbina lake in central Amazonia, Brazil&quot; OR"/>
        <filter val="&quot;Distribution and Habitat Conditions of Habitat Points of the Eurasian Otter Lutra lutra in the Hangang River Water System, South Korea&quot; OR"/>
        <filter val="&quot;Population biology of stoats Mustela erminea and weasels Mustela nivalis on game estates in Great Britain&quot; OR"/>
        <filter val="&quot;ORAL PAPILLOMATOSIS CAUSED BY ENHYDRA LUTRIS PAPILLOMAVIRUS 1 (EIPV-1) IN SOUTHERN SEA OTTERS (ENHYDRA LUTRIS NEREIS) IN CALIFORNIA, USA&quot; OR"/>
        <filter val="&quot;Differential resilience of Amazonian otters along the Rio Negro in the aftermath of the 20th century international fur trade&quot; OR"/>
        <filter val="&quot;Changes in otter Lutra lutra distribution in Central Spain in the 1964-1995 period&quot; OR"/>
        <filter val="&quot;A review of piroplasmid infections in wild carnivores worldwide: importance for domestic animal health and wildlife conservation&quot; OR"/>
        <filter val="&quot;Decline in PCB levels in otters (Lutra lutra)&quot; OR"/>
        <filter val="&quot;Distribution and occupancy of wolverines on tundra, northwestern Alaska&quot; OR"/>
        <filter val="&quot;Demographic and genetic evaluation of an American marten reintroduction&quot; OR"/>
        <filter val="&quot;Length-mass and total body length of adult female sea otters in Prince William Sound before and after the Exxon Valdez oil spill&quot; OR"/>
        <filter val="&quot;Galictis cuja (Mammalia): An update of current knowledge and geographic distribution&quot; OR"/>
        <filter val="&quot;Conservation of rare carnivores in the North Cascades Ecosystem, western North America&quot; OR"/>
        <filter val="&quot;Evidence of secondary poisoning of free-ranging riparian mustelids by anticoagulant rodenticides in France: Implications for conservation of European mink (Mustela lutreola)&quot; OR"/>
        <filter val="&quot;Molecular characterization of Sarcocystis neurona strains from opossums (Didelphis virginiana) and intermediate hosts from Central California&quot; OR"/>
        <filter val="&quot;Habitat suitability for marten of second-growth balsam fir forests in Newfoundland&quot; OR"/>
        <filter val="&quot;The American mink: the triumph and tragedy of adaptation out of context&quot; OR"/>
        <filter val="&quot;Summer Feeding Habits of River Otters Inhabiting a Contaminated Coastal Marine Environment&quot; OR"/>
        <filter val="&quot;Latitudinal variation in diet and patterns of human interaction in the marine otter&quot; OR"/>
        <filter val="&quot;Comparison of proposed survey procedures for detection of forest carnivores&quot; OR"/>
        <filter val="&quot;Contrasting levels of genetic differentiation among populations of wolverines (Gulo gulo) from northern Canada revealed by nuclear and mitochondrial loci&quot; OR"/>
        <filter val="&quot;Status of Smooth Coated Otter (Lutrogale perspicillata sindica) in Pakistan&quot; OR"/>
        <filter val="&quot;A comparative analysis of polybrominated diphenyl ethers and polychlorinated biphenyls in southern sea otters that died of infectious diseases and noninfectious causes&quot; OR"/>
        <filter val="&quot;Immunomodulatory effects of organochlorine mixtures upon in vitro exposure of peripheral blood leukocytes differ between free-ranging and captive southern sea otters (Enhydra lutris)&quot; OR"/>
        <filter val="&quot;Freshwater availability and distribution of Cape clawless otter spraints and resting places along the south-west coast of South Africa&quot; OR"/>
        <filter val="&quot;Population connectivity and genetic diversity of American marten (Martes americana) in the United States northern Rocky Mountains in a climate change context&quot; OR"/>
        <filter val="&quot;Deciphering ecological barriers to North American river otter (Lontra canadensis) gene flow in the Louisiana landscape&quot; OR"/>
        <filter val="&quot;Density dynamics and changes in habitat use by the European mink and other native mustelids in connection with the American mink expansion in Belarus&quot; OR"/>
        <filter val="&quot;Management strategies for a large-scale mountain pine beetle outbreak: Modelling impacts on American martens&quot; OR"/>
        <filter val="&quot;Assessing range re-expansion and recolonization of human-impacted landscapes by threatened species: a case study of the otter (Lutra lutra) in Italy&quot; OR"/>
        <filter val="&quot;Historical harvest and incidental capture of fishers in California&quot; OR"/>
        <filter val="&quot;A Landscape Habitat Suitability Model for the Humboldt Marten (Martes caurina humboldtensis) in Coastal California and Coastal Oregon&quot; OR"/>
        <filter val="&quot;DNA-based monitoring of two newly founded Scandinavian wolverine populations&quot; OR"/>
        <filter val="&quot;Projected 21st century climate change for wolverine habitats within the contiguous United States&quot; OR"/>
        <filter val="&quot;Interactions between the Neotropical otter (Lontra longicaudis) and gillnet fishery in the southern Brazilian coast&quot; OR"/>
        <filter val="&quot;Fine-scale distributions of carnivores in a logging concession in Sarawak, Malaysian Borneo&quot; OR"/>
        <filter val="&quot;Conflict between spotted-necked otters and fishermen in Hlan River, Benin&quot; OR"/>
        <filter val="&quot;Human caused mortality in the endangered Scandinavian wolverine population&quot; OR"/>
        <filter val="&quot;Species recovery and recolonization of past habitats: lessons for science and conservation from sea otters in estuaries&quot; OR"/>
        <filter val="&quot;Using occupancy and population models to assess habitat conservation opportunities for an isolated carnivore population&quot; OR"/>
        <filter val="&quot;First description of adiaspiromycosis in an Eurasian otter (Lutra lutra) in Italy&quot; OR"/>
      </filters>
    </filterColumn>
    <sortState ref="A1:AW1006">
      <sortCondition ref="G1:G1006"/>
      <sortCondition ref="K1:K1006"/>
      <sortCondition ref="I1:I1006"/>
      <sortCondition ref="AO1:AO1006"/>
      <sortCondition ref="AN1:AN1006"/>
      <sortCondition ref="AM1:AM1006"/>
      <sortCondition ref="S1:S1006"/>
      <sortCondition ref="AB1:AB1006"/>
      <sortCondition ref="AA1:AA1006"/>
      <sortCondition ref="Z1:Z1006"/>
      <sortCondition ref="Y1:Y1006"/>
      <sortCondition ref="X1:X1006"/>
      <sortCondition ref="W1:W1006"/>
      <sortCondition ref="AQ1:AQ1006"/>
      <sortCondition ref="V1:V1006"/>
      <sortCondition ref="U1:U1006"/>
      <sortCondition ref="T1:T1006"/>
      <sortCondition ref="AC1:AC1006"/>
      <sortCondition ref="AP1:AP1006"/>
      <sortCondition ref="AR1:AR1006"/>
      <sortCondition ref="F1:F1006"/>
      <sortCondition ref="H1:H1006"/>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25.63"/>
    <col customWidth="1" min="7" max="7" width="28.63"/>
    <col customWidth="1" min="8" max="8" width="13.75"/>
    <col customWidth="1" min="9" max="9" width="39.75"/>
    <col customWidth="1" min="10" max="10" width="49.38"/>
    <col customWidth="1" min="11" max="11" width="49.13"/>
  </cols>
  <sheetData>
    <row r="1">
      <c r="A1" s="3" t="s">
        <v>12</v>
      </c>
      <c r="B1" s="3" t="s">
        <v>13</v>
      </c>
      <c r="C1" s="3" t="s">
        <v>14</v>
      </c>
      <c r="D1" s="3" t="s">
        <v>15</v>
      </c>
      <c r="E1" s="3" t="s">
        <v>16</v>
      </c>
      <c r="F1" s="7" t="s">
        <v>2112</v>
      </c>
      <c r="G1" s="7" t="s">
        <v>2114</v>
      </c>
      <c r="H1" s="7" t="s">
        <v>2115</v>
      </c>
      <c r="I1" s="7" t="s">
        <v>2116</v>
      </c>
      <c r="J1" s="7" t="s">
        <v>2117</v>
      </c>
      <c r="K1" s="7" t="s">
        <v>2127</v>
      </c>
      <c r="L1" s="3" t="s">
        <v>2133</v>
      </c>
    </row>
    <row r="2">
      <c r="A2" s="3">
        <v>241.0</v>
      </c>
      <c r="B2" s="3" t="s">
        <v>40</v>
      </c>
      <c r="C2" s="3" t="s">
        <v>648</v>
      </c>
      <c r="D2" s="3">
        <v>2000.0</v>
      </c>
      <c r="E2" s="3" t="s">
        <v>649</v>
      </c>
      <c r="G2" s="3" t="s">
        <v>2943</v>
      </c>
      <c r="I2" s="3" t="s">
        <v>2946</v>
      </c>
      <c r="J2" s="9" t="s">
        <v>2953</v>
      </c>
      <c r="K2" s="9" t="s">
        <v>2954</v>
      </c>
      <c r="L2" s="8" t="s">
        <v>2947</v>
      </c>
    </row>
    <row r="3">
      <c r="A3" s="3">
        <v>297.0</v>
      </c>
      <c r="B3" s="3" t="s">
        <v>40</v>
      </c>
      <c r="C3" s="3" t="s">
        <v>760</v>
      </c>
      <c r="D3" s="3">
        <v>2008.0</v>
      </c>
      <c r="E3" s="3" t="s">
        <v>761</v>
      </c>
      <c r="G3" s="3" t="s">
        <v>2943</v>
      </c>
      <c r="I3" s="3" t="s">
        <v>2946</v>
      </c>
      <c r="J3" s="9" t="s">
        <v>2953</v>
      </c>
      <c r="K3" s="9" t="s">
        <v>2954</v>
      </c>
      <c r="L3" s="8" t="s">
        <v>2948</v>
      </c>
    </row>
    <row r="4">
      <c r="A4" s="3">
        <v>641.0</v>
      </c>
      <c r="B4" s="3" t="s">
        <v>40</v>
      </c>
      <c r="C4" s="3" t="s">
        <v>1396</v>
      </c>
      <c r="D4" s="3">
        <v>2000.0</v>
      </c>
      <c r="E4" s="3" t="s">
        <v>1397</v>
      </c>
      <c r="G4" s="3" t="s">
        <v>2136</v>
      </c>
      <c r="I4" s="3" t="s">
        <v>2937</v>
      </c>
      <c r="J4" s="9"/>
      <c r="K4" s="9" t="s">
        <v>2955</v>
      </c>
      <c r="L4" s="8" t="s">
        <v>2941</v>
      </c>
    </row>
    <row r="5">
      <c r="A5" s="3">
        <v>719.0</v>
      </c>
      <c r="B5" s="3" t="s">
        <v>40</v>
      </c>
      <c r="C5" s="3" t="s">
        <v>1551</v>
      </c>
      <c r="D5" s="3">
        <v>2013.0</v>
      </c>
      <c r="E5" s="3" t="s">
        <v>1552</v>
      </c>
      <c r="G5" s="3" t="s">
        <v>2136</v>
      </c>
      <c r="I5" s="3" t="s">
        <v>2937</v>
      </c>
      <c r="J5" s="9" t="s">
        <v>2956</v>
      </c>
      <c r="K5" s="9" t="s">
        <v>2957</v>
      </c>
      <c r="L5" s="8" t="s">
        <v>2938</v>
      </c>
    </row>
    <row r="6">
      <c r="A6" s="3">
        <v>787.0</v>
      </c>
      <c r="B6" s="3" t="s">
        <v>40</v>
      </c>
      <c r="C6" s="3" t="s">
        <v>1689</v>
      </c>
      <c r="D6" s="3">
        <v>1992.0</v>
      </c>
      <c r="E6" s="3" t="s">
        <v>1690</v>
      </c>
      <c r="G6" s="3" t="s">
        <v>2136</v>
      </c>
      <c r="I6" s="3" t="s">
        <v>2937</v>
      </c>
      <c r="J6" s="9" t="s">
        <v>2958</v>
      </c>
      <c r="K6" s="9" t="s">
        <v>2959</v>
      </c>
      <c r="L6" s="8" t="s">
        <v>2942</v>
      </c>
    </row>
    <row r="7">
      <c r="A7" s="3">
        <v>7.0</v>
      </c>
      <c r="B7" s="3" t="s">
        <v>40</v>
      </c>
      <c r="C7" s="3" t="s">
        <v>88</v>
      </c>
      <c r="D7" s="3">
        <v>1994.0</v>
      </c>
      <c r="E7" s="3" t="s">
        <v>89</v>
      </c>
      <c r="F7" s="3" t="s">
        <v>2835</v>
      </c>
      <c r="G7" s="3" t="s">
        <v>2136</v>
      </c>
      <c r="I7" s="3" t="s">
        <v>2836</v>
      </c>
      <c r="J7" s="9" t="s">
        <v>2960</v>
      </c>
      <c r="K7" s="9" t="s">
        <v>2961</v>
      </c>
      <c r="L7" s="8" t="s">
        <v>2837</v>
      </c>
    </row>
    <row r="8">
      <c r="A8" s="3">
        <v>640.0</v>
      </c>
      <c r="B8" s="3" t="s">
        <v>40</v>
      </c>
      <c r="C8" s="3" t="s">
        <v>1394</v>
      </c>
      <c r="D8" s="3">
        <v>1998.0</v>
      </c>
      <c r="E8" s="3" t="s">
        <v>1395</v>
      </c>
      <c r="G8" s="3" t="s">
        <v>2136</v>
      </c>
      <c r="I8" s="3" t="s">
        <v>2836</v>
      </c>
      <c r="J8" s="9"/>
      <c r="K8" s="9" t="s">
        <v>2955</v>
      </c>
      <c r="L8" s="8" t="s">
        <v>2940</v>
      </c>
    </row>
    <row r="9">
      <c r="A9" s="3">
        <v>153.0</v>
      </c>
      <c r="B9" s="3" t="s">
        <v>40</v>
      </c>
      <c r="C9" s="3" t="s">
        <v>300</v>
      </c>
      <c r="D9" s="3">
        <v>2016.0</v>
      </c>
      <c r="E9" s="3" t="s">
        <v>301</v>
      </c>
      <c r="F9" s="3" t="s">
        <v>2420</v>
      </c>
      <c r="G9" s="3" t="s">
        <v>2283</v>
      </c>
      <c r="I9" s="3" t="s">
        <v>2421</v>
      </c>
      <c r="J9" s="9" t="s">
        <v>2962</v>
      </c>
      <c r="K9" s="9" t="s">
        <v>2963</v>
      </c>
      <c r="L9" s="8" t="s">
        <v>2422</v>
      </c>
    </row>
    <row r="10">
      <c r="A10" s="3">
        <v>343.0</v>
      </c>
      <c r="B10" s="3" t="s">
        <v>40</v>
      </c>
      <c r="C10" s="3" t="s">
        <v>854</v>
      </c>
      <c r="D10" s="3">
        <v>2018.0</v>
      </c>
      <c r="E10" s="3" t="s">
        <v>855</v>
      </c>
      <c r="F10" s="3" t="s">
        <v>2282</v>
      </c>
      <c r="G10" s="3" t="s">
        <v>2283</v>
      </c>
      <c r="I10" s="3" t="s">
        <v>2295</v>
      </c>
      <c r="J10" s="9" t="s">
        <v>2953</v>
      </c>
      <c r="K10" s="9" t="s">
        <v>2954</v>
      </c>
      <c r="L10" s="8" t="s">
        <v>2296</v>
      </c>
    </row>
    <row r="11">
      <c r="A11" s="3">
        <v>344.0</v>
      </c>
      <c r="B11" s="3" t="s">
        <v>40</v>
      </c>
      <c r="C11" s="3" t="s">
        <v>856</v>
      </c>
      <c r="D11" s="3">
        <v>2018.0</v>
      </c>
      <c r="E11" s="3" t="s">
        <v>857</v>
      </c>
      <c r="F11" s="3" t="s">
        <v>2548</v>
      </c>
      <c r="G11" s="3" t="s">
        <v>2283</v>
      </c>
      <c r="I11" s="3" t="s">
        <v>2549</v>
      </c>
      <c r="J11" s="9" t="s">
        <v>2953</v>
      </c>
      <c r="K11" s="9" t="s">
        <v>2954</v>
      </c>
      <c r="L11" s="8" t="s">
        <v>2550</v>
      </c>
    </row>
    <row r="12">
      <c r="A12" s="3">
        <v>353.0</v>
      </c>
      <c r="B12" s="3" t="s">
        <v>40</v>
      </c>
      <c r="C12" s="3" t="s">
        <v>875</v>
      </c>
      <c r="D12" s="3">
        <v>2019.0</v>
      </c>
      <c r="E12" s="3" t="s">
        <v>876</v>
      </c>
      <c r="G12" s="3" t="s">
        <v>2283</v>
      </c>
      <c r="I12" s="3" t="s">
        <v>2549</v>
      </c>
      <c r="J12" s="9" t="s">
        <v>2953</v>
      </c>
      <c r="K12" s="9" t="s">
        <v>2954</v>
      </c>
      <c r="L12" s="8" t="s">
        <v>2868</v>
      </c>
    </row>
    <row r="13">
      <c r="A13" s="3">
        <v>40.0</v>
      </c>
      <c r="B13" s="3" t="s">
        <v>40</v>
      </c>
      <c r="C13" s="3" t="s">
        <v>202</v>
      </c>
      <c r="D13" s="3">
        <v>2017.0</v>
      </c>
      <c r="E13" s="3" t="s">
        <v>203</v>
      </c>
      <c r="F13" s="3" t="s">
        <v>2365</v>
      </c>
      <c r="G13" s="3" t="s">
        <v>2283</v>
      </c>
      <c r="I13" s="3" t="s">
        <v>2358</v>
      </c>
      <c r="J13" s="9" t="s">
        <v>2964</v>
      </c>
      <c r="K13" s="9" t="s">
        <v>2965</v>
      </c>
      <c r="L13" s="8" t="s">
        <v>2366</v>
      </c>
    </row>
    <row r="14">
      <c r="A14" s="3">
        <v>89.0</v>
      </c>
      <c r="B14" s="3" t="s">
        <v>40</v>
      </c>
      <c r="C14" s="3" t="s">
        <v>342</v>
      </c>
      <c r="D14" s="3">
        <v>2012.0</v>
      </c>
      <c r="E14" s="3" t="s">
        <v>343</v>
      </c>
      <c r="F14" s="3" t="s">
        <v>2356</v>
      </c>
      <c r="G14" s="3" t="s">
        <v>2283</v>
      </c>
      <c r="H14" s="3" t="s">
        <v>2357</v>
      </c>
      <c r="I14" s="3" t="s">
        <v>2358</v>
      </c>
      <c r="J14" s="9" t="s">
        <v>2966</v>
      </c>
      <c r="K14" s="9" t="s">
        <v>2967</v>
      </c>
      <c r="L14" s="8" t="s">
        <v>2359</v>
      </c>
    </row>
    <row r="15">
      <c r="A15" s="3">
        <v>135.0</v>
      </c>
      <c r="B15" s="3" t="s">
        <v>40</v>
      </c>
      <c r="C15" s="3" t="s">
        <v>439</v>
      </c>
      <c r="D15" s="3">
        <v>2018.0</v>
      </c>
      <c r="E15" s="3" t="s">
        <v>440</v>
      </c>
      <c r="F15" s="3" t="s">
        <v>2465</v>
      </c>
      <c r="G15" s="3" t="s">
        <v>2283</v>
      </c>
      <c r="I15" s="3" t="s">
        <v>2358</v>
      </c>
      <c r="J15" s="9" t="s">
        <v>2953</v>
      </c>
      <c r="K15" s="9" t="s">
        <v>2968</v>
      </c>
      <c r="L15" s="8" t="s">
        <v>2466</v>
      </c>
    </row>
    <row r="16">
      <c r="A16" s="3">
        <v>70.0</v>
      </c>
      <c r="B16" s="3" t="s">
        <v>40</v>
      </c>
      <c r="C16" s="3" t="s">
        <v>288</v>
      </c>
      <c r="D16" s="3">
        <v>2009.0</v>
      </c>
      <c r="E16" s="3" t="s">
        <v>289</v>
      </c>
      <c r="F16" s="3" t="s">
        <v>2136</v>
      </c>
      <c r="G16" s="3" t="s">
        <v>2136</v>
      </c>
      <c r="I16" s="3" t="s">
        <v>2137</v>
      </c>
      <c r="J16" s="9" t="s">
        <v>2969</v>
      </c>
      <c r="K16" s="9" t="s">
        <v>2970</v>
      </c>
      <c r="L16" s="8" t="s">
        <v>2140</v>
      </c>
    </row>
    <row r="17">
      <c r="A17" s="3">
        <v>300.0</v>
      </c>
      <c r="B17" s="3" t="s">
        <v>40</v>
      </c>
      <c r="C17" s="3" t="s">
        <v>766</v>
      </c>
      <c r="D17" s="3">
        <v>2009.0</v>
      </c>
      <c r="E17" s="3" t="s">
        <v>767</v>
      </c>
      <c r="F17" s="3" t="s">
        <v>2406</v>
      </c>
      <c r="G17" s="3" t="s">
        <v>2283</v>
      </c>
      <c r="I17" s="3" t="s">
        <v>2407</v>
      </c>
      <c r="J17" s="9" t="s">
        <v>2953</v>
      </c>
      <c r="K17" s="9" t="s">
        <v>2954</v>
      </c>
      <c r="L17" s="8" t="s">
        <v>2408</v>
      </c>
    </row>
    <row r="18">
      <c r="A18" s="3">
        <v>354.0</v>
      </c>
      <c r="B18" s="3" t="s">
        <v>40</v>
      </c>
      <c r="C18" s="3" t="s">
        <v>878</v>
      </c>
      <c r="D18" s="3">
        <v>2019.0</v>
      </c>
      <c r="E18" s="3" t="s">
        <v>879</v>
      </c>
      <c r="F18" s="3" t="s">
        <v>2438</v>
      </c>
      <c r="G18" s="3" t="s">
        <v>2283</v>
      </c>
      <c r="I18" s="3" t="s">
        <v>2291</v>
      </c>
      <c r="J18" s="9" t="s">
        <v>2953</v>
      </c>
      <c r="K18" s="9" t="s">
        <v>2954</v>
      </c>
      <c r="L18" s="8" t="s">
        <v>2439</v>
      </c>
    </row>
    <row r="19">
      <c r="A19" s="3">
        <v>326.0</v>
      </c>
      <c r="B19" s="3" t="s">
        <v>40</v>
      </c>
      <c r="C19" s="3" t="s">
        <v>820</v>
      </c>
      <c r="D19" s="3">
        <v>2015.0</v>
      </c>
      <c r="E19" s="3" t="s">
        <v>821</v>
      </c>
      <c r="F19" s="3" t="s">
        <v>2282</v>
      </c>
      <c r="G19" s="3" t="s">
        <v>2283</v>
      </c>
      <c r="I19" s="3" t="s">
        <v>2291</v>
      </c>
      <c r="J19" s="9" t="s">
        <v>2953</v>
      </c>
      <c r="K19" s="9" t="s">
        <v>2954</v>
      </c>
      <c r="L19" s="8" t="s">
        <v>2292</v>
      </c>
    </row>
    <row r="20">
      <c r="A20" s="3">
        <v>65.0</v>
      </c>
      <c r="B20" s="3" t="s">
        <v>40</v>
      </c>
      <c r="C20" s="3" t="s">
        <v>273</v>
      </c>
      <c r="D20" s="3">
        <v>2017.0</v>
      </c>
      <c r="E20" s="3" t="s">
        <v>274</v>
      </c>
      <c r="F20" s="3" t="s">
        <v>2185</v>
      </c>
      <c r="G20" s="3" t="s">
        <v>2147</v>
      </c>
      <c r="I20" s="3" t="s">
        <v>2192</v>
      </c>
      <c r="J20" s="9" t="s">
        <v>2971</v>
      </c>
      <c r="K20" s="9" t="s">
        <v>2972</v>
      </c>
      <c r="L20" s="8" t="s">
        <v>2193</v>
      </c>
    </row>
    <row r="21">
      <c r="A21" s="3">
        <v>148.0</v>
      </c>
      <c r="B21" s="3" t="s">
        <v>40</v>
      </c>
      <c r="C21" s="3" t="s">
        <v>468</v>
      </c>
      <c r="D21" s="3">
        <v>2018.0</v>
      </c>
      <c r="E21" s="3" t="s">
        <v>469</v>
      </c>
      <c r="F21" s="3" t="s">
        <v>2428</v>
      </c>
      <c r="G21" s="3" t="s">
        <v>2147</v>
      </c>
      <c r="I21" s="3" t="s">
        <v>2429</v>
      </c>
      <c r="J21" s="9"/>
      <c r="K21" s="9" t="s">
        <v>2954</v>
      </c>
      <c r="L21" s="8" t="s">
        <v>2430</v>
      </c>
    </row>
    <row r="22">
      <c r="A22" s="3">
        <v>41.0</v>
      </c>
      <c r="B22" s="3" t="s">
        <v>40</v>
      </c>
      <c r="C22" s="3" t="s">
        <v>206</v>
      </c>
      <c r="D22" s="3">
        <v>2018.0</v>
      </c>
      <c r="E22" s="3" t="s">
        <v>207</v>
      </c>
      <c r="F22" s="3" t="s">
        <v>2185</v>
      </c>
      <c r="G22" s="3" t="s">
        <v>2147</v>
      </c>
      <c r="I22" s="3" t="s">
        <v>2196</v>
      </c>
      <c r="J22" s="9" t="s">
        <v>2973</v>
      </c>
      <c r="K22" s="9" t="s">
        <v>2965</v>
      </c>
      <c r="L22" s="8" t="s">
        <v>2197</v>
      </c>
    </row>
    <row r="23">
      <c r="A23" s="3">
        <v>875.0</v>
      </c>
      <c r="B23" s="3" t="s">
        <v>40</v>
      </c>
      <c r="C23" s="3" t="s">
        <v>1864</v>
      </c>
      <c r="D23" s="3">
        <v>2018.0</v>
      </c>
      <c r="E23" s="3" t="s">
        <v>1865</v>
      </c>
      <c r="F23" s="3" t="s">
        <v>2600</v>
      </c>
      <c r="G23" s="3" t="s">
        <v>2147</v>
      </c>
      <c r="H23" s="3" t="s">
        <v>2217</v>
      </c>
      <c r="I23" s="3" t="s">
        <v>2829</v>
      </c>
      <c r="J23" s="9" t="s">
        <v>2974</v>
      </c>
      <c r="K23" s="9" t="s">
        <v>2959</v>
      </c>
      <c r="L23" s="8" t="s">
        <v>2830</v>
      </c>
    </row>
    <row r="24">
      <c r="A24" s="3">
        <v>183.0</v>
      </c>
      <c r="B24" s="3" t="s">
        <v>40</v>
      </c>
      <c r="C24" s="3" t="s">
        <v>539</v>
      </c>
      <c r="D24" s="3">
        <v>2011.0</v>
      </c>
      <c r="E24" s="3" t="s">
        <v>540</v>
      </c>
      <c r="G24" s="3" t="s">
        <v>2943</v>
      </c>
      <c r="I24" s="3" t="s">
        <v>2944</v>
      </c>
      <c r="J24" s="9" t="s">
        <v>2975</v>
      </c>
      <c r="K24" s="9" t="s">
        <v>2976</v>
      </c>
      <c r="L24" s="8" t="s">
        <v>2945</v>
      </c>
    </row>
    <row r="25">
      <c r="A25" s="3">
        <v>318.0</v>
      </c>
      <c r="B25" s="3" t="s">
        <v>40</v>
      </c>
      <c r="C25" s="3" t="s">
        <v>804</v>
      </c>
      <c r="D25" s="3">
        <v>2013.0</v>
      </c>
      <c r="E25" s="3" t="s">
        <v>805</v>
      </c>
      <c r="G25" s="3" t="s">
        <v>2943</v>
      </c>
      <c r="I25" s="3" t="s">
        <v>2944</v>
      </c>
      <c r="J25" s="9" t="s">
        <v>2953</v>
      </c>
      <c r="K25" s="9" t="s">
        <v>2954</v>
      </c>
      <c r="L25" s="8" t="s">
        <v>2949</v>
      </c>
    </row>
    <row r="26">
      <c r="A26" s="3">
        <v>836.0</v>
      </c>
      <c r="B26" s="3" t="s">
        <v>40</v>
      </c>
      <c r="C26" s="3" t="s">
        <v>1786</v>
      </c>
      <c r="D26" s="3">
        <v>2008.0</v>
      </c>
      <c r="E26" s="3" t="s">
        <v>1787</v>
      </c>
      <c r="F26" s="3" t="s">
        <v>2600</v>
      </c>
      <c r="G26" s="3" t="s">
        <v>2147</v>
      </c>
      <c r="H26" s="3" t="s">
        <v>2217</v>
      </c>
      <c r="I26" s="3" t="s">
        <v>2816</v>
      </c>
      <c r="J26" s="9" t="s">
        <v>2974</v>
      </c>
      <c r="K26" s="9" t="s">
        <v>2959</v>
      </c>
      <c r="L26" s="8" t="s">
        <v>2817</v>
      </c>
    </row>
    <row r="27">
      <c r="A27" s="3">
        <v>107.0</v>
      </c>
      <c r="B27" s="3" t="s">
        <v>40</v>
      </c>
      <c r="C27" s="3" t="s">
        <v>382</v>
      </c>
      <c r="D27" s="3">
        <v>2004.0</v>
      </c>
      <c r="E27" s="3" t="s">
        <v>383</v>
      </c>
      <c r="F27" s="3" t="s">
        <v>2600</v>
      </c>
      <c r="G27" s="3" t="s">
        <v>2147</v>
      </c>
      <c r="H27" s="3" t="s">
        <v>2217</v>
      </c>
      <c r="I27" s="3" t="s">
        <v>2237</v>
      </c>
      <c r="J27" s="9" t="s">
        <v>2977</v>
      </c>
      <c r="K27" s="9" t="s">
        <v>2978</v>
      </c>
      <c r="L27" s="8" t="s">
        <v>2613</v>
      </c>
    </row>
    <row r="28">
      <c r="A28" s="3">
        <v>114.0</v>
      </c>
      <c r="B28" s="3" t="s">
        <v>40</v>
      </c>
      <c r="C28" s="3" t="s">
        <v>400</v>
      </c>
      <c r="D28" s="3">
        <v>2003.0</v>
      </c>
      <c r="E28" s="3" t="s">
        <v>401</v>
      </c>
      <c r="F28" s="3" t="s">
        <v>2600</v>
      </c>
      <c r="G28" s="3" t="s">
        <v>2147</v>
      </c>
      <c r="H28" s="3" t="s">
        <v>2217</v>
      </c>
      <c r="I28" s="3" t="s">
        <v>2237</v>
      </c>
      <c r="J28" s="9" t="s">
        <v>2979</v>
      </c>
      <c r="K28" s="9" t="s">
        <v>2980</v>
      </c>
      <c r="L28" s="8" t="s">
        <v>2636</v>
      </c>
    </row>
    <row r="29">
      <c r="A29" s="3">
        <v>251.0</v>
      </c>
      <c r="B29" s="3" t="s">
        <v>40</v>
      </c>
      <c r="C29" s="3" t="s">
        <v>669</v>
      </c>
      <c r="D29" s="3">
        <v>1994.0</v>
      </c>
      <c r="E29" s="3" t="s">
        <v>670</v>
      </c>
      <c r="F29" s="3" t="s">
        <v>2600</v>
      </c>
      <c r="G29" s="3" t="s">
        <v>2147</v>
      </c>
      <c r="H29" s="3" t="s">
        <v>2217</v>
      </c>
      <c r="I29" s="3" t="s">
        <v>2237</v>
      </c>
      <c r="J29" s="9" t="s">
        <v>2953</v>
      </c>
      <c r="K29" s="9" t="s">
        <v>2954</v>
      </c>
      <c r="L29" s="8" t="s">
        <v>2678</v>
      </c>
    </row>
    <row r="30">
      <c r="A30" s="3">
        <v>284.0</v>
      </c>
      <c r="B30" s="3" t="s">
        <v>40</v>
      </c>
      <c r="C30" s="3" t="s">
        <v>734</v>
      </c>
      <c r="D30" s="3">
        <v>2005.0</v>
      </c>
      <c r="E30" s="3" t="s">
        <v>735</v>
      </c>
      <c r="F30" s="3" t="s">
        <v>2600</v>
      </c>
      <c r="G30" s="3" t="s">
        <v>2147</v>
      </c>
      <c r="H30" s="3" t="s">
        <v>2217</v>
      </c>
      <c r="I30" s="3" t="s">
        <v>2237</v>
      </c>
      <c r="J30" s="9" t="s">
        <v>2953</v>
      </c>
      <c r="K30" s="9" t="s">
        <v>2954</v>
      </c>
      <c r="L30" s="8" t="s">
        <v>2682</v>
      </c>
    </row>
    <row r="31">
      <c r="A31" s="3">
        <v>276.0</v>
      </c>
      <c r="B31" s="3" t="s">
        <v>40</v>
      </c>
      <c r="C31" s="3" t="s">
        <v>719</v>
      </c>
      <c r="D31" s="3">
        <v>2002.0</v>
      </c>
      <c r="E31" s="3" t="s">
        <v>720</v>
      </c>
      <c r="F31" s="3" t="s">
        <v>2600</v>
      </c>
      <c r="G31" s="3" t="s">
        <v>2147</v>
      </c>
      <c r="H31" s="3" t="s">
        <v>2217</v>
      </c>
      <c r="I31" s="3" t="s">
        <v>2237</v>
      </c>
      <c r="J31" s="9" t="s">
        <v>2953</v>
      </c>
      <c r="K31" s="9" t="s">
        <v>2954</v>
      </c>
      <c r="L31" s="8" t="s">
        <v>2681</v>
      </c>
    </row>
    <row r="32">
      <c r="A32" s="3">
        <v>244.0</v>
      </c>
      <c r="B32" s="3" t="s">
        <v>40</v>
      </c>
      <c r="C32" s="3" t="s">
        <v>655</v>
      </c>
      <c r="D32" s="3">
        <v>1991.0</v>
      </c>
      <c r="E32" s="3" t="s">
        <v>656</v>
      </c>
      <c r="F32" s="3" t="s">
        <v>2600</v>
      </c>
      <c r="G32" s="3" t="s">
        <v>2147</v>
      </c>
      <c r="H32" s="3" t="s">
        <v>2217</v>
      </c>
      <c r="I32" s="3" t="s">
        <v>2237</v>
      </c>
      <c r="J32" s="9" t="s">
        <v>2981</v>
      </c>
      <c r="K32" s="9" t="s">
        <v>2954</v>
      </c>
      <c r="L32" s="8" t="s">
        <v>2663</v>
      </c>
    </row>
    <row r="33">
      <c r="A33" s="3">
        <v>142.0</v>
      </c>
      <c r="B33" s="3" t="s">
        <v>40</v>
      </c>
      <c r="C33" s="3" t="s">
        <v>454</v>
      </c>
      <c r="D33" s="3">
        <v>2003.0</v>
      </c>
      <c r="E33" s="3" t="s">
        <v>455</v>
      </c>
      <c r="F33" s="3" t="s">
        <v>2600</v>
      </c>
      <c r="G33" s="3" t="s">
        <v>2147</v>
      </c>
      <c r="H33" s="3" t="s">
        <v>2217</v>
      </c>
      <c r="I33" s="3" t="s">
        <v>2237</v>
      </c>
      <c r="J33" s="9" t="s">
        <v>2953</v>
      </c>
      <c r="K33" s="9" t="s">
        <v>2954</v>
      </c>
      <c r="L33" s="8" t="s">
        <v>2674</v>
      </c>
    </row>
    <row r="34">
      <c r="A34" s="3">
        <v>254.0</v>
      </c>
      <c r="B34" s="3" t="s">
        <v>40</v>
      </c>
      <c r="C34" s="3" t="s">
        <v>675</v>
      </c>
      <c r="D34" s="3">
        <v>1997.0</v>
      </c>
      <c r="E34" s="3" t="s">
        <v>676</v>
      </c>
      <c r="F34" s="3" t="s">
        <v>2216</v>
      </c>
      <c r="G34" s="3" t="s">
        <v>2147</v>
      </c>
      <c r="H34" s="3" t="s">
        <v>2217</v>
      </c>
      <c r="I34" s="3" t="s">
        <v>2237</v>
      </c>
      <c r="J34" s="9" t="s">
        <v>2953</v>
      </c>
      <c r="K34" s="9" t="s">
        <v>2954</v>
      </c>
      <c r="L34" s="8" t="s">
        <v>2238</v>
      </c>
    </row>
    <row r="35">
      <c r="A35" s="3">
        <v>457.0</v>
      </c>
      <c r="B35" s="3" t="s">
        <v>40</v>
      </c>
      <c r="C35" s="3" t="s">
        <v>1041</v>
      </c>
      <c r="D35" s="3">
        <v>1997.0</v>
      </c>
      <c r="E35" s="3" t="s">
        <v>1042</v>
      </c>
      <c r="F35" s="3" t="s">
        <v>2428</v>
      </c>
      <c r="G35" s="3" t="s">
        <v>2147</v>
      </c>
      <c r="I35" s="3" t="s">
        <v>2237</v>
      </c>
      <c r="J35" s="9"/>
      <c r="K35" s="9" t="s">
        <v>2982</v>
      </c>
      <c r="L35" s="8" t="s">
        <v>2431</v>
      </c>
    </row>
    <row r="36">
      <c r="A36" s="3">
        <v>665.0</v>
      </c>
      <c r="B36" s="3" t="s">
        <v>40</v>
      </c>
      <c r="C36" s="3" t="s">
        <v>1442</v>
      </c>
      <c r="D36" s="3">
        <v>2018.0</v>
      </c>
      <c r="E36" s="3" t="s">
        <v>1443</v>
      </c>
      <c r="F36" s="3" t="s">
        <v>2600</v>
      </c>
      <c r="G36" s="3" t="s">
        <v>2147</v>
      </c>
      <c r="H36" s="3" t="s">
        <v>2217</v>
      </c>
      <c r="I36" s="3" t="s">
        <v>2237</v>
      </c>
      <c r="J36" s="9" t="s">
        <v>2983</v>
      </c>
      <c r="K36" s="9" t="s">
        <v>2984</v>
      </c>
      <c r="L36" s="8" t="s">
        <v>2614</v>
      </c>
    </row>
    <row r="37">
      <c r="A37" s="3">
        <v>476.0</v>
      </c>
      <c r="B37" s="3" t="s">
        <v>40</v>
      </c>
      <c r="C37" s="3" t="s">
        <v>1076</v>
      </c>
      <c r="D37" s="3">
        <v>2012.0</v>
      </c>
      <c r="E37" s="3" t="s">
        <v>1077</v>
      </c>
      <c r="F37" s="3" t="s">
        <v>2600</v>
      </c>
      <c r="G37" s="3" t="s">
        <v>2147</v>
      </c>
      <c r="H37" s="3" t="s">
        <v>2217</v>
      </c>
      <c r="I37" s="3" t="s">
        <v>2237</v>
      </c>
      <c r="J37" s="9" t="s">
        <v>2985</v>
      </c>
      <c r="K37" s="9" t="s">
        <v>2986</v>
      </c>
      <c r="L37" s="8" t="s">
        <v>2649</v>
      </c>
    </row>
    <row r="38">
      <c r="A38" s="3">
        <v>489.0</v>
      </c>
      <c r="B38" s="3" t="s">
        <v>40</v>
      </c>
      <c r="C38" s="3" t="s">
        <v>1103</v>
      </c>
      <c r="D38" s="3">
        <v>2010.0</v>
      </c>
      <c r="E38" s="3" t="s">
        <v>1104</v>
      </c>
      <c r="F38" s="3" t="s">
        <v>2600</v>
      </c>
      <c r="G38" s="3" t="s">
        <v>2147</v>
      </c>
      <c r="H38" s="3" t="s">
        <v>2217</v>
      </c>
      <c r="I38" s="3" t="s">
        <v>2237</v>
      </c>
      <c r="J38" s="9" t="s">
        <v>2987</v>
      </c>
      <c r="K38" s="9" t="s">
        <v>2988</v>
      </c>
      <c r="L38" s="8" t="s">
        <v>2618</v>
      </c>
    </row>
    <row r="39">
      <c r="A39" s="3">
        <v>494.0</v>
      </c>
      <c r="B39" s="3" t="s">
        <v>40</v>
      </c>
      <c r="C39" s="3" t="s">
        <v>1112</v>
      </c>
      <c r="D39" s="3">
        <v>2002.0</v>
      </c>
      <c r="E39" s="3" t="s">
        <v>1113</v>
      </c>
      <c r="F39" s="3" t="s">
        <v>2600</v>
      </c>
      <c r="G39" s="3" t="s">
        <v>2147</v>
      </c>
      <c r="H39" s="3" t="s">
        <v>2217</v>
      </c>
      <c r="I39" s="3" t="s">
        <v>2237</v>
      </c>
      <c r="J39" s="9" t="s">
        <v>2989</v>
      </c>
      <c r="K39" s="9" t="s">
        <v>2990</v>
      </c>
      <c r="L39" s="8" t="s">
        <v>2653</v>
      </c>
    </row>
    <row r="40">
      <c r="A40" s="3">
        <v>495.0</v>
      </c>
      <c r="B40" s="3" t="s">
        <v>40</v>
      </c>
      <c r="C40" s="3" t="s">
        <v>1114</v>
      </c>
      <c r="D40" s="3">
        <v>2014.0</v>
      </c>
      <c r="E40" s="3" t="s">
        <v>1115</v>
      </c>
      <c r="F40" s="3" t="s">
        <v>2600</v>
      </c>
      <c r="G40" s="3" t="s">
        <v>2147</v>
      </c>
      <c r="H40" s="3" t="s">
        <v>2217</v>
      </c>
      <c r="I40" s="3" t="s">
        <v>2237</v>
      </c>
      <c r="J40" s="9" t="s">
        <v>2985</v>
      </c>
      <c r="K40" s="9" t="s">
        <v>2991</v>
      </c>
      <c r="L40" s="8" t="s">
        <v>2656</v>
      </c>
    </row>
    <row r="41">
      <c r="A41" s="3">
        <v>544.0</v>
      </c>
      <c r="B41" s="3" t="s">
        <v>40</v>
      </c>
      <c r="C41" s="3" t="s">
        <v>1211</v>
      </c>
      <c r="D41" s="3">
        <v>2010.0</v>
      </c>
      <c r="E41" s="3" t="s">
        <v>1212</v>
      </c>
      <c r="F41" s="3" t="s">
        <v>2600</v>
      </c>
      <c r="G41" s="3" t="s">
        <v>2147</v>
      </c>
      <c r="H41" s="3" t="s">
        <v>2217</v>
      </c>
      <c r="I41" s="3" t="s">
        <v>2237</v>
      </c>
      <c r="J41" s="9" t="s">
        <v>2985</v>
      </c>
      <c r="K41" s="9" t="s">
        <v>2992</v>
      </c>
      <c r="L41" s="8" t="s">
        <v>2740</v>
      </c>
    </row>
    <row r="42">
      <c r="A42" s="3">
        <v>605.0</v>
      </c>
      <c r="B42" s="3" t="s">
        <v>40</v>
      </c>
      <c r="C42" s="3" t="s">
        <v>1336</v>
      </c>
      <c r="D42" s="3">
        <v>2019.0</v>
      </c>
      <c r="E42" s="3" t="s">
        <v>1337</v>
      </c>
      <c r="F42" s="3" t="s">
        <v>2600</v>
      </c>
      <c r="G42" s="3" t="s">
        <v>2147</v>
      </c>
      <c r="H42" s="3" t="s">
        <v>2217</v>
      </c>
      <c r="I42" s="3" t="s">
        <v>2237</v>
      </c>
      <c r="J42" s="9" t="s">
        <v>2985</v>
      </c>
      <c r="K42" s="9" t="s">
        <v>2992</v>
      </c>
      <c r="L42" s="8" t="s">
        <v>2755</v>
      </c>
    </row>
    <row r="43">
      <c r="A43" s="3">
        <v>550.0</v>
      </c>
      <c r="B43" s="3" t="s">
        <v>40</v>
      </c>
      <c r="C43" s="3" t="s">
        <v>1223</v>
      </c>
      <c r="D43" s="3">
        <v>2011.0</v>
      </c>
      <c r="E43" s="3" t="s">
        <v>1224</v>
      </c>
      <c r="G43" s="3" t="s">
        <v>2147</v>
      </c>
      <c r="H43" s="3" t="s">
        <v>2217</v>
      </c>
      <c r="I43" s="3" t="s">
        <v>2237</v>
      </c>
      <c r="J43" s="9" t="s">
        <v>2985</v>
      </c>
      <c r="K43" s="9" t="s">
        <v>2992</v>
      </c>
      <c r="L43" s="8" t="s">
        <v>2856</v>
      </c>
    </row>
    <row r="44">
      <c r="A44" s="3">
        <v>563.0</v>
      </c>
      <c r="B44" s="3" t="s">
        <v>40</v>
      </c>
      <c r="C44" s="3" t="s">
        <v>1250</v>
      </c>
      <c r="D44" s="3">
        <v>2014.0</v>
      </c>
      <c r="E44" s="3" t="s">
        <v>1251</v>
      </c>
      <c r="F44" s="3" t="s">
        <v>2600</v>
      </c>
      <c r="G44" s="3" t="s">
        <v>2147</v>
      </c>
      <c r="H44" s="3" t="s">
        <v>2217</v>
      </c>
      <c r="I44" s="3" t="s">
        <v>2237</v>
      </c>
      <c r="J44" s="9" t="s">
        <v>2985</v>
      </c>
      <c r="K44" s="9" t="s">
        <v>2992</v>
      </c>
      <c r="L44" s="8" t="s">
        <v>2742</v>
      </c>
    </row>
    <row r="45">
      <c r="A45" s="3">
        <v>604.0</v>
      </c>
      <c r="B45" s="3" t="s">
        <v>40</v>
      </c>
      <c r="C45" s="3" t="s">
        <v>1334</v>
      </c>
      <c r="D45" s="3">
        <v>2019.0</v>
      </c>
      <c r="E45" s="3" t="s">
        <v>1335</v>
      </c>
      <c r="F45" s="3" t="s">
        <v>2600</v>
      </c>
      <c r="G45" s="3" t="s">
        <v>2147</v>
      </c>
      <c r="H45" s="3" t="s">
        <v>2217</v>
      </c>
      <c r="I45" s="3" t="s">
        <v>2237</v>
      </c>
      <c r="J45" s="9" t="s">
        <v>2985</v>
      </c>
      <c r="K45" s="9" t="s">
        <v>2992</v>
      </c>
      <c r="L45" s="8" t="s">
        <v>2754</v>
      </c>
    </row>
    <row r="46">
      <c r="A46" s="3">
        <v>579.0</v>
      </c>
      <c r="B46" s="3" t="s">
        <v>40</v>
      </c>
      <c r="C46" s="3" t="s">
        <v>1282</v>
      </c>
      <c r="D46" s="3">
        <v>2016.0</v>
      </c>
      <c r="E46" s="3" t="s">
        <v>1283</v>
      </c>
      <c r="F46" s="3" t="s">
        <v>2600</v>
      </c>
      <c r="G46" s="3" t="s">
        <v>2147</v>
      </c>
      <c r="H46" s="3" t="s">
        <v>2217</v>
      </c>
      <c r="I46" s="3" t="s">
        <v>2237</v>
      </c>
      <c r="J46" s="9" t="s">
        <v>2985</v>
      </c>
      <c r="K46" s="9" t="s">
        <v>2992</v>
      </c>
      <c r="L46" s="8" t="s">
        <v>2748</v>
      </c>
    </row>
    <row r="47">
      <c r="A47" s="3">
        <v>593.0</v>
      </c>
      <c r="B47" s="3" t="s">
        <v>40</v>
      </c>
      <c r="C47" s="3" t="s">
        <v>1311</v>
      </c>
      <c r="D47" s="3">
        <v>2017.0</v>
      </c>
      <c r="E47" s="3" t="s">
        <v>1312</v>
      </c>
      <c r="F47" s="3" t="s">
        <v>2600</v>
      </c>
      <c r="G47" s="3" t="s">
        <v>2147</v>
      </c>
      <c r="H47" s="3" t="s">
        <v>2217</v>
      </c>
      <c r="I47" s="3" t="s">
        <v>2237</v>
      </c>
      <c r="J47" s="9" t="s">
        <v>2985</v>
      </c>
      <c r="K47" s="9" t="s">
        <v>2992</v>
      </c>
      <c r="L47" s="8" t="s">
        <v>2751</v>
      </c>
    </row>
    <row r="48">
      <c r="A48" s="3">
        <v>542.0</v>
      </c>
      <c r="B48" s="3" t="s">
        <v>40</v>
      </c>
      <c r="C48" s="3" t="s">
        <v>1207</v>
      </c>
      <c r="D48" s="3">
        <v>2010.0</v>
      </c>
      <c r="E48" s="3" t="s">
        <v>1208</v>
      </c>
      <c r="F48" s="3" t="s">
        <v>2600</v>
      </c>
      <c r="G48" s="3" t="s">
        <v>2147</v>
      </c>
      <c r="H48" s="3" t="s">
        <v>2217</v>
      </c>
      <c r="I48" s="3" t="s">
        <v>2237</v>
      </c>
      <c r="J48" s="9" t="s">
        <v>2985</v>
      </c>
      <c r="K48" s="9" t="s">
        <v>2992</v>
      </c>
      <c r="L48" s="8" t="s">
        <v>2738</v>
      </c>
    </row>
    <row r="49">
      <c r="A49" s="3">
        <v>510.0</v>
      </c>
      <c r="B49" s="3" t="s">
        <v>40</v>
      </c>
      <c r="C49" s="3" t="s">
        <v>1143</v>
      </c>
      <c r="D49" s="3">
        <v>2002.0</v>
      </c>
      <c r="E49" s="3" t="s">
        <v>1144</v>
      </c>
      <c r="F49" s="3" t="s">
        <v>2600</v>
      </c>
      <c r="G49" s="3" t="s">
        <v>2147</v>
      </c>
      <c r="H49" s="3" t="s">
        <v>2217</v>
      </c>
      <c r="I49" s="3" t="s">
        <v>2237</v>
      </c>
      <c r="J49" s="9" t="s">
        <v>2985</v>
      </c>
      <c r="K49" s="9" t="s">
        <v>2992</v>
      </c>
      <c r="L49" s="8" t="s">
        <v>2730</v>
      </c>
    </row>
    <row r="50">
      <c r="A50" s="3">
        <v>511.0</v>
      </c>
      <c r="B50" s="3" t="s">
        <v>40</v>
      </c>
      <c r="C50" s="3" t="s">
        <v>1145</v>
      </c>
      <c r="D50" s="3">
        <v>2002.0</v>
      </c>
      <c r="E50" s="3" t="s">
        <v>1146</v>
      </c>
      <c r="F50" s="3" t="s">
        <v>2600</v>
      </c>
      <c r="G50" s="3" t="s">
        <v>2147</v>
      </c>
      <c r="H50" s="3" t="s">
        <v>2217</v>
      </c>
      <c r="I50" s="3" t="s">
        <v>2237</v>
      </c>
      <c r="J50" s="9" t="s">
        <v>2985</v>
      </c>
      <c r="K50" s="9" t="s">
        <v>2992</v>
      </c>
      <c r="L50" s="8" t="s">
        <v>2731</v>
      </c>
    </row>
    <row r="51">
      <c r="A51" s="3">
        <v>592.0</v>
      </c>
      <c r="B51" s="3" t="s">
        <v>40</v>
      </c>
      <c r="C51" s="3" t="s">
        <v>1309</v>
      </c>
      <c r="D51" s="3">
        <v>2017.0</v>
      </c>
      <c r="E51" s="3" t="s">
        <v>1310</v>
      </c>
      <c r="F51" s="3" t="s">
        <v>2600</v>
      </c>
      <c r="G51" s="3" t="s">
        <v>2147</v>
      </c>
      <c r="H51" s="3" t="s">
        <v>2217</v>
      </c>
      <c r="I51" s="3" t="s">
        <v>2237</v>
      </c>
      <c r="J51" s="9" t="s">
        <v>2985</v>
      </c>
      <c r="K51" s="9" t="s">
        <v>2992</v>
      </c>
      <c r="L51" s="8" t="s">
        <v>2750</v>
      </c>
    </row>
    <row r="52">
      <c r="A52" s="3">
        <v>543.0</v>
      </c>
      <c r="B52" s="3" t="s">
        <v>40</v>
      </c>
      <c r="C52" s="3" t="s">
        <v>1209</v>
      </c>
      <c r="D52" s="3">
        <v>2010.0</v>
      </c>
      <c r="E52" s="3" t="s">
        <v>1210</v>
      </c>
      <c r="F52" s="3" t="s">
        <v>2600</v>
      </c>
      <c r="G52" s="3" t="s">
        <v>2147</v>
      </c>
      <c r="H52" s="3" t="s">
        <v>2217</v>
      </c>
      <c r="I52" s="3" t="s">
        <v>2237</v>
      </c>
      <c r="J52" s="9" t="s">
        <v>2985</v>
      </c>
      <c r="K52" s="9" t="s">
        <v>2992</v>
      </c>
      <c r="L52" s="8" t="s">
        <v>2739</v>
      </c>
    </row>
    <row r="53">
      <c r="A53" s="3">
        <v>595.0</v>
      </c>
      <c r="B53" s="3" t="s">
        <v>40</v>
      </c>
      <c r="C53" s="3" t="s">
        <v>1315</v>
      </c>
      <c r="D53" s="3">
        <v>2018.0</v>
      </c>
      <c r="E53" s="3" t="s">
        <v>1316</v>
      </c>
      <c r="F53" s="3" t="s">
        <v>2600</v>
      </c>
      <c r="G53" s="3" t="s">
        <v>2147</v>
      </c>
      <c r="H53" s="3" t="s">
        <v>2217</v>
      </c>
      <c r="I53" s="3" t="s">
        <v>2237</v>
      </c>
      <c r="J53" s="9" t="s">
        <v>2985</v>
      </c>
      <c r="K53" s="9" t="s">
        <v>2992</v>
      </c>
      <c r="L53" s="8" t="s">
        <v>2752</v>
      </c>
    </row>
    <row r="54">
      <c r="A54" s="3">
        <v>545.0</v>
      </c>
      <c r="B54" s="3" t="s">
        <v>40</v>
      </c>
      <c r="C54" s="3" t="s">
        <v>1213</v>
      </c>
      <c r="D54" s="3">
        <v>2010.0</v>
      </c>
      <c r="E54" s="3" t="s">
        <v>1214</v>
      </c>
      <c r="G54" s="3" t="s">
        <v>2147</v>
      </c>
      <c r="H54" s="3" t="s">
        <v>2217</v>
      </c>
      <c r="I54" s="3" t="s">
        <v>2237</v>
      </c>
      <c r="J54" s="9" t="s">
        <v>2985</v>
      </c>
      <c r="K54" s="9" t="s">
        <v>2992</v>
      </c>
      <c r="L54" s="8" t="s">
        <v>2855</v>
      </c>
    </row>
    <row r="55">
      <c r="A55" s="3">
        <v>564.0</v>
      </c>
      <c r="B55" s="3" t="s">
        <v>40</v>
      </c>
      <c r="C55" s="3" t="s">
        <v>1252</v>
      </c>
      <c r="D55" s="3">
        <v>2014.0</v>
      </c>
      <c r="E55" s="3" t="s">
        <v>1253</v>
      </c>
      <c r="F55" s="3" t="s">
        <v>2600</v>
      </c>
      <c r="G55" s="3" t="s">
        <v>2147</v>
      </c>
      <c r="H55" s="3" t="s">
        <v>2217</v>
      </c>
      <c r="I55" s="3" t="s">
        <v>2237</v>
      </c>
      <c r="J55" s="9" t="s">
        <v>2985</v>
      </c>
      <c r="K55" s="9" t="s">
        <v>2992</v>
      </c>
      <c r="L55" s="8" t="s">
        <v>2743</v>
      </c>
    </row>
    <row r="56">
      <c r="A56" s="3">
        <v>606.0</v>
      </c>
      <c r="B56" s="3" t="s">
        <v>40</v>
      </c>
      <c r="C56" s="3" t="s">
        <v>1338</v>
      </c>
      <c r="D56" s="3">
        <v>2020.0</v>
      </c>
      <c r="E56" s="3" t="s">
        <v>1339</v>
      </c>
      <c r="F56" s="3" t="s">
        <v>2600</v>
      </c>
      <c r="G56" s="3" t="s">
        <v>2147</v>
      </c>
      <c r="H56" s="3" t="s">
        <v>2217</v>
      </c>
      <c r="I56" s="3" t="s">
        <v>2237</v>
      </c>
      <c r="J56" s="9" t="s">
        <v>2985</v>
      </c>
      <c r="K56" s="9" t="s">
        <v>2992</v>
      </c>
      <c r="L56" s="8" t="s">
        <v>2756</v>
      </c>
    </row>
    <row r="57">
      <c r="A57" s="3">
        <v>571.0</v>
      </c>
      <c r="B57" s="3" t="s">
        <v>40</v>
      </c>
      <c r="C57" s="3" t="s">
        <v>1266</v>
      </c>
      <c r="D57" s="3">
        <v>2015.0</v>
      </c>
      <c r="E57" s="3" t="s">
        <v>1267</v>
      </c>
      <c r="F57" s="3" t="s">
        <v>2600</v>
      </c>
      <c r="G57" s="3" t="s">
        <v>2147</v>
      </c>
      <c r="H57" s="3" t="s">
        <v>2217</v>
      </c>
      <c r="I57" s="3" t="s">
        <v>2237</v>
      </c>
      <c r="J57" s="9" t="s">
        <v>2985</v>
      </c>
      <c r="K57" s="9" t="s">
        <v>2992</v>
      </c>
      <c r="L57" s="8" t="s">
        <v>2745</v>
      </c>
    </row>
    <row r="58">
      <c r="A58" s="3">
        <v>556.0</v>
      </c>
      <c r="B58" s="3" t="s">
        <v>40</v>
      </c>
      <c r="C58" s="3" t="s">
        <v>1236</v>
      </c>
      <c r="D58" s="3">
        <v>2012.0</v>
      </c>
      <c r="E58" s="3" t="s">
        <v>1237</v>
      </c>
      <c r="F58" s="3" t="s">
        <v>2600</v>
      </c>
      <c r="G58" s="3" t="s">
        <v>2147</v>
      </c>
      <c r="H58" s="3" t="s">
        <v>2217</v>
      </c>
      <c r="I58" s="3" t="s">
        <v>2237</v>
      </c>
      <c r="J58" s="9" t="s">
        <v>2985</v>
      </c>
      <c r="K58" s="9" t="s">
        <v>2992</v>
      </c>
      <c r="L58" s="8" t="s">
        <v>2741</v>
      </c>
    </row>
    <row r="59">
      <c r="A59" s="3">
        <v>603.0</v>
      </c>
      <c r="B59" s="3" t="s">
        <v>40</v>
      </c>
      <c r="C59" s="3" t="s">
        <v>1332</v>
      </c>
      <c r="D59" s="3">
        <v>2019.0</v>
      </c>
      <c r="E59" s="3" t="s">
        <v>1333</v>
      </c>
      <c r="F59" s="3" t="s">
        <v>2600</v>
      </c>
      <c r="G59" s="3" t="s">
        <v>2147</v>
      </c>
      <c r="H59" s="3" t="s">
        <v>2217</v>
      </c>
      <c r="I59" s="3" t="s">
        <v>2237</v>
      </c>
      <c r="J59" s="9" t="s">
        <v>2985</v>
      </c>
      <c r="K59" s="9" t="s">
        <v>2992</v>
      </c>
      <c r="L59" s="8" t="s">
        <v>2753</v>
      </c>
    </row>
    <row r="60">
      <c r="A60" s="3">
        <v>484.0</v>
      </c>
      <c r="B60" s="3" t="s">
        <v>40</v>
      </c>
      <c r="C60" s="3" t="s">
        <v>1092</v>
      </c>
      <c r="D60" s="3">
        <v>2003.0</v>
      </c>
      <c r="E60" s="3" t="s">
        <v>1093</v>
      </c>
      <c r="F60" s="3" t="s">
        <v>2600</v>
      </c>
      <c r="G60" s="3" t="s">
        <v>2147</v>
      </c>
      <c r="H60" s="3" t="s">
        <v>2217</v>
      </c>
      <c r="I60" s="3" t="s">
        <v>2237</v>
      </c>
      <c r="J60" s="9" t="s">
        <v>2985</v>
      </c>
      <c r="K60" s="9" t="s">
        <v>2992</v>
      </c>
      <c r="L60" s="8" t="s">
        <v>2726</v>
      </c>
    </row>
    <row r="61">
      <c r="A61" s="3">
        <v>485.0</v>
      </c>
      <c r="B61" s="3" t="s">
        <v>40</v>
      </c>
      <c r="C61" s="3" t="s">
        <v>1094</v>
      </c>
      <c r="D61" s="3">
        <v>2009.0</v>
      </c>
      <c r="E61" s="3" t="s">
        <v>1095</v>
      </c>
      <c r="F61" s="3" t="s">
        <v>2600</v>
      </c>
      <c r="G61" s="3" t="s">
        <v>2147</v>
      </c>
      <c r="H61" s="3" t="s">
        <v>2217</v>
      </c>
      <c r="I61" s="3" t="s">
        <v>2237</v>
      </c>
      <c r="J61" s="9" t="s">
        <v>2985</v>
      </c>
      <c r="K61" s="9" t="s">
        <v>2992</v>
      </c>
      <c r="L61" s="8" t="s">
        <v>2727</v>
      </c>
    </row>
    <row r="62">
      <c r="A62" s="3">
        <v>524.0</v>
      </c>
      <c r="B62" s="3" t="s">
        <v>40</v>
      </c>
      <c r="C62" s="3" t="s">
        <v>1171</v>
      </c>
      <c r="D62" s="3">
        <v>2007.0</v>
      </c>
      <c r="E62" s="3" t="s">
        <v>1172</v>
      </c>
      <c r="F62" s="3" t="s">
        <v>2600</v>
      </c>
      <c r="G62" s="3" t="s">
        <v>2147</v>
      </c>
      <c r="H62" s="3" t="s">
        <v>2217</v>
      </c>
      <c r="I62" s="3" t="s">
        <v>2237</v>
      </c>
      <c r="J62" s="9" t="s">
        <v>2985</v>
      </c>
      <c r="K62" s="9" t="s">
        <v>2992</v>
      </c>
      <c r="L62" s="8" t="s">
        <v>2734</v>
      </c>
    </row>
    <row r="63">
      <c r="A63" s="3">
        <v>607.0</v>
      </c>
      <c r="B63" s="3" t="s">
        <v>40</v>
      </c>
      <c r="C63" s="3" t="s">
        <v>1340</v>
      </c>
      <c r="D63" s="3">
        <v>2020.0</v>
      </c>
      <c r="E63" s="3" t="s">
        <v>1341</v>
      </c>
      <c r="F63" s="3" t="s">
        <v>2600</v>
      </c>
      <c r="G63" s="3" t="s">
        <v>2147</v>
      </c>
      <c r="H63" s="3" t="s">
        <v>2217</v>
      </c>
      <c r="I63" s="3" t="s">
        <v>2237</v>
      </c>
      <c r="J63" s="9" t="s">
        <v>2985</v>
      </c>
      <c r="K63" s="9" t="s">
        <v>2992</v>
      </c>
      <c r="L63" s="8" t="s">
        <v>2757</v>
      </c>
    </row>
    <row r="64">
      <c r="A64" s="3">
        <v>591.0</v>
      </c>
      <c r="B64" s="3" t="s">
        <v>40</v>
      </c>
      <c r="C64" s="3" t="s">
        <v>1307</v>
      </c>
      <c r="D64" s="3">
        <v>2017.0</v>
      </c>
      <c r="E64" s="3" t="s">
        <v>1308</v>
      </c>
      <c r="F64" s="3" t="s">
        <v>2600</v>
      </c>
      <c r="G64" s="3" t="s">
        <v>2147</v>
      </c>
      <c r="H64" s="3" t="s">
        <v>2217</v>
      </c>
      <c r="I64" s="3" t="s">
        <v>2237</v>
      </c>
      <c r="J64" s="9" t="s">
        <v>2985</v>
      </c>
      <c r="K64" s="9" t="s">
        <v>2992</v>
      </c>
      <c r="L64" s="8" t="s">
        <v>2749</v>
      </c>
    </row>
    <row r="65">
      <c r="A65" s="3">
        <v>533.0</v>
      </c>
      <c r="B65" s="3" t="s">
        <v>40</v>
      </c>
      <c r="C65" s="3" t="s">
        <v>1189</v>
      </c>
      <c r="D65" s="3">
        <v>2009.0</v>
      </c>
      <c r="E65" s="3" t="s">
        <v>1190</v>
      </c>
      <c r="G65" s="3" t="s">
        <v>2147</v>
      </c>
      <c r="H65" s="3" t="s">
        <v>2217</v>
      </c>
      <c r="I65" s="3" t="s">
        <v>2237</v>
      </c>
      <c r="J65" s="9"/>
      <c r="K65" s="9" t="s">
        <v>2992</v>
      </c>
      <c r="L65" s="8" t="s">
        <v>2857</v>
      </c>
    </row>
    <row r="66">
      <c r="A66" s="3">
        <v>519.0</v>
      </c>
      <c r="B66" s="3" t="s">
        <v>40</v>
      </c>
      <c r="C66" s="3" t="s">
        <v>1161</v>
      </c>
      <c r="D66" s="3">
        <v>2005.0</v>
      </c>
      <c r="E66" s="3" t="s">
        <v>1162</v>
      </c>
      <c r="F66" s="3" t="s">
        <v>2600</v>
      </c>
      <c r="G66" s="3" t="s">
        <v>2147</v>
      </c>
      <c r="H66" s="3" t="s">
        <v>2217</v>
      </c>
      <c r="I66" s="3" t="s">
        <v>2237</v>
      </c>
      <c r="J66" s="9" t="s">
        <v>2985</v>
      </c>
      <c r="K66" s="9" t="s">
        <v>2992</v>
      </c>
      <c r="L66" s="8" t="s">
        <v>2733</v>
      </c>
    </row>
    <row r="67">
      <c r="A67" s="3">
        <v>518.0</v>
      </c>
      <c r="B67" s="3" t="s">
        <v>40</v>
      </c>
      <c r="C67" s="3" t="s">
        <v>1159</v>
      </c>
      <c r="D67" s="3">
        <v>2005.0</v>
      </c>
      <c r="E67" s="3" t="s">
        <v>1160</v>
      </c>
      <c r="F67" s="3" t="s">
        <v>2600</v>
      </c>
      <c r="G67" s="3" t="s">
        <v>2147</v>
      </c>
      <c r="H67" s="3" t="s">
        <v>2217</v>
      </c>
      <c r="I67" s="3" t="s">
        <v>2237</v>
      </c>
      <c r="J67" s="9" t="s">
        <v>2985</v>
      </c>
      <c r="K67" s="9" t="s">
        <v>2992</v>
      </c>
      <c r="L67" s="8" t="s">
        <v>2732</v>
      </c>
    </row>
    <row r="68">
      <c r="A68" s="3">
        <v>532.0</v>
      </c>
      <c r="B68" s="3" t="s">
        <v>40</v>
      </c>
      <c r="C68" s="3" t="s">
        <v>1187</v>
      </c>
      <c r="D68" s="3">
        <v>2009.0</v>
      </c>
      <c r="E68" s="3" t="s">
        <v>1188</v>
      </c>
      <c r="F68" s="3" t="s">
        <v>2600</v>
      </c>
      <c r="G68" s="3" t="s">
        <v>2147</v>
      </c>
      <c r="H68" s="3" t="s">
        <v>2217</v>
      </c>
      <c r="I68" s="3" t="s">
        <v>2237</v>
      </c>
      <c r="J68" s="9" t="s">
        <v>2985</v>
      </c>
      <c r="K68" s="9" t="s">
        <v>2992</v>
      </c>
      <c r="L68" s="8" t="s">
        <v>2737</v>
      </c>
    </row>
    <row r="69">
      <c r="A69" s="3">
        <v>633.0</v>
      </c>
      <c r="B69" s="3" t="s">
        <v>40</v>
      </c>
      <c r="C69" s="3" t="s">
        <v>1382</v>
      </c>
      <c r="D69" s="3">
        <v>2012.0</v>
      </c>
      <c r="E69" s="3" t="s">
        <v>1383</v>
      </c>
      <c r="F69" s="3" t="s">
        <v>2600</v>
      </c>
      <c r="G69" s="3" t="s">
        <v>2147</v>
      </c>
      <c r="H69" s="3" t="s">
        <v>2217</v>
      </c>
      <c r="I69" s="3" t="s">
        <v>2237</v>
      </c>
      <c r="J69" s="9" t="s">
        <v>2985</v>
      </c>
      <c r="K69" s="9" t="s">
        <v>2993</v>
      </c>
      <c r="L69" s="8" t="s">
        <v>2642</v>
      </c>
    </row>
    <row r="70">
      <c r="A70" s="3">
        <v>742.0</v>
      </c>
      <c r="B70" s="3" t="s">
        <v>40</v>
      </c>
      <c r="C70" s="3" t="s">
        <v>1600</v>
      </c>
      <c r="D70" s="3">
        <v>2015.0</v>
      </c>
      <c r="E70" s="3" t="s">
        <v>1601</v>
      </c>
      <c r="F70" s="3" t="s">
        <v>2600</v>
      </c>
      <c r="G70" s="3" t="s">
        <v>2147</v>
      </c>
      <c r="H70" s="3" t="s">
        <v>2217</v>
      </c>
      <c r="I70" s="3" t="s">
        <v>2237</v>
      </c>
      <c r="J70" s="9" t="s">
        <v>2994</v>
      </c>
      <c r="K70" s="9" t="s">
        <v>2995</v>
      </c>
      <c r="L70" s="8" t="s">
        <v>2629</v>
      </c>
    </row>
    <row r="71">
      <c r="A71" s="3">
        <v>739.0</v>
      </c>
      <c r="B71" s="3" t="s">
        <v>40</v>
      </c>
      <c r="C71" s="3" t="s">
        <v>1594</v>
      </c>
      <c r="D71" s="3">
        <v>2012.0</v>
      </c>
      <c r="E71" s="3" t="s">
        <v>1595</v>
      </c>
      <c r="F71" s="3" t="s">
        <v>2600</v>
      </c>
      <c r="G71" s="3" t="s">
        <v>2147</v>
      </c>
      <c r="H71" s="3" t="s">
        <v>2217</v>
      </c>
      <c r="I71" s="3" t="s">
        <v>2237</v>
      </c>
      <c r="J71" s="9" t="s">
        <v>2996</v>
      </c>
      <c r="K71" s="9" t="s">
        <v>2995</v>
      </c>
      <c r="L71" s="8" t="s">
        <v>2630</v>
      </c>
    </row>
    <row r="72">
      <c r="A72" s="3">
        <v>740.0</v>
      </c>
      <c r="B72" s="3" t="s">
        <v>40</v>
      </c>
      <c r="C72" s="3" t="s">
        <v>1596</v>
      </c>
      <c r="D72" s="3">
        <v>2012.0</v>
      </c>
      <c r="E72" s="3" t="s">
        <v>1597</v>
      </c>
      <c r="F72" s="3" t="s">
        <v>2600</v>
      </c>
      <c r="G72" s="3" t="s">
        <v>2147</v>
      </c>
      <c r="H72" s="3" t="s">
        <v>2217</v>
      </c>
      <c r="I72" s="3" t="s">
        <v>2237</v>
      </c>
      <c r="J72" s="9" t="s">
        <v>2996</v>
      </c>
      <c r="K72" s="9" t="s">
        <v>2995</v>
      </c>
      <c r="L72" s="8" t="s">
        <v>2631</v>
      </c>
    </row>
    <row r="73">
      <c r="A73" s="3">
        <v>749.0</v>
      </c>
      <c r="B73" s="3" t="s">
        <v>40</v>
      </c>
      <c r="C73" s="3" t="s">
        <v>1614</v>
      </c>
      <c r="D73" s="3">
        <v>2019.0</v>
      </c>
      <c r="E73" s="3" t="s">
        <v>1615</v>
      </c>
      <c r="F73" s="3" t="s">
        <v>2600</v>
      </c>
      <c r="G73" s="3" t="s">
        <v>2147</v>
      </c>
      <c r="H73" s="3" t="s">
        <v>2217</v>
      </c>
      <c r="I73" s="3" t="s">
        <v>2237</v>
      </c>
      <c r="J73" s="9" t="s">
        <v>2997</v>
      </c>
      <c r="K73" s="9" t="s">
        <v>2998</v>
      </c>
      <c r="L73" s="8" t="s">
        <v>2612</v>
      </c>
    </row>
    <row r="74">
      <c r="A74" s="3">
        <v>764.0</v>
      </c>
      <c r="B74" s="3" t="s">
        <v>40</v>
      </c>
      <c r="C74" s="3" t="s">
        <v>1642</v>
      </c>
      <c r="D74" s="3">
        <v>2013.0</v>
      </c>
      <c r="E74" s="3" t="s">
        <v>1643</v>
      </c>
      <c r="F74" s="3" t="s">
        <v>2600</v>
      </c>
      <c r="G74" s="3" t="s">
        <v>2147</v>
      </c>
      <c r="H74" s="3" t="s">
        <v>2217</v>
      </c>
      <c r="I74" s="3" t="s">
        <v>2237</v>
      </c>
      <c r="J74" s="9" t="s">
        <v>2974</v>
      </c>
      <c r="K74" s="9" t="s">
        <v>2999</v>
      </c>
      <c r="L74" s="8" t="s">
        <v>2615</v>
      </c>
    </row>
    <row r="75">
      <c r="A75" s="3">
        <v>754.0</v>
      </c>
      <c r="B75" s="3" t="s">
        <v>40</v>
      </c>
      <c r="C75" s="3" t="s">
        <v>1622</v>
      </c>
      <c r="D75" s="3">
        <v>2007.0</v>
      </c>
      <c r="E75" s="3" t="s">
        <v>1623</v>
      </c>
      <c r="F75" s="3" t="s">
        <v>2600</v>
      </c>
      <c r="G75" s="3" t="s">
        <v>2147</v>
      </c>
      <c r="H75" s="3" t="s">
        <v>2217</v>
      </c>
      <c r="I75" s="3" t="s">
        <v>2237</v>
      </c>
      <c r="J75" s="9" t="s">
        <v>3000</v>
      </c>
      <c r="K75" s="9" t="s">
        <v>3001</v>
      </c>
      <c r="L75" s="8" t="s">
        <v>2646</v>
      </c>
    </row>
    <row r="76">
      <c r="A76" s="3">
        <v>752.0</v>
      </c>
      <c r="B76" s="3" t="s">
        <v>40</v>
      </c>
      <c r="C76" s="3" t="s">
        <v>1618</v>
      </c>
      <c r="D76" s="3">
        <v>2000.0</v>
      </c>
      <c r="E76" s="3" t="s">
        <v>1619</v>
      </c>
      <c r="F76" s="3" t="s">
        <v>2600</v>
      </c>
      <c r="G76" s="3" t="s">
        <v>2147</v>
      </c>
      <c r="H76" s="3" t="s">
        <v>2217</v>
      </c>
      <c r="I76" s="3" t="s">
        <v>2237</v>
      </c>
      <c r="J76" s="9" t="s">
        <v>3002</v>
      </c>
      <c r="K76" s="9" t="s">
        <v>3001</v>
      </c>
      <c r="L76" s="8" t="s">
        <v>2644</v>
      </c>
    </row>
    <row r="77">
      <c r="A77" s="3">
        <v>753.0</v>
      </c>
      <c r="B77" s="3" t="s">
        <v>40</v>
      </c>
      <c r="C77" s="3" t="s">
        <v>1620</v>
      </c>
      <c r="D77" s="3">
        <v>2003.0</v>
      </c>
      <c r="E77" s="3" t="s">
        <v>1621</v>
      </c>
      <c r="F77" s="3" t="s">
        <v>2600</v>
      </c>
      <c r="G77" s="3" t="s">
        <v>2147</v>
      </c>
      <c r="H77" s="3" t="s">
        <v>2217</v>
      </c>
      <c r="I77" s="3" t="s">
        <v>2237</v>
      </c>
      <c r="J77" s="9" t="s">
        <v>3000</v>
      </c>
      <c r="K77" s="9" t="s">
        <v>3001</v>
      </c>
      <c r="L77" s="8" t="s">
        <v>2645</v>
      </c>
    </row>
    <row r="78">
      <c r="A78" s="3">
        <v>755.0</v>
      </c>
      <c r="B78" s="3" t="s">
        <v>40</v>
      </c>
      <c r="C78" s="3" t="s">
        <v>1624</v>
      </c>
      <c r="D78" s="3">
        <v>2008.0</v>
      </c>
      <c r="E78" s="3" t="s">
        <v>1625</v>
      </c>
      <c r="G78" s="3" t="s">
        <v>2147</v>
      </c>
      <c r="H78" s="3" t="s">
        <v>2217</v>
      </c>
      <c r="I78" s="3" t="s">
        <v>2237</v>
      </c>
      <c r="J78" s="9" t="s">
        <v>3003</v>
      </c>
      <c r="K78" s="9" t="s">
        <v>3001</v>
      </c>
      <c r="L78" s="8" t="s">
        <v>2845</v>
      </c>
    </row>
    <row r="79">
      <c r="A79" s="3">
        <v>756.0</v>
      </c>
      <c r="B79" s="3" t="s">
        <v>40</v>
      </c>
      <c r="C79" s="3" t="s">
        <v>1626</v>
      </c>
      <c r="D79" s="3">
        <v>2010.0</v>
      </c>
      <c r="E79" s="3" t="s">
        <v>1627</v>
      </c>
      <c r="F79" s="3" t="s">
        <v>2600</v>
      </c>
      <c r="G79" s="3" t="s">
        <v>2147</v>
      </c>
      <c r="H79" s="3" t="s">
        <v>2217</v>
      </c>
      <c r="I79" s="3" t="s">
        <v>2237</v>
      </c>
      <c r="J79" s="9" t="s">
        <v>2985</v>
      </c>
      <c r="K79" s="9" t="s">
        <v>3001</v>
      </c>
      <c r="L79" s="8" t="s">
        <v>2647</v>
      </c>
    </row>
    <row r="80">
      <c r="A80" s="3">
        <v>761.0</v>
      </c>
      <c r="B80" s="3" t="s">
        <v>40</v>
      </c>
      <c r="C80" s="3" t="s">
        <v>1636</v>
      </c>
      <c r="D80" s="3">
        <v>2002.0</v>
      </c>
      <c r="E80" s="3" t="s">
        <v>1637</v>
      </c>
      <c r="F80" s="3" t="s">
        <v>2600</v>
      </c>
      <c r="G80" s="3" t="s">
        <v>2147</v>
      </c>
      <c r="H80" s="3" t="s">
        <v>2217</v>
      </c>
      <c r="I80" s="3" t="s">
        <v>2237</v>
      </c>
      <c r="J80" s="9" t="s">
        <v>2974</v>
      </c>
      <c r="K80" s="9" t="s">
        <v>3004</v>
      </c>
      <c r="L80" s="8" t="s">
        <v>2650</v>
      </c>
    </row>
    <row r="81">
      <c r="A81" s="3">
        <v>864.0</v>
      </c>
      <c r="B81" s="3" t="s">
        <v>40</v>
      </c>
      <c r="C81" s="3" t="s">
        <v>1830</v>
      </c>
      <c r="D81" s="3">
        <v>2014.0</v>
      </c>
      <c r="E81" s="3" t="s">
        <v>1842</v>
      </c>
      <c r="F81" s="3" t="s">
        <v>2600</v>
      </c>
      <c r="G81" s="3" t="s">
        <v>2147</v>
      </c>
      <c r="H81" s="3" t="s">
        <v>2217</v>
      </c>
      <c r="I81" s="3" t="s">
        <v>2237</v>
      </c>
      <c r="J81" s="9" t="s">
        <v>2974</v>
      </c>
      <c r="K81" s="9" t="s">
        <v>2959</v>
      </c>
      <c r="L81" s="8" t="s">
        <v>2826</v>
      </c>
    </row>
    <row r="82">
      <c r="A82" s="3">
        <v>824.0</v>
      </c>
      <c r="B82" s="3" t="s">
        <v>40</v>
      </c>
      <c r="C82" s="3" t="s">
        <v>1762</v>
      </c>
      <c r="D82" s="3">
        <v>2003.0</v>
      </c>
      <c r="E82" s="3" t="s">
        <v>1763</v>
      </c>
      <c r="F82" s="3" t="s">
        <v>2600</v>
      </c>
      <c r="G82" s="3" t="s">
        <v>2147</v>
      </c>
      <c r="H82" s="3" t="s">
        <v>2217</v>
      </c>
      <c r="I82" s="3" t="s">
        <v>2237</v>
      </c>
      <c r="J82" s="9" t="s">
        <v>2974</v>
      </c>
      <c r="K82" s="9" t="s">
        <v>2959</v>
      </c>
      <c r="L82" s="8" t="s">
        <v>2812</v>
      </c>
    </row>
    <row r="83">
      <c r="A83" s="3">
        <v>847.0</v>
      </c>
      <c r="B83" s="3" t="s">
        <v>40</v>
      </c>
      <c r="C83" s="3" t="s">
        <v>1808</v>
      </c>
      <c r="D83" s="3">
        <v>2011.0</v>
      </c>
      <c r="E83" s="3" t="s">
        <v>2820</v>
      </c>
      <c r="F83" s="3" t="s">
        <v>2600</v>
      </c>
      <c r="G83" s="3" t="s">
        <v>2147</v>
      </c>
      <c r="H83" s="3" t="s">
        <v>2217</v>
      </c>
      <c r="I83" s="3" t="s">
        <v>2237</v>
      </c>
      <c r="J83" s="9" t="s">
        <v>2974</v>
      </c>
      <c r="K83" s="9" t="s">
        <v>2959</v>
      </c>
      <c r="L83" s="8" t="s">
        <v>2821</v>
      </c>
    </row>
    <row r="84">
      <c r="A84" s="3">
        <v>827.0</v>
      </c>
      <c r="B84" s="3" t="s">
        <v>40</v>
      </c>
      <c r="C84" s="3" t="s">
        <v>1768</v>
      </c>
      <c r="D84" s="3">
        <v>2004.0</v>
      </c>
      <c r="E84" s="3" t="s">
        <v>1769</v>
      </c>
      <c r="F84" s="3" t="s">
        <v>2600</v>
      </c>
      <c r="G84" s="3" t="s">
        <v>2147</v>
      </c>
      <c r="H84" s="3" t="s">
        <v>2217</v>
      </c>
      <c r="I84" s="3" t="s">
        <v>2237</v>
      </c>
      <c r="J84" s="9"/>
      <c r="K84" s="9" t="s">
        <v>2959</v>
      </c>
      <c r="L84" s="8" t="s">
        <v>2831</v>
      </c>
    </row>
    <row r="85">
      <c r="A85" s="3">
        <v>799.0</v>
      </c>
      <c r="B85" s="3" t="s">
        <v>40</v>
      </c>
      <c r="C85" s="3" t="s">
        <v>1711</v>
      </c>
      <c r="D85" s="3">
        <v>1996.0</v>
      </c>
      <c r="E85" s="3" t="s">
        <v>1712</v>
      </c>
      <c r="F85" s="3" t="s">
        <v>2600</v>
      </c>
      <c r="G85" s="3" t="s">
        <v>2147</v>
      </c>
      <c r="H85" s="3" t="s">
        <v>2217</v>
      </c>
      <c r="I85" s="3" t="s">
        <v>2237</v>
      </c>
      <c r="J85" s="9" t="s">
        <v>2974</v>
      </c>
      <c r="K85" s="9" t="s">
        <v>2959</v>
      </c>
      <c r="L85" s="8" t="s">
        <v>2804</v>
      </c>
    </row>
    <row r="86">
      <c r="A86" s="3">
        <v>785.0</v>
      </c>
      <c r="B86" s="3" t="s">
        <v>40</v>
      </c>
      <c r="C86" s="3" t="s">
        <v>1685</v>
      </c>
      <c r="D86" s="3">
        <v>1982.0</v>
      </c>
      <c r="E86" s="3" t="s">
        <v>1686</v>
      </c>
      <c r="F86" s="3" t="s">
        <v>2600</v>
      </c>
      <c r="G86" s="3" t="s">
        <v>2147</v>
      </c>
      <c r="H86" s="3" t="s">
        <v>2217</v>
      </c>
      <c r="I86" s="3" t="s">
        <v>2237</v>
      </c>
      <c r="J86" s="9" t="s">
        <v>2974</v>
      </c>
      <c r="K86" s="9" t="s">
        <v>2959</v>
      </c>
      <c r="L86" s="8" t="s">
        <v>2795</v>
      </c>
    </row>
    <row r="87">
      <c r="A87" s="3">
        <v>848.0</v>
      </c>
      <c r="B87" s="3" t="s">
        <v>40</v>
      </c>
      <c r="C87" s="3" t="s">
        <v>1810</v>
      </c>
      <c r="D87" s="3">
        <v>2011.0</v>
      </c>
      <c r="E87" s="3" t="s">
        <v>1811</v>
      </c>
      <c r="F87" s="3" t="s">
        <v>2600</v>
      </c>
      <c r="G87" s="3" t="s">
        <v>2147</v>
      </c>
      <c r="H87" s="3" t="s">
        <v>2217</v>
      </c>
      <c r="I87" s="3" t="s">
        <v>2237</v>
      </c>
      <c r="J87" s="9" t="s">
        <v>2974</v>
      </c>
      <c r="K87" s="9" t="s">
        <v>2959</v>
      </c>
      <c r="L87" s="8" t="s">
        <v>2822</v>
      </c>
    </row>
    <row r="88">
      <c r="A88" s="3">
        <v>868.0</v>
      </c>
      <c r="B88" s="3" t="s">
        <v>40</v>
      </c>
      <c r="C88" s="3" t="s">
        <v>1849</v>
      </c>
      <c r="D88" s="3">
        <v>2016.0</v>
      </c>
      <c r="E88" s="3" t="s">
        <v>1850</v>
      </c>
      <c r="F88" s="3" t="s">
        <v>2600</v>
      </c>
      <c r="G88" s="3" t="s">
        <v>2147</v>
      </c>
      <c r="H88" s="3" t="s">
        <v>2217</v>
      </c>
      <c r="I88" s="3" t="s">
        <v>2237</v>
      </c>
      <c r="J88" s="9" t="s">
        <v>2974</v>
      </c>
      <c r="K88" s="9" t="s">
        <v>2959</v>
      </c>
      <c r="L88" s="8" t="s">
        <v>2827</v>
      </c>
    </row>
    <row r="89">
      <c r="A89" s="3">
        <v>846.0</v>
      </c>
      <c r="B89" s="3" t="s">
        <v>40</v>
      </c>
      <c r="C89" s="3" t="s">
        <v>1806</v>
      </c>
      <c r="D89" s="3">
        <v>2011.0</v>
      </c>
      <c r="E89" s="3" t="s">
        <v>1807</v>
      </c>
      <c r="F89" s="3" t="s">
        <v>2216</v>
      </c>
      <c r="G89" s="3" t="s">
        <v>2147</v>
      </c>
      <c r="H89" s="3" t="s">
        <v>2217</v>
      </c>
      <c r="I89" s="3" t="s">
        <v>2237</v>
      </c>
      <c r="J89" s="9" t="s">
        <v>2974</v>
      </c>
      <c r="K89" s="9" t="s">
        <v>2959</v>
      </c>
      <c r="L89" s="8" t="s">
        <v>2268</v>
      </c>
    </row>
    <row r="90">
      <c r="A90" s="3">
        <v>832.0</v>
      </c>
      <c r="B90" s="3" t="s">
        <v>40</v>
      </c>
      <c r="C90" s="3" t="s">
        <v>1778</v>
      </c>
      <c r="D90" s="3">
        <v>2007.0</v>
      </c>
      <c r="E90" s="3" t="s">
        <v>1779</v>
      </c>
      <c r="F90" s="3" t="s">
        <v>2600</v>
      </c>
      <c r="G90" s="3" t="s">
        <v>2147</v>
      </c>
      <c r="H90" s="3" t="s">
        <v>2217</v>
      </c>
      <c r="I90" s="3" t="s">
        <v>2237</v>
      </c>
      <c r="J90" s="9" t="s">
        <v>2974</v>
      </c>
      <c r="K90" s="9" t="s">
        <v>2959</v>
      </c>
      <c r="L90" s="8" t="s">
        <v>2815</v>
      </c>
    </row>
    <row r="91">
      <c r="A91" s="3">
        <v>821.0</v>
      </c>
      <c r="B91" s="3" t="s">
        <v>40</v>
      </c>
      <c r="C91" s="3" t="s">
        <v>1756</v>
      </c>
      <c r="D91" s="3">
        <v>2002.0</v>
      </c>
      <c r="E91" s="3" t="s">
        <v>1757</v>
      </c>
      <c r="F91" s="3" t="s">
        <v>2600</v>
      </c>
      <c r="G91" s="3" t="s">
        <v>2147</v>
      </c>
      <c r="H91" s="3" t="s">
        <v>2217</v>
      </c>
      <c r="I91" s="3" t="s">
        <v>2237</v>
      </c>
      <c r="J91" s="9" t="s">
        <v>2974</v>
      </c>
      <c r="K91" s="9" t="s">
        <v>2959</v>
      </c>
      <c r="L91" s="8" t="s">
        <v>2809</v>
      </c>
    </row>
    <row r="92">
      <c r="A92" s="3">
        <v>852.0</v>
      </c>
      <c r="B92" s="3" t="s">
        <v>40</v>
      </c>
      <c r="C92" s="3" t="s">
        <v>1818</v>
      </c>
      <c r="D92" s="3">
        <v>2012.0</v>
      </c>
      <c r="E92" s="3" t="s">
        <v>1819</v>
      </c>
      <c r="F92" s="3" t="s">
        <v>2600</v>
      </c>
      <c r="G92" s="3" t="s">
        <v>2147</v>
      </c>
      <c r="H92" s="3" t="s">
        <v>2217</v>
      </c>
      <c r="I92" s="3" t="s">
        <v>2237</v>
      </c>
      <c r="J92" s="9" t="s">
        <v>2974</v>
      </c>
      <c r="K92" s="9" t="s">
        <v>2959</v>
      </c>
      <c r="L92" s="8" t="s">
        <v>2823</v>
      </c>
    </row>
    <row r="93">
      <c r="A93" s="3">
        <v>766.0</v>
      </c>
      <c r="B93" s="3" t="s">
        <v>40</v>
      </c>
      <c r="C93" s="3" t="s">
        <v>1645</v>
      </c>
      <c r="D93" s="3">
        <v>2018.0</v>
      </c>
      <c r="E93" s="3" t="s">
        <v>1646</v>
      </c>
      <c r="F93" s="3" t="s">
        <v>2600</v>
      </c>
      <c r="G93" s="3" t="s">
        <v>2147</v>
      </c>
      <c r="H93" s="3" t="s">
        <v>2217</v>
      </c>
      <c r="I93" s="3" t="s">
        <v>2237</v>
      </c>
      <c r="J93" s="9" t="s">
        <v>2974</v>
      </c>
      <c r="K93" s="9" t="s">
        <v>2959</v>
      </c>
      <c r="L93" s="8" t="s">
        <v>2793</v>
      </c>
    </row>
    <row r="94">
      <c r="A94" s="3">
        <v>790.0</v>
      </c>
      <c r="B94" s="3" t="s">
        <v>40</v>
      </c>
      <c r="C94" s="3" t="s">
        <v>1695</v>
      </c>
      <c r="D94" s="3">
        <v>1993.0</v>
      </c>
      <c r="E94" s="3" t="s">
        <v>1696</v>
      </c>
      <c r="F94" s="3" t="s">
        <v>2600</v>
      </c>
      <c r="G94" s="3" t="s">
        <v>2147</v>
      </c>
      <c r="H94" s="3" t="s">
        <v>2217</v>
      </c>
      <c r="I94" s="3" t="s">
        <v>2237</v>
      </c>
      <c r="J94" s="9" t="s">
        <v>2974</v>
      </c>
      <c r="K94" s="9" t="s">
        <v>2959</v>
      </c>
      <c r="L94" s="8" t="s">
        <v>2798</v>
      </c>
    </row>
    <row r="95">
      <c r="A95" s="3">
        <v>559.0</v>
      </c>
      <c r="B95" s="3" t="s">
        <v>40</v>
      </c>
      <c r="C95" s="3" t="s">
        <v>1242</v>
      </c>
      <c r="D95" s="3">
        <v>2013.0</v>
      </c>
      <c r="E95" s="3" t="s">
        <v>1243</v>
      </c>
      <c r="F95" s="3" t="s">
        <v>2600</v>
      </c>
      <c r="G95" s="3" t="s">
        <v>2147</v>
      </c>
      <c r="H95" s="3" t="s">
        <v>2217</v>
      </c>
      <c r="I95" s="3" t="s">
        <v>2237</v>
      </c>
      <c r="J95" s="9" t="s">
        <v>2974</v>
      </c>
      <c r="K95" s="9" t="s">
        <v>2959</v>
      </c>
      <c r="L95" s="8" t="s">
        <v>2794</v>
      </c>
    </row>
    <row r="96">
      <c r="A96" s="3">
        <v>841.0</v>
      </c>
      <c r="B96" s="3" t="s">
        <v>40</v>
      </c>
      <c r="C96" s="3" t="s">
        <v>1796</v>
      </c>
      <c r="D96" s="3">
        <v>2010.0</v>
      </c>
      <c r="E96" s="3" t="s">
        <v>1797</v>
      </c>
      <c r="F96" s="3" t="s">
        <v>2600</v>
      </c>
      <c r="G96" s="3" t="s">
        <v>2147</v>
      </c>
      <c r="H96" s="3" t="s">
        <v>2217</v>
      </c>
      <c r="I96" s="3" t="s">
        <v>2237</v>
      </c>
      <c r="J96" s="9" t="s">
        <v>2974</v>
      </c>
      <c r="K96" s="9" t="s">
        <v>2959</v>
      </c>
      <c r="L96" s="8" t="s">
        <v>2819</v>
      </c>
    </row>
    <row r="97">
      <c r="A97" s="3">
        <v>831.0</v>
      </c>
      <c r="B97" s="3" t="s">
        <v>40</v>
      </c>
      <c r="C97" s="3" t="s">
        <v>1776</v>
      </c>
      <c r="D97" s="3">
        <v>2007.0</v>
      </c>
      <c r="E97" s="3" t="s">
        <v>1777</v>
      </c>
      <c r="F97" s="3" t="s">
        <v>2600</v>
      </c>
      <c r="G97" s="3" t="s">
        <v>2147</v>
      </c>
      <c r="H97" s="3" t="s">
        <v>2217</v>
      </c>
      <c r="I97" s="3" t="s">
        <v>2237</v>
      </c>
      <c r="J97" s="9" t="s">
        <v>2974</v>
      </c>
      <c r="K97" s="9" t="s">
        <v>2959</v>
      </c>
      <c r="L97" s="8" t="s">
        <v>2814</v>
      </c>
    </row>
    <row r="98">
      <c r="A98" s="3">
        <v>837.0</v>
      </c>
      <c r="B98" s="3" t="s">
        <v>40</v>
      </c>
      <c r="C98" s="3" t="s">
        <v>1788</v>
      </c>
      <c r="D98" s="3">
        <v>2008.0</v>
      </c>
      <c r="E98" s="3" t="s">
        <v>1789</v>
      </c>
      <c r="F98" s="3" t="s">
        <v>2600</v>
      </c>
      <c r="G98" s="3" t="s">
        <v>2147</v>
      </c>
      <c r="H98" s="3" t="s">
        <v>2217</v>
      </c>
      <c r="I98" s="3" t="s">
        <v>2237</v>
      </c>
      <c r="J98" s="9" t="s">
        <v>2974</v>
      </c>
      <c r="K98" s="9" t="s">
        <v>2959</v>
      </c>
      <c r="L98" s="8" t="s">
        <v>2818</v>
      </c>
    </row>
    <row r="99">
      <c r="A99" s="3">
        <v>858.0</v>
      </c>
      <c r="B99" s="3" t="s">
        <v>40</v>
      </c>
      <c r="C99" s="3" t="s">
        <v>1830</v>
      </c>
      <c r="D99" s="3">
        <v>2013.0</v>
      </c>
      <c r="E99" s="3" t="s">
        <v>1831</v>
      </c>
      <c r="F99" s="3" t="s">
        <v>2600</v>
      </c>
      <c r="G99" s="3" t="s">
        <v>2147</v>
      </c>
      <c r="H99" s="3" t="s">
        <v>2217</v>
      </c>
      <c r="I99" s="3" t="s">
        <v>2237</v>
      </c>
      <c r="J99" s="9" t="s">
        <v>2974</v>
      </c>
      <c r="K99" s="9" t="s">
        <v>2959</v>
      </c>
      <c r="L99" s="8" t="s">
        <v>2825</v>
      </c>
    </row>
    <row r="100">
      <c r="A100" s="3">
        <v>857.0</v>
      </c>
      <c r="B100" s="3" t="s">
        <v>40</v>
      </c>
      <c r="C100" s="3" t="s">
        <v>1828</v>
      </c>
      <c r="D100" s="3">
        <v>2013.0</v>
      </c>
      <c r="E100" s="3" t="s">
        <v>1829</v>
      </c>
      <c r="F100" s="3" t="s">
        <v>2600</v>
      </c>
      <c r="G100" s="3" t="s">
        <v>2147</v>
      </c>
      <c r="H100" s="3" t="s">
        <v>2217</v>
      </c>
      <c r="I100" s="3" t="s">
        <v>2237</v>
      </c>
      <c r="J100" s="9" t="s">
        <v>2974</v>
      </c>
      <c r="K100" s="9" t="s">
        <v>2959</v>
      </c>
      <c r="L100" s="8" t="s">
        <v>2824</v>
      </c>
    </row>
    <row r="101">
      <c r="A101" s="3">
        <v>802.0</v>
      </c>
      <c r="B101" s="3" t="s">
        <v>40</v>
      </c>
      <c r="C101" s="3" t="s">
        <v>1717</v>
      </c>
      <c r="D101" s="3">
        <v>1997.0</v>
      </c>
      <c r="E101" s="3" t="s">
        <v>1718</v>
      </c>
      <c r="F101" s="3" t="s">
        <v>2600</v>
      </c>
      <c r="G101" s="3" t="s">
        <v>2147</v>
      </c>
      <c r="H101" s="3" t="s">
        <v>2217</v>
      </c>
      <c r="I101" s="3" t="s">
        <v>2237</v>
      </c>
      <c r="J101" s="9" t="s">
        <v>2974</v>
      </c>
      <c r="K101" s="9" t="s">
        <v>2959</v>
      </c>
      <c r="L101" s="8" t="s">
        <v>2805</v>
      </c>
    </row>
    <row r="102">
      <c r="A102" s="3">
        <v>765.0</v>
      </c>
      <c r="B102" s="3" t="s">
        <v>40</v>
      </c>
      <c r="C102" s="3" t="s">
        <v>1642</v>
      </c>
      <c r="D102" s="3">
        <v>2001.0</v>
      </c>
      <c r="E102" s="3" t="s">
        <v>1644</v>
      </c>
      <c r="F102" s="3" t="s">
        <v>2600</v>
      </c>
      <c r="G102" s="3" t="s">
        <v>2147</v>
      </c>
      <c r="H102" s="3" t="s">
        <v>2217</v>
      </c>
      <c r="I102" s="3" t="s">
        <v>2237</v>
      </c>
      <c r="J102" s="9" t="s">
        <v>2974</v>
      </c>
      <c r="K102" s="9" t="s">
        <v>2959</v>
      </c>
      <c r="L102" s="8" t="s">
        <v>2792</v>
      </c>
    </row>
    <row r="103">
      <c r="A103" s="3">
        <v>820.0</v>
      </c>
      <c r="B103" s="3" t="s">
        <v>40</v>
      </c>
      <c r="C103" s="3" t="s">
        <v>1754</v>
      </c>
      <c r="D103" s="3">
        <v>2002.0</v>
      </c>
      <c r="E103" s="3" t="s">
        <v>1755</v>
      </c>
      <c r="F103" s="3" t="s">
        <v>2600</v>
      </c>
      <c r="G103" s="3" t="s">
        <v>2147</v>
      </c>
      <c r="H103" s="3" t="s">
        <v>2217</v>
      </c>
      <c r="I103" s="3" t="s">
        <v>2237</v>
      </c>
      <c r="J103" s="9" t="s">
        <v>2974</v>
      </c>
      <c r="K103" s="9" t="s">
        <v>2959</v>
      </c>
      <c r="L103" s="8" t="s">
        <v>2808</v>
      </c>
    </row>
    <row r="104">
      <c r="A104" s="3">
        <v>812.0</v>
      </c>
      <c r="B104" s="3" t="s">
        <v>40</v>
      </c>
      <c r="C104" s="3" t="s">
        <v>1738</v>
      </c>
      <c r="D104" s="3">
        <v>2000.0</v>
      </c>
      <c r="E104" s="3" t="s">
        <v>1739</v>
      </c>
      <c r="F104" s="3" t="s">
        <v>2600</v>
      </c>
      <c r="G104" s="3" t="s">
        <v>2147</v>
      </c>
      <c r="H104" s="3" t="s">
        <v>2217</v>
      </c>
      <c r="I104" s="3" t="s">
        <v>2237</v>
      </c>
      <c r="J104" s="9" t="s">
        <v>2974</v>
      </c>
      <c r="K104" s="9" t="s">
        <v>2959</v>
      </c>
      <c r="L104" s="8" t="s">
        <v>2806</v>
      </c>
    </row>
    <row r="105">
      <c r="A105" s="3">
        <v>674.0</v>
      </c>
      <c r="B105" s="3" t="s">
        <v>40</v>
      </c>
      <c r="C105" s="3" t="s">
        <v>1460</v>
      </c>
      <c r="D105" s="3">
        <v>2002.0</v>
      </c>
      <c r="E105" s="3" t="s">
        <v>1461</v>
      </c>
      <c r="F105" s="3" t="s">
        <v>2600</v>
      </c>
      <c r="G105" s="3" t="s">
        <v>2147</v>
      </c>
      <c r="H105" s="3" t="s">
        <v>2217</v>
      </c>
      <c r="I105" s="3" t="s">
        <v>2237</v>
      </c>
      <c r="J105" s="9"/>
      <c r="K105" s="9"/>
      <c r="L105" s="8" t="s">
        <v>2767</v>
      </c>
    </row>
    <row r="106">
      <c r="A106" s="3">
        <v>707.0</v>
      </c>
      <c r="B106" s="3" t="s">
        <v>40</v>
      </c>
      <c r="C106" s="3" t="s">
        <v>1526</v>
      </c>
      <c r="D106" s="3">
        <v>2016.0</v>
      </c>
      <c r="E106" s="3" t="s">
        <v>1527</v>
      </c>
      <c r="F106" s="3" t="s">
        <v>2600</v>
      </c>
      <c r="G106" s="3" t="s">
        <v>2147</v>
      </c>
      <c r="H106" s="3" t="s">
        <v>2217</v>
      </c>
      <c r="I106" s="3" t="s">
        <v>2237</v>
      </c>
      <c r="J106" s="9"/>
      <c r="K106" s="9"/>
      <c r="L106" s="8" t="s">
        <v>2782</v>
      </c>
    </row>
    <row r="107">
      <c r="A107" s="3">
        <v>706.0</v>
      </c>
      <c r="B107" s="3" t="s">
        <v>40</v>
      </c>
      <c r="C107" s="3" t="s">
        <v>1524</v>
      </c>
      <c r="D107" s="3">
        <v>2016.0</v>
      </c>
      <c r="E107" s="3" t="s">
        <v>1525</v>
      </c>
      <c r="F107" s="3" t="s">
        <v>2600</v>
      </c>
      <c r="G107" s="3" t="s">
        <v>2147</v>
      </c>
      <c r="H107" s="3" t="s">
        <v>2217</v>
      </c>
      <c r="I107" s="3" t="s">
        <v>2237</v>
      </c>
      <c r="J107" s="9"/>
      <c r="K107" s="9"/>
      <c r="L107" s="8" t="s">
        <v>2781</v>
      </c>
    </row>
    <row r="108">
      <c r="A108" s="3">
        <v>694.0</v>
      </c>
      <c r="B108" s="3" t="s">
        <v>40</v>
      </c>
      <c r="C108" s="3" t="s">
        <v>1500</v>
      </c>
      <c r="D108" s="3">
        <v>2008.0</v>
      </c>
      <c r="E108" s="3" t="s">
        <v>1501</v>
      </c>
      <c r="F108" s="3" t="s">
        <v>2487</v>
      </c>
      <c r="G108" s="3" t="s">
        <v>2142</v>
      </c>
      <c r="I108" s="3" t="s">
        <v>2237</v>
      </c>
      <c r="J108" s="9"/>
      <c r="K108" s="9"/>
      <c r="L108" s="8" t="s">
        <v>2490</v>
      </c>
    </row>
    <row r="109">
      <c r="A109" s="3">
        <v>677.0</v>
      </c>
      <c r="B109" s="3" t="s">
        <v>40</v>
      </c>
      <c r="C109" s="3" t="s">
        <v>1466</v>
      </c>
      <c r="D109" s="3">
        <v>2003.0</v>
      </c>
      <c r="E109" s="3" t="s">
        <v>1467</v>
      </c>
      <c r="F109" s="3" t="s">
        <v>2600</v>
      </c>
      <c r="G109" s="3" t="s">
        <v>2147</v>
      </c>
      <c r="H109" s="3" t="s">
        <v>2217</v>
      </c>
      <c r="I109" s="3" t="s">
        <v>2237</v>
      </c>
      <c r="J109" s="9"/>
      <c r="K109" s="9"/>
      <c r="L109" s="8" t="s">
        <v>2768</v>
      </c>
    </row>
    <row r="110">
      <c r="A110" s="3">
        <v>688.0</v>
      </c>
      <c r="B110" s="3" t="s">
        <v>40</v>
      </c>
      <c r="C110" s="3" t="s">
        <v>1488</v>
      </c>
      <c r="D110" s="3">
        <v>2006.0</v>
      </c>
      <c r="E110" s="3" t="s">
        <v>1489</v>
      </c>
      <c r="F110" s="3" t="s">
        <v>2600</v>
      </c>
      <c r="G110" s="3" t="s">
        <v>2147</v>
      </c>
      <c r="H110" s="3" t="s">
        <v>2217</v>
      </c>
      <c r="I110" s="3" t="s">
        <v>2237</v>
      </c>
      <c r="J110" s="9"/>
      <c r="K110" s="9"/>
      <c r="L110" s="8" t="s">
        <v>2773</v>
      </c>
    </row>
    <row r="111">
      <c r="A111" s="3">
        <v>667.0</v>
      </c>
      <c r="B111" s="3" t="s">
        <v>40</v>
      </c>
      <c r="C111" s="3" t="s">
        <v>1446</v>
      </c>
      <c r="D111" s="3">
        <v>2000.0</v>
      </c>
      <c r="E111" s="3" t="s">
        <v>1447</v>
      </c>
      <c r="F111" s="3" t="s">
        <v>2600</v>
      </c>
      <c r="G111" s="3" t="s">
        <v>2147</v>
      </c>
      <c r="H111" s="3" t="s">
        <v>2217</v>
      </c>
      <c r="I111" s="3" t="s">
        <v>2237</v>
      </c>
      <c r="J111" s="9"/>
      <c r="K111" s="9"/>
      <c r="L111" s="8" t="s">
        <v>2762</v>
      </c>
    </row>
    <row r="112">
      <c r="A112" s="3">
        <v>670.0</v>
      </c>
      <c r="B112" s="3" t="s">
        <v>40</v>
      </c>
      <c r="C112" s="3" t="s">
        <v>1452</v>
      </c>
      <c r="D112" s="3">
        <v>2000.0</v>
      </c>
      <c r="E112" s="3" t="s">
        <v>1453</v>
      </c>
      <c r="F112" s="3" t="s">
        <v>2600</v>
      </c>
      <c r="G112" s="3" t="s">
        <v>2147</v>
      </c>
      <c r="H112" s="3" t="s">
        <v>2217</v>
      </c>
      <c r="I112" s="3" t="s">
        <v>2237</v>
      </c>
      <c r="J112" s="9"/>
      <c r="K112" s="9"/>
      <c r="L112" s="8" t="s">
        <v>2765</v>
      </c>
    </row>
    <row r="113">
      <c r="A113" s="3">
        <v>687.0</v>
      </c>
      <c r="B113" s="3" t="s">
        <v>40</v>
      </c>
      <c r="C113" s="3" t="s">
        <v>1486</v>
      </c>
      <c r="D113" s="3">
        <v>2006.0</v>
      </c>
      <c r="E113" s="3" t="s">
        <v>1487</v>
      </c>
      <c r="F113" s="3" t="s">
        <v>2600</v>
      </c>
      <c r="G113" s="3" t="s">
        <v>2147</v>
      </c>
      <c r="H113" s="3" t="s">
        <v>2217</v>
      </c>
      <c r="I113" s="3" t="s">
        <v>2237</v>
      </c>
      <c r="J113" s="9"/>
      <c r="K113" s="9"/>
      <c r="L113" s="8" t="s">
        <v>2772</v>
      </c>
    </row>
    <row r="114">
      <c r="A114" s="3">
        <v>672.0</v>
      </c>
      <c r="B114" s="3" t="s">
        <v>40</v>
      </c>
      <c r="C114" s="3" t="s">
        <v>1456</v>
      </c>
      <c r="D114" s="3">
        <v>2001.0</v>
      </c>
      <c r="E114" s="3" t="s">
        <v>1457</v>
      </c>
      <c r="F114" s="3" t="s">
        <v>2600</v>
      </c>
      <c r="G114" s="3" t="s">
        <v>2147</v>
      </c>
      <c r="H114" s="3" t="s">
        <v>2217</v>
      </c>
      <c r="I114" s="3" t="s">
        <v>2237</v>
      </c>
      <c r="J114" s="9"/>
      <c r="K114" s="9"/>
      <c r="L114" s="8" t="s">
        <v>2766</v>
      </c>
    </row>
    <row r="115">
      <c r="A115" s="3">
        <v>690.0</v>
      </c>
      <c r="B115" s="3" t="s">
        <v>40</v>
      </c>
      <c r="C115" s="3" t="s">
        <v>1492</v>
      </c>
      <c r="D115" s="3">
        <v>2007.0</v>
      </c>
      <c r="E115" s="3" t="s">
        <v>1493</v>
      </c>
      <c r="F115" s="3" t="s">
        <v>2600</v>
      </c>
      <c r="G115" s="3" t="s">
        <v>2147</v>
      </c>
      <c r="H115" s="3" t="s">
        <v>2217</v>
      </c>
      <c r="I115" s="3" t="s">
        <v>2237</v>
      </c>
      <c r="J115" s="9"/>
      <c r="K115" s="9"/>
      <c r="L115" s="8" t="s">
        <v>2774</v>
      </c>
    </row>
    <row r="116">
      <c r="A116" s="3">
        <v>705.0</v>
      </c>
      <c r="B116" s="3" t="s">
        <v>40</v>
      </c>
      <c r="C116" s="3" t="s">
        <v>1522</v>
      </c>
      <c r="D116" s="3">
        <v>2015.0</v>
      </c>
      <c r="E116" s="3" t="s">
        <v>1523</v>
      </c>
      <c r="F116" s="3" t="s">
        <v>2600</v>
      </c>
      <c r="G116" s="3" t="s">
        <v>2147</v>
      </c>
      <c r="H116" s="3" t="s">
        <v>2217</v>
      </c>
      <c r="I116" s="3" t="s">
        <v>2237</v>
      </c>
      <c r="J116" s="9"/>
      <c r="K116" s="9"/>
      <c r="L116" s="8" t="s">
        <v>2780</v>
      </c>
    </row>
    <row r="117">
      <c r="A117" s="3">
        <v>684.0</v>
      </c>
      <c r="B117" s="3" t="s">
        <v>40</v>
      </c>
      <c r="C117" s="3" t="s">
        <v>1481</v>
      </c>
      <c r="D117" s="3">
        <v>2005.0</v>
      </c>
      <c r="E117" s="3" t="s">
        <v>1482</v>
      </c>
      <c r="F117" s="3" t="s">
        <v>2600</v>
      </c>
      <c r="G117" s="3" t="s">
        <v>2147</v>
      </c>
      <c r="H117" s="3" t="s">
        <v>2217</v>
      </c>
      <c r="I117" s="3" t="s">
        <v>2237</v>
      </c>
      <c r="J117" s="9"/>
      <c r="K117" s="9"/>
      <c r="L117" s="8" t="s">
        <v>2770</v>
      </c>
    </row>
    <row r="118">
      <c r="A118" s="3">
        <v>713.0</v>
      </c>
      <c r="B118" s="3" t="s">
        <v>40</v>
      </c>
      <c r="C118" s="3" t="s">
        <v>1538</v>
      </c>
      <c r="D118" s="3">
        <v>2020.0</v>
      </c>
      <c r="E118" s="3" t="s">
        <v>1539</v>
      </c>
      <c r="F118" s="3" t="s">
        <v>2600</v>
      </c>
      <c r="G118" s="3" t="s">
        <v>2147</v>
      </c>
      <c r="H118" s="3" t="s">
        <v>2217</v>
      </c>
      <c r="I118" s="3" t="s">
        <v>2237</v>
      </c>
      <c r="J118" s="9"/>
      <c r="K118" s="9"/>
      <c r="L118" s="8" t="s">
        <v>2785</v>
      </c>
    </row>
    <row r="119">
      <c r="A119" s="3">
        <v>6.0</v>
      </c>
      <c r="B119" s="3" t="s">
        <v>40</v>
      </c>
      <c r="C119" s="3" t="s">
        <v>84</v>
      </c>
      <c r="D119" s="3">
        <v>2003.0</v>
      </c>
      <c r="E119" s="3" t="s">
        <v>85</v>
      </c>
      <c r="G119" s="3" t="s">
        <v>2142</v>
      </c>
      <c r="I119" s="3" t="s">
        <v>2879</v>
      </c>
      <c r="J119" s="9" t="s">
        <v>3005</v>
      </c>
      <c r="K119" s="9" t="s">
        <v>3006</v>
      </c>
      <c r="L119" s="8" t="s">
        <v>2881</v>
      </c>
    </row>
    <row r="120">
      <c r="A120" s="3">
        <v>64.0</v>
      </c>
      <c r="B120" s="3" t="s">
        <v>40</v>
      </c>
      <c r="C120" s="3" t="s">
        <v>271</v>
      </c>
      <c r="D120" s="3">
        <v>1996.0</v>
      </c>
      <c r="E120" s="3" t="s">
        <v>272</v>
      </c>
      <c r="G120" s="3" t="s">
        <v>2142</v>
      </c>
      <c r="I120" s="3" t="s">
        <v>2879</v>
      </c>
      <c r="J120" s="9" t="s">
        <v>3007</v>
      </c>
      <c r="K120" s="9" t="s">
        <v>2972</v>
      </c>
      <c r="L120" s="8" t="s">
        <v>2880</v>
      </c>
    </row>
    <row r="121">
      <c r="A121" s="3">
        <v>213.0</v>
      </c>
      <c r="B121" s="3" t="s">
        <v>40</v>
      </c>
      <c r="C121" s="3" t="s">
        <v>593</v>
      </c>
      <c r="D121" s="3">
        <v>2018.0</v>
      </c>
      <c r="E121" s="3" t="s">
        <v>594</v>
      </c>
      <c r="F121" s="3" t="s">
        <v>2185</v>
      </c>
      <c r="G121" s="3" t="s">
        <v>2147</v>
      </c>
      <c r="I121" s="3" t="s">
        <v>2150</v>
      </c>
      <c r="J121" s="9" t="s">
        <v>3008</v>
      </c>
      <c r="K121" s="9" t="s">
        <v>3009</v>
      </c>
      <c r="L121" s="8" t="s">
        <v>2195</v>
      </c>
    </row>
    <row r="122">
      <c r="A122" s="3">
        <v>313.0</v>
      </c>
      <c r="B122" s="3" t="s">
        <v>40</v>
      </c>
      <c r="C122" s="3" t="s">
        <v>794</v>
      </c>
      <c r="D122" s="3">
        <v>2012.0</v>
      </c>
      <c r="E122" s="3" t="s">
        <v>795</v>
      </c>
      <c r="F122" s="3" t="s">
        <v>2146</v>
      </c>
      <c r="G122" s="3" t="s">
        <v>2147</v>
      </c>
      <c r="I122" s="3" t="s">
        <v>2150</v>
      </c>
      <c r="J122" s="9" t="s">
        <v>2953</v>
      </c>
      <c r="K122" s="9" t="s">
        <v>2954</v>
      </c>
      <c r="L122" s="8" t="s">
        <v>2151</v>
      </c>
    </row>
    <row r="123">
      <c r="A123" s="3">
        <v>560.0</v>
      </c>
      <c r="B123" s="3" t="s">
        <v>40</v>
      </c>
      <c r="C123" s="3" t="s">
        <v>1244</v>
      </c>
      <c r="D123" s="3">
        <v>2013.0</v>
      </c>
      <c r="E123" s="3" t="s">
        <v>1245</v>
      </c>
      <c r="F123" s="3" t="s">
        <v>2185</v>
      </c>
      <c r="G123" s="3" t="s">
        <v>2147</v>
      </c>
      <c r="I123" s="3" t="s">
        <v>2150</v>
      </c>
      <c r="J123" s="9" t="s">
        <v>2985</v>
      </c>
      <c r="K123" s="9" t="s">
        <v>2992</v>
      </c>
      <c r="L123" s="8" t="s">
        <v>2208</v>
      </c>
    </row>
    <row r="124">
      <c r="A124" s="3">
        <v>565.0</v>
      </c>
      <c r="B124" s="3" t="s">
        <v>40</v>
      </c>
      <c r="C124" s="3" t="s">
        <v>1254</v>
      </c>
      <c r="D124" s="3">
        <v>2014.0</v>
      </c>
      <c r="E124" s="3" t="s">
        <v>1255</v>
      </c>
      <c r="G124" s="3" t="s">
        <v>2147</v>
      </c>
      <c r="I124" s="3" t="s">
        <v>2150</v>
      </c>
      <c r="J124" s="9" t="s">
        <v>3010</v>
      </c>
      <c r="K124" s="9" t="s">
        <v>2992</v>
      </c>
      <c r="L124" s="8" t="s">
        <v>2867</v>
      </c>
    </row>
    <row r="125">
      <c r="A125" s="3">
        <v>222.0</v>
      </c>
      <c r="B125" s="3" t="s">
        <v>40</v>
      </c>
      <c r="C125" s="3" t="s">
        <v>609</v>
      </c>
      <c r="D125" s="3">
        <v>2001.0</v>
      </c>
      <c r="E125" s="3" t="s">
        <v>610</v>
      </c>
      <c r="F125" s="3" t="s">
        <v>2600</v>
      </c>
      <c r="G125" s="3" t="s">
        <v>2147</v>
      </c>
      <c r="H125" s="3" t="s">
        <v>2217</v>
      </c>
      <c r="I125" s="3" t="s">
        <v>2658</v>
      </c>
      <c r="J125" s="9" t="s">
        <v>3008</v>
      </c>
      <c r="K125" s="9" t="s">
        <v>3009</v>
      </c>
      <c r="L125" s="8" t="s">
        <v>2659</v>
      </c>
    </row>
    <row r="126">
      <c r="A126" s="3">
        <v>58.0</v>
      </c>
      <c r="B126" s="3" t="s">
        <v>40</v>
      </c>
      <c r="C126" s="3" t="s">
        <v>251</v>
      </c>
      <c r="D126" s="3">
        <v>1995.0</v>
      </c>
      <c r="E126" s="3" t="s">
        <v>252</v>
      </c>
      <c r="G126" s="3" t="s">
        <v>2142</v>
      </c>
      <c r="I126" s="3" t="s">
        <v>2218</v>
      </c>
      <c r="J126" s="9" t="s">
        <v>2953</v>
      </c>
      <c r="K126" s="9" t="s">
        <v>2970</v>
      </c>
      <c r="L126" s="8" t="s">
        <v>2883</v>
      </c>
    </row>
    <row r="127">
      <c r="A127" s="3">
        <v>85.0</v>
      </c>
      <c r="B127" s="3" t="s">
        <v>40</v>
      </c>
      <c r="C127" s="3" t="s">
        <v>333</v>
      </c>
      <c r="D127" s="3">
        <v>2007.0</v>
      </c>
      <c r="E127" s="3" t="s">
        <v>334</v>
      </c>
      <c r="F127" s="3" t="s">
        <v>2600</v>
      </c>
      <c r="G127" s="3" t="s">
        <v>2147</v>
      </c>
      <c r="H127" s="3" t="s">
        <v>2217</v>
      </c>
      <c r="I127" s="3" t="s">
        <v>2218</v>
      </c>
      <c r="J127" s="9" t="s">
        <v>3011</v>
      </c>
      <c r="K127" s="9" t="s">
        <v>3012</v>
      </c>
      <c r="L127" s="8" t="s">
        <v>2632</v>
      </c>
    </row>
    <row r="128">
      <c r="A128" s="3">
        <v>94.0</v>
      </c>
      <c r="B128" s="3" t="s">
        <v>40</v>
      </c>
      <c r="C128" s="3" t="s">
        <v>354</v>
      </c>
      <c r="D128" s="3">
        <v>2007.0</v>
      </c>
      <c r="E128" s="3" t="s">
        <v>355</v>
      </c>
      <c r="F128" s="3" t="s">
        <v>2216</v>
      </c>
      <c r="G128" s="3" t="s">
        <v>2147</v>
      </c>
      <c r="H128" s="3" t="s">
        <v>2217</v>
      </c>
      <c r="I128" s="3" t="s">
        <v>2218</v>
      </c>
      <c r="J128" s="9" t="s">
        <v>3013</v>
      </c>
      <c r="K128" s="9" t="s">
        <v>3014</v>
      </c>
      <c r="L128" s="8" t="s">
        <v>2220</v>
      </c>
    </row>
    <row r="129">
      <c r="A129" s="3">
        <v>98.0</v>
      </c>
      <c r="B129" s="3" t="s">
        <v>40</v>
      </c>
      <c r="C129" s="3" t="s">
        <v>363</v>
      </c>
      <c r="D129" s="3">
        <v>1996.0</v>
      </c>
      <c r="E129" s="3" t="s">
        <v>364</v>
      </c>
      <c r="G129" s="3" t="s">
        <v>2147</v>
      </c>
      <c r="H129" s="3" t="s">
        <v>2217</v>
      </c>
      <c r="I129" s="3" t="s">
        <v>2218</v>
      </c>
      <c r="J129" s="9" t="s">
        <v>3015</v>
      </c>
      <c r="K129" s="9" t="s">
        <v>3016</v>
      </c>
      <c r="L129" s="8" t="s">
        <v>2838</v>
      </c>
    </row>
    <row r="130">
      <c r="A130" s="3">
        <v>105.0</v>
      </c>
      <c r="B130" s="3" t="s">
        <v>40</v>
      </c>
      <c r="C130" s="3" t="s">
        <v>378</v>
      </c>
      <c r="D130" s="3">
        <v>2001.0</v>
      </c>
      <c r="E130" s="3" t="s">
        <v>379</v>
      </c>
      <c r="G130" s="3" t="s">
        <v>2147</v>
      </c>
      <c r="H130" s="3" t="s">
        <v>2217</v>
      </c>
      <c r="I130" s="3" t="s">
        <v>2218</v>
      </c>
      <c r="J130" s="9" t="s">
        <v>2953</v>
      </c>
      <c r="K130" s="9" t="s">
        <v>3017</v>
      </c>
      <c r="L130" s="8" t="s">
        <v>2844</v>
      </c>
    </row>
    <row r="131">
      <c r="A131" s="3">
        <v>204.0</v>
      </c>
      <c r="B131" s="3" t="s">
        <v>40</v>
      </c>
      <c r="C131" s="3" t="s">
        <v>576</v>
      </c>
      <c r="D131" s="3">
        <v>2007.0</v>
      </c>
      <c r="E131" s="3" t="s">
        <v>577</v>
      </c>
      <c r="F131" s="3" t="s">
        <v>2282</v>
      </c>
      <c r="G131" s="3" t="s">
        <v>2283</v>
      </c>
      <c r="I131" s="3" t="s">
        <v>2218</v>
      </c>
      <c r="J131" s="9" t="s">
        <v>3018</v>
      </c>
      <c r="K131" s="9" t="s">
        <v>3019</v>
      </c>
      <c r="L131" s="8" t="s">
        <v>2286</v>
      </c>
    </row>
    <row r="132">
      <c r="A132" s="3">
        <v>209.0</v>
      </c>
      <c r="B132" s="3" t="s">
        <v>40</v>
      </c>
      <c r="C132" s="3" t="s">
        <v>586</v>
      </c>
      <c r="D132" s="3">
        <v>2019.0</v>
      </c>
      <c r="E132" s="3" t="s">
        <v>587</v>
      </c>
      <c r="F132" s="3" t="s">
        <v>2216</v>
      </c>
      <c r="G132" s="3" t="s">
        <v>2147</v>
      </c>
      <c r="H132" s="3" t="s">
        <v>2217</v>
      </c>
      <c r="I132" s="3" t="s">
        <v>2218</v>
      </c>
      <c r="J132" s="9" t="s">
        <v>3008</v>
      </c>
      <c r="K132" s="9" t="s">
        <v>3020</v>
      </c>
      <c r="L132" s="8" t="s">
        <v>2219</v>
      </c>
    </row>
    <row r="133">
      <c r="A133" s="3">
        <v>223.0</v>
      </c>
      <c r="B133" s="3" t="s">
        <v>40</v>
      </c>
      <c r="C133" s="3" t="s">
        <v>611</v>
      </c>
      <c r="D133" s="3">
        <v>2005.0</v>
      </c>
      <c r="E133" s="3" t="s">
        <v>612</v>
      </c>
      <c r="G133" s="3" t="s">
        <v>2147</v>
      </c>
      <c r="H133" s="3" t="s">
        <v>2217</v>
      </c>
      <c r="I133" s="3" t="s">
        <v>2218</v>
      </c>
      <c r="J133" s="9" t="s">
        <v>3008</v>
      </c>
      <c r="K133" s="9" t="s">
        <v>3009</v>
      </c>
      <c r="L133" s="8" t="s">
        <v>2846</v>
      </c>
    </row>
    <row r="134">
      <c r="A134" s="3">
        <v>226.0</v>
      </c>
      <c r="B134" s="3" t="s">
        <v>40</v>
      </c>
      <c r="C134" s="3" t="s">
        <v>617</v>
      </c>
      <c r="D134" s="3">
        <v>2010.0</v>
      </c>
      <c r="E134" s="3" t="s">
        <v>618</v>
      </c>
      <c r="F134" s="3" t="s">
        <v>2216</v>
      </c>
      <c r="G134" s="3" t="s">
        <v>2147</v>
      </c>
      <c r="H134" s="3" t="s">
        <v>2217</v>
      </c>
      <c r="I134" s="3" t="s">
        <v>2218</v>
      </c>
      <c r="J134" s="9" t="s">
        <v>3021</v>
      </c>
      <c r="K134" s="9" t="s">
        <v>3009</v>
      </c>
      <c r="L134" s="8" t="s">
        <v>2228</v>
      </c>
    </row>
    <row r="135">
      <c r="A135" s="3">
        <v>230.0</v>
      </c>
      <c r="B135" s="3" t="s">
        <v>40</v>
      </c>
      <c r="C135" s="3" t="s">
        <v>625</v>
      </c>
      <c r="D135" s="3">
        <v>2020.0</v>
      </c>
      <c r="E135" s="3" t="s">
        <v>626</v>
      </c>
      <c r="F135" s="3" t="s">
        <v>2216</v>
      </c>
      <c r="G135" s="3" t="s">
        <v>2147</v>
      </c>
      <c r="H135" s="3" t="s">
        <v>2217</v>
      </c>
      <c r="I135" s="3" t="s">
        <v>2218</v>
      </c>
      <c r="J135" s="9" t="s">
        <v>3008</v>
      </c>
      <c r="K135" s="9" t="s">
        <v>3009</v>
      </c>
      <c r="L135" s="8" t="s">
        <v>2227</v>
      </c>
    </row>
    <row r="136">
      <c r="A136" s="3">
        <v>339.0</v>
      </c>
      <c r="B136" s="3" t="s">
        <v>40</v>
      </c>
      <c r="C136" s="3" t="s">
        <v>846</v>
      </c>
      <c r="D136" s="3">
        <v>2017.0</v>
      </c>
      <c r="E136" s="3" t="s">
        <v>847</v>
      </c>
      <c r="F136" s="3" t="s">
        <v>2538</v>
      </c>
      <c r="G136" s="3" t="s">
        <v>2142</v>
      </c>
      <c r="I136" s="3" t="s">
        <v>2218</v>
      </c>
      <c r="J136" s="9" t="s">
        <v>2953</v>
      </c>
      <c r="K136" s="9" t="s">
        <v>2954</v>
      </c>
      <c r="L136" s="8" t="s">
        <v>2540</v>
      </c>
    </row>
    <row r="137">
      <c r="A137" s="3">
        <v>255.0</v>
      </c>
      <c r="B137" s="3" t="s">
        <v>40</v>
      </c>
      <c r="C137" s="3" t="s">
        <v>677</v>
      </c>
      <c r="D137" s="3">
        <v>1997.0</v>
      </c>
      <c r="E137" s="3" t="s">
        <v>678</v>
      </c>
      <c r="F137" s="3" t="s">
        <v>2450</v>
      </c>
      <c r="G137" s="3" t="s">
        <v>2142</v>
      </c>
      <c r="I137" s="3" t="s">
        <v>2218</v>
      </c>
      <c r="J137" s="9" t="s">
        <v>2953</v>
      </c>
      <c r="K137" s="9" t="s">
        <v>2954</v>
      </c>
      <c r="L137" s="8" t="s">
        <v>2451</v>
      </c>
    </row>
    <row r="138">
      <c r="A138" s="3">
        <v>290.0</v>
      </c>
      <c r="B138" s="3" t="s">
        <v>40</v>
      </c>
      <c r="C138" s="3" t="s">
        <v>746</v>
      </c>
      <c r="D138" s="3">
        <v>2007.0</v>
      </c>
      <c r="E138" s="3" t="s">
        <v>747</v>
      </c>
      <c r="F138" s="3" t="s">
        <v>2216</v>
      </c>
      <c r="G138" s="3" t="s">
        <v>2147</v>
      </c>
      <c r="H138" s="3" t="s">
        <v>2217</v>
      </c>
      <c r="I138" s="3" t="s">
        <v>2218</v>
      </c>
      <c r="J138" s="9" t="s">
        <v>2953</v>
      </c>
      <c r="K138" s="9" t="s">
        <v>2954</v>
      </c>
      <c r="L138" s="8" t="s">
        <v>2240</v>
      </c>
    </row>
    <row r="139">
      <c r="A139" s="3">
        <v>327.0</v>
      </c>
      <c r="B139" s="3" t="s">
        <v>40</v>
      </c>
      <c r="C139" s="3" t="s">
        <v>822</v>
      </c>
      <c r="D139" s="3">
        <v>2015.0</v>
      </c>
      <c r="E139" s="3" t="s">
        <v>823</v>
      </c>
      <c r="G139" s="3" t="s">
        <v>2142</v>
      </c>
      <c r="I139" s="3" t="s">
        <v>2218</v>
      </c>
      <c r="J139" s="9" t="s">
        <v>2953</v>
      </c>
      <c r="K139" s="9" t="s">
        <v>2954</v>
      </c>
      <c r="L139" s="8" t="s">
        <v>2900</v>
      </c>
    </row>
    <row r="140">
      <c r="A140" s="3">
        <v>277.0</v>
      </c>
      <c r="B140" s="3" t="s">
        <v>40</v>
      </c>
      <c r="C140" s="3" t="s">
        <v>378</v>
      </c>
      <c r="D140" s="3">
        <v>2002.0</v>
      </c>
      <c r="E140" s="3" t="s">
        <v>721</v>
      </c>
      <c r="G140" s="3" t="s">
        <v>2147</v>
      </c>
      <c r="H140" s="3" t="s">
        <v>2217</v>
      </c>
      <c r="I140" s="3" t="s">
        <v>2218</v>
      </c>
      <c r="J140" s="9" t="s">
        <v>2953</v>
      </c>
      <c r="K140" s="9" t="s">
        <v>2954</v>
      </c>
      <c r="L140" s="8" t="s">
        <v>2848</v>
      </c>
    </row>
    <row r="141">
      <c r="A141" s="3">
        <v>270.0</v>
      </c>
      <c r="B141" s="3" t="s">
        <v>40</v>
      </c>
      <c r="C141" s="3" t="s">
        <v>707</v>
      </c>
      <c r="D141" s="3">
        <v>2000.0</v>
      </c>
      <c r="E141" s="3" t="s">
        <v>708</v>
      </c>
      <c r="F141" s="3" t="s">
        <v>2600</v>
      </c>
      <c r="G141" s="3" t="s">
        <v>2147</v>
      </c>
      <c r="H141" s="3" t="s">
        <v>2217</v>
      </c>
      <c r="I141" s="3" t="s">
        <v>2218</v>
      </c>
      <c r="J141" s="9" t="s">
        <v>2953</v>
      </c>
      <c r="K141" s="9" t="s">
        <v>2954</v>
      </c>
      <c r="L141" s="8" t="s">
        <v>2680</v>
      </c>
    </row>
    <row r="142">
      <c r="A142" s="3">
        <v>280.0</v>
      </c>
      <c r="B142" s="3" t="s">
        <v>40</v>
      </c>
      <c r="C142" s="3" t="s">
        <v>726</v>
      </c>
      <c r="D142" s="3">
        <v>2004.0</v>
      </c>
      <c r="E142" s="3" t="s">
        <v>727</v>
      </c>
      <c r="F142" s="3" t="s">
        <v>2216</v>
      </c>
      <c r="G142" s="3" t="s">
        <v>2147</v>
      </c>
      <c r="H142" s="3" t="s">
        <v>2217</v>
      </c>
      <c r="I142" s="3" t="s">
        <v>2218</v>
      </c>
      <c r="J142" s="9" t="s">
        <v>3022</v>
      </c>
      <c r="K142" s="9" t="s">
        <v>2954</v>
      </c>
      <c r="L142" s="8" t="s">
        <v>2232</v>
      </c>
    </row>
    <row r="143">
      <c r="A143" s="3">
        <v>291.0</v>
      </c>
      <c r="B143" s="3" t="s">
        <v>40</v>
      </c>
      <c r="C143" s="3" t="s">
        <v>748</v>
      </c>
      <c r="D143" s="3">
        <v>2007.0</v>
      </c>
      <c r="E143" s="3" t="s">
        <v>749</v>
      </c>
      <c r="F143" s="3" t="s">
        <v>2600</v>
      </c>
      <c r="G143" s="3" t="s">
        <v>2147</v>
      </c>
      <c r="H143" s="3" t="s">
        <v>2217</v>
      </c>
      <c r="I143" s="3" t="s">
        <v>2218</v>
      </c>
      <c r="J143" s="9" t="s">
        <v>2953</v>
      </c>
      <c r="K143" s="9" t="s">
        <v>2954</v>
      </c>
      <c r="L143" s="8" t="s">
        <v>2683</v>
      </c>
    </row>
    <row r="144">
      <c r="A144" s="3">
        <v>345.0</v>
      </c>
      <c r="B144" s="3" t="s">
        <v>40</v>
      </c>
      <c r="C144" s="3" t="s">
        <v>858</v>
      </c>
      <c r="D144" s="3">
        <v>2018.0</v>
      </c>
      <c r="E144" s="3" t="s">
        <v>859</v>
      </c>
      <c r="F144" s="3" t="s">
        <v>2600</v>
      </c>
      <c r="G144" s="3" t="s">
        <v>2147</v>
      </c>
      <c r="H144" s="3" t="s">
        <v>2217</v>
      </c>
      <c r="I144" s="3" t="s">
        <v>2218</v>
      </c>
      <c r="J144" s="9" t="s">
        <v>2953</v>
      </c>
      <c r="K144" s="9" t="s">
        <v>2954</v>
      </c>
      <c r="L144" s="8" t="s">
        <v>2689</v>
      </c>
    </row>
    <row r="145">
      <c r="A145" s="3">
        <v>281.0</v>
      </c>
      <c r="B145" s="3" t="s">
        <v>40</v>
      </c>
      <c r="C145" s="3" t="s">
        <v>728</v>
      </c>
      <c r="D145" s="3">
        <v>2004.0</v>
      </c>
      <c r="E145" s="3" t="s">
        <v>729</v>
      </c>
      <c r="F145" s="3" t="s">
        <v>2216</v>
      </c>
      <c r="G145" s="3" t="s">
        <v>2147</v>
      </c>
      <c r="H145" s="3" t="s">
        <v>2217</v>
      </c>
      <c r="I145" s="3" t="s">
        <v>2218</v>
      </c>
      <c r="J145" s="9" t="s">
        <v>2971</v>
      </c>
      <c r="K145" s="9" t="s">
        <v>2954</v>
      </c>
      <c r="L145" s="8" t="s">
        <v>2245</v>
      </c>
    </row>
    <row r="146">
      <c r="A146" s="3">
        <v>298.0</v>
      </c>
      <c r="B146" s="3" t="s">
        <v>40</v>
      </c>
      <c r="C146" s="3" t="s">
        <v>762</v>
      </c>
      <c r="D146" s="3">
        <v>2008.0</v>
      </c>
      <c r="E146" s="3" t="s">
        <v>763</v>
      </c>
      <c r="F146" s="3" t="s">
        <v>2600</v>
      </c>
      <c r="G146" s="3" t="s">
        <v>2147</v>
      </c>
      <c r="H146" s="3" t="s">
        <v>2217</v>
      </c>
      <c r="I146" s="3" t="s">
        <v>2218</v>
      </c>
      <c r="J146" s="9" t="s">
        <v>2953</v>
      </c>
      <c r="K146" s="9" t="s">
        <v>2954</v>
      </c>
      <c r="L146" s="8" t="s">
        <v>2684</v>
      </c>
    </row>
    <row r="147">
      <c r="A147" s="3">
        <v>264.0</v>
      </c>
      <c r="B147" s="3" t="s">
        <v>40</v>
      </c>
      <c r="C147" s="3" t="s">
        <v>695</v>
      </c>
      <c r="D147" s="3">
        <v>1999.0</v>
      </c>
      <c r="E147" s="3" t="s">
        <v>696</v>
      </c>
      <c r="F147" s="3" t="s">
        <v>2450</v>
      </c>
      <c r="G147" s="3" t="s">
        <v>2142</v>
      </c>
      <c r="I147" s="3" t="s">
        <v>2218</v>
      </c>
      <c r="J147" s="9" t="s">
        <v>2953</v>
      </c>
      <c r="K147" s="9" t="s">
        <v>2954</v>
      </c>
      <c r="L147" s="8" t="s">
        <v>2453</v>
      </c>
    </row>
    <row r="148">
      <c r="A148" s="3">
        <v>355.0</v>
      </c>
      <c r="B148" s="3" t="s">
        <v>40</v>
      </c>
      <c r="C148" s="3" t="s">
        <v>881</v>
      </c>
      <c r="D148" s="3">
        <v>2019.0</v>
      </c>
      <c r="E148" s="3" t="s">
        <v>882</v>
      </c>
      <c r="G148" s="3" t="s">
        <v>2142</v>
      </c>
      <c r="I148" s="3" t="s">
        <v>2218</v>
      </c>
      <c r="J148" s="9" t="s">
        <v>2953</v>
      </c>
      <c r="K148" s="9" t="s">
        <v>2954</v>
      </c>
      <c r="L148" s="8" t="s">
        <v>2901</v>
      </c>
    </row>
    <row r="149">
      <c r="A149" s="3">
        <v>269.0</v>
      </c>
      <c r="B149" s="3" t="s">
        <v>40</v>
      </c>
      <c r="C149" s="3" t="s">
        <v>705</v>
      </c>
      <c r="D149" s="3">
        <v>2000.0</v>
      </c>
      <c r="E149" s="3" t="s">
        <v>706</v>
      </c>
      <c r="F149" s="3" t="s">
        <v>2216</v>
      </c>
      <c r="G149" s="3" t="s">
        <v>2147</v>
      </c>
      <c r="H149" s="3" t="s">
        <v>2217</v>
      </c>
      <c r="I149" s="3" t="s">
        <v>2218</v>
      </c>
      <c r="J149" s="9" t="s">
        <v>2953</v>
      </c>
      <c r="K149" s="9" t="s">
        <v>2954</v>
      </c>
      <c r="L149" s="8" t="s">
        <v>2239</v>
      </c>
    </row>
    <row r="150">
      <c r="A150" s="3">
        <v>274.0</v>
      </c>
      <c r="B150" s="3" t="s">
        <v>40</v>
      </c>
      <c r="C150" s="3" t="s">
        <v>715</v>
      </c>
      <c r="D150" s="3">
        <v>2001.0</v>
      </c>
      <c r="E150" s="3" t="s">
        <v>716</v>
      </c>
      <c r="G150" s="3" t="s">
        <v>2142</v>
      </c>
      <c r="I150" s="3" t="s">
        <v>2218</v>
      </c>
      <c r="J150" s="9" t="s">
        <v>2953</v>
      </c>
      <c r="K150" s="9" t="s">
        <v>2954</v>
      </c>
      <c r="L150" s="8" t="s">
        <v>2896</v>
      </c>
    </row>
    <row r="151">
      <c r="A151" s="3">
        <v>259.0</v>
      </c>
      <c r="B151" s="3" t="s">
        <v>40</v>
      </c>
      <c r="C151" s="3" t="s">
        <v>685</v>
      </c>
      <c r="D151" s="3">
        <v>1998.0</v>
      </c>
      <c r="E151" s="3" t="s">
        <v>686</v>
      </c>
      <c r="F151" s="3" t="s">
        <v>2450</v>
      </c>
      <c r="G151" s="3" t="s">
        <v>2142</v>
      </c>
      <c r="I151" s="3" t="s">
        <v>2218</v>
      </c>
      <c r="J151" s="9" t="s">
        <v>2953</v>
      </c>
      <c r="K151" s="9" t="s">
        <v>2954</v>
      </c>
      <c r="L151" s="8" t="s">
        <v>2452</v>
      </c>
    </row>
    <row r="152">
      <c r="A152" s="3">
        <v>301.0</v>
      </c>
      <c r="B152" s="3" t="s">
        <v>40</v>
      </c>
      <c r="C152" s="3" t="s">
        <v>770</v>
      </c>
      <c r="D152" s="3">
        <v>2009.0</v>
      </c>
      <c r="E152" s="3" t="s">
        <v>771</v>
      </c>
      <c r="G152" s="3" t="s">
        <v>2142</v>
      </c>
      <c r="I152" s="3" t="s">
        <v>2218</v>
      </c>
      <c r="J152" s="9" t="s">
        <v>2953</v>
      </c>
      <c r="K152" s="9" t="s">
        <v>2954</v>
      </c>
      <c r="L152" s="8" t="s">
        <v>2899</v>
      </c>
    </row>
    <row r="153">
      <c r="A153" s="3">
        <v>356.0</v>
      </c>
      <c r="B153" s="3" t="s">
        <v>40</v>
      </c>
      <c r="C153" s="3" t="s">
        <v>883</v>
      </c>
      <c r="D153" s="3">
        <v>2020.0</v>
      </c>
      <c r="E153" s="3" t="s">
        <v>884</v>
      </c>
      <c r="F153" s="3" t="s">
        <v>2216</v>
      </c>
      <c r="G153" s="3" t="s">
        <v>2147</v>
      </c>
      <c r="H153" s="3" t="s">
        <v>2217</v>
      </c>
      <c r="I153" s="3" t="s">
        <v>2218</v>
      </c>
      <c r="J153" s="9" t="s">
        <v>2953</v>
      </c>
      <c r="K153" s="9" t="s">
        <v>2954</v>
      </c>
      <c r="L153" s="8" t="s">
        <v>2242</v>
      </c>
    </row>
    <row r="154">
      <c r="A154" s="3">
        <v>285.0</v>
      </c>
      <c r="B154" s="3" t="s">
        <v>40</v>
      </c>
      <c r="C154" s="3" t="s">
        <v>736</v>
      </c>
      <c r="D154" s="3">
        <v>2005.0</v>
      </c>
      <c r="E154" s="3" t="s">
        <v>737</v>
      </c>
      <c r="G154" s="3" t="s">
        <v>2142</v>
      </c>
      <c r="I154" s="3" t="s">
        <v>2218</v>
      </c>
      <c r="J154" s="9" t="s">
        <v>2953</v>
      </c>
      <c r="K154" s="9" t="s">
        <v>2954</v>
      </c>
      <c r="L154" s="8" t="s">
        <v>2897</v>
      </c>
    </row>
    <row r="155">
      <c r="A155" s="3">
        <v>357.0</v>
      </c>
      <c r="B155" s="3" t="s">
        <v>40</v>
      </c>
      <c r="C155" s="3" t="s">
        <v>885</v>
      </c>
      <c r="D155" s="3">
        <v>2020.0</v>
      </c>
      <c r="E155" s="3" t="s">
        <v>886</v>
      </c>
      <c r="F155" s="3" t="s">
        <v>2318</v>
      </c>
      <c r="G155" s="3" t="s">
        <v>2142</v>
      </c>
      <c r="I155" s="3" t="s">
        <v>2218</v>
      </c>
      <c r="J155" s="9" t="s">
        <v>2953</v>
      </c>
      <c r="K155" s="9" t="s">
        <v>2954</v>
      </c>
      <c r="L155" s="8" t="s">
        <v>2324</v>
      </c>
    </row>
    <row r="156">
      <c r="A156" s="3">
        <v>324.0</v>
      </c>
      <c r="B156" s="3" t="s">
        <v>40</v>
      </c>
      <c r="C156" s="3" t="s">
        <v>816</v>
      </c>
      <c r="D156" s="3">
        <v>2014.0</v>
      </c>
      <c r="E156" s="3" t="s">
        <v>817</v>
      </c>
      <c r="F156" s="3" t="s">
        <v>2600</v>
      </c>
      <c r="G156" s="3" t="s">
        <v>2147</v>
      </c>
      <c r="H156" s="3" t="s">
        <v>2217</v>
      </c>
      <c r="I156" s="3" t="s">
        <v>2218</v>
      </c>
      <c r="J156" s="9" t="s">
        <v>2953</v>
      </c>
      <c r="K156" s="9" t="s">
        <v>2954</v>
      </c>
      <c r="L156" s="8" t="s">
        <v>2688</v>
      </c>
    </row>
    <row r="157">
      <c r="A157" s="3">
        <v>288.0</v>
      </c>
      <c r="B157" s="3" t="s">
        <v>40</v>
      </c>
      <c r="C157" s="3" t="s">
        <v>742</v>
      </c>
      <c r="D157" s="3">
        <v>2006.0</v>
      </c>
      <c r="E157" s="3" t="s">
        <v>743</v>
      </c>
      <c r="G157" s="3" t="s">
        <v>2142</v>
      </c>
      <c r="I157" s="3" t="s">
        <v>2218</v>
      </c>
      <c r="J157" s="9" t="s">
        <v>2953</v>
      </c>
      <c r="K157" s="9" t="s">
        <v>2954</v>
      </c>
      <c r="L157" s="8" t="s">
        <v>2898</v>
      </c>
    </row>
    <row r="158">
      <c r="A158" s="3">
        <v>282.0</v>
      </c>
      <c r="B158" s="3" t="s">
        <v>40</v>
      </c>
      <c r="C158" s="3" t="s">
        <v>730</v>
      </c>
      <c r="D158" s="3">
        <v>2004.0</v>
      </c>
      <c r="E158" s="3" t="s">
        <v>731</v>
      </c>
      <c r="G158" s="3" t="s">
        <v>2147</v>
      </c>
      <c r="H158" s="3" t="s">
        <v>2217</v>
      </c>
      <c r="I158" s="3" t="s">
        <v>2218</v>
      </c>
      <c r="J158" s="9" t="s">
        <v>2953</v>
      </c>
      <c r="K158" s="9" t="s">
        <v>2954</v>
      </c>
      <c r="L158" s="8" t="s">
        <v>2849</v>
      </c>
    </row>
    <row r="159">
      <c r="A159" s="3">
        <v>338.0</v>
      </c>
      <c r="B159" s="3" t="s">
        <v>40</v>
      </c>
      <c r="C159" s="3" t="s">
        <v>844</v>
      </c>
      <c r="D159" s="3">
        <v>2017.0</v>
      </c>
      <c r="E159" s="3" t="s">
        <v>845</v>
      </c>
      <c r="F159" s="3" t="s">
        <v>2216</v>
      </c>
      <c r="G159" s="3" t="s">
        <v>2147</v>
      </c>
      <c r="H159" s="3" t="s">
        <v>2217</v>
      </c>
      <c r="I159" s="3" t="s">
        <v>2218</v>
      </c>
      <c r="J159" s="9" t="s">
        <v>2953</v>
      </c>
      <c r="K159" s="9" t="s">
        <v>2954</v>
      </c>
      <c r="L159" s="8" t="s">
        <v>2241</v>
      </c>
    </row>
    <row r="160">
      <c r="A160" s="3">
        <v>429.0</v>
      </c>
      <c r="B160" s="3" t="s">
        <v>40</v>
      </c>
      <c r="C160" s="3" t="s">
        <v>983</v>
      </c>
      <c r="D160" s="3">
        <v>2017.0</v>
      </c>
      <c r="E160" s="3" t="s">
        <v>984</v>
      </c>
      <c r="F160" s="3" t="s">
        <v>2600</v>
      </c>
      <c r="G160" s="3" t="s">
        <v>2147</v>
      </c>
      <c r="H160" s="3" t="s">
        <v>2217</v>
      </c>
      <c r="I160" s="3" t="s">
        <v>2218</v>
      </c>
      <c r="J160" s="9" t="s">
        <v>3023</v>
      </c>
      <c r="K160" s="9" t="s">
        <v>3024</v>
      </c>
      <c r="L160" s="8" t="s">
        <v>2626</v>
      </c>
    </row>
    <row r="161">
      <c r="A161" s="3">
        <v>431.0</v>
      </c>
      <c r="B161" s="3" t="s">
        <v>40</v>
      </c>
      <c r="C161" s="3" t="s">
        <v>987</v>
      </c>
      <c r="D161" s="3">
        <v>2007.0</v>
      </c>
      <c r="E161" s="3" t="s">
        <v>988</v>
      </c>
      <c r="F161" s="3" t="s">
        <v>2216</v>
      </c>
      <c r="G161" s="3" t="s">
        <v>2147</v>
      </c>
      <c r="H161" s="3" t="s">
        <v>2217</v>
      </c>
      <c r="I161" s="3" t="s">
        <v>2218</v>
      </c>
      <c r="J161" s="9" t="s">
        <v>3011</v>
      </c>
      <c r="K161" s="9" t="s">
        <v>3025</v>
      </c>
      <c r="L161" s="8" t="s">
        <v>2249</v>
      </c>
    </row>
    <row r="162">
      <c r="A162" s="3">
        <v>435.0</v>
      </c>
      <c r="B162" s="3" t="s">
        <v>40</v>
      </c>
      <c r="C162" s="3" t="s">
        <v>995</v>
      </c>
      <c r="D162" s="3">
        <v>2012.0</v>
      </c>
      <c r="E162" s="3" t="s">
        <v>996</v>
      </c>
      <c r="G162" s="3" t="s">
        <v>2147</v>
      </c>
      <c r="H162" s="3" t="s">
        <v>2217</v>
      </c>
      <c r="I162" s="3" t="s">
        <v>2218</v>
      </c>
      <c r="J162" s="9" t="s">
        <v>3011</v>
      </c>
      <c r="K162" s="9" t="s">
        <v>3025</v>
      </c>
      <c r="L162" s="8" t="s">
        <v>2852</v>
      </c>
    </row>
    <row r="163">
      <c r="A163" s="3">
        <v>444.0</v>
      </c>
      <c r="B163" s="3" t="s">
        <v>40</v>
      </c>
      <c r="C163" s="3" t="s">
        <v>659</v>
      </c>
      <c r="D163" s="3">
        <v>2013.0</v>
      </c>
      <c r="E163" s="3" t="s">
        <v>1014</v>
      </c>
      <c r="F163" s="3" t="s">
        <v>2216</v>
      </c>
      <c r="G163" s="3" t="s">
        <v>2147</v>
      </c>
      <c r="H163" s="3" t="s">
        <v>2217</v>
      </c>
      <c r="I163" s="3" t="s">
        <v>2218</v>
      </c>
      <c r="J163" s="9" t="s">
        <v>3011</v>
      </c>
      <c r="K163" s="9" t="s">
        <v>3026</v>
      </c>
      <c r="L163" s="8" t="s">
        <v>2250</v>
      </c>
    </row>
    <row r="164">
      <c r="A164" s="3">
        <v>432.0</v>
      </c>
      <c r="B164" s="3" t="s">
        <v>40</v>
      </c>
      <c r="C164" s="3" t="s">
        <v>989</v>
      </c>
      <c r="D164" s="3">
        <v>2010.0</v>
      </c>
      <c r="E164" s="3" t="s">
        <v>990</v>
      </c>
      <c r="G164" s="3" t="s">
        <v>2147</v>
      </c>
      <c r="H164" s="3" t="s">
        <v>2217</v>
      </c>
      <c r="I164" s="3" t="s">
        <v>2218</v>
      </c>
      <c r="J164" s="9" t="s">
        <v>3011</v>
      </c>
      <c r="K164" s="9" t="s">
        <v>3025</v>
      </c>
      <c r="L164" s="8" t="s">
        <v>2851</v>
      </c>
    </row>
    <row r="165">
      <c r="A165" s="3">
        <v>433.0</v>
      </c>
      <c r="B165" s="3" t="s">
        <v>40</v>
      </c>
      <c r="C165" s="3" t="s">
        <v>991</v>
      </c>
      <c r="D165" s="3">
        <v>2011.0</v>
      </c>
      <c r="E165" s="3" t="s">
        <v>992</v>
      </c>
      <c r="F165" s="3" t="s">
        <v>2600</v>
      </c>
      <c r="G165" s="3" t="s">
        <v>2147</v>
      </c>
      <c r="H165" s="3" t="s">
        <v>2217</v>
      </c>
      <c r="I165" s="3" t="s">
        <v>2218</v>
      </c>
      <c r="J165" s="9" t="s">
        <v>3011</v>
      </c>
      <c r="K165" s="9" t="s">
        <v>3025</v>
      </c>
      <c r="L165" s="8" t="s">
        <v>2706</v>
      </c>
    </row>
    <row r="166">
      <c r="A166" s="3">
        <v>454.0</v>
      </c>
      <c r="B166" s="3" t="s">
        <v>40</v>
      </c>
      <c r="C166" s="3" t="s">
        <v>1035</v>
      </c>
      <c r="D166" s="3">
        <v>2007.0</v>
      </c>
      <c r="E166" s="3" t="s">
        <v>1036</v>
      </c>
      <c r="F166" s="3" t="s">
        <v>2216</v>
      </c>
      <c r="G166" s="3" t="s">
        <v>2147</v>
      </c>
      <c r="H166" s="3" t="s">
        <v>2217</v>
      </c>
      <c r="I166" s="3" t="s">
        <v>2218</v>
      </c>
      <c r="J166" s="9" t="s">
        <v>3027</v>
      </c>
      <c r="K166" s="9" t="s">
        <v>3028</v>
      </c>
      <c r="L166" s="8" t="s">
        <v>2229</v>
      </c>
    </row>
    <row r="167">
      <c r="A167" s="3">
        <v>455.0</v>
      </c>
      <c r="B167" s="3" t="s">
        <v>40</v>
      </c>
      <c r="C167" s="3" t="s">
        <v>1037</v>
      </c>
      <c r="D167" s="3">
        <v>2007.0</v>
      </c>
      <c r="E167" s="3" t="s">
        <v>1038</v>
      </c>
      <c r="F167" s="3" t="s">
        <v>2216</v>
      </c>
      <c r="G167" s="3" t="s">
        <v>2147</v>
      </c>
      <c r="H167" s="3" t="s">
        <v>2217</v>
      </c>
      <c r="I167" s="3" t="s">
        <v>2218</v>
      </c>
      <c r="J167" s="9" t="s">
        <v>3027</v>
      </c>
      <c r="K167" s="9" t="s">
        <v>3028</v>
      </c>
      <c r="L167" s="8" t="s">
        <v>2230</v>
      </c>
    </row>
    <row r="168">
      <c r="A168" s="3">
        <v>461.0</v>
      </c>
      <c r="B168" s="3" t="s">
        <v>40</v>
      </c>
      <c r="C168" s="3" t="s">
        <v>1050</v>
      </c>
      <c r="D168" s="3">
        <v>2019.0</v>
      </c>
      <c r="E168" s="3" t="s">
        <v>1051</v>
      </c>
      <c r="F168" s="3" t="s">
        <v>2600</v>
      </c>
      <c r="G168" s="3" t="s">
        <v>2147</v>
      </c>
      <c r="H168" s="3" t="s">
        <v>2217</v>
      </c>
      <c r="I168" s="3" t="s">
        <v>2218</v>
      </c>
      <c r="J168" s="9" t="s">
        <v>3029</v>
      </c>
      <c r="K168" s="9" t="s">
        <v>2982</v>
      </c>
      <c r="L168" s="8" t="s">
        <v>2711</v>
      </c>
    </row>
    <row r="169">
      <c r="A169" s="3">
        <v>572.0</v>
      </c>
      <c r="B169" s="3" t="s">
        <v>40</v>
      </c>
      <c r="C169" s="3" t="s">
        <v>1268</v>
      </c>
      <c r="D169" s="3">
        <v>2015.0</v>
      </c>
      <c r="E169" s="3" t="s">
        <v>1269</v>
      </c>
      <c r="F169" s="3" t="s">
        <v>2216</v>
      </c>
      <c r="G169" s="3" t="s">
        <v>2147</v>
      </c>
      <c r="H169" s="3" t="s">
        <v>2217</v>
      </c>
      <c r="I169" s="3" t="s">
        <v>2218</v>
      </c>
      <c r="J169" s="9"/>
      <c r="K169" s="9" t="s">
        <v>2992</v>
      </c>
      <c r="L169" s="8" t="s">
        <v>2258</v>
      </c>
    </row>
    <row r="170">
      <c r="A170" s="3">
        <v>680.0</v>
      </c>
      <c r="B170" s="3" t="s">
        <v>40</v>
      </c>
      <c r="C170" s="3" t="s">
        <v>1472</v>
      </c>
      <c r="D170" s="3">
        <v>2004.0</v>
      </c>
      <c r="E170" s="3" t="s">
        <v>1473</v>
      </c>
      <c r="F170" s="3" t="s">
        <v>2450</v>
      </c>
      <c r="G170" s="3" t="s">
        <v>2142</v>
      </c>
      <c r="I170" s="3" t="s">
        <v>2218</v>
      </c>
      <c r="J170" s="9"/>
      <c r="K170" s="9"/>
      <c r="L170" s="8" t="s">
        <v>2454</v>
      </c>
    </row>
    <row r="171">
      <c r="A171" s="3">
        <v>691.0</v>
      </c>
      <c r="B171" s="3" t="s">
        <v>40</v>
      </c>
      <c r="C171" s="3" t="s">
        <v>1494</v>
      </c>
      <c r="D171" s="3">
        <v>2007.0</v>
      </c>
      <c r="E171" s="3" t="s">
        <v>1495</v>
      </c>
      <c r="G171" s="3" t="s">
        <v>2142</v>
      </c>
      <c r="I171" s="3" t="s">
        <v>2218</v>
      </c>
      <c r="J171" s="9"/>
      <c r="K171" s="9"/>
      <c r="L171" s="8" t="s">
        <v>2926</v>
      </c>
    </row>
    <row r="172">
      <c r="A172" s="3">
        <v>689.0</v>
      </c>
      <c r="B172" s="3" t="s">
        <v>40</v>
      </c>
      <c r="C172" s="3" t="s">
        <v>1490</v>
      </c>
      <c r="D172" s="3">
        <v>2006.0</v>
      </c>
      <c r="E172" s="3" t="s">
        <v>1491</v>
      </c>
      <c r="G172" s="3" t="s">
        <v>2147</v>
      </c>
      <c r="H172" s="3" t="s">
        <v>2217</v>
      </c>
      <c r="I172" s="3" t="s">
        <v>2218</v>
      </c>
      <c r="J172" s="9"/>
      <c r="K172" s="9"/>
      <c r="L172" s="8" t="s">
        <v>2859</v>
      </c>
    </row>
    <row r="173">
      <c r="A173" s="3">
        <v>710.0</v>
      </c>
      <c r="B173" s="3" t="s">
        <v>40</v>
      </c>
      <c r="C173" s="3" t="s">
        <v>1532</v>
      </c>
      <c r="D173" s="3">
        <v>2018.0</v>
      </c>
      <c r="E173" s="3" t="s">
        <v>1533</v>
      </c>
      <c r="G173" s="3" t="s">
        <v>2142</v>
      </c>
      <c r="I173" s="3" t="s">
        <v>2218</v>
      </c>
      <c r="J173" s="9"/>
      <c r="K173" s="9"/>
      <c r="L173" s="8" t="s">
        <v>2927</v>
      </c>
    </row>
    <row r="174">
      <c r="A174" s="3">
        <v>243.0</v>
      </c>
      <c r="B174" s="3" t="s">
        <v>40</v>
      </c>
      <c r="C174" s="3" t="s">
        <v>653</v>
      </c>
      <c r="D174" s="3">
        <v>1990.0</v>
      </c>
      <c r="E174" s="3" t="s">
        <v>654</v>
      </c>
      <c r="F174" s="3" t="s">
        <v>2545</v>
      </c>
      <c r="G174" s="3" t="s">
        <v>2136</v>
      </c>
      <c r="I174" s="3" t="s">
        <v>2546</v>
      </c>
      <c r="J174" s="9" t="s">
        <v>2981</v>
      </c>
      <c r="K174" s="9" t="s">
        <v>2954</v>
      </c>
      <c r="L174" s="8" t="s">
        <v>2547</v>
      </c>
    </row>
    <row r="175">
      <c r="A175" s="3">
        <v>27.0</v>
      </c>
      <c r="B175" s="3" t="s">
        <v>40</v>
      </c>
      <c r="C175" s="3" t="s">
        <v>170</v>
      </c>
      <c r="D175" s="3">
        <v>1985.0</v>
      </c>
      <c r="E175" s="3" t="s">
        <v>171</v>
      </c>
      <c r="G175" s="3" t="s">
        <v>2136</v>
      </c>
      <c r="I175" s="3" t="s">
        <v>2183</v>
      </c>
      <c r="J175" s="9" t="s">
        <v>2973</v>
      </c>
      <c r="K175" s="9" t="s">
        <v>2965</v>
      </c>
      <c r="L175" s="8" t="s">
        <v>2939</v>
      </c>
    </row>
    <row r="176">
      <c r="A176" s="3">
        <v>325.0</v>
      </c>
      <c r="B176" s="3" t="s">
        <v>40</v>
      </c>
      <c r="C176" s="3" t="s">
        <v>818</v>
      </c>
      <c r="D176" s="3">
        <v>2015.0</v>
      </c>
      <c r="E176" s="3" t="s">
        <v>819</v>
      </c>
      <c r="F176" s="3" t="s">
        <v>2182</v>
      </c>
      <c r="G176" s="3" t="s">
        <v>2136</v>
      </c>
      <c r="I176" s="3" t="s">
        <v>2183</v>
      </c>
      <c r="J176" s="9" t="s">
        <v>2981</v>
      </c>
      <c r="K176" s="9" t="s">
        <v>2954</v>
      </c>
      <c r="L176" s="8" t="s">
        <v>2184</v>
      </c>
    </row>
    <row r="177">
      <c r="A177" s="3">
        <v>800.0</v>
      </c>
      <c r="B177" s="3" t="s">
        <v>40</v>
      </c>
      <c r="C177" s="3" t="s">
        <v>1713</v>
      </c>
      <c r="D177" s="3">
        <v>1996.0</v>
      </c>
      <c r="E177" s="3" t="s">
        <v>1714</v>
      </c>
      <c r="F177" s="3" t="s">
        <v>2600</v>
      </c>
      <c r="G177" s="3" t="s">
        <v>2147</v>
      </c>
      <c r="H177" s="3" t="s">
        <v>2217</v>
      </c>
      <c r="I177" s="3" t="s">
        <v>2790</v>
      </c>
      <c r="J177" s="9" t="s">
        <v>3030</v>
      </c>
      <c r="K177" s="9" t="s">
        <v>2959</v>
      </c>
      <c r="L177" s="8" t="s">
        <v>2791</v>
      </c>
    </row>
    <row r="178">
      <c r="A178" s="3">
        <v>175.0</v>
      </c>
      <c r="B178" s="3" t="s">
        <v>40</v>
      </c>
      <c r="C178" s="3" t="s">
        <v>523</v>
      </c>
      <c r="D178" s="3">
        <v>2008.0</v>
      </c>
      <c r="E178" s="3" t="s">
        <v>524</v>
      </c>
      <c r="F178" s="3" t="s">
        <v>2600</v>
      </c>
      <c r="G178" s="3" t="s">
        <v>2147</v>
      </c>
      <c r="H178" s="3" t="s">
        <v>2217</v>
      </c>
      <c r="I178" s="3" t="s">
        <v>2234</v>
      </c>
      <c r="J178" s="9" t="s">
        <v>2953</v>
      </c>
      <c r="K178" s="9" t="s">
        <v>3031</v>
      </c>
      <c r="L178" s="8" t="s">
        <v>2623</v>
      </c>
    </row>
    <row r="179">
      <c r="A179" s="3">
        <v>173.0</v>
      </c>
      <c r="B179" s="3" t="s">
        <v>40</v>
      </c>
      <c r="C179" s="3" t="s">
        <v>519</v>
      </c>
      <c r="D179" s="3">
        <v>2001.0</v>
      </c>
      <c r="E179" s="3" t="s">
        <v>520</v>
      </c>
      <c r="F179" s="3" t="s">
        <v>2600</v>
      </c>
      <c r="G179" s="3" t="s">
        <v>2147</v>
      </c>
      <c r="H179" s="3" t="s">
        <v>2217</v>
      </c>
      <c r="I179" s="3" t="s">
        <v>2234</v>
      </c>
      <c r="J179" s="9" t="s">
        <v>2953</v>
      </c>
      <c r="K179" s="9" t="s">
        <v>2976</v>
      </c>
      <c r="L179" s="8" t="s">
        <v>2652</v>
      </c>
    </row>
    <row r="180">
      <c r="A180" s="3">
        <v>174.0</v>
      </c>
      <c r="B180" s="3" t="s">
        <v>40</v>
      </c>
      <c r="C180" s="3" t="s">
        <v>521</v>
      </c>
      <c r="D180" s="3">
        <v>2011.0</v>
      </c>
      <c r="E180" s="3" t="s">
        <v>522</v>
      </c>
      <c r="F180" s="3" t="s">
        <v>2600</v>
      </c>
      <c r="G180" s="3" t="s">
        <v>2147</v>
      </c>
      <c r="H180" s="3" t="s">
        <v>2217</v>
      </c>
      <c r="I180" s="3" t="s">
        <v>2234</v>
      </c>
      <c r="J180" s="9" t="s">
        <v>2953</v>
      </c>
      <c r="K180" s="9" t="s">
        <v>2976</v>
      </c>
      <c r="L180" s="8" t="s">
        <v>2651</v>
      </c>
    </row>
    <row r="181">
      <c r="A181" s="3">
        <v>224.0</v>
      </c>
      <c r="B181" s="3" t="s">
        <v>40</v>
      </c>
      <c r="C181" s="3" t="s">
        <v>613</v>
      </c>
      <c r="D181" s="3">
        <v>2008.0</v>
      </c>
      <c r="E181" s="3" t="s">
        <v>614</v>
      </c>
      <c r="F181" s="3" t="s">
        <v>2600</v>
      </c>
      <c r="G181" s="3" t="s">
        <v>2147</v>
      </c>
      <c r="H181" s="3" t="s">
        <v>2217</v>
      </c>
      <c r="I181" s="3" t="s">
        <v>2234</v>
      </c>
      <c r="J181" s="9" t="s">
        <v>3008</v>
      </c>
      <c r="K181" s="9" t="s">
        <v>3009</v>
      </c>
      <c r="L181" s="8" t="s">
        <v>2660</v>
      </c>
    </row>
    <row r="182">
      <c r="A182" s="3">
        <v>145.0</v>
      </c>
      <c r="B182" s="3" t="s">
        <v>40</v>
      </c>
      <c r="C182" s="3" t="s">
        <v>462</v>
      </c>
      <c r="D182" s="3">
        <v>2013.0</v>
      </c>
      <c r="E182" s="3" t="s">
        <v>463</v>
      </c>
      <c r="F182" s="3" t="s">
        <v>2600</v>
      </c>
      <c r="G182" s="3" t="s">
        <v>2147</v>
      </c>
      <c r="H182" s="3" t="s">
        <v>2217</v>
      </c>
      <c r="I182" s="3" t="s">
        <v>2234</v>
      </c>
      <c r="J182" s="9" t="s">
        <v>2953</v>
      </c>
      <c r="K182" s="9" t="s">
        <v>2954</v>
      </c>
      <c r="L182" s="8" t="s">
        <v>2675</v>
      </c>
    </row>
    <row r="183">
      <c r="A183" s="3">
        <v>146.0</v>
      </c>
      <c r="B183" s="3" t="s">
        <v>40</v>
      </c>
      <c r="C183" s="3" t="s">
        <v>464</v>
      </c>
      <c r="D183" s="3">
        <v>2014.0</v>
      </c>
      <c r="E183" s="3" t="s">
        <v>465</v>
      </c>
      <c r="F183" s="3" t="s">
        <v>2216</v>
      </c>
      <c r="G183" s="3" t="s">
        <v>2147</v>
      </c>
      <c r="H183" s="3" t="s">
        <v>2217</v>
      </c>
      <c r="I183" s="3" t="s">
        <v>2234</v>
      </c>
      <c r="J183" s="9" t="s">
        <v>2953</v>
      </c>
      <c r="K183" s="9" t="s">
        <v>2954</v>
      </c>
      <c r="L183" s="8" t="s">
        <v>2235</v>
      </c>
    </row>
    <row r="184">
      <c r="A184" s="3">
        <v>141.0</v>
      </c>
      <c r="B184" s="3" t="s">
        <v>40</v>
      </c>
      <c r="C184" s="3" t="s">
        <v>451</v>
      </c>
      <c r="D184" s="3">
        <v>1993.0</v>
      </c>
      <c r="E184" s="3" t="s">
        <v>452</v>
      </c>
      <c r="F184" s="3" t="s">
        <v>2600</v>
      </c>
      <c r="G184" s="3" t="s">
        <v>2147</v>
      </c>
      <c r="H184" s="3" t="s">
        <v>2217</v>
      </c>
      <c r="I184" s="3" t="s">
        <v>2234</v>
      </c>
      <c r="J184" s="9" t="s">
        <v>2953</v>
      </c>
      <c r="K184" s="9" t="s">
        <v>2954</v>
      </c>
      <c r="L184" s="8" t="s">
        <v>2673</v>
      </c>
    </row>
    <row r="185">
      <c r="A185" s="3">
        <v>149.0</v>
      </c>
      <c r="B185" s="3" t="s">
        <v>40</v>
      </c>
      <c r="C185" s="3" t="s">
        <v>470</v>
      </c>
      <c r="D185" s="3">
        <v>2018.0</v>
      </c>
      <c r="E185" s="3" t="s">
        <v>471</v>
      </c>
      <c r="F185" s="3" t="s">
        <v>2600</v>
      </c>
      <c r="G185" s="3" t="s">
        <v>2147</v>
      </c>
      <c r="H185" s="3" t="s">
        <v>2217</v>
      </c>
      <c r="I185" s="3" t="s">
        <v>2234</v>
      </c>
      <c r="J185" s="9" t="s">
        <v>2953</v>
      </c>
      <c r="K185" s="9" t="s">
        <v>2954</v>
      </c>
      <c r="L185" s="8" t="s">
        <v>2676</v>
      </c>
    </row>
    <row r="186">
      <c r="A186" s="3">
        <v>309.0</v>
      </c>
      <c r="B186" s="3" t="s">
        <v>40</v>
      </c>
      <c r="C186" s="3" t="s">
        <v>786</v>
      </c>
      <c r="D186" s="3">
        <v>2011.0</v>
      </c>
      <c r="E186" s="3" t="s">
        <v>787</v>
      </c>
      <c r="F186" s="3" t="s">
        <v>2600</v>
      </c>
      <c r="G186" s="3" t="s">
        <v>2147</v>
      </c>
      <c r="H186" s="3" t="s">
        <v>2217</v>
      </c>
      <c r="I186" s="3" t="s">
        <v>2234</v>
      </c>
      <c r="J186" s="9" t="s">
        <v>2953</v>
      </c>
      <c r="K186" s="9" t="s">
        <v>2954</v>
      </c>
      <c r="L186" s="8" t="s">
        <v>2687</v>
      </c>
    </row>
    <row r="187">
      <c r="A187" s="3">
        <v>438.0</v>
      </c>
      <c r="B187" s="3" t="s">
        <v>40</v>
      </c>
      <c r="C187" s="3" t="s">
        <v>1002</v>
      </c>
      <c r="D187" s="3">
        <v>2015.0</v>
      </c>
      <c r="E187" s="3" t="s">
        <v>1003</v>
      </c>
      <c r="F187" s="3" t="s">
        <v>2600</v>
      </c>
      <c r="G187" s="3" t="s">
        <v>2147</v>
      </c>
      <c r="H187" s="3" t="s">
        <v>2217</v>
      </c>
      <c r="I187" s="3" t="s">
        <v>2234</v>
      </c>
      <c r="J187" s="9"/>
      <c r="K187" s="9" t="s">
        <v>3025</v>
      </c>
      <c r="L187" s="8" t="s">
        <v>2709</v>
      </c>
    </row>
    <row r="188">
      <c r="A188" s="3">
        <v>525.0</v>
      </c>
      <c r="B188" s="3" t="s">
        <v>40</v>
      </c>
      <c r="C188" s="3" t="s">
        <v>1173</v>
      </c>
      <c r="D188" s="3">
        <v>2007.0</v>
      </c>
      <c r="E188" s="3" t="s">
        <v>1174</v>
      </c>
      <c r="F188" s="3" t="s">
        <v>2600</v>
      </c>
      <c r="G188" s="3" t="s">
        <v>2147</v>
      </c>
      <c r="H188" s="3" t="s">
        <v>2217</v>
      </c>
      <c r="I188" s="3" t="s">
        <v>2234</v>
      </c>
      <c r="J188" s="9" t="s">
        <v>2985</v>
      </c>
      <c r="K188" s="9" t="s">
        <v>2992</v>
      </c>
      <c r="L188" s="8" t="s">
        <v>2735</v>
      </c>
    </row>
    <row r="189">
      <c r="A189" s="3">
        <v>567.0</v>
      </c>
      <c r="B189" s="3" t="s">
        <v>40</v>
      </c>
      <c r="C189" s="3" t="s">
        <v>1258</v>
      </c>
      <c r="D189" s="3">
        <v>2014.0</v>
      </c>
      <c r="E189" s="3" t="s">
        <v>1259</v>
      </c>
      <c r="F189" s="3" t="s">
        <v>2600</v>
      </c>
      <c r="G189" s="3" t="s">
        <v>2147</v>
      </c>
      <c r="H189" s="3" t="s">
        <v>2217</v>
      </c>
      <c r="I189" s="3" t="s">
        <v>2234</v>
      </c>
      <c r="J189" s="9" t="s">
        <v>2985</v>
      </c>
      <c r="K189" s="9" t="s">
        <v>2992</v>
      </c>
      <c r="L189" s="8" t="s">
        <v>2744</v>
      </c>
    </row>
    <row r="190">
      <c r="A190" s="3">
        <v>488.0</v>
      </c>
      <c r="B190" s="3" t="s">
        <v>40</v>
      </c>
      <c r="C190" s="3" t="s">
        <v>1100</v>
      </c>
      <c r="D190" s="3">
        <v>2007.0</v>
      </c>
      <c r="E190" s="3" t="s">
        <v>1101</v>
      </c>
      <c r="F190" s="3" t="s">
        <v>2600</v>
      </c>
      <c r="G190" s="3" t="s">
        <v>2147</v>
      </c>
      <c r="H190" s="3" t="s">
        <v>2217</v>
      </c>
      <c r="I190" s="3" t="s">
        <v>2234</v>
      </c>
      <c r="J190" s="9" t="s">
        <v>2985</v>
      </c>
      <c r="K190" s="9" t="s">
        <v>2992</v>
      </c>
      <c r="L190" s="8" t="s">
        <v>2728</v>
      </c>
    </row>
    <row r="191">
      <c r="A191" s="3">
        <v>566.0</v>
      </c>
      <c r="B191" s="3" t="s">
        <v>40</v>
      </c>
      <c r="C191" s="3" t="s">
        <v>1256</v>
      </c>
      <c r="D191" s="3">
        <v>2014.0</v>
      </c>
      <c r="E191" s="3" t="s">
        <v>1257</v>
      </c>
      <c r="F191" s="3" t="s">
        <v>2600</v>
      </c>
      <c r="G191" s="3" t="s">
        <v>2147</v>
      </c>
      <c r="H191" s="3" t="s">
        <v>2217</v>
      </c>
      <c r="I191" s="3" t="s">
        <v>2234</v>
      </c>
      <c r="J191" s="9" t="s">
        <v>2983</v>
      </c>
      <c r="K191" s="9" t="s">
        <v>2992</v>
      </c>
      <c r="L191" s="8" t="s">
        <v>2722</v>
      </c>
    </row>
    <row r="192">
      <c r="A192" s="3">
        <v>501.0</v>
      </c>
      <c r="B192" s="3" t="s">
        <v>40</v>
      </c>
      <c r="C192" s="3" t="s">
        <v>1126</v>
      </c>
      <c r="D192" s="3">
        <v>1995.0</v>
      </c>
      <c r="E192" s="3" t="s">
        <v>1127</v>
      </c>
      <c r="F192" s="3" t="s">
        <v>2600</v>
      </c>
      <c r="G192" s="3" t="s">
        <v>2147</v>
      </c>
      <c r="H192" s="3" t="s">
        <v>2217</v>
      </c>
      <c r="I192" s="3" t="s">
        <v>2234</v>
      </c>
      <c r="J192" s="9" t="s">
        <v>2985</v>
      </c>
      <c r="K192" s="9" t="s">
        <v>2992</v>
      </c>
      <c r="L192" s="8" t="s">
        <v>2729</v>
      </c>
    </row>
    <row r="193">
      <c r="A193" s="3">
        <v>520.0</v>
      </c>
      <c r="B193" s="3" t="s">
        <v>40</v>
      </c>
      <c r="C193" s="3" t="s">
        <v>1163</v>
      </c>
      <c r="D193" s="3">
        <v>2006.0</v>
      </c>
      <c r="E193" s="3" t="s">
        <v>1164</v>
      </c>
      <c r="F193" s="3" t="s">
        <v>2600</v>
      </c>
      <c r="G193" s="3" t="s">
        <v>2147</v>
      </c>
      <c r="H193" s="3" t="s">
        <v>2217</v>
      </c>
      <c r="I193" s="3" t="s">
        <v>2234</v>
      </c>
      <c r="J193" s="9" t="s">
        <v>3010</v>
      </c>
      <c r="K193" s="9" t="s">
        <v>2992</v>
      </c>
      <c r="L193" s="8" t="s">
        <v>2712</v>
      </c>
    </row>
    <row r="194">
      <c r="A194" s="3">
        <v>653.0</v>
      </c>
      <c r="B194" s="3" t="s">
        <v>40</v>
      </c>
      <c r="C194" s="3" t="s">
        <v>1419</v>
      </c>
      <c r="D194" s="3">
        <v>2015.0</v>
      </c>
      <c r="E194" s="3" t="s">
        <v>1420</v>
      </c>
      <c r="F194" s="3" t="s">
        <v>2600</v>
      </c>
      <c r="G194" s="3" t="s">
        <v>2147</v>
      </c>
      <c r="H194" s="3" t="s">
        <v>2217</v>
      </c>
      <c r="I194" s="3" t="s">
        <v>2234</v>
      </c>
      <c r="J194" s="9"/>
      <c r="K194" s="9" t="s">
        <v>2955</v>
      </c>
      <c r="L194" s="8" t="s">
        <v>2761</v>
      </c>
    </row>
    <row r="195">
      <c r="A195" s="3">
        <v>769.0</v>
      </c>
      <c r="B195" s="3" t="s">
        <v>40</v>
      </c>
      <c r="C195" s="3" t="s">
        <v>1652</v>
      </c>
      <c r="D195" s="3">
        <v>2002.0</v>
      </c>
      <c r="E195" s="3" t="s">
        <v>1653</v>
      </c>
      <c r="F195" s="3" t="s">
        <v>2600</v>
      </c>
      <c r="G195" s="3" t="s">
        <v>2147</v>
      </c>
      <c r="H195" s="3" t="s">
        <v>2217</v>
      </c>
      <c r="I195" s="3" t="s">
        <v>2234</v>
      </c>
      <c r="J195" s="9"/>
      <c r="K195" s="9" t="s">
        <v>3032</v>
      </c>
      <c r="L195" s="8" t="s">
        <v>2657</v>
      </c>
    </row>
    <row r="196">
      <c r="A196" s="3">
        <v>795.0</v>
      </c>
      <c r="B196" s="3" t="s">
        <v>40</v>
      </c>
      <c r="C196" s="3" t="s">
        <v>1703</v>
      </c>
      <c r="D196" s="3">
        <v>1994.0</v>
      </c>
      <c r="E196" s="3" t="s">
        <v>1704</v>
      </c>
      <c r="F196" s="3" t="s">
        <v>2600</v>
      </c>
      <c r="G196" s="3" t="s">
        <v>2147</v>
      </c>
      <c r="H196" s="3" t="s">
        <v>2217</v>
      </c>
      <c r="I196" s="3" t="s">
        <v>2234</v>
      </c>
      <c r="J196" s="9" t="s">
        <v>2974</v>
      </c>
      <c r="K196" s="9" t="s">
        <v>2959</v>
      </c>
      <c r="L196" s="8" t="s">
        <v>2800</v>
      </c>
    </row>
    <row r="197">
      <c r="A197" s="3">
        <v>838.0</v>
      </c>
      <c r="B197" s="3" t="s">
        <v>40</v>
      </c>
      <c r="C197" s="3" t="s">
        <v>1790</v>
      </c>
      <c r="D197" s="3">
        <v>2008.0</v>
      </c>
      <c r="E197" s="3" t="s">
        <v>1791</v>
      </c>
      <c r="F197" s="3" t="s">
        <v>2216</v>
      </c>
      <c r="G197" s="3" t="s">
        <v>2147</v>
      </c>
      <c r="H197" s="3" t="s">
        <v>2217</v>
      </c>
      <c r="I197" s="3" t="s">
        <v>2234</v>
      </c>
      <c r="J197" s="9" t="s">
        <v>3030</v>
      </c>
      <c r="K197" s="9" t="s">
        <v>2959</v>
      </c>
      <c r="L197" s="8" t="s">
        <v>2262</v>
      </c>
    </row>
    <row r="198">
      <c r="A198" s="3">
        <v>849.0</v>
      </c>
      <c r="B198" s="3" t="s">
        <v>40</v>
      </c>
      <c r="C198" s="3" t="s">
        <v>1812</v>
      </c>
      <c r="D198" s="3">
        <v>2011.0</v>
      </c>
      <c r="E198" s="3" t="s">
        <v>1813</v>
      </c>
      <c r="F198" s="3" t="s">
        <v>2216</v>
      </c>
      <c r="G198" s="3" t="s">
        <v>2147</v>
      </c>
      <c r="H198" s="3" t="s">
        <v>2217</v>
      </c>
      <c r="I198" s="3" t="s">
        <v>2234</v>
      </c>
      <c r="J198" s="9" t="s">
        <v>2974</v>
      </c>
      <c r="K198" s="9" t="s">
        <v>2959</v>
      </c>
      <c r="L198" s="8" t="s">
        <v>2269</v>
      </c>
    </row>
    <row r="199">
      <c r="A199" s="3">
        <v>833.0</v>
      </c>
      <c r="B199" s="3" t="s">
        <v>40</v>
      </c>
      <c r="C199" s="3" t="s">
        <v>1780</v>
      </c>
      <c r="D199" s="3">
        <v>2007.0</v>
      </c>
      <c r="E199" s="3" t="s">
        <v>1781</v>
      </c>
      <c r="G199" s="3" t="s">
        <v>2147</v>
      </c>
      <c r="H199" s="3" t="s">
        <v>2217</v>
      </c>
      <c r="I199" s="3" t="s">
        <v>2234</v>
      </c>
      <c r="J199" s="9" t="s">
        <v>2974</v>
      </c>
      <c r="K199" s="9" t="s">
        <v>2959</v>
      </c>
      <c r="L199" s="8" t="s">
        <v>2860</v>
      </c>
    </row>
    <row r="200">
      <c r="A200" s="3">
        <v>823.0</v>
      </c>
      <c r="B200" s="3" t="s">
        <v>40</v>
      </c>
      <c r="C200" s="3" t="s">
        <v>1760</v>
      </c>
      <c r="D200" s="3">
        <v>2003.0</v>
      </c>
      <c r="E200" s="3" t="s">
        <v>1761</v>
      </c>
      <c r="F200" s="3" t="s">
        <v>2600</v>
      </c>
      <c r="G200" s="3" t="s">
        <v>2147</v>
      </c>
      <c r="H200" s="3" t="s">
        <v>2217</v>
      </c>
      <c r="I200" s="3" t="s">
        <v>2234</v>
      </c>
      <c r="J200" s="9" t="s">
        <v>2974</v>
      </c>
      <c r="K200" s="9" t="s">
        <v>2959</v>
      </c>
      <c r="L200" s="8" t="s">
        <v>2811</v>
      </c>
    </row>
    <row r="201">
      <c r="A201" s="3">
        <v>797.0</v>
      </c>
      <c r="B201" s="3" t="s">
        <v>40</v>
      </c>
      <c r="C201" s="3" t="s">
        <v>1707</v>
      </c>
      <c r="D201" s="3">
        <v>1994.0</v>
      </c>
      <c r="E201" s="3" t="s">
        <v>1708</v>
      </c>
      <c r="F201" s="3" t="s">
        <v>2600</v>
      </c>
      <c r="G201" s="3" t="s">
        <v>2147</v>
      </c>
      <c r="H201" s="3" t="s">
        <v>2217</v>
      </c>
      <c r="I201" s="3" t="s">
        <v>2234</v>
      </c>
      <c r="J201" s="9" t="s">
        <v>2974</v>
      </c>
      <c r="K201" s="9" t="s">
        <v>2959</v>
      </c>
      <c r="L201" s="8" t="s">
        <v>2802</v>
      </c>
    </row>
    <row r="202">
      <c r="A202" s="3">
        <v>796.0</v>
      </c>
      <c r="B202" s="3" t="s">
        <v>40</v>
      </c>
      <c r="C202" s="3" t="s">
        <v>1705</v>
      </c>
      <c r="D202" s="3">
        <v>1994.0</v>
      </c>
      <c r="E202" s="3" t="s">
        <v>1706</v>
      </c>
      <c r="F202" s="3" t="s">
        <v>2600</v>
      </c>
      <c r="G202" s="3" t="s">
        <v>2147</v>
      </c>
      <c r="H202" s="3" t="s">
        <v>2217</v>
      </c>
      <c r="I202" s="3" t="s">
        <v>2234</v>
      </c>
      <c r="J202" s="9" t="s">
        <v>2974</v>
      </c>
      <c r="K202" s="9" t="s">
        <v>2959</v>
      </c>
      <c r="L202" s="8" t="s">
        <v>2801</v>
      </c>
    </row>
    <row r="203">
      <c r="A203" s="3">
        <v>842.0</v>
      </c>
      <c r="B203" s="3" t="s">
        <v>40</v>
      </c>
      <c r="C203" s="3" t="s">
        <v>1798</v>
      </c>
      <c r="D203" s="3">
        <v>2010.0</v>
      </c>
      <c r="E203" s="3" t="s">
        <v>1799</v>
      </c>
      <c r="F203" s="3" t="s">
        <v>2216</v>
      </c>
      <c r="G203" s="3" t="s">
        <v>2147</v>
      </c>
      <c r="H203" s="3" t="s">
        <v>2217</v>
      </c>
      <c r="I203" s="3" t="s">
        <v>2234</v>
      </c>
      <c r="J203" s="9" t="s">
        <v>3030</v>
      </c>
      <c r="K203" s="9" t="s">
        <v>2959</v>
      </c>
      <c r="L203" s="8" t="s">
        <v>2263</v>
      </c>
    </row>
    <row r="204">
      <c r="A204" s="3">
        <v>816.0</v>
      </c>
      <c r="B204" s="3" t="s">
        <v>40</v>
      </c>
      <c r="C204" s="3" t="s">
        <v>1746</v>
      </c>
      <c r="D204" s="3">
        <v>2001.0</v>
      </c>
      <c r="E204" s="3" t="s">
        <v>1747</v>
      </c>
      <c r="F204" s="3" t="s">
        <v>2600</v>
      </c>
      <c r="G204" s="3" t="s">
        <v>2147</v>
      </c>
      <c r="H204" s="3" t="s">
        <v>2217</v>
      </c>
      <c r="I204" s="3" t="s">
        <v>2234</v>
      </c>
      <c r="J204" s="9" t="s">
        <v>2974</v>
      </c>
      <c r="K204" s="9" t="s">
        <v>2959</v>
      </c>
      <c r="L204" s="8" t="s">
        <v>2807</v>
      </c>
    </row>
    <row r="205">
      <c r="A205" s="3">
        <v>813.0</v>
      </c>
      <c r="B205" s="3" t="s">
        <v>40</v>
      </c>
      <c r="C205" s="3" t="s">
        <v>1740</v>
      </c>
      <c r="D205" s="3">
        <v>2000.0</v>
      </c>
      <c r="E205" s="3" t="s">
        <v>1741</v>
      </c>
      <c r="F205" s="3" t="s">
        <v>2216</v>
      </c>
      <c r="G205" s="3" t="s">
        <v>2147</v>
      </c>
      <c r="H205" s="3" t="s">
        <v>2217</v>
      </c>
      <c r="I205" s="3" t="s">
        <v>2234</v>
      </c>
      <c r="J205" s="9" t="s">
        <v>2974</v>
      </c>
      <c r="K205" s="9" t="s">
        <v>2959</v>
      </c>
      <c r="L205" s="8" t="s">
        <v>2266</v>
      </c>
    </row>
    <row r="206">
      <c r="A206" s="3">
        <v>822.0</v>
      </c>
      <c r="B206" s="3" t="s">
        <v>40</v>
      </c>
      <c r="C206" s="3" t="s">
        <v>1758</v>
      </c>
      <c r="D206" s="3">
        <v>2002.0</v>
      </c>
      <c r="E206" s="3" t="s">
        <v>1759</v>
      </c>
      <c r="F206" s="3" t="s">
        <v>2600</v>
      </c>
      <c r="G206" s="3" t="s">
        <v>2147</v>
      </c>
      <c r="H206" s="3" t="s">
        <v>2217</v>
      </c>
      <c r="I206" s="3" t="s">
        <v>2234</v>
      </c>
      <c r="J206" s="9" t="s">
        <v>2974</v>
      </c>
      <c r="K206" s="9" t="s">
        <v>2959</v>
      </c>
      <c r="L206" s="8" t="s">
        <v>2810</v>
      </c>
    </row>
    <row r="207">
      <c r="A207" s="3">
        <v>843.0</v>
      </c>
      <c r="B207" s="3" t="s">
        <v>40</v>
      </c>
      <c r="C207" s="3" t="s">
        <v>1800</v>
      </c>
      <c r="D207" s="3">
        <v>2010.0</v>
      </c>
      <c r="E207" s="3" t="s">
        <v>1801</v>
      </c>
      <c r="F207" s="3" t="s">
        <v>2216</v>
      </c>
      <c r="G207" s="3" t="s">
        <v>2147</v>
      </c>
      <c r="H207" s="3" t="s">
        <v>2217</v>
      </c>
      <c r="I207" s="3" t="s">
        <v>2234</v>
      </c>
      <c r="J207" s="9" t="s">
        <v>3030</v>
      </c>
      <c r="K207" s="9" t="s">
        <v>2959</v>
      </c>
      <c r="L207" s="8" t="s">
        <v>2264</v>
      </c>
    </row>
    <row r="208">
      <c r="A208" s="3">
        <v>876.0</v>
      </c>
      <c r="B208" s="3" t="s">
        <v>40</v>
      </c>
      <c r="C208" s="3" t="s">
        <v>1866</v>
      </c>
      <c r="D208" s="3">
        <v>2018.0</v>
      </c>
      <c r="E208" s="3" t="s">
        <v>1867</v>
      </c>
      <c r="F208" s="3" t="s">
        <v>2216</v>
      </c>
      <c r="G208" s="3" t="s">
        <v>2147</v>
      </c>
      <c r="H208" s="3" t="s">
        <v>2217</v>
      </c>
      <c r="I208" s="3" t="s">
        <v>2234</v>
      </c>
      <c r="J208" s="9" t="s">
        <v>2974</v>
      </c>
      <c r="K208" s="9" t="s">
        <v>2959</v>
      </c>
      <c r="L208" s="8" t="s">
        <v>2270</v>
      </c>
    </row>
    <row r="209">
      <c r="A209" s="3">
        <v>184.0</v>
      </c>
      <c r="B209" s="3" t="s">
        <v>40</v>
      </c>
      <c r="C209" s="3" t="s">
        <v>542</v>
      </c>
      <c r="D209" s="3">
        <v>2019.0</v>
      </c>
      <c r="E209" s="3" t="s">
        <v>543</v>
      </c>
      <c r="F209" s="3" t="s">
        <v>2272</v>
      </c>
      <c r="G209" s="3" t="s">
        <v>2147</v>
      </c>
      <c r="I209" s="3" t="s">
        <v>2275</v>
      </c>
      <c r="J209" s="9" t="s">
        <v>2953</v>
      </c>
      <c r="K209" s="9" t="s">
        <v>2976</v>
      </c>
      <c r="L209" s="8" t="s">
        <v>2276</v>
      </c>
    </row>
    <row r="210">
      <c r="A210" s="3">
        <v>203.0</v>
      </c>
      <c r="B210" s="3" t="s">
        <v>40</v>
      </c>
      <c r="C210" s="3" t="s">
        <v>573</v>
      </c>
      <c r="D210" s="3">
        <v>2012.0</v>
      </c>
      <c r="E210" s="3" t="s">
        <v>574</v>
      </c>
      <c r="G210" s="3" t="s">
        <v>2147</v>
      </c>
      <c r="I210" s="3" t="s">
        <v>2275</v>
      </c>
      <c r="J210" s="9" t="s">
        <v>3033</v>
      </c>
      <c r="K210" s="9" t="s">
        <v>3034</v>
      </c>
      <c r="L210" s="8" t="s">
        <v>2861</v>
      </c>
    </row>
    <row r="211">
      <c r="A211" s="3">
        <v>331.0</v>
      </c>
      <c r="B211" s="3" t="s">
        <v>40</v>
      </c>
      <c r="C211" s="3" t="s">
        <v>830</v>
      </c>
      <c r="D211" s="3">
        <v>2016.0</v>
      </c>
      <c r="E211" s="3" t="s">
        <v>831</v>
      </c>
      <c r="F211" s="3" t="s">
        <v>2272</v>
      </c>
      <c r="G211" s="3" t="s">
        <v>2147</v>
      </c>
      <c r="I211" s="3" t="s">
        <v>2275</v>
      </c>
      <c r="J211" s="9" t="s">
        <v>2953</v>
      </c>
      <c r="K211" s="9" t="s">
        <v>2954</v>
      </c>
      <c r="L211" s="8" t="s">
        <v>2278</v>
      </c>
    </row>
    <row r="212">
      <c r="A212" s="3">
        <v>144.0</v>
      </c>
      <c r="B212" s="3" t="s">
        <v>40</v>
      </c>
      <c r="C212" s="3" t="s">
        <v>459</v>
      </c>
      <c r="D212" s="3">
        <v>2012.0</v>
      </c>
      <c r="E212" s="3" t="s">
        <v>460</v>
      </c>
      <c r="F212" s="3" t="s">
        <v>2272</v>
      </c>
      <c r="G212" s="3" t="s">
        <v>2147</v>
      </c>
      <c r="I212" s="3" t="s">
        <v>2275</v>
      </c>
      <c r="J212" s="9" t="s">
        <v>3035</v>
      </c>
      <c r="K212" s="9" t="s">
        <v>2954</v>
      </c>
      <c r="L212" s="8" t="s">
        <v>2277</v>
      </c>
    </row>
    <row r="213">
      <c r="A213" s="3">
        <v>551.0</v>
      </c>
      <c r="B213" s="3" t="s">
        <v>40</v>
      </c>
      <c r="C213" s="3" t="s">
        <v>1226</v>
      </c>
      <c r="D213" s="3">
        <v>2011.0</v>
      </c>
      <c r="E213" s="3" t="s">
        <v>1227</v>
      </c>
      <c r="G213" s="3" t="s">
        <v>2147</v>
      </c>
      <c r="I213" s="3" t="s">
        <v>2275</v>
      </c>
      <c r="J213" s="9" t="s">
        <v>3010</v>
      </c>
      <c r="K213" s="9" t="s">
        <v>2992</v>
      </c>
      <c r="L213" s="8" t="s">
        <v>2866</v>
      </c>
    </row>
    <row r="214">
      <c r="A214" s="3">
        <v>346.0</v>
      </c>
      <c r="B214" s="3" t="s">
        <v>40</v>
      </c>
      <c r="C214" s="3" t="s">
        <v>860</v>
      </c>
      <c r="D214" s="3">
        <v>2018.0</v>
      </c>
      <c r="E214" s="3" t="s">
        <v>861</v>
      </c>
      <c r="F214" s="3" t="s">
        <v>2185</v>
      </c>
      <c r="G214" s="3" t="s">
        <v>2147</v>
      </c>
      <c r="I214" s="3" t="s">
        <v>2203</v>
      </c>
      <c r="J214" s="9" t="s">
        <v>2953</v>
      </c>
      <c r="K214" s="9" t="s">
        <v>2954</v>
      </c>
      <c r="L214" s="8" t="s">
        <v>2204</v>
      </c>
    </row>
    <row r="215">
      <c r="A215" s="3">
        <v>216.0</v>
      </c>
      <c r="B215" s="3" t="s">
        <v>40</v>
      </c>
      <c r="C215" s="3" t="s">
        <v>599</v>
      </c>
      <c r="D215" s="3">
        <v>2017.0</v>
      </c>
      <c r="E215" s="3" t="s">
        <v>600</v>
      </c>
      <c r="G215" s="3" t="s">
        <v>2147</v>
      </c>
      <c r="I215" s="3" t="s">
        <v>2157</v>
      </c>
      <c r="J215" s="9" t="s">
        <v>3036</v>
      </c>
      <c r="K215" s="9" t="s">
        <v>3037</v>
      </c>
      <c r="L215" s="8" t="s">
        <v>2862</v>
      </c>
    </row>
    <row r="216">
      <c r="A216" s="3">
        <v>314.0</v>
      </c>
      <c r="B216" s="3" t="s">
        <v>40</v>
      </c>
      <c r="C216" s="3" t="s">
        <v>796</v>
      </c>
      <c r="D216" s="3">
        <v>2012.0</v>
      </c>
      <c r="E216" s="3" t="s">
        <v>797</v>
      </c>
      <c r="F216" s="3" t="s">
        <v>2185</v>
      </c>
      <c r="G216" s="3" t="s">
        <v>2147</v>
      </c>
      <c r="I216" s="3" t="s">
        <v>2157</v>
      </c>
      <c r="J216" s="9" t="s">
        <v>2953</v>
      </c>
      <c r="K216" s="9" t="s">
        <v>2954</v>
      </c>
      <c r="L216" s="8" t="s">
        <v>2201</v>
      </c>
    </row>
    <row r="217">
      <c r="A217" s="3">
        <v>441.0</v>
      </c>
      <c r="B217" s="3" t="s">
        <v>40</v>
      </c>
      <c r="C217" s="3" t="s">
        <v>1008</v>
      </c>
      <c r="D217" s="3">
        <v>2017.0</v>
      </c>
      <c r="E217" s="3" t="s">
        <v>1009</v>
      </c>
      <c r="F217" s="3" t="s">
        <v>2185</v>
      </c>
      <c r="G217" s="3" t="s">
        <v>2147</v>
      </c>
      <c r="I217" s="3" t="s">
        <v>2157</v>
      </c>
      <c r="J217" s="9"/>
      <c r="K217" s="9" t="s">
        <v>3025</v>
      </c>
      <c r="L217" s="8" t="s">
        <v>2205</v>
      </c>
    </row>
    <row r="218">
      <c r="A218" s="3">
        <v>459.0</v>
      </c>
      <c r="B218" s="3" t="s">
        <v>40</v>
      </c>
      <c r="C218" s="3" t="s">
        <v>1046</v>
      </c>
      <c r="D218" s="3">
        <v>2011.0</v>
      </c>
      <c r="E218" s="3" t="s">
        <v>1047</v>
      </c>
      <c r="F218" s="3" t="s">
        <v>2428</v>
      </c>
      <c r="G218" s="3" t="s">
        <v>2147</v>
      </c>
      <c r="I218" s="3" t="s">
        <v>2157</v>
      </c>
      <c r="J218" s="9"/>
      <c r="K218" s="9" t="s">
        <v>2982</v>
      </c>
      <c r="L218" s="8" t="s">
        <v>2432</v>
      </c>
    </row>
    <row r="219">
      <c r="A219" s="3">
        <v>596.0</v>
      </c>
      <c r="B219" s="3" t="s">
        <v>40</v>
      </c>
      <c r="C219" s="3" t="s">
        <v>1317</v>
      </c>
      <c r="D219" s="3">
        <v>2018.0</v>
      </c>
      <c r="E219" s="3" t="s">
        <v>1318</v>
      </c>
      <c r="F219" s="3" t="s">
        <v>2185</v>
      </c>
      <c r="G219" s="3" t="s">
        <v>2147</v>
      </c>
      <c r="I219" s="3" t="s">
        <v>2157</v>
      </c>
      <c r="J219" s="9" t="s">
        <v>2985</v>
      </c>
      <c r="K219" s="9" t="s">
        <v>2992</v>
      </c>
      <c r="L219" s="8" t="s">
        <v>2209</v>
      </c>
    </row>
    <row r="220">
      <c r="A220" s="3">
        <v>655.0</v>
      </c>
      <c r="B220" s="3" t="s">
        <v>40</v>
      </c>
      <c r="C220" s="3" t="s">
        <v>1423</v>
      </c>
      <c r="D220" s="3">
        <v>2017.0</v>
      </c>
      <c r="E220" s="3" t="s">
        <v>1424</v>
      </c>
      <c r="F220" s="3" t="s">
        <v>2301</v>
      </c>
      <c r="G220" s="3" t="s">
        <v>2147</v>
      </c>
      <c r="I220" s="3" t="s">
        <v>2157</v>
      </c>
      <c r="J220" s="9" t="s">
        <v>3038</v>
      </c>
      <c r="K220" s="9" t="s">
        <v>2955</v>
      </c>
      <c r="L220" s="8" t="s">
        <v>2302</v>
      </c>
    </row>
    <row r="221">
      <c r="A221" s="3">
        <v>656.0</v>
      </c>
      <c r="B221" s="3" t="s">
        <v>40</v>
      </c>
      <c r="C221" s="3" t="s">
        <v>1425</v>
      </c>
      <c r="D221" s="3">
        <v>2019.0</v>
      </c>
      <c r="E221" s="3" t="s">
        <v>1426</v>
      </c>
      <c r="F221" s="3" t="s">
        <v>2146</v>
      </c>
      <c r="G221" s="3" t="s">
        <v>2147</v>
      </c>
      <c r="I221" s="3" t="s">
        <v>2157</v>
      </c>
      <c r="J221" s="9"/>
      <c r="K221" s="9" t="s">
        <v>2955</v>
      </c>
      <c r="L221" s="8" t="s">
        <v>2158</v>
      </c>
    </row>
    <row r="222">
      <c r="A222" s="3">
        <v>733.0</v>
      </c>
      <c r="B222" s="3" t="s">
        <v>40</v>
      </c>
      <c r="C222" s="3" t="s">
        <v>1582</v>
      </c>
      <c r="D222" s="3">
        <v>2017.0</v>
      </c>
      <c r="E222" s="3" t="s">
        <v>1583</v>
      </c>
      <c r="G222" s="3" t="s">
        <v>2147</v>
      </c>
      <c r="I222" s="3" t="s">
        <v>2157</v>
      </c>
      <c r="J222" s="9" t="s">
        <v>3039</v>
      </c>
      <c r="K222" s="9" t="s">
        <v>3040</v>
      </c>
      <c r="L222" s="8" t="s">
        <v>2864</v>
      </c>
    </row>
    <row r="223">
      <c r="A223" s="3">
        <v>859.0</v>
      </c>
      <c r="B223" s="3" t="s">
        <v>40</v>
      </c>
      <c r="C223" s="3" t="s">
        <v>1832</v>
      </c>
      <c r="D223" s="3">
        <v>2013.0</v>
      </c>
      <c r="E223" s="3" t="s">
        <v>1833</v>
      </c>
      <c r="F223" s="3" t="s">
        <v>2428</v>
      </c>
      <c r="G223" s="3" t="s">
        <v>2147</v>
      </c>
      <c r="I223" s="3" t="s">
        <v>2157</v>
      </c>
      <c r="J223" s="9" t="s">
        <v>2974</v>
      </c>
      <c r="K223" s="9" t="s">
        <v>2959</v>
      </c>
      <c r="L223" s="8" t="s">
        <v>2435</v>
      </c>
    </row>
    <row r="224">
      <c r="A224" s="3">
        <v>17.0</v>
      </c>
      <c r="B224" s="3" t="s">
        <v>40</v>
      </c>
      <c r="C224" s="3" t="s">
        <v>135</v>
      </c>
      <c r="D224" s="3">
        <v>2007.0</v>
      </c>
      <c r="E224" s="3" t="s">
        <v>136</v>
      </c>
      <c r="F224" s="3" t="s">
        <v>2272</v>
      </c>
      <c r="G224" s="3" t="s">
        <v>2147</v>
      </c>
      <c r="I224" s="3" t="s">
        <v>2148</v>
      </c>
      <c r="J224" s="9" t="s">
        <v>3041</v>
      </c>
      <c r="K224" s="9" t="s">
        <v>3042</v>
      </c>
      <c r="L224" s="8" t="s">
        <v>2274</v>
      </c>
    </row>
    <row r="225">
      <c r="A225" s="3">
        <v>111.0</v>
      </c>
      <c r="B225" s="3" t="s">
        <v>40</v>
      </c>
      <c r="C225" s="3" t="s">
        <v>394</v>
      </c>
      <c r="D225" s="3">
        <v>1986.0</v>
      </c>
      <c r="E225" s="3" t="s">
        <v>395</v>
      </c>
      <c r="F225" s="3" t="s">
        <v>2146</v>
      </c>
      <c r="G225" s="3" t="s">
        <v>2147</v>
      </c>
      <c r="I225" s="3" t="s">
        <v>2148</v>
      </c>
      <c r="J225" s="9" t="s">
        <v>3043</v>
      </c>
      <c r="K225" s="9" t="s">
        <v>2980</v>
      </c>
      <c r="L225" s="8" t="s">
        <v>2149</v>
      </c>
    </row>
    <row r="226">
      <c r="A226" s="3">
        <v>534.0</v>
      </c>
      <c r="B226" s="3" t="s">
        <v>40</v>
      </c>
      <c r="C226" s="3" t="s">
        <v>1191</v>
      </c>
      <c r="D226" s="3">
        <v>2009.0</v>
      </c>
      <c r="E226" s="3" t="s">
        <v>1192</v>
      </c>
      <c r="F226" s="3" t="s">
        <v>2146</v>
      </c>
      <c r="G226" s="3" t="s">
        <v>2147</v>
      </c>
      <c r="I226" s="3" t="s">
        <v>2148</v>
      </c>
      <c r="J226" s="9" t="s">
        <v>3010</v>
      </c>
      <c r="K226" s="9" t="s">
        <v>2992</v>
      </c>
      <c r="L226" s="8" t="s">
        <v>2154</v>
      </c>
    </row>
    <row r="227">
      <c r="A227" s="3">
        <v>568.0</v>
      </c>
      <c r="B227" s="3" t="s">
        <v>40</v>
      </c>
      <c r="C227" s="3" t="s">
        <v>1260</v>
      </c>
      <c r="D227" s="3">
        <v>2014.0</v>
      </c>
      <c r="E227" s="3" t="s">
        <v>1261</v>
      </c>
      <c r="F227" s="3" t="s">
        <v>2272</v>
      </c>
      <c r="G227" s="3" t="s">
        <v>2147</v>
      </c>
      <c r="I227" s="3" t="s">
        <v>2148</v>
      </c>
      <c r="J227" s="9" t="s">
        <v>2985</v>
      </c>
      <c r="K227" s="9" t="s">
        <v>2992</v>
      </c>
      <c r="L227" s="8" t="s">
        <v>2279</v>
      </c>
    </row>
    <row r="228">
      <c r="A228" s="3">
        <v>597.0</v>
      </c>
      <c r="B228" s="3" t="s">
        <v>40</v>
      </c>
      <c r="C228" s="3" t="s">
        <v>1319</v>
      </c>
      <c r="D228" s="3">
        <v>2018.0</v>
      </c>
      <c r="E228" s="3" t="s">
        <v>1320</v>
      </c>
      <c r="F228" s="3" t="s">
        <v>2272</v>
      </c>
      <c r="G228" s="3" t="s">
        <v>2147</v>
      </c>
      <c r="I228" s="3" t="s">
        <v>2148</v>
      </c>
      <c r="J228" s="9" t="s">
        <v>2985</v>
      </c>
      <c r="K228" s="9" t="s">
        <v>2992</v>
      </c>
      <c r="L228" s="8" t="s">
        <v>2280</v>
      </c>
    </row>
    <row r="229">
      <c r="A229" s="3">
        <v>626.0</v>
      </c>
      <c r="B229" s="3" t="s">
        <v>40</v>
      </c>
      <c r="C229" s="3" t="s">
        <v>1369</v>
      </c>
      <c r="D229" s="3">
        <v>2008.0</v>
      </c>
      <c r="E229" s="3" t="s">
        <v>1370</v>
      </c>
      <c r="F229" s="3" t="s">
        <v>2272</v>
      </c>
      <c r="G229" s="3" t="s">
        <v>2147</v>
      </c>
      <c r="I229" s="3" t="s">
        <v>2148</v>
      </c>
      <c r="J229" s="9" t="s">
        <v>3044</v>
      </c>
      <c r="K229" s="9" t="s">
        <v>3045</v>
      </c>
      <c r="L229" s="8" t="s">
        <v>2273</v>
      </c>
    </row>
    <row r="230">
      <c r="A230" s="3">
        <v>647.0</v>
      </c>
      <c r="B230" s="3" t="s">
        <v>40</v>
      </c>
      <c r="C230" s="3" t="s">
        <v>1407</v>
      </c>
      <c r="D230" s="3">
        <v>2010.0</v>
      </c>
      <c r="E230" s="3" t="s">
        <v>1408</v>
      </c>
      <c r="F230" s="3" t="s">
        <v>2146</v>
      </c>
      <c r="G230" s="3" t="s">
        <v>2147</v>
      </c>
      <c r="I230" s="3" t="s">
        <v>2148</v>
      </c>
      <c r="J230" s="9"/>
      <c r="K230" s="9" t="s">
        <v>2955</v>
      </c>
      <c r="L230" s="8" t="s">
        <v>2159</v>
      </c>
    </row>
    <row r="231">
      <c r="A231" s="3">
        <v>643.0</v>
      </c>
      <c r="B231" s="3" t="s">
        <v>40</v>
      </c>
      <c r="C231" s="3" t="s">
        <v>1400</v>
      </c>
      <c r="D231" s="3">
        <v>2003.0</v>
      </c>
      <c r="E231" s="3" t="s">
        <v>1401</v>
      </c>
      <c r="F231" s="3" t="s">
        <v>2272</v>
      </c>
      <c r="G231" s="3" t="s">
        <v>2147</v>
      </c>
      <c r="I231" s="3" t="s">
        <v>2148</v>
      </c>
      <c r="J231" s="9"/>
      <c r="K231" s="9" t="s">
        <v>2955</v>
      </c>
      <c r="L231" s="8" t="s">
        <v>2281</v>
      </c>
    </row>
    <row r="232">
      <c r="A232" s="3">
        <v>695.0</v>
      </c>
      <c r="B232" s="3" t="s">
        <v>40</v>
      </c>
      <c r="C232" s="3" t="s">
        <v>1502</v>
      </c>
      <c r="D232" s="3">
        <v>2008.0</v>
      </c>
      <c r="E232" s="3" t="s">
        <v>1503</v>
      </c>
      <c r="F232" s="3" t="s">
        <v>2146</v>
      </c>
      <c r="G232" s="3" t="s">
        <v>2147</v>
      </c>
      <c r="I232" s="3" t="s">
        <v>2148</v>
      </c>
      <c r="J232" s="9"/>
      <c r="K232" s="9"/>
      <c r="L232" s="8" t="s">
        <v>2160</v>
      </c>
    </row>
    <row r="233">
      <c r="A233" s="3">
        <v>319.0</v>
      </c>
      <c r="B233" s="3" t="s">
        <v>40</v>
      </c>
      <c r="C233" s="3" t="s">
        <v>806</v>
      </c>
      <c r="D233" s="3">
        <v>2013.0</v>
      </c>
      <c r="E233" s="3" t="s">
        <v>807</v>
      </c>
      <c r="F233" s="3" t="s">
        <v>2832</v>
      </c>
      <c r="G233" s="3" t="s">
        <v>2283</v>
      </c>
      <c r="I233" s="3" t="s">
        <v>2833</v>
      </c>
      <c r="J233" s="9" t="s">
        <v>3022</v>
      </c>
      <c r="K233" s="9" t="s">
        <v>2954</v>
      </c>
      <c r="L233" s="8" t="s">
        <v>2834</v>
      </c>
    </row>
    <row r="234">
      <c r="A234" s="3">
        <v>869.0</v>
      </c>
      <c r="B234" s="3" t="s">
        <v>40</v>
      </c>
      <c r="C234" s="3" t="s">
        <v>1851</v>
      </c>
      <c r="D234" s="3">
        <v>2016.0</v>
      </c>
      <c r="E234" s="3" t="s">
        <v>1852</v>
      </c>
      <c r="G234" s="3" t="s">
        <v>2943</v>
      </c>
      <c r="I234" s="3" t="s">
        <v>2951</v>
      </c>
      <c r="J234" s="9" t="s">
        <v>3030</v>
      </c>
      <c r="K234" s="9" t="s">
        <v>2959</v>
      </c>
      <c r="L234" s="8" t="s">
        <v>2952</v>
      </c>
    </row>
    <row r="235">
      <c r="A235" s="3">
        <v>123.0</v>
      </c>
      <c r="B235" s="3" t="s">
        <v>40</v>
      </c>
      <c r="C235" s="3" t="s">
        <v>415</v>
      </c>
      <c r="D235" s="3">
        <v>2020.0</v>
      </c>
      <c r="E235" s="3" t="s">
        <v>416</v>
      </c>
      <c r="F235" s="3" t="s">
        <v>2356</v>
      </c>
      <c r="G235" s="3" t="s">
        <v>2283</v>
      </c>
      <c r="H235" s="3" t="s">
        <v>2357</v>
      </c>
      <c r="I235" s="3" t="s">
        <v>2297</v>
      </c>
      <c r="J235" s="9" t="s">
        <v>3046</v>
      </c>
      <c r="K235" s="9" t="s">
        <v>3047</v>
      </c>
      <c r="L235" s="8" t="s">
        <v>2360</v>
      </c>
    </row>
    <row r="236">
      <c r="A236" s="3">
        <v>347.0</v>
      </c>
      <c r="B236" s="3" t="s">
        <v>40</v>
      </c>
      <c r="C236" s="3" t="s">
        <v>862</v>
      </c>
      <c r="D236" s="3">
        <v>2018.0</v>
      </c>
      <c r="E236" s="3" t="s">
        <v>863</v>
      </c>
      <c r="F236" s="3" t="s">
        <v>2282</v>
      </c>
      <c r="G236" s="3" t="s">
        <v>2283</v>
      </c>
      <c r="I236" s="3" t="s">
        <v>2297</v>
      </c>
      <c r="J236" s="9" t="s">
        <v>2953</v>
      </c>
      <c r="K236" s="9" t="s">
        <v>2954</v>
      </c>
      <c r="L236" s="8" t="s">
        <v>2298</v>
      </c>
    </row>
    <row r="237">
      <c r="A237" s="3">
        <v>623.0</v>
      </c>
      <c r="B237" s="3" t="s">
        <v>40</v>
      </c>
      <c r="C237" s="3" t="s">
        <v>1363</v>
      </c>
      <c r="D237" s="3">
        <v>2010.0</v>
      </c>
      <c r="E237" s="3" t="s">
        <v>1364</v>
      </c>
      <c r="F237" s="3" t="s">
        <v>2367</v>
      </c>
      <c r="I237" s="3" t="s">
        <v>2369</v>
      </c>
      <c r="J237" s="9" t="s">
        <v>3048</v>
      </c>
      <c r="K237" s="9" t="s">
        <v>3049</v>
      </c>
      <c r="L237" s="8" t="s">
        <v>2370</v>
      </c>
    </row>
    <row r="238">
      <c r="A238" s="3">
        <v>69.0</v>
      </c>
      <c r="B238" s="3" t="s">
        <v>40</v>
      </c>
      <c r="C238" s="3" t="s">
        <v>282</v>
      </c>
      <c r="D238" s="3">
        <v>1995.0</v>
      </c>
      <c r="E238" s="3" t="s">
        <v>283</v>
      </c>
      <c r="F238" s="3" t="s">
        <v>2414</v>
      </c>
      <c r="G238" s="3" t="s">
        <v>2142</v>
      </c>
      <c r="I238" s="3" t="s">
        <v>2415</v>
      </c>
      <c r="J238" s="9" t="s">
        <v>2953</v>
      </c>
      <c r="K238" s="9" t="s">
        <v>2970</v>
      </c>
      <c r="L238" s="8" t="s">
        <v>2416</v>
      </c>
    </row>
    <row r="239">
      <c r="A239" s="3">
        <v>108.0</v>
      </c>
      <c r="B239" s="3" t="s">
        <v>40</v>
      </c>
      <c r="C239" s="3" t="s">
        <v>386</v>
      </c>
      <c r="D239" s="3">
        <v>2019.0</v>
      </c>
      <c r="E239" s="3" t="s">
        <v>387</v>
      </c>
      <c r="F239" s="3" t="s">
        <v>2553</v>
      </c>
      <c r="G239" s="3" t="s">
        <v>2142</v>
      </c>
      <c r="I239" s="3" t="s">
        <v>2557</v>
      </c>
      <c r="J239" s="9" t="s">
        <v>3050</v>
      </c>
      <c r="K239" s="9" t="s">
        <v>3051</v>
      </c>
      <c r="L239" s="8" t="s">
        <v>2558</v>
      </c>
    </row>
    <row r="240">
      <c r="A240" s="3">
        <v>315.0</v>
      </c>
      <c r="B240" s="3" t="s">
        <v>40</v>
      </c>
      <c r="C240" s="3" t="s">
        <v>798</v>
      </c>
      <c r="D240" s="3">
        <v>2012.0</v>
      </c>
      <c r="E240" s="3" t="s">
        <v>799</v>
      </c>
      <c r="F240" s="3" t="s">
        <v>2307</v>
      </c>
      <c r="G240" s="3" t="s">
        <v>2142</v>
      </c>
      <c r="I240" s="3" t="s">
        <v>2309</v>
      </c>
      <c r="J240" s="9" t="s">
        <v>2953</v>
      </c>
      <c r="K240" s="9" t="s">
        <v>2954</v>
      </c>
      <c r="L240" s="8" t="s">
        <v>2310</v>
      </c>
    </row>
    <row r="241">
      <c r="A241" s="3">
        <v>509.0</v>
      </c>
      <c r="B241" s="3" t="s">
        <v>40</v>
      </c>
      <c r="C241" s="3" t="s">
        <v>1141</v>
      </c>
      <c r="D241" s="3">
        <v>2001.0</v>
      </c>
      <c r="E241" s="3" t="s">
        <v>1142</v>
      </c>
      <c r="F241" s="3" t="s">
        <v>2553</v>
      </c>
      <c r="G241" s="3" t="s">
        <v>2142</v>
      </c>
      <c r="I241" s="3" t="s">
        <v>2575</v>
      </c>
      <c r="J241" s="9" t="s">
        <v>3010</v>
      </c>
      <c r="K241" s="9" t="s">
        <v>2992</v>
      </c>
      <c r="L241" s="8" t="s">
        <v>2576</v>
      </c>
    </row>
    <row r="242">
      <c r="A242" s="3">
        <v>646.0</v>
      </c>
      <c r="B242" s="3" t="s">
        <v>40</v>
      </c>
      <c r="C242" s="3" t="s">
        <v>1405</v>
      </c>
      <c r="D242" s="3">
        <v>2008.0</v>
      </c>
      <c r="E242" s="3" t="s">
        <v>1406</v>
      </c>
      <c r="F242" s="3" t="s">
        <v>2471</v>
      </c>
      <c r="G242" s="3" t="s">
        <v>2142</v>
      </c>
      <c r="I242" s="3" t="s">
        <v>2477</v>
      </c>
      <c r="J242" s="9" t="s">
        <v>3038</v>
      </c>
      <c r="K242" s="9" t="s">
        <v>2955</v>
      </c>
      <c r="L242" s="8" t="s">
        <v>2478</v>
      </c>
    </row>
    <row r="243">
      <c r="A243" s="3">
        <v>814.0</v>
      </c>
      <c r="B243" s="3" t="s">
        <v>40</v>
      </c>
      <c r="C243" s="3" t="s">
        <v>1742</v>
      </c>
      <c r="D243" s="3">
        <v>2000.0</v>
      </c>
      <c r="E243" s="3" t="s">
        <v>1743</v>
      </c>
      <c r="G243" s="3" t="s">
        <v>2142</v>
      </c>
      <c r="I243" s="3" t="s">
        <v>2932</v>
      </c>
      <c r="J243" s="9" t="s">
        <v>2974</v>
      </c>
      <c r="K243" s="9" t="s">
        <v>2959</v>
      </c>
      <c r="L243" s="8" t="s">
        <v>2933</v>
      </c>
    </row>
    <row r="244">
      <c r="A244" s="3">
        <v>750.0</v>
      </c>
      <c r="B244" s="3" t="s">
        <v>40</v>
      </c>
      <c r="C244" s="3" t="s">
        <v>396</v>
      </c>
      <c r="D244" s="3">
        <v>1996.0</v>
      </c>
      <c r="E244" s="3" t="s">
        <v>1616</v>
      </c>
      <c r="F244" s="3" t="s">
        <v>2318</v>
      </c>
      <c r="G244" s="3" t="s">
        <v>2142</v>
      </c>
      <c r="I244" s="3" t="s">
        <v>2320</v>
      </c>
      <c r="J244" s="9" t="s">
        <v>2958</v>
      </c>
      <c r="K244" s="9" t="s">
        <v>3052</v>
      </c>
      <c r="L244" s="8" t="s">
        <v>2321</v>
      </c>
    </row>
    <row r="245">
      <c r="A245" s="3">
        <v>18.0</v>
      </c>
      <c r="B245" s="3" t="s">
        <v>40</v>
      </c>
      <c r="C245" s="3" t="s">
        <v>139</v>
      </c>
      <c r="D245" s="3">
        <v>2009.0</v>
      </c>
      <c r="E245" s="3" t="s">
        <v>140</v>
      </c>
      <c r="F245" s="3" t="s">
        <v>2367</v>
      </c>
      <c r="I245" s="3" t="s">
        <v>2143</v>
      </c>
      <c r="J245" s="9" t="s">
        <v>3044</v>
      </c>
      <c r="K245" s="9" t="s">
        <v>3053</v>
      </c>
      <c r="L245" s="8" t="s">
        <v>2368</v>
      </c>
    </row>
    <row r="246">
      <c r="A246" s="3">
        <v>19.0</v>
      </c>
      <c r="B246" s="3" t="s">
        <v>40</v>
      </c>
      <c r="C246" s="3" t="s">
        <v>144</v>
      </c>
      <c r="D246" s="3">
        <v>2016.0</v>
      </c>
      <c r="E246" s="3" t="s">
        <v>145</v>
      </c>
      <c r="F246" s="3" t="s">
        <v>2141</v>
      </c>
      <c r="G246" s="3" t="s">
        <v>2142</v>
      </c>
      <c r="I246" s="3" t="s">
        <v>2143</v>
      </c>
      <c r="J246" s="9" t="s">
        <v>3054</v>
      </c>
      <c r="K246" s="9" t="s">
        <v>3055</v>
      </c>
      <c r="L246" s="8" t="s">
        <v>2144</v>
      </c>
    </row>
    <row r="247">
      <c r="A247" s="3">
        <v>20.0</v>
      </c>
      <c r="B247" s="3" t="s">
        <v>40</v>
      </c>
      <c r="C247" s="3" t="s">
        <v>148</v>
      </c>
      <c r="D247" s="3">
        <v>2012.0</v>
      </c>
      <c r="E247" s="3" t="s">
        <v>149</v>
      </c>
      <c r="F247" s="3" t="s">
        <v>2304</v>
      </c>
      <c r="G247" s="3" t="s">
        <v>2142</v>
      </c>
      <c r="I247" s="3" t="s">
        <v>2143</v>
      </c>
      <c r="J247" s="9" t="s">
        <v>3030</v>
      </c>
      <c r="K247" s="9" t="s">
        <v>3056</v>
      </c>
      <c r="L247" s="8" t="s">
        <v>2305</v>
      </c>
    </row>
    <row r="248">
      <c r="A248" s="3">
        <v>34.0</v>
      </c>
      <c r="B248" s="3" t="s">
        <v>40</v>
      </c>
      <c r="C248" s="3" t="s">
        <v>188</v>
      </c>
      <c r="D248" s="3">
        <v>2009.0</v>
      </c>
      <c r="E248" s="3" t="s">
        <v>189</v>
      </c>
      <c r="F248" s="3" t="s">
        <v>2471</v>
      </c>
      <c r="G248" s="3" t="s">
        <v>2142</v>
      </c>
      <c r="I248" s="3" t="s">
        <v>2143</v>
      </c>
      <c r="J248" s="9" t="s">
        <v>2964</v>
      </c>
      <c r="K248" s="9" t="s">
        <v>2965</v>
      </c>
      <c r="L248" s="8" t="s">
        <v>2474</v>
      </c>
    </row>
    <row r="249">
      <c r="A249" s="3">
        <v>29.0</v>
      </c>
      <c r="B249" s="3" t="s">
        <v>40</v>
      </c>
      <c r="C249" s="3" t="s">
        <v>176</v>
      </c>
      <c r="D249" s="3">
        <v>2000.0</v>
      </c>
      <c r="E249" s="3" t="s">
        <v>177</v>
      </c>
      <c r="G249" s="3" t="s">
        <v>2142</v>
      </c>
      <c r="I249" s="3" t="s">
        <v>2143</v>
      </c>
      <c r="J249" s="9" t="s">
        <v>2964</v>
      </c>
      <c r="K249" s="9" t="s">
        <v>2965</v>
      </c>
      <c r="L249" s="8" t="s">
        <v>2892</v>
      </c>
    </row>
    <row r="250">
      <c r="A250" s="3">
        <v>36.0</v>
      </c>
      <c r="B250" s="3" t="s">
        <v>40</v>
      </c>
      <c r="C250" s="3" t="s">
        <v>193</v>
      </c>
      <c r="D250" s="3">
        <v>2011.0</v>
      </c>
      <c r="E250" s="3" t="s">
        <v>194</v>
      </c>
      <c r="F250" s="3" t="s">
        <v>2304</v>
      </c>
      <c r="G250" s="3" t="s">
        <v>2142</v>
      </c>
      <c r="I250" s="3" t="s">
        <v>2143</v>
      </c>
      <c r="J250" s="9" t="s">
        <v>2964</v>
      </c>
      <c r="K250" s="9" t="s">
        <v>2965</v>
      </c>
      <c r="L250" s="8" t="s">
        <v>2306</v>
      </c>
    </row>
    <row r="251">
      <c r="A251" s="3">
        <v>72.0</v>
      </c>
      <c r="B251" s="3" t="s">
        <v>40</v>
      </c>
      <c r="C251" s="3" t="s">
        <v>293</v>
      </c>
      <c r="D251" s="3">
        <v>2011.0</v>
      </c>
      <c r="E251" s="3" t="s">
        <v>294</v>
      </c>
      <c r="F251" s="3" t="s">
        <v>2467</v>
      </c>
      <c r="G251" s="3" t="s">
        <v>2142</v>
      </c>
      <c r="I251" s="3" t="s">
        <v>2143</v>
      </c>
      <c r="J251" s="9" t="s">
        <v>3057</v>
      </c>
      <c r="K251" s="9" t="s">
        <v>2970</v>
      </c>
      <c r="L251" s="8" t="s">
        <v>2470</v>
      </c>
    </row>
    <row r="252">
      <c r="A252" s="3">
        <v>75.0</v>
      </c>
      <c r="B252" s="3" t="s">
        <v>40</v>
      </c>
      <c r="C252" s="3" t="s">
        <v>303</v>
      </c>
      <c r="D252" s="3">
        <v>2018.0</v>
      </c>
      <c r="E252" s="3" t="s">
        <v>304</v>
      </c>
      <c r="F252" s="3" t="s">
        <v>2495</v>
      </c>
      <c r="G252" s="3" t="s">
        <v>2142</v>
      </c>
      <c r="I252" s="3" t="s">
        <v>2143</v>
      </c>
      <c r="J252" s="9" t="s">
        <v>3058</v>
      </c>
      <c r="K252" s="9" t="s">
        <v>2970</v>
      </c>
      <c r="L252" s="8" t="s">
        <v>2496</v>
      </c>
    </row>
    <row r="253">
      <c r="A253" s="3">
        <v>102.0</v>
      </c>
      <c r="B253" s="3" t="s">
        <v>40</v>
      </c>
      <c r="C253" s="3" t="s">
        <v>370</v>
      </c>
      <c r="D253" s="3">
        <v>2018.0</v>
      </c>
      <c r="E253" s="3" t="s">
        <v>371</v>
      </c>
      <c r="F253" s="3" t="s">
        <v>2396</v>
      </c>
      <c r="G253" s="3" t="s">
        <v>2283</v>
      </c>
      <c r="I253" s="3" t="s">
        <v>2143</v>
      </c>
      <c r="J253" s="9" t="s">
        <v>2953</v>
      </c>
      <c r="K253" s="9" t="s">
        <v>3059</v>
      </c>
      <c r="L253" s="8" t="s">
        <v>2397</v>
      </c>
    </row>
    <row r="254">
      <c r="A254" s="3">
        <v>106.0</v>
      </c>
      <c r="B254" s="3" t="s">
        <v>40</v>
      </c>
      <c r="C254" s="3" t="s">
        <v>380</v>
      </c>
      <c r="D254" s="3">
        <v>2009.0</v>
      </c>
      <c r="E254" s="3" t="s">
        <v>381</v>
      </c>
      <c r="F254" s="3" t="s">
        <v>2379</v>
      </c>
      <c r="G254" s="3" t="s">
        <v>2142</v>
      </c>
      <c r="I254" s="3" t="s">
        <v>2143</v>
      </c>
      <c r="J254" s="9" t="s">
        <v>2953</v>
      </c>
      <c r="K254" s="9" t="s">
        <v>3017</v>
      </c>
      <c r="L254" s="8" t="s">
        <v>2389</v>
      </c>
    </row>
    <row r="255">
      <c r="A255" s="3">
        <v>109.0</v>
      </c>
      <c r="B255" s="3" t="s">
        <v>40</v>
      </c>
      <c r="C255" s="3" t="s">
        <v>389</v>
      </c>
      <c r="D255" s="3">
        <v>1991.0</v>
      </c>
      <c r="E255" s="3" t="s">
        <v>390</v>
      </c>
      <c r="F255" s="3" t="s">
        <v>2163</v>
      </c>
      <c r="G255" s="3" t="s">
        <v>2142</v>
      </c>
      <c r="I255" s="3" t="s">
        <v>2143</v>
      </c>
      <c r="J255" s="9" t="s">
        <v>3060</v>
      </c>
      <c r="K255" s="9" t="s">
        <v>3061</v>
      </c>
      <c r="L255" s="8" t="s">
        <v>2165</v>
      </c>
    </row>
    <row r="256">
      <c r="A256" s="3">
        <v>126.0</v>
      </c>
      <c r="B256" s="3" t="s">
        <v>40</v>
      </c>
      <c r="C256" s="3" t="s">
        <v>421</v>
      </c>
      <c r="D256" s="3">
        <v>2010.0</v>
      </c>
      <c r="E256" s="3" t="s">
        <v>422</v>
      </c>
      <c r="G256" s="3" t="s">
        <v>2142</v>
      </c>
      <c r="I256" s="3" t="s">
        <v>2143</v>
      </c>
      <c r="J256" s="9" t="s">
        <v>3062</v>
      </c>
      <c r="K256" s="9" t="s">
        <v>3063</v>
      </c>
      <c r="L256" s="8" t="s">
        <v>2878</v>
      </c>
    </row>
    <row r="257">
      <c r="A257" s="3">
        <v>127.0</v>
      </c>
      <c r="B257" s="3" t="s">
        <v>40</v>
      </c>
      <c r="C257" s="3" t="s">
        <v>423</v>
      </c>
      <c r="D257" s="3">
        <v>2018.0</v>
      </c>
      <c r="E257" s="6" t="s">
        <v>424</v>
      </c>
      <c r="F257" s="3" t="s">
        <v>2379</v>
      </c>
      <c r="G257" s="3" t="s">
        <v>2142</v>
      </c>
      <c r="I257" s="3" t="s">
        <v>2143</v>
      </c>
      <c r="J257" s="9" t="s">
        <v>2953</v>
      </c>
      <c r="K257" s="9" t="s">
        <v>3063</v>
      </c>
      <c r="L257" s="8" t="s">
        <v>2383</v>
      </c>
    </row>
    <row r="258">
      <c r="A258" s="3">
        <v>131.0</v>
      </c>
      <c r="B258" s="3" t="s">
        <v>40</v>
      </c>
      <c r="C258" s="3" t="s">
        <v>429</v>
      </c>
      <c r="D258" s="3">
        <v>1993.0</v>
      </c>
      <c r="E258" s="3" t="s">
        <v>430</v>
      </c>
      <c r="F258" s="3" t="s">
        <v>2325</v>
      </c>
      <c r="G258" s="3" t="s">
        <v>2142</v>
      </c>
      <c r="I258" s="3" t="s">
        <v>2143</v>
      </c>
      <c r="J258" s="9" t="s">
        <v>2981</v>
      </c>
      <c r="K258" s="9" t="s">
        <v>2968</v>
      </c>
      <c r="L258" s="8" t="s">
        <v>2327</v>
      </c>
    </row>
    <row r="259">
      <c r="A259" s="3">
        <v>161.0</v>
      </c>
      <c r="B259" s="3" t="s">
        <v>40</v>
      </c>
      <c r="C259" s="3" t="s">
        <v>490</v>
      </c>
      <c r="D259" s="3">
        <v>2015.0</v>
      </c>
      <c r="E259" s="3" t="s">
        <v>491</v>
      </c>
      <c r="F259" s="3" t="s">
        <v>2538</v>
      </c>
      <c r="G259" s="3" t="s">
        <v>2142</v>
      </c>
      <c r="I259" s="3" t="s">
        <v>2143</v>
      </c>
      <c r="J259" s="9" t="s">
        <v>3064</v>
      </c>
      <c r="K259" s="9" t="s">
        <v>3065</v>
      </c>
      <c r="L259" s="8" t="s">
        <v>2539</v>
      </c>
    </row>
    <row r="260">
      <c r="A260" s="3">
        <v>166.0</v>
      </c>
      <c r="B260" s="3" t="s">
        <v>40</v>
      </c>
      <c r="C260" s="3" t="s">
        <v>502</v>
      </c>
      <c r="D260" s="3">
        <v>2015.0</v>
      </c>
      <c r="E260" s="3" t="s">
        <v>503</v>
      </c>
      <c r="F260" s="3" t="s">
        <v>2352</v>
      </c>
      <c r="G260" s="3" t="s">
        <v>2142</v>
      </c>
      <c r="I260" s="3" t="s">
        <v>2143</v>
      </c>
      <c r="J260" s="9" t="s">
        <v>3066</v>
      </c>
      <c r="K260" s="9" t="s">
        <v>3067</v>
      </c>
      <c r="L260" s="8" t="s">
        <v>2353</v>
      </c>
    </row>
    <row r="261">
      <c r="A261" s="3">
        <v>165.0</v>
      </c>
      <c r="B261" s="3" t="s">
        <v>40</v>
      </c>
      <c r="C261" s="3" t="s">
        <v>500</v>
      </c>
      <c r="D261" s="3">
        <v>2013.0</v>
      </c>
      <c r="E261" s="3" t="s">
        <v>501</v>
      </c>
      <c r="F261" s="3" t="s">
        <v>2377</v>
      </c>
      <c r="I261" s="3" t="s">
        <v>2143</v>
      </c>
      <c r="J261" s="9" t="s">
        <v>3068</v>
      </c>
      <c r="K261" s="9" t="s">
        <v>3067</v>
      </c>
      <c r="L261" s="8" t="s">
        <v>2378</v>
      </c>
    </row>
    <row r="262">
      <c r="A262" s="3">
        <v>170.0</v>
      </c>
      <c r="B262" s="3" t="s">
        <v>40</v>
      </c>
      <c r="C262" s="3" t="s">
        <v>511</v>
      </c>
      <c r="D262" s="3">
        <v>2014.0</v>
      </c>
      <c r="E262" s="3" t="s">
        <v>512</v>
      </c>
      <c r="F262" s="3" t="s">
        <v>2379</v>
      </c>
      <c r="G262" s="3" t="s">
        <v>2142</v>
      </c>
      <c r="I262" s="3" t="s">
        <v>2143</v>
      </c>
      <c r="J262" s="9" t="s">
        <v>2953</v>
      </c>
      <c r="K262" s="9" t="s">
        <v>3069</v>
      </c>
      <c r="L262" s="8" t="s">
        <v>2382</v>
      </c>
    </row>
    <row r="263">
      <c r="A263" s="3">
        <v>168.0</v>
      </c>
      <c r="B263" s="3" t="s">
        <v>40</v>
      </c>
      <c r="C263" s="3" t="s">
        <v>506</v>
      </c>
      <c r="D263" s="3">
        <v>2003.0</v>
      </c>
      <c r="E263" s="3" t="s">
        <v>507</v>
      </c>
      <c r="G263" s="3" t="s">
        <v>2142</v>
      </c>
      <c r="I263" s="3" t="s">
        <v>2143</v>
      </c>
      <c r="J263" s="9" t="s">
        <v>2953</v>
      </c>
      <c r="K263" s="9" t="s">
        <v>3069</v>
      </c>
      <c r="L263" s="8" t="s">
        <v>2876</v>
      </c>
    </row>
    <row r="264">
      <c r="A264" s="3">
        <v>171.0</v>
      </c>
      <c r="B264" s="3" t="s">
        <v>40</v>
      </c>
      <c r="C264" s="3" t="s">
        <v>513</v>
      </c>
      <c r="D264" s="3">
        <v>2017.0</v>
      </c>
      <c r="E264" s="3" t="s">
        <v>514</v>
      </c>
      <c r="F264" s="3" t="s">
        <v>2345</v>
      </c>
      <c r="G264" s="3" t="s">
        <v>2142</v>
      </c>
      <c r="I264" s="3" t="s">
        <v>2143</v>
      </c>
      <c r="J264" s="9" t="s">
        <v>2953</v>
      </c>
      <c r="K264" s="9" t="s">
        <v>3069</v>
      </c>
      <c r="L264" s="8" t="s">
        <v>2347</v>
      </c>
    </row>
    <row r="265">
      <c r="A265" s="3">
        <v>169.0</v>
      </c>
      <c r="B265" s="3" t="s">
        <v>40</v>
      </c>
      <c r="C265" s="3" t="s">
        <v>508</v>
      </c>
      <c r="D265" s="3">
        <v>2013.0</v>
      </c>
      <c r="E265" s="3" t="s">
        <v>509</v>
      </c>
      <c r="F265" s="3" t="s">
        <v>2543</v>
      </c>
      <c r="G265" s="3" t="s">
        <v>2142</v>
      </c>
      <c r="I265" s="3" t="s">
        <v>2143</v>
      </c>
      <c r="J265" s="9" t="s">
        <v>3064</v>
      </c>
      <c r="K265" s="9" t="s">
        <v>3069</v>
      </c>
      <c r="L265" s="8" t="s">
        <v>2544</v>
      </c>
    </row>
    <row r="266">
      <c r="A266" s="3">
        <v>292.0</v>
      </c>
      <c r="B266" s="3" t="s">
        <v>40</v>
      </c>
      <c r="C266" s="3" t="s">
        <v>750</v>
      </c>
      <c r="D266" s="3">
        <v>2007.0</v>
      </c>
      <c r="E266" s="3" t="s">
        <v>751</v>
      </c>
      <c r="F266" s="3" t="s">
        <v>2471</v>
      </c>
      <c r="G266" s="3" t="s">
        <v>2142</v>
      </c>
      <c r="I266" s="3" t="s">
        <v>2143</v>
      </c>
      <c r="J266" s="9" t="s">
        <v>2981</v>
      </c>
      <c r="K266" s="9" t="s">
        <v>2954</v>
      </c>
      <c r="L266" s="8" t="s">
        <v>2475</v>
      </c>
    </row>
    <row r="267">
      <c r="A267" s="3">
        <v>265.0</v>
      </c>
      <c r="B267" s="3" t="s">
        <v>40</v>
      </c>
      <c r="C267" s="3" t="s">
        <v>697</v>
      </c>
      <c r="D267" s="3">
        <v>1999.0</v>
      </c>
      <c r="E267" s="3" t="s">
        <v>698</v>
      </c>
      <c r="F267" s="3" t="s">
        <v>2345</v>
      </c>
      <c r="G267" s="3" t="s">
        <v>2142</v>
      </c>
      <c r="I267" s="3" t="s">
        <v>2143</v>
      </c>
      <c r="J267" s="9" t="s">
        <v>2953</v>
      </c>
      <c r="K267" s="9" t="s">
        <v>2954</v>
      </c>
      <c r="L267" s="8" t="s">
        <v>2348</v>
      </c>
    </row>
    <row r="268">
      <c r="A268" s="3">
        <v>434.0</v>
      </c>
      <c r="B268" s="3" t="s">
        <v>40</v>
      </c>
      <c r="C268" s="3" t="s">
        <v>993</v>
      </c>
      <c r="D268" s="3">
        <v>2011.0</v>
      </c>
      <c r="E268" s="3" t="s">
        <v>994</v>
      </c>
      <c r="G268" s="3" t="s">
        <v>2142</v>
      </c>
      <c r="I268" s="3" t="s">
        <v>2143</v>
      </c>
      <c r="J268" s="9" t="s">
        <v>3011</v>
      </c>
      <c r="K268" s="9" t="s">
        <v>3025</v>
      </c>
      <c r="L268" s="8" t="s">
        <v>2902</v>
      </c>
    </row>
    <row r="269">
      <c r="A269" s="3">
        <v>427.0</v>
      </c>
      <c r="B269" s="3" t="s">
        <v>40</v>
      </c>
      <c r="C269" s="3" t="s">
        <v>980</v>
      </c>
      <c r="D269" s="3">
        <v>2007.0</v>
      </c>
      <c r="E269" s="3" t="s">
        <v>981</v>
      </c>
      <c r="F269" s="3" t="s">
        <v>2497</v>
      </c>
      <c r="G269" s="3" t="s">
        <v>2142</v>
      </c>
      <c r="I269" s="3" t="s">
        <v>2143</v>
      </c>
      <c r="J269" s="9" t="s">
        <v>3070</v>
      </c>
      <c r="K269" s="9" t="s">
        <v>3025</v>
      </c>
      <c r="L269" s="8" t="s">
        <v>2521</v>
      </c>
    </row>
    <row r="270">
      <c r="A270" s="3">
        <v>449.0</v>
      </c>
      <c r="B270" s="3" t="s">
        <v>40</v>
      </c>
      <c r="C270" s="3" t="s">
        <v>1025</v>
      </c>
      <c r="D270" s="3">
        <v>2018.0</v>
      </c>
      <c r="E270" s="3" t="s">
        <v>2483</v>
      </c>
      <c r="F270" s="3" t="s">
        <v>2484</v>
      </c>
      <c r="G270" s="3" t="s">
        <v>2142</v>
      </c>
      <c r="I270" s="3" t="s">
        <v>2143</v>
      </c>
      <c r="J270" s="9" t="s">
        <v>3071</v>
      </c>
      <c r="K270" s="9" t="s">
        <v>3072</v>
      </c>
      <c r="L270" s="8" t="s">
        <v>2485</v>
      </c>
    </row>
    <row r="271">
      <c r="A271" s="3">
        <v>450.0</v>
      </c>
      <c r="B271" s="3" t="s">
        <v>40</v>
      </c>
      <c r="C271" s="3" t="s">
        <v>1028</v>
      </c>
      <c r="D271" s="3">
        <v>2009.0</v>
      </c>
      <c r="E271" s="3" t="s">
        <v>1029</v>
      </c>
      <c r="F271" s="3" t="s">
        <v>2379</v>
      </c>
      <c r="G271" s="3" t="s">
        <v>2142</v>
      </c>
      <c r="I271" s="3" t="s">
        <v>2143</v>
      </c>
      <c r="J271" s="9" t="s">
        <v>3073</v>
      </c>
      <c r="K271" s="9" t="s">
        <v>3074</v>
      </c>
      <c r="L271" s="8" t="s">
        <v>2387</v>
      </c>
    </row>
    <row r="272">
      <c r="A272" s="3">
        <v>463.0</v>
      </c>
      <c r="B272" s="3" t="s">
        <v>40</v>
      </c>
      <c r="C272" s="3" t="s">
        <v>1054</v>
      </c>
      <c r="D272" s="3">
        <v>2020.0</v>
      </c>
      <c r="E272" s="3" t="s">
        <v>1055</v>
      </c>
      <c r="F272" s="3" t="s">
        <v>2396</v>
      </c>
      <c r="G272" s="3" t="s">
        <v>2283</v>
      </c>
      <c r="I272" s="3" t="s">
        <v>2143</v>
      </c>
      <c r="J272" s="9" t="s">
        <v>3075</v>
      </c>
      <c r="K272" s="9" t="s">
        <v>2982</v>
      </c>
      <c r="L272" s="8" t="s">
        <v>2404</v>
      </c>
    </row>
    <row r="273">
      <c r="A273" s="3">
        <v>462.0</v>
      </c>
      <c r="B273" s="3" t="s">
        <v>40</v>
      </c>
      <c r="C273" s="3" t="s">
        <v>1052</v>
      </c>
      <c r="D273" s="3">
        <v>2019.0</v>
      </c>
      <c r="E273" s="3" t="s">
        <v>1053</v>
      </c>
      <c r="F273" s="3" t="s">
        <v>2161</v>
      </c>
      <c r="G273" s="3" t="s">
        <v>2142</v>
      </c>
      <c r="I273" s="3" t="s">
        <v>2143</v>
      </c>
      <c r="J273" s="9" t="s">
        <v>3029</v>
      </c>
      <c r="K273" s="9" t="s">
        <v>2982</v>
      </c>
      <c r="L273" s="8" t="s">
        <v>2162</v>
      </c>
    </row>
    <row r="274">
      <c r="A274" s="3">
        <v>498.0</v>
      </c>
      <c r="B274" s="3" t="s">
        <v>40</v>
      </c>
      <c r="C274" s="3" t="s">
        <v>1120</v>
      </c>
      <c r="D274" s="3">
        <v>1989.0</v>
      </c>
      <c r="E274" s="3" t="s">
        <v>1121</v>
      </c>
      <c r="F274" s="3" t="s">
        <v>2553</v>
      </c>
      <c r="G274" s="3" t="s">
        <v>2142</v>
      </c>
      <c r="I274" s="3" t="s">
        <v>2143</v>
      </c>
      <c r="J274" s="9" t="s">
        <v>2985</v>
      </c>
      <c r="K274" s="9" t="s">
        <v>2992</v>
      </c>
      <c r="L274" s="8" t="s">
        <v>2580</v>
      </c>
    </row>
    <row r="275">
      <c r="A275" s="3">
        <v>535.0</v>
      </c>
      <c r="B275" s="3" t="s">
        <v>40</v>
      </c>
      <c r="C275" s="3" t="s">
        <v>1193</v>
      </c>
      <c r="D275" s="3">
        <v>2009.0</v>
      </c>
      <c r="E275" s="3" t="s">
        <v>1194</v>
      </c>
      <c r="F275" s="3" t="s">
        <v>2553</v>
      </c>
      <c r="G275" s="3" t="s">
        <v>2142</v>
      </c>
      <c r="I275" s="3" t="s">
        <v>2143</v>
      </c>
      <c r="J275" s="9" t="s">
        <v>3010</v>
      </c>
      <c r="K275" s="9" t="s">
        <v>2992</v>
      </c>
      <c r="L275" s="8" t="s">
        <v>2577</v>
      </c>
    </row>
    <row r="276">
      <c r="A276" s="3">
        <v>569.0</v>
      </c>
      <c r="B276" s="3" t="s">
        <v>40</v>
      </c>
      <c r="C276" s="3" t="s">
        <v>1262</v>
      </c>
      <c r="D276" s="3">
        <v>2014.0</v>
      </c>
      <c r="E276" s="3" t="s">
        <v>1263</v>
      </c>
      <c r="F276" s="3" t="s">
        <v>2379</v>
      </c>
      <c r="G276" s="3" t="s">
        <v>2142</v>
      </c>
      <c r="I276" s="3" t="s">
        <v>2143</v>
      </c>
      <c r="J276" s="9" t="s">
        <v>2983</v>
      </c>
      <c r="K276" s="9" t="s">
        <v>2992</v>
      </c>
      <c r="L276" s="8" t="s">
        <v>2393</v>
      </c>
    </row>
    <row r="277">
      <c r="A277" s="3">
        <v>598.0</v>
      </c>
      <c r="B277" s="3" t="s">
        <v>40</v>
      </c>
      <c r="C277" s="3" t="s">
        <v>1321</v>
      </c>
      <c r="D277" s="3">
        <v>2018.0</v>
      </c>
      <c r="E277" s="3" t="s">
        <v>1322</v>
      </c>
      <c r="F277" s="3" t="s">
        <v>2491</v>
      </c>
      <c r="G277" s="3" t="s">
        <v>2142</v>
      </c>
      <c r="I277" s="3" t="s">
        <v>2143</v>
      </c>
      <c r="J277" s="9" t="s">
        <v>2983</v>
      </c>
      <c r="K277" s="9" t="s">
        <v>2992</v>
      </c>
      <c r="L277" s="8" t="s">
        <v>2492</v>
      </c>
    </row>
    <row r="278">
      <c r="A278" s="3">
        <v>599.0</v>
      </c>
      <c r="B278" s="3" t="s">
        <v>40</v>
      </c>
      <c r="C278" s="3" t="s">
        <v>1324</v>
      </c>
      <c r="D278" s="3">
        <v>2019.0</v>
      </c>
      <c r="E278" s="3" t="s">
        <v>1325</v>
      </c>
      <c r="F278" s="3" t="s">
        <v>2379</v>
      </c>
      <c r="G278" s="3" t="s">
        <v>2142</v>
      </c>
      <c r="I278" s="3" t="s">
        <v>2143</v>
      </c>
      <c r="J278" s="9" t="s">
        <v>2985</v>
      </c>
      <c r="K278" s="9" t="s">
        <v>2992</v>
      </c>
      <c r="L278" s="8" t="s">
        <v>2394</v>
      </c>
    </row>
    <row r="279">
      <c r="A279" s="3">
        <v>536.0</v>
      </c>
      <c r="B279" s="3" t="s">
        <v>40</v>
      </c>
      <c r="C279" s="3" t="s">
        <v>1195</v>
      </c>
      <c r="D279" s="3">
        <v>2009.0</v>
      </c>
      <c r="E279" s="3" t="s">
        <v>1196</v>
      </c>
      <c r="F279" s="3" t="s">
        <v>2553</v>
      </c>
      <c r="G279" s="3" t="s">
        <v>2142</v>
      </c>
      <c r="I279" s="3" t="s">
        <v>2143</v>
      </c>
      <c r="J279" s="9" t="s">
        <v>3010</v>
      </c>
      <c r="K279" s="9" t="s">
        <v>2992</v>
      </c>
      <c r="L279" s="8" t="s">
        <v>2578</v>
      </c>
    </row>
    <row r="280">
      <c r="A280" s="3">
        <v>561.0</v>
      </c>
      <c r="B280" s="3" t="s">
        <v>40</v>
      </c>
      <c r="C280" s="3" t="s">
        <v>1246</v>
      </c>
      <c r="D280" s="3">
        <v>2013.0</v>
      </c>
      <c r="E280" s="3" t="s">
        <v>1247</v>
      </c>
      <c r="F280" s="3" t="s">
        <v>2553</v>
      </c>
      <c r="G280" s="3" t="s">
        <v>2142</v>
      </c>
      <c r="I280" s="3" t="s">
        <v>2143</v>
      </c>
      <c r="J280" s="9" t="s">
        <v>2985</v>
      </c>
      <c r="K280" s="9" t="s">
        <v>2992</v>
      </c>
      <c r="L280" s="8" t="s">
        <v>2581</v>
      </c>
    </row>
    <row r="281">
      <c r="A281" s="3">
        <v>580.0</v>
      </c>
      <c r="B281" s="3" t="s">
        <v>40</v>
      </c>
      <c r="C281" s="3" t="s">
        <v>1284</v>
      </c>
      <c r="D281" s="3">
        <v>2016.0</v>
      </c>
      <c r="E281" s="3" t="s">
        <v>1285</v>
      </c>
      <c r="G281" s="3" t="s">
        <v>2142</v>
      </c>
      <c r="I281" s="3" t="s">
        <v>2143</v>
      </c>
      <c r="J281" s="9" t="s">
        <v>2985</v>
      </c>
      <c r="K281" s="9" t="s">
        <v>2992</v>
      </c>
      <c r="L281" s="8" t="s">
        <v>2918</v>
      </c>
    </row>
    <row r="282">
      <c r="A282" s="3">
        <v>625.0</v>
      </c>
      <c r="B282" s="3" t="s">
        <v>40</v>
      </c>
      <c r="C282" s="3" t="s">
        <v>1367</v>
      </c>
      <c r="D282" s="3">
        <v>2011.0</v>
      </c>
      <c r="E282" s="3" t="s">
        <v>1368</v>
      </c>
      <c r="F282" s="3" t="s">
        <v>2553</v>
      </c>
      <c r="G282" s="3" t="s">
        <v>2142</v>
      </c>
      <c r="I282" s="3" t="s">
        <v>2143</v>
      </c>
      <c r="J282" s="9" t="s">
        <v>3044</v>
      </c>
      <c r="K282" s="9" t="s">
        <v>3076</v>
      </c>
      <c r="L282" s="8" t="s">
        <v>2556</v>
      </c>
    </row>
    <row r="283">
      <c r="A283" s="3">
        <v>627.0</v>
      </c>
      <c r="B283" s="3" t="s">
        <v>40</v>
      </c>
      <c r="C283" s="3" t="s">
        <v>1371</v>
      </c>
      <c r="D283" s="3">
        <v>2011.0</v>
      </c>
      <c r="E283" s="3" t="s">
        <v>1372</v>
      </c>
      <c r="F283" s="3" t="s">
        <v>2379</v>
      </c>
      <c r="G283" s="3" t="s">
        <v>2142</v>
      </c>
      <c r="I283" s="3" t="s">
        <v>2143</v>
      </c>
      <c r="J283" s="9" t="s">
        <v>3044</v>
      </c>
      <c r="K283" s="9" t="s">
        <v>3045</v>
      </c>
      <c r="L283" s="8" t="s">
        <v>2388</v>
      </c>
    </row>
    <row r="284">
      <c r="A284" s="3">
        <v>631.0</v>
      </c>
      <c r="B284" s="3" t="s">
        <v>40</v>
      </c>
      <c r="C284" s="3" t="s">
        <v>1378</v>
      </c>
      <c r="D284" s="3">
        <v>2013.0</v>
      </c>
      <c r="E284" s="3" t="s">
        <v>1379</v>
      </c>
      <c r="G284" s="3" t="s">
        <v>2142</v>
      </c>
      <c r="I284" s="3" t="s">
        <v>2143</v>
      </c>
      <c r="J284" s="9"/>
      <c r="K284" s="9" t="s">
        <v>3077</v>
      </c>
      <c r="L284" s="8" t="s">
        <v>2884</v>
      </c>
    </row>
    <row r="285">
      <c r="A285" s="3">
        <v>630.0</v>
      </c>
      <c r="B285" s="3" t="s">
        <v>40</v>
      </c>
      <c r="C285" s="3" t="s">
        <v>1376</v>
      </c>
      <c r="D285" s="3">
        <v>1992.0</v>
      </c>
      <c r="E285" s="3" t="s">
        <v>1377</v>
      </c>
      <c r="F285" s="3" t="s">
        <v>2471</v>
      </c>
      <c r="G285" s="3" t="s">
        <v>2142</v>
      </c>
      <c r="I285" s="3" t="s">
        <v>2143</v>
      </c>
      <c r="J285" s="9" t="s">
        <v>3078</v>
      </c>
      <c r="K285" s="9" t="s">
        <v>3077</v>
      </c>
      <c r="L285" s="8" t="s">
        <v>2472</v>
      </c>
    </row>
    <row r="286">
      <c r="A286" s="3">
        <v>642.0</v>
      </c>
      <c r="B286" s="3" t="s">
        <v>40</v>
      </c>
      <c r="C286" s="3" t="s">
        <v>1398</v>
      </c>
      <c r="D286" s="3">
        <v>2001.0</v>
      </c>
      <c r="E286" s="3" t="s">
        <v>1399</v>
      </c>
      <c r="F286" s="3" t="s">
        <v>2497</v>
      </c>
      <c r="G286" s="3" t="s">
        <v>2142</v>
      </c>
      <c r="I286" s="3" t="s">
        <v>2143</v>
      </c>
      <c r="J286" s="9"/>
      <c r="K286" s="9" t="s">
        <v>2955</v>
      </c>
      <c r="L286" s="8" t="s">
        <v>2529</v>
      </c>
    </row>
    <row r="287">
      <c r="A287" s="3">
        <v>652.0</v>
      </c>
      <c r="B287" s="3" t="s">
        <v>40</v>
      </c>
      <c r="C287" s="3" t="s">
        <v>1417</v>
      </c>
      <c r="D287" s="3">
        <v>2014.0</v>
      </c>
      <c r="E287" s="3" t="s">
        <v>1418</v>
      </c>
      <c r="F287" s="3" t="s">
        <v>2471</v>
      </c>
      <c r="G287" s="3" t="s">
        <v>2142</v>
      </c>
      <c r="I287" s="3" t="s">
        <v>2143</v>
      </c>
      <c r="J287" s="9" t="s">
        <v>3038</v>
      </c>
      <c r="K287" s="9" t="s">
        <v>2955</v>
      </c>
      <c r="L287" s="8" t="s">
        <v>2479</v>
      </c>
    </row>
    <row r="288">
      <c r="A288" s="3">
        <v>645.0</v>
      </c>
      <c r="B288" s="3" t="s">
        <v>40</v>
      </c>
      <c r="C288" s="3" t="s">
        <v>1359</v>
      </c>
      <c r="D288" s="3">
        <v>2007.0</v>
      </c>
      <c r="E288" s="3" t="s">
        <v>1404</v>
      </c>
      <c r="F288" s="3" t="s">
        <v>2471</v>
      </c>
      <c r="G288" s="3" t="s">
        <v>2142</v>
      </c>
      <c r="I288" s="3" t="s">
        <v>2143</v>
      </c>
      <c r="J288" s="9" t="s">
        <v>3038</v>
      </c>
      <c r="K288" s="9" t="s">
        <v>2955</v>
      </c>
      <c r="L288" s="8" t="s">
        <v>2476</v>
      </c>
    </row>
    <row r="289">
      <c r="A289" s="3">
        <v>715.0</v>
      </c>
      <c r="B289" s="3" t="s">
        <v>40</v>
      </c>
      <c r="C289" s="3" t="s">
        <v>1541</v>
      </c>
      <c r="D289" s="3">
        <v>2015.0</v>
      </c>
      <c r="E289" s="3" t="s">
        <v>1542</v>
      </c>
      <c r="G289" s="3" t="s">
        <v>2142</v>
      </c>
      <c r="I289" s="3" t="s">
        <v>2143</v>
      </c>
      <c r="J289" s="9" t="s">
        <v>3079</v>
      </c>
      <c r="K289" s="9" t="s">
        <v>3080</v>
      </c>
      <c r="L289" s="8" t="s">
        <v>2871</v>
      </c>
    </row>
    <row r="290">
      <c r="A290" s="3">
        <v>717.0</v>
      </c>
      <c r="B290" s="3" t="s">
        <v>40</v>
      </c>
      <c r="C290" s="3" t="s">
        <v>1545</v>
      </c>
      <c r="D290" s="3">
        <v>1983.0</v>
      </c>
      <c r="E290" s="3" t="s">
        <v>1546</v>
      </c>
      <c r="F290" s="3" t="s">
        <v>2379</v>
      </c>
      <c r="G290" s="3" t="s">
        <v>2142</v>
      </c>
      <c r="I290" s="3" t="s">
        <v>2143</v>
      </c>
      <c r="J290" s="9" t="s">
        <v>3081</v>
      </c>
      <c r="K290" s="9" t="s">
        <v>3082</v>
      </c>
      <c r="L290" s="8" t="s">
        <v>2380</v>
      </c>
    </row>
    <row r="291">
      <c r="A291" s="3">
        <v>718.0</v>
      </c>
      <c r="B291" s="3" t="s">
        <v>40</v>
      </c>
      <c r="C291" s="3" t="s">
        <v>1548</v>
      </c>
      <c r="D291" s="3">
        <v>1986.0</v>
      </c>
      <c r="E291" s="3" t="s">
        <v>1549</v>
      </c>
      <c r="F291" s="3" t="s">
        <v>2141</v>
      </c>
      <c r="G291" s="3" t="s">
        <v>2142</v>
      </c>
      <c r="I291" s="3" t="s">
        <v>2143</v>
      </c>
      <c r="J291" s="9" t="s">
        <v>3083</v>
      </c>
      <c r="K291" s="9" t="s">
        <v>2957</v>
      </c>
      <c r="L291" s="8" t="s">
        <v>2145</v>
      </c>
    </row>
    <row r="292">
      <c r="A292" s="3">
        <v>720.0</v>
      </c>
      <c r="B292" s="3" t="s">
        <v>40</v>
      </c>
      <c r="C292" s="3" t="s">
        <v>1553</v>
      </c>
      <c r="D292" s="3">
        <v>1996.0</v>
      </c>
      <c r="E292" s="3" t="s">
        <v>1554</v>
      </c>
      <c r="F292" s="3" t="s">
        <v>2497</v>
      </c>
      <c r="G292" s="3" t="s">
        <v>2142</v>
      </c>
      <c r="I292" s="3" t="s">
        <v>2143</v>
      </c>
      <c r="J292" s="9"/>
      <c r="K292" s="9" t="s">
        <v>3084</v>
      </c>
      <c r="L292" s="8" t="s">
        <v>2508</v>
      </c>
    </row>
    <row r="293">
      <c r="A293" s="3">
        <v>722.0</v>
      </c>
      <c r="B293" s="3" t="s">
        <v>40</v>
      </c>
      <c r="C293" s="3" t="s">
        <v>1557</v>
      </c>
      <c r="D293" s="3">
        <v>2018.0</v>
      </c>
      <c r="E293" s="3" t="s">
        <v>1558</v>
      </c>
      <c r="G293" s="3" t="s">
        <v>2142</v>
      </c>
      <c r="I293" s="3" t="s">
        <v>2143</v>
      </c>
      <c r="J293" s="9" t="s">
        <v>3085</v>
      </c>
      <c r="K293" s="9" t="s">
        <v>3086</v>
      </c>
      <c r="L293" s="8" t="s">
        <v>2869</v>
      </c>
    </row>
    <row r="294">
      <c r="A294" s="3">
        <v>723.0</v>
      </c>
      <c r="B294" s="3" t="s">
        <v>40</v>
      </c>
      <c r="C294" s="3" t="s">
        <v>1559</v>
      </c>
      <c r="D294" s="3">
        <v>1998.0</v>
      </c>
      <c r="E294" s="3" t="s">
        <v>1560</v>
      </c>
      <c r="F294" s="3" t="s">
        <v>2497</v>
      </c>
      <c r="G294" s="3" t="s">
        <v>2142</v>
      </c>
      <c r="I294" s="3" t="s">
        <v>2143</v>
      </c>
      <c r="J294" s="9" t="s">
        <v>3044</v>
      </c>
      <c r="K294" s="9" t="s">
        <v>3087</v>
      </c>
      <c r="L294" s="8" t="s">
        <v>2498</v>
      </c>
    </row>
    <row r="295">
      <c r="A295" s="3">
        <v>727.0</v>
      </c>
      <c r="B295" s="3" t="s">
        <v>40</v>
      </c>
      <c r="C295" s="3" t="s">
        <v>1568</v>
      </c>
      <c r="D295" s="3">
        <v>1997.0</v>
      </c>
      <c r="E295" s="3" t="s">
        <v>1569</v>
      </c>
      <c r="F295" s="3" t="s">
        <v>2553</v>
      </c>
      <c r="G295" s="3" t="s">
        <v>2142</v>
      </c>
      <c r="I295" s="3" t="s">
        <v>2143</v>
      </c>
      <c r="J295" s="9" t="s">
        <v>3044</v>
      </c>
      <c r="K295" s="9" t="s">
        <v>3088</v>
      </c>
      <c r="L295" s="8" t="s">
        <v>2555</v>
      </c>
    </row>
    <row r="296">
      <c r="A296" s="3">
        <v>731.0</v>
      </c>
      <c r="B296" s="3" t="s">
        <v>40</v>
      </c>
      <c r="C296" s="3" t="s">
        <v>1578</v>
      </c>
      <c r="D296" s="3">
        <v>2016.0</v>
      </c>
      <c r="E296" s="3" t="s">
        <v>1579</v>
      </c>
      <c r="G296" s="3" t="s">
        <v>2142</v>
      </c>
      <c r="I296" s="3" t="s">
        <v>2143</v>
      </c>
      <c r="J296" s="9" t="s">
        <v>3089</v>
      </c>
      <c r="K296" s="9" t="s">
        <v>3088</v>
      </c>
      <c r="L296" s="8" t="s">
        <v>2875</v>
      </c>
    </row>
    <row r="297">
      <c r="A297" s="3">
        <v>728.0</v>
      </c>
      <c r="B297" s="3" t="s">
        <v>40</v>
      </c>
      <c r="C297" s="3" t="s">
        <v>1571</v>
      </c>
      <c r="D297" s="3">
        <v>2008.0</v>
      </c>
      <c r="E297" s="3" t="s">
        <v>1572</v>
      </c>
      <c r="F297" s="3" t="s">
        <v>2497</v>
      </c>
      <c r="G297" s="3" t="s">
        <v>2142</v>
      </c>
      <c r="I297" s="3" t="s">
        <v>2143</v>
      </c>
      <c r="J297" s="9" t="s">
        <v>3044</v>
      </c>
      <c r="K297" s="9" t="s">
        <v>3088</v>
      </c>
      <c r="L297" s="8" t="s">
        <v>2501</v>
      </c>
    </row>
    <row r="298">
      <c r="A298" s="3">
        <v>730.0</v>
      </c>
      <c r="B298" s="3" t="s">
        <v>40</v>
      </c>
      <c r="C298" s="3" t="s">
        <v>1576</v>
      </c>
      <c r="D298" s="3">
        <v>2010.0</v>
      </c>
      <c r="E298" s="3" t="s">
        <v>1577</v>
      </c>
      <c r="F298" s="3" t="s">
        <v>2497</v>
      </c>
      <c r="G298" s="3" t="s">
        <v>2142</v>
      </c>
      <c r="I298" s="3" t="s">
        <v>2143</v>
      </c>
      <c r="J298" s="9" t="s">
        <v>3090</v>
      </c>
      <c r="K298" s="9" t="s">
        <v>3088</v>
      </c>
      <c r="L298" s="8" t="s">
        <v>2502</v>
      </c>
    </row>
    <row r="299">
      <c r="A299" s="3">
        <v>729.0</v>
      </c>
      <c r="B299" s="3" t="s">
        <v>40</v>
      </c>
      <c r="C299" s="3" t="s">
        <v>1574</v>
      </c>
      <c r="D299" s="3">
        <v>2010.0</v>
      </c>
      <c r="E299" s="3" t="s">
        <v>1575</v>
      </c>
      <c r="F299" s="3" t="s">
        <v>2379</v>
      </c>
      <c r="G299" s="3" t="s">
        <v>2142</v>
      </c>
      <c r="I299" s="3" t="s">
        <v>2143</v>
      </c>
      <c r="J299" s="9" t="s">
        <v>3044</v>
      </c>
      <c r="K299" s="9" t="s">
        <v>3088</v>
      </c>
      <c r="L299" s="8" t="s">
        <v>2381</v>
      </c>
    </row>
    <row r="300">
      <c r="A300" s="3">
        <v>735.0</v>
      </c>
      <c r="B300" s="3" t="s">
        <v>40</v>
      </c>
      <c r="C300" s="3" t="s">
        <v>1586</v>
      </c>
      <c r="D300" s="3">
        <v>2007.0</v>
      </c>
      <c r="E300" s="3" t="s">
        <v>1587</v>
      </c>
      <c r="F300" s="3" t="s">
        <v>2379</v>
      </c>
      <c r="G300" s="3" t="s">
        <v>2142</v>
      </c>
      <c r="I300" s="3" t="s">
        <v>2143</v>
      </c>
      <c r="J300" s="9" t="s">
        <v>3091</v>
      </c>
      <c r="K300" s="9" t="s">
        <v>3092</v>
      </c>
      <c r="L300" s="8" t="s">
        <v>2386</v>
      </c>
    </row>
    <row r="301">
      <c r="A301" s="3">
        <v>736.0</v>
      </c>
      <c r="B301" s="3" t="s">
        <v>40</v>
      </c>
      <c r="C301" s="3" t="s">
        <v>1588</v>
      </c>
      <c r="D301" s="3">
        <v>2008.0</v>
      </c>
      <c r="E301" s="3" t="s">
        <v>1589</v>
      </c>
      <c r="F301" s="3" t="s">
        <v>2379</v>
      </c>
      <c r="G301" s="3" t="s">
        <v>2142</v>
      </c>
      <c r="I301" s="3" t="s">
        <v>2143</v>
      </c>
      <c r="J301" s="9" t="s">
        <v>3093</v>
      </c>
      <c r="K301" s="9" t="s">
        <v>3092</v>
      </c>
      <c r="L301" s="8" t="s">
        <v>2384</v>
      </c>
    </row>
    <row r="302">
      <c r="A302" s="3">
        <v>734.0</v>
      </c>
      <c r="B302" s="3" t="s">
        <v>40</v>
      </c>
      <c r="C302" s="3" t="s">
        <v>1584</v>
      </c>
      <c r="D302" s="3">
        <v>2004.0</v>
      </c>
      <c r="E302" s="3" t="s">
        <v>1585</v>
      </c>
      <c r="F302" s="3" t="s">
        <v>2553</v>
      </c>
      <c r="G302" s="3" t="s">
        <v>2142</v>
      </c>
      <c r="I302" s="3" t="s">
        <v>2143</v>
      </c>
      <c r="J302" s="9" t="s">
        <v>3094</v>
      </c>
      <c r="K302" s="9" t="s">
        <v>3092</v>
      </c>
      <c r="L302" s="8" t="s">
        <v>2561</v>
      </c>
    </row>
    <row r="303">
      <c r="A303" s="3">
        <v>738.0</v>
      </c>
      <c r="B303" s="3" t="s">
        <v>40</v>
      </c>
      <c r="C303" s="3" t="s">
        <v>1592</v>
      </c>
      <c r="D303" s="3">
        <v>2013.0</v>
      </c>
      <c r="E303" s="3" t="s">
        <v>1593</v>
      </c>
      <c r="F303" s="3" t="s">
        <v>2467</v>
      </c>
      <c r="G303" s="3" t="s">
        <v>2142</v>
      </c>
      <c r="I303" s="3" t="s">
        <v>2143</v>
      </c>
      <c r="J303" s="9" t="s">
        <v>3095</v>
      </c>
      <c r="K303" s="9" t="s">
        <v>3092</v>
      </c>
      <c r="L303" s="8" t="s">
        <v>2469</v>
      </c>
    </row>
    <row r="304">
      <c r="A304" s="3">
        <v>737.0</v>
      </c>
      <c r="B304" s="3" t="s">
        <v>40</v>
      </c>
      <c r="C304" s="3" t="s">
        <v>1590</v>
      </c>
      <c r="D304" s="3">
        <v>2009.0</v>
      </c>
      <c r="E304" s="3" t="s">
        <v>1591</v>
      </c>
      <c r="F304" s="3" t="s">
        <v>2379</v>
      </c>
      <c r="G304" s="3" t="s">
        <v>2142</v>
      </c>
      <c r="I304" s="3" t="s">
        <v>2143</v>
      </c>
      <c r="J304" s="9" t="s">
        <v>3091</v>
      </c>
      <c r="K304" s="9" t="s">
        <v>3092</v>
      </c>
      <c r="L304" s="8" t="s">
        <v>2385</v>
      </c>
    </row>
    <row r="305">
      <c r="A305" s="3">
        <v>744.0</v>
      </c>
      <c r="B305" s="3" t="s">
        <v>40</v>
      </c>
      <c r="C305" s="3" t="s">
        <v>1604</v>
      </c>
      <c r="D305" s="3">
        <v>2017.0</v>
      </c>
      <c r="E305" s="3" t="s">
        <v>1605</v>
      </c>
      <c r="F305" s="3" t="s">
        <v>2396</v>
      </c>
      <c r="G305" s="3" t="s">
        <v>2283</v>
      </c>
      <c r="I305" s="3" t="s">
        <v>2143</v>
      </c>
      <c r="J305" s="9" t="s">
        <v>3090</v>
      </c>
      <c r="K305" s="9" t="s">
        <v>2995</v>
      </c>
      <c r="L305" s="8" t="s">
        <v>2400</v>
      </c>
    </row>
    <row r="306">
      <c r="A306" s="3">
        <v>743.0</v>
      </c>
      <c r="B306" s="3" t="s">
        <v>40</v>
      </c>
      <c r="C306" s="3" t="s">
        <v>1602</v>
      </c>
      <c r="D306" s="3">
        <v>2017.0</v>
      </c>
      <c r="E306" s="3" t="s">
        <v>1603</v>
      </c>
      <c r="F306" s="3" t="s">
        <v>2177</v>
      </c>
      <c r="G306" s="3" t="s">
        <v>2142</v>
      </c>
      <c r="I306" s="3" t="s">
        <v>2143</v>
      </c>
      <c r="J306" s="9" t="s">
        <v>3044</v>
      </c>
      <c r="K306" s="9" t="s">
        <v>2995</v>
      </c>
      <c r="L306" s="8" t="s">
        <v>2179</v>
      </c>
    </row>
    <row r="307">
      <c r="A307" s="3">
        <v>748.0</v>
      </c>
      <c r="B307" s="3" t="s">
        <v>40</v>
      </c>
      <c r="C307" s="3" t="s">
        <v>1612</v>
      </c>
      <c r="D307" s="3">
        <v>2019.0</v>
      </c>
      <c r="E307" s="3" t="s">
        <v>1613</v>
      </c>
      <c r="F307" s="3" t="s">
        <v>2350</v>
      </c>
      <c r="G307" s="3" t="s">
        <v>2142</v>
      </c>
      <c r="I307" s="3" t="s">
        <v>2143</v>
      </c>
      <c r="J307" s="9" t="s">
        <v>3096</v>
      </c>
      <c r="K307" s="9" t="s">
        <v>3097</v>
      </c>
      <c r="L307" s="8" t="s">
        <v>2351</v>
      </c>
    </row>
    <row r="308">
      <c r="A308" s="3">
        <v>747.0</v>
      </c>
      <c r="B308" s="3" t="s">
        <v>40</v>
      </c>
      <c r="C308" s="3" t="s">
        <v>1609</v>
      </c>
      <c r="D308" s="3">
        <v>2019.0</v>
      </c>
      <c r="E308" s="3" t="s">
        <v>1610</v>
      </c>
      <c r="F308" s="3" t="s">
        <v>2551</v>
      </c>
      <c r="G308" s="3" t="s">
        <v>2142</v>
      </c>
      <c r="I308" s="3" t="s">
        <v>2143</v>
      </c>
      <c r="J308" s="9" t="s">
        <v>3098</v>
      </c>
      <c r="K308" s="9" t="s">
        <v>3097</v>
      </c>
      <c r="L308" s="8" t="s">
        <v>2552</v>
      </c>
    </row>
    <row r="309">
      <c r="A309" s="3">
        <v>757.0</v>
      </c>
      <c r="B309" s="3" t="s">
        <v>40</v>
      </c>
      <c r="C309" s="3" t="s">
        <v>1628</v>
      </c>
      <c r="D309" s="3">
        <v>2012.0</v>
      </c>
      <c r="E309" s="3" t="s">
        <v>1629</v>
      </c>
      <c r="F309" s="3" t="s">
        <v>2456</v>
      </c>
      <c r="G309" s="3" t="s">
        <v>2283</v>
      </c>
      <c r="H309" s="3" t="s">
        <v>2357</v>
      </c>
      <c r="I309" s="3" t="s">
        <v>2143</v>
      </c>
      <c r="J309" s="9" t="s">
        <v>3044</v>
      </c>
      <c r="K309" s="9" t="s">
        <v>3099</v>
      </c>
      <c r="L309" s="8" t="s">
        <v>2457</v>
      </c>
    </row>
    <row r="310">
      <c r="A310" s="3">
        <v>760.0</v>
      </c>
      <c r="B310" s="3" t="s">
        <v>40</v>
      </c>
      <c r="C310" s="3" t="s">
        <v>1634</v>
      </c>
      <c r="D310" s="3">
        <v>1996.0</v>
      </c>
      <c r="E310" s="3" t="s">
        <v>1635</v>
      </c>
      <c r="F310" s="3" t="s">
        <v>2325</v>
      </c>
      <c r="G310" s="3" t="s">
        <v>2142</v>
      </c>
      <c r="I310" s="3" t="s">
        <v>2143</v>
      </c>
      <c r="J310" s="9" t="s">
        <v>2958</v>
      </c>
      <c r="K310" s="9" t="s">
        <v>3004</v>
      </c>
      <c r="L310" s="8" t="s">
        <v>2328</v>
      </c>
    </row>
    <row r="311">
      <c r="A311" s="3">
        <v>763.0</v>
      </c>
      <c r="B311" s="3" t="s">
        <v>40</v>
      </c>
      <c r="C311" s="3" t="s">
        <v>1640</v>
      </c>
      <c r="D311" s="3">
        <v>2013.0</v>
      </c>
      <c r="E311" s="3" t="s">
        <v>1641</v>
      </c>
      <c r="F311" s="3" t="s">
        <v>2373</v>
      </c>
      <c r="G311" s="3" t="s">
        <v>2142</v>
      </c>
      <c r="I311" s="3" t="s">
        <v>2143</v>
      </c>
      <c r="J311" s="9" t="s">
        <v>2974</v>
      </c>
      <c r="K311" s="9" t="s">
        <v>3004</v>
      </c>
      <c r="L311" s="8" t="s">
        <v>2374</v>
      </c>
    </row>
    <row r="312">
      <c r="A312" s="3">
        <v>768.0</v>
      </c>
      <c r="B312" s="3" t="s">
        <v>40</v>
      </c>
      <c r="C312" s="3" t="s">
        <v>1649</v>
      </c>
      <c r="D312" s="3">
        <v>2012.0</v>
      </c>
      <c r="E312" s="3" t="s">
        <v>1650</v>
      </c>
      <c r="F312" s="3" t="s">
        <v>2396</v>
      </c>
      <c r="G312" s="3" t="s">
        <v>2283</v>
      </c>
      <c r="I312" s="3" t="s">
        <v>2143</v>
      </c>
      <c r="J312" s="9" t="s">
        <v>3100</v>
      </c>
      <c r="K312" s="9" t="s">
        <v>3101</v>
      </c>
      <c r="L312" s="8" t="s">
        <v>2399</v>
      </c>
    </row>
    <row r="313">
      <c r="A313" s="3">
        <v>770.0</v>
      </c>
      <c r="B313" s="3" t="s">
        <v>40</v>
      </c>
      <c r="C313" s="3" t="s">
        <v>1654</v>
      </c>
      <c r="D313" s="3">
        <v>2011.0</v>
      </c>
      <c r="E313" s="3" t="s">
        <v>1655</v>
      </c>
      <c r="F313" s="3" t="s">
        <v>2345</v>
      </c>
      <c r="G313" s="3" t="s">
        <v>2142</v>
      </c>
      <c r="I313" s="3" t="s">
        <v>2143</v>
      </c>
      <c r="J313" s="9" t="s">
        <v>3102</v>
      </c>
      <c r="K313" s="9" t="s">
        <v>3103</v>
      </c>
      <c r="L313" s="8" t="s">
        <v>2346</v>
      </c>
    </row>
    <row r="314">
      <c r="A314" s="3">
        <v>771.0</v>
      </c>
      <c r="B314" s="3" t="s">
        <v>40</v>
      </c>
      <c r="C314" s="3" t="s">
        <v>1656</v>
      </c>
      <c r="D314" s="3">
        <v>2010.0</v>
      </c>
      <c r="E314" s="3" t="s">
        <v>1657</v>
      </c>
      <c r="F314" s="3" t="s">
        <v>2440</v>
      </c>
      <c r="G314" s="3" t="s">
        <v>2142</v>
      </c>
      <c r="I314" s="3" t="s">
        <v>2143</v>
      </c>
      <c r="J314" s="9" t="s">
        <v>3104</v>
      </c>
      <c r="K314" s="9" t="s">
        <v>3105</v>
      </c>
      <c r="L314" s="8" t="s">
        <v>2441</v>
      </c>
    </row>
    <row r="315">
      <c r="A315" s="3">
        <v>772.0</v>
      </c>
      <c r="B315" s="3" t="s">
        <v>40</v>
      </c>
      <c r="C315" s="3" t="s">
        <v>1658</v>
      </c>
      <c r="D315" s="3">
        <v>2016.0</v>
      </c>
      <c r="E315" s="3" t="s">
        <v>1659</v>
      </c>
      <c r="F315" s="3" t="s">
        <v>2325</v>
      </c>
      <c r="G315" s="3" t="s">
        <v>2142</v>
      </c>
      <c r="I315" s="3" t="s">
        <v>2143</v>
      </c>
      <c r="J315" s="9" t="s">
        <v>3106</v>
      </c>
      <c r="K315" s="9" t="s">
        <v>3107</v>
      </c>
      <c r="L315" s="8" t="s">
        <v>2326</v>
      </c>
    </row>
    <row r="316">
      <c r="A316" s="3">
        <v>774.0</v>
      </c>
      <c r="B316" s="3" t="s">
        <v>40</v>
      </c>
      <c r="C316" s="3" t="s">
        <v>1662</v>
      </c>
      <c r="D316" s="3">
        <v>2017.0</v>
      </c>
      <c r="E316" s="3" t="s">
        <v>1663</v>
      </c>
      <c r="F316" s="3" t="s">
        <v>2396</v>
      </c>
      <c r="G316" s="3" t="s">
        <v>2283</v>
      </c>
      <c r="I316" s="3" t="s">
        <v>2143</v>
      </c>
      <c r="J316" s="9" t="s">
        <v>3108</v>
      </c>
      <c r="K316" s="9" t="s">
        <v>3109</v>
      </c>
      <c r="L316" s="8" t="s">
        <v>2398</v>
      </c>
    </row>
    <row r="317">
      <c r="A317" s="3">
        <v>773.0</v>
      </c>
      <c r="B317" s="3" t="s">
        <v>40</v>
      </c>
      <c r="C317" s="3" t="s">
        <v>1660</v>
      </c>
      <c r="D317" s="3">
        <v>2008.0</v>
      </c>
      <c r="E317" s="3" t="s">
        <v>1661</v>
      </c>
      <c r="F317" s="3" t="s">
        <v>2417</v>
      </c>
      <c r="G317" s="3" t="s">
        <v>2142</v>
      </c>
      <c r="I317" s="3" t="s">
        <v>2143</v>
      </c>
      <c r="J317" s="9" t="s">
        <v>3073</v>
      </c>
      <c r="K317" s="9" t="s">
        <v>3110</v>
      </c>
      <c r="L317" s="8" t="s">
        <v>2418</v>
      </c>
    </row>
    <row r="318">
      <c r="A318" s="3">
        <v>840.0</v>
      </c>
      <c r="B318" s="3" t="s">
        <v>40</v>
      </c>
      <c r="C318" s="3" t="s">
        <v>1794</v>
      </c>
      <c r="D318" s="3">
        <v>2009.0</v>
      </c>
      <c r="E318" s="3" t="s">
        <v>1795</v>
      </c>
      <c r="F318" s="3" t="s">
        <v>2497</v>
      </c>
      <c r="G318" s="3" t="s">
        <v>2142</v>
      </c>
      <c r="I318" s="3" t="s">
        <v>2143</v>
      </c>
      <c r="J318" s="9" t="s">
        <v>2974</v>
      </c>
      <c r="K318" s="9" t="s">
        <v>2959</v>
      </c>
      <c r="L318" s="8" t="s">
        <v>2534</v>
      </c>
    </row>
    <row r="319">
      <c r="A319" s="3">
        <v>808.0</v>
      </c>
      <c r="B319" s="3" t="s">
        <v>40</v>
      </c>
      <c r="C319" s="3" t="s">
        <v>1730</v>
      </c>
      <c r="D319" s="3">
        <v>1998.0</v>
      </c>
      <c r="E319" s="3" t="s">
        <v>1731</v>
      </c>
      <c r="F319" s="3" t="s">
        <v>2307</v>
      </c>
      <c r="G319" s="3" t="s">
        <v>2142</v>
      </c>
      <c r="I319" s="3" t="s">
        <v>2143</v>
      </c>
      <c r="J319" s="9" t="s">
        <v>2974</v>
      </c>
      <c r="K319" s="9" t="s">
        <v>2959</v>
      </c>
      <c r="L319" s="8" t="s">
        <v>2317</v>
      </c>
    </row>
    <row r="320">
      <c r="A320" s="3">
        <v>855.0</v>
      </c>
      <c r="B320" s="3" t="s">
        <v>40</v>
      </c>
      <c r="C320" s="3" t="s">
        <v>1824</v>
      </c>
      <c r="D320" s="3">
        <v>2012.0</v>
      </c>
      <c r="E320" s="3" t="s">
        <v>1825</v>
      </c>
      <c r="F320" s="3" t="s">
        <v>2497</v>
      </c>
      <c r="G320" s="3" t="s">
        <v>2142</v>
      </c>
      <c r="I320" s="3" t="s">
        <v>2143</v>
      </c>
      <c r="J320" s="9" t="s">
        <v>2974</v>
      </c>
      <c r="K320" s="9" t="s">
        <v>2959</v>
      </c>
      <c r="L320" s="8" t="s">
        <v>2536</v>
      </c>
    </row>
    <row r="321">
      <c r="A321" s="3">
        <v>817.0</v>
      </c>
      <c r="B321" s="3" t="s">
        <v>40</v>
      </c>
      <c r="C321" s="3" t="s">
        <v>1748</v>
      </c>
      <c r="D321" s="3">
        <v>2001.0</v>
      </c>
      <c r="E321" s="3" t="s">
        <v>1749</v>
      </c>
      <c r="F321" s="3" t="s">
        <v>2440</v>
      </c>
      <c r="G321" s="3" t="s">
        <v>2142</v>
      </c>
      <c r="I321" s="3" t="s">
        <v>2143</v>
      </c>
      <c r="J321" s="9" t="s">
        <v>2974</v>
      </c>
      <c r="K321" s="9" t="s">
        <v>2959</v>
      </c>
      <c r="L321" s="8" t="s">
        <v>2449</v>
      </c>
    </row>
    <row r="322">
      <c r="A322" s="3">
        <v>810.0</v>
      </c>
      <c r="B322" s="3" t="s">
        <v>40</v>
      </c>
      <c r="C322" s="3" t="s">
        <v>1734</v>
      </c>
      <c r="D322" s="3">
        <v>1998.0</v>
      </c>
      <c r="E322" s="3" t="s">
        <v>1735</v>
      </c>
      <c r="F322" s="3" t="s">
        <v>2553</v>
      </c>
      <c r="G322" s="3" t="s">
        <v>2142</v>
      </c>
      <c r="I322" s="3" t="s">
        <v>2143</v>
      </c>
      <c r="J322" s="9" t="s">
        <v>2974</v>
      </c>
      <c r="K322" s="9" t="s">
        <v>2959</v>
      </c>
      <c r="L322" s="8" t="s">
        <v>2597</v>
      </c>
    </row>
    <row r="323">
      <c r="A323" s="3">
        <v>783.0</v>
      </c>
      <c r="B323" s="3" t="s">
        <v>40</v>
      </c>
      <c r="C323" s="3" t="s">
        <v>1681</v>
      </c>
      <c r="D323" s="3">
        <v>1978.0</v>
      </c>
      <c r="E323" s="3" t="s">
        <v>1682</v>
      </c>
      <c r="F323" s="3" t="s">
        <v>2553</v>
      </c>
      <c r="G323" s="3" t="s">
        <v>2142</v>
      </c>
      <c r="I323" s="3" t="s">
        <v>2143</v>
      </c>
      <c r="J323" s="9" t="s">
        <v>3030</v>
      </c>
      <c r="K323" s="9" t="s">
        <v>2959</v>
      </c>
      <c r="L323" s="8" t="s">
        <v>2594</v>
      </c>
    </row>
    <row r="324">
      <c r="A324" s="3">
        <v>809.0</v>
      </c>
      <c r="B324" s="3" t="s">
        <v>40</v>
      </c>
      <c r="C324" s="3" t="s">
        <v>1732</v>
      </c>
      <c r="D324" s="3">
        <v>1998.0</v>
      </c>
      <c r="E324" s="3" t="s">
        <v>1733</v>
      </c>
      <c r="G324" s="3" t="s">
        <v>2142</v>
      </c>
      <c r="I324" s="3" t="s">
        <v>2143</v>
      </c>
      <c r="J324" s="9" t="s">
        <v>2974</v>
      </c>
      <c r="K324" s="9" t="s">
        <v>2959</v>
      </c>
      <c r="L324" s="8" t="s">
        <v>2931</v>
      </c>
    </row>
    <row r="325">
      <c r="A325" s="3">
        <v>865.0</v>
      </c>
      <c r="B325" s="3" t="s">
        <v>40</v>
      </c>
      <c r="C325" s="3" t="s">
        <v>1843</v>
      </c>
      <c r="D325" s="3">
        <v>2015.0</v>
      </c>
      <c r="E325" s="3" t="s">
        <v>1844</v>
      </c>
      <c r="F325" s="3" t="s">
        <v>2553</v>
      </c>
      <c r="G325" s="3" t="s">
        <v>2142</v>
      </c>
      <c r="I325" s="3" t="s">
        <v>2143</v>
      </c>
      <c r="J325" s="9" t="s">
        <v>2974</v>
      </c>
      <c r="K325" s="9" t="s">
        <v>2959</v>
      </c>
      <c r="L325" s="8" t="s">
        <v>2599</v>
      </c>
    </row>
    <row r="326">
      <c r="A326" s="3">
        <v>856.0</v>
      </c>
      <c r="B326" s="3" t="s">
        <v>40</v>
      </c>
      <c r="C326" s="3" t="s">
        <v>1826</v>
      </c>
      <c r="D326" s="3">
        <v>2012.0</v>
      </c>
      <c r="E326" s="3" t="s">
        <v>1827</v>
      </c>
      <c r="F326" s="3" t="s">
        <v>2538</v>
      </c>
      <c r="G326" s="3" t="s">
        <v>2142</v>
      </c>
      <c r="I326" s="3" t="s">
        <v>2143</v>
      </c>
      <c r="J326" s="9" t="s">
        <v>2974</v>
      </c>
      <c r="K326" s="9" t="s">
        <v>2959</v>
      </c>
      <c r="L326" s="8" t="s">
        <v>2542</v>
      </c>
    </row>
    <row r="327">
      <c r="A327" s="3">
        <v>860.0</v>
      </c>
      <c r="B327" s="3" t="s">
        <v>40</v>
      </c>
      <c r="C327" s="3" t="s">
        <v>1834</v>
      </c>
      <c r="D327" s="3">
        <v>2013.0</v>
      </c>
      <c r="E327" s="3" t="s">
        <v>1835</v>
      </c>
      <c r="G327" s="3" t="s">
        <v>2142</v>
      </c>
      <c r="I327" s="3" t="s">
        <v>2143</v>
      </c>
      <c r="J327" s="9" t="s">
        <v>2974</v>
      </c>
      <c r="K327" s="9" t="s">
        <v>2959</v>
      </c>
      <c r="L327" s="8" t="s">
        <v>2936</v>
      </c>
    </row>
    <row r="328">
      <c r="A328" s="3">
        <v>850.0</v>
      </c>
      <c r="B328" s="3" t="s">
        <v>40</v>
      </c>
      <c r="C328" s="3" t="s">
        <v>1814</v>
      </c>
      <c r="D328" s="3">
        <v>2011.0</v>
      </c>
      <c r="E328" s="3" t="s">
        <v>1815</v>
      </c>
      <c r="F328" s="3" t="s">
        <v>2553</v>
      </c>
      <c r="G328" s="3" t="s">
        <v>2142</v>
      </c>
      <c r="I328" s="3" t="s">
        <v>2143</v>
      </c>
      <c r="J328" s="9" t="s">
        <v>2974</v>
      </c>
      <c r="K328" s="9" t="s">
        <v>2959</v>
      </c>
      <c r="L328" s="8" t="s">
        <v>2598</v>
      </c>
    </row>
    <row r="329">
      <c r="A329" s="3">
        <v>854.0</v>
      </c>
      <c r="B329" s="3" t="s">
        <v>40</v>
      </c>
      <c r="C329" s="3" t="s">
        <v>1822</v>
      </c>
      <c r="D329" s="3">
        <v>2012.0</v>
      </c>
      <c r="E329" s="3" t="s">
        <v>1823</v>
      </c>
      <c r="F329" s="3" t="s">
        <v>2497</v>
      </c>
      <c r="G329" s="3" t="s">
        <v>2142</v>
      </c>
      <c r="I329" s="3" t="s">
        <v>2143</v>
      </c>
      <c r="J329" s="9" t="s">
        <v>2974</v>
      </c>
      <c r="K329" s="9" t="s">
        <v>2959</v>
      </c>
      <c r="L329" s="8" t="s">
        <v>2535</v>
      </c>
    </row>
    <row r="330">
      <c r="A330" s="3">
        <v>788.0</v>
      </c>
      <c r="B330" s="3" t="s">
        <v>40</v>
      </c>
      <c r="C330" s="3" t="s">
        <v>1691</v>
      </c>
      <c r="D330" s="3">
        <v>1992.0</v>
      </c>
      <c r="E330" s="3" t="s">
        <v>1692</v>
      </c>
      <c r="F330" s="3" t="s">
        <v>2307</v>
      </c>
      <c r="G330" s="3" t="s">
        <v>2142</v>
      </c>
      <c r="I330" s="3" t="s">
        <v>2143</v>
      </c>
      <c r="J330" s="9" t="s">
        <v>2974</v>
      </c>
      <c r="K330" s="9" t="s">
        <v>2959</v>
      </c>
      <c r="L330" s="8" t="s">
        <v>2316</v>
      </c>
    </row>
    <row r="331">
      <c r="A331" s="3">
        <v>839.0</v>
      </c>
      <c r="B331" s="3" t="s">
        <v>40</v>
      </c>
      <c r="C331" s="3" t="s">
        <v>1792</v>
      </c>
      <c r="D331" s="3">
        <v>2009.0</v>
      </c>
      <c r="E331" s="3" t="s">
        <v>1793</v>
      </c>
      <c r="F331" s="3" t="s">
        <v>2352</v>
      </c>
      <c r="G331" s="3" t="s">
        <v>2142</v>
      </c>
      <c r="I331" s="3" t="s">
        <v>2143</v>
      </c>
      <c r="J331" s="9" t="s">
        <v>2974</v>
      </c>
      <c r="K331" s="9" t="s">
        <v>2959</v>
      </c>
      <c r="L331" s="8" t="s">
        <v>2355</v>
      </c>
    </row>
    <row r="332">
      <c r="A332" s="3">
        <v>834.0</v>
      </c>
      <c r="B332" s="3" t="s">
        <v>40</v>
      </c>
      <c r="C332" s="3" t="s">
        <v>1782</v>
      </c>
      <c r="D332" s="3">
        <v>2007.0</v>
      </c>
      <c r="E332" s="3" t="s">
        <v>1783</v>
      </c>
      <c r="F332" s="3" t="s">
        <v>2325</v>
      </c>
      <c r="G332" s="3" t="s">
        <v>2142</v>
      </c>
      <c r="I332" s="3" t="s">
        <v>2143</v>
      </c>
      <c r="J332" s="9" t="s">
        <v>2958</v>
      </c>
      <c r="K332" s="9" t="s">
        <v>2959</v>
      </c>
      <c r="L332" s="8" t="s">
        <v>2342</v>
      </c>
    </row>
    <row r="333">
      <c r="A333" s="3">
        <v>789.0</v>
      </c>
      <c r="B333" s="3" t="s">
        <v>40</v>
      </c>
      <c r="C333" s="3" t="s">
        <v>1693</v>
      </c>
      <c r="D333" s="3">
        <v>1992.0</v>
      </c>
      <c r="E333" s="3" t="s">
        <v>1694</v>
      </c>
      <c r="F333" s="3" t="s">
        <v>2553</v>
      </c>
      <c r="G333" s="3" t="s">
        <v>2142</v>
      </c>
      <c r="I333" s="3" t="s">
        <v>2143</v>
      </c>
      <c r="J333" s="9" t="s">
        <v>2958</v>
      </c>
      <c r="K333" s="9" t="s">
        <v>2959</v>
      </c>
      <c r="L333" s="8" t="s">
        <v>2584</v>
      </c>
    </row>
    <row r="334">
      <c r="A334" s="3">
        <v>791.0</v>
      </c>
      <c r="B334" s="3" t="s">
        <v>40</v>
      </c>
      <c r="C334" s="3" t="s">
        <v>1691</v>
      </c>
      <c r="D334" s="3">
        <v>1993.0</v>
      </c>
      <c r="E334" s="3" t="s">
        <v>1697</v>
      </c>
      <c r="F334" s="3" t="s">
        <v>2307</v>
      </c>
      <c r="G334" s="3" t="s">
        <v>2142</v>
      </c>
      <c r="I334" s="3" t="s">
        <v>2143</v>
      </c>
      <c r="J334" s="9" t="s">
        <v>2958</v>
      </c>
      <c r="K334" s="9" t="s">
        <v>2959</v>
      </c>
      <c r="L334" s="8" t="s">
        <v>2313</v>
      </c>
    </row>
    <row r="335">
      <c r="A335" s="3">
        <v>844.0</v>
      </c>
      <c r="B335" s="3" t="s">
        <v>40</v>
      </c>
      <c r="C335" s="3" t="s">
        <v>1802</v>
      </c>
      <c r="D335" s="3">
        <v>2010.0</v>
      </c>
      <c r="E335" s="3" t="s">
        <v>1803</v>
      </c>
      <c r="F335" s="3" t="s">
        <v>2325</v>
      </c>
      <c r="G335" s="3" t="s">
        <v>2142</v>
      </c>
      <c r="I335" s="3" t="s">
        <v>2143</v>
      </c>
      <c r="J335" s="9" t="s">
        <v>3030</v>
      </c>
      <c r="K335" s="9" t="s">
        <v>2959</v>
      </c>
      <c r="L335" s="8" t="s">
        <v>2344</v>
      </c>
    </row>
    <row r="336">
      <c r="A336" s="3">
        <v>825.0</v>
      </c>
      <c r="B336" s="3" t="s">
        <v>40</v>
      </c>
      <c r="C336" s="3" t="s">
        <v>1764</v>
      </c>
      <c r="D336" s="3">
        <v>2003.0</v>
      </c>
      <c r="E336" s="3" t="s">
        <v>1765</v>
      </c>
      <c r="F336" s="3" t="s">
        <v>2497</v>
      </c>
      <c r="G336" s="3" t="s">
        <v>2142</v>
      </c>
      <c r="I336" s="3" t="s">
        <v>2143</v>
      </c>
      <c r="J336" s="9"/>
      <c r="K336" s="9" t="s">
        <v>2959</v>
      </c>
      <c r="L336" s="8" t="s">
        <v>2537</v>
      </c>
    </row>
    <row r="337">
      <c r="A337" s="3">
        <v>784.0</v>
      </c>
      <c r="B337" s="3" t="s">
        <v>40</v>
      </c>
      <c r="C337" s="3" t="s">
        <v>1683</v>
      </c>
      <c r="D337" s="3">
        <v>1981.0</v>
      </c>
      <c r="E337" s="3" t="s">
        <v>1684</v>
      </c>
      <c r="F337" s="3" t="s">
        <v>2553</v>
      </c>
      <c r="G337" s="3" t="s">
        <v>2142</v>
      </c>
      <c r="I337" s="3" t="s">
        <v>2143</v>
      </c>
      <c r="J337" s="9" t="s">
        <v>2974</v>
      </c>
      <c r="K337" s="9" t="s">
        <v>2959</v>
      </c>
      <c r="L337" s="8" t="s">
        <v>2595</v>
      </c>
    </row>
    <row r="338">
      <c r="A338" s="3">
        <v>792.0</v>
      </c>
      <c r="B338" s="3" t="s">
        <v>40</v>
      </c>
      <c r="C338" s="3" t="s">
        <v>1584</v>
      </c>
      <c r="D338" s="3">
        <v>1993.0</v>
      </c>
      <c r="E338" s="3" t="s">
        <v>1698</v>
      </c>
      <c r="F338" s="3" t="s">
        <v>2553</v>
      </c>
      <c r="G338" s="3" t="s">
        <v>2142</v>
      </c>
      <c r="I338" s="3" t="s">
        <v>2143</v>
      </c>
      <c r="J338" s="9" t="s">
        <v>2974</v>
      </c>
      <c r="K338" s="9" t="s">
        <v>2959</v>
      </c>
      <c r="L338" s="8" t="s">
        <v>2596</v>
      </c>
    </row>
    <row r="339">
      <c r="A339" s="3">
        <v>845.0</v>
      </c>
      <c r="B339" s="3" t="s">
        <v>40</v>
      </c>
      <c r="C339" s="3" t="s">
        <v>1804</v>
      </c>
      <c r="D339" s="3">
        <v>2010.0</v>
      </c>
      <c r="E339" s="3" t="s">
        <v>1805</v>
      </c>
      <c r="F339" s="3" t="s">
        <v>2450</v>
      </c>
      <c r="G339" s="3" t="s">
        <v>2142</v>
      </c>
      <c r="I339" s="3" t="s">
        <v>2143</v>
      </c>
      <c r="J339" s="9" t="s">
        <v>2974</v>
      </c>
      <c r="K339" s="9" t="s">
        <v>2959</v>
      </c>
      <c r="L339" s="8" t="s">
        <v>2455</v>
      </c>
    </row>
    <row r="340">
      <c r="A340" s="3">
        <v>870.0</v>
      </c>
      <c r="B340" s="3" t="s">
        <v>40</v>
      </c>
      <c r="C340" s="3" t="s">
        <v>1853</v>
      </c>
      <c r="D340" s="3">
        <v>2016.0</v>
      </c>
      <c r="E340" s="3" t="s">
        <v>1854</v>
      </c>
      <c r="G340" s="3" t="s">
        <v>2142</v>
      </c>
      <c r="I340" s="3" t="s">
        <v>2143</v>
      </c>
      <c r="J340" s="9" t="s">
        <v>2974</v>
      </c>
      <c r="K340" s="9" t="s">
        <v>2959</v>
      </c>
      <c r="L340" s="8" t="s">
        <v>2935</v>
      </c>
    </row>
    <row r="341">
      <c r="A341" s="3">
        <v>853.0</v>
      </c>
      <c r="B341" s="3" t="s">
        <v>40</v>
      </c>
      <c r="C341" s="3" t="s">
        <v>1820</v>
      </c>
      <c r="D341" s="3">
        <v>2012.0</v>
      </c>
      <c r="E341" s="3" t="s">
        <v>1821</v>
      </c>
      <c r="F341" s="3" t="s">
        <v>2436</v>
      </c>
      <c r="I341" s="3" t="s">
        <v>2143</v>
      </c>
      <c r="J341" s="9" t="s">
        <v>2974</v>
      </c>
      <c r="K341" s="9" t="s">
        <v>2959</v>
      </c>
      <c r="L341" s="8" t="s">
        <v>2437</v>
      </c>
    </row>
    <row r="342">
      <c r="A342" s="3">
        <v>818.0</v>
      </c>
      <c r="B342" s="3" t="s">
        <v>40</v>
      </c>
      <c r="C342" s="3" t="s">
        <v>1750</v>
      </c>
      <c r="D342" s="3">
        <v>2001.0</v>
      </c>
      <c r="E342" s="3" t="s">
        <v>1751</v>
      </c>
      <c r="F342" s="3" t="s">
        <v>2538</v>
      </c>
      <c r="G342" s="3" t="s">
        <v>2142</v>
      </c>
      <c r="I342" s="3" t="s">
        <v>2143</v>
      </c>
      <c r="J342" s="9" t="s">
        <v>2974</v>
      </c>
      <c r="K342" s="9" t="s">
        <v>2959</v>
      </c>
      <c r="L342" s="8" t="s">
        <v>2541</v>
      </c>
    </row>
    <row r="343">
      <c r="A343" s="3">
        <v>803.0</v>
      </c>
      <c r="B343" s="3" t="s">
        <v>40</v>
      </c>
      <c r="C343" s="3" t="s">
        <v>1719</v>
      </c>
      <c r="D343" s="3">
        <v>1997.0</v>
      </c>
      <c r="E343" s="3" t="s">
        <v>1720</v>
      </c>
      <c r="G343" s="3" t="s">
        <v>2142</v>
      </c>
      <c r="I343" s="3" t="s">
        <v>2143</v>
      </c>
      <c r="J343" s="9" t="s">
        <v>2974</v>
      </c>
      <c r="K343" s="9" t="s">
        <v>2959</v>
      </c>
      <c r="L343" s="8" t="s">
        <v>2934</v>
      </c>
    </row>
    <row r="344">
      <c r="A344" s="3">
        <v>811.0</v>
      </c>
      <c r="B344" s="3" t="s">
        <v>40</v>
      </c>
      <c r="C344" s="3" t="s">
        <v>1736</v>
      </c>
      <c r="D344" s="3">
        <v>1999.0</v>
      </c>
      <c r="E344" s="3" t="s">
        <v>1737</v>
      </c>
      <c r="F344" s="3" t="s">
        <v>2553</v>
      </c>
      <c r="G344" s="3" t="s">
        <v>2142</v>
      </c>
      <c r="I344" s="3" t="s">
        <v>2143</v>
      </c>
      <c r="J344" s="9" t="s">
        <v>2956</v>
      </c>
      <c r="K344" s="9" t="s">
        <v>2959</v>
      </c>
      <c r="L344" s="8" t="s">
        <v>2590</v>
      </c>
    </row>
    <row r="345">
      <c r="A345" s="3">
        <v>804.0</v>
      </c>
      <c r="B345" s="3" t="s">
        <v>40</v>
      </c>
      <c r="C345" s="3" t="s">
        <v>1722</v>
      </c>
      <c r="D345" s="3">
        <v>1997.0</v>
      </c>
      <c r="E345" s="3" t="s">
        <v>1723</v>
      </c>
      <c r="F345" s="3" t="s">
        <v>2440</v>
      </c>
      <c r="G345" s="3" t="s">
        <v>2142</v>
      </c>
      <c r="I345" s="3" t="s">
        <v>2143</v>
      </c>
      <c r="J345" s="9" t="s">
        <v>2974</v>
      </c>
      <c r="K345" s="9" t="s">
        <v>2959</v>
      </c>
      <c r="L345" s="8" t="s">
        <v>2445</v>
      </c>
    </row>
    <row r="346">
      <c r="A346" s="3">
        <v>776.0</v>
      </c>
      <c r="B346" s="3" t="s">
        <v>40</v>
      </c>
      <c r="C346" s="3" t="s">
        <v>1666</v>
      </c>
      <c r="D346" s="3">
        <v>1983.0</v>
      </c>
      <c r="E346" s="3" t="s">
        <v>1667</v>
      </c>
      <c r="F346" s="3" t="s">
        <v>2553</v>
      </c>
      <c r="G346" s="3" t="s">
        <v>2142</v>
      </c>
      <c r="I346" s="3" t="s">
        <v>2143</v>
      </c>
      <c r="J346" s="9" t="s">
        <v>2956</v>
      </c>
      <c r="K346" s="9" t="s">
        <v>2959</v>
      </c>
      <c r="L346" s="8" t="s">
        <v>2586</v>
      </c>
    </row>
    <row r="347">
      <c r="A347" s="3">
        <v>866.0</v>
      </c>
      <c r="B347" s="3" t="s">
        <v>40</v>
      </c>
      <c r="C347" s="3" t="s">
        <v>1845</v>
      </c>
      <c r="D347" s="3">
        <v>2015.0</v>
      </c>
      <c r="E347" s="3" t="s">
        <v>1846</v>
      </c>
      <c r="F347" s="3" t="s">
        <v>2396</v>
      </c>
      <c r="G347" s="3" t="s">
        <v>2283</v>
      </c>
      <c r="I347" s="3" t="s">
        <v>2143</v>
      </c>
      <c r="J347" s="9" t="s">
        <v>2974</v>
      </c>
      <c r="K347" s="9" t="s">
        <v>2959</v>
      </c>
      <c r="L347" s="8" t="s">
        <v>2405</v>
      </c>
    </row>
    <row r="348">
      <c r="A348" s="3">
        <v>671.0</v>
      </c>
      <c r="B348" s="3" t="s">
        <v>40</v>
      </c>
      <c r="C348" s="3" t="s">
        <v>1454</v>
      </c>
      <c r="D348" s="3">
        <v>2000.0</v>
      </c>
      <c r="E348" s="3" t="s">
        <v>1455</v>
      </c>
      <c r="F348" s="3" t="s">
        <v>2553</v>
      </c>
      <c r="G348" s="3" t="s">
        <v>2142</v>
      </c>
      <c r="I348" s="3" t="s">
        <v>2143</v>
      </c>
      <c r="J348" s="9"/>
      <c r="K348" s="9"/>
      <c r="L348" s="8" t="s">
        <v>2582</v>
      </c>
    </row>
    <row r="349">
      <c r="A349" s="3">
        <v>692.0</v>
      </c>
      <c r="B349" s="3" t="s">
        <v>40</v>
      </c>
      <c r="C349" s="3" t="s">
        <v>1496</v>
      </c>
      <c r="D349" s="3">
        <v>2007.0</v>
      </c>
      <c r="E349" s="3" t="s">
        <v>1497</v>
      </c>
      <c r="G349" s="3" t="s">
        <v>2142</v>
      </c>
      <c r="I349" s="3" t="s">
        <v>2143</v>
      </c>
      <c r="J349" s="9"/>
      <c r="K349" s="9"/>
      <c r="L349" s="8" t="s">
        <v>2928</v>
      </c>
    </row>
    <row r="350">
      <c r="A350" s="3">
        <v>673.0</v>
      </c>
      <c r="B350" s="3" t="s">
        <v>40</v>
      </c>
      <c r="C350" s="3" t="s">
        <v>1458</v>
      </c>
      <c r="D350" s="3">
        <v>2001.0</v>
      </c>
      <c r="E350" s="3" t="s">
        <v>1459</v>
      </c>
      <c r="F350" s="3" t="s">
        <v>2497</v>
      </c>
      <c r="G350" s="3" t="s">
        <v>2142</v>
      </c>
      <c r="I350" s="3" t="s">
        <v>2143</v>
      </c>
      <c r="J350" s="9"/>
      <c r="K350" s="9"/>
      <c r="L350" s="8" t="s">
        <v>2531</v>
      </c>
    </row>
    <row r="351">
      <c r="A351" s="3">
        <v>442.0</v>
      </c>
      <c r="B351" s="3" t="s">
        <v>40</v>
      </c>
      <c r="C351" s="3" t="s">
        <v>1010</v>
      </c>
      <c r="D351" s="3">
        <v>2018.0</v>
      </c>
      <c r="E351" s="3" t="s">
        <v>1011</v>
      </c>
      <c r="G351" s="3" t="s">
        <v>2943</v>
      </c>
      <c r="I351" s="3" t="s">
        <v>2211</v>
      </c>
      <c r="J351" s="9" t="s">
        <v>3011</v>
      </c>
      <c r="K351" s="9" t="s">
        <v>3025</v>
      </c>
      <c r="L351" s="8" t="s">
        <v>2950</v>
      </c>
    </row>
    <row r="352">
      <c r="A352" s="3">
        <v>815.0</v>
      </c>
      <c r="B352" s="3" t="s">
        <v>40</v>
      </c>
      <c r="C352" s="3" t="s">
        <v>1744</v>
      </c>
      <c r="D352" s="3">
        <v>2001.0</v>
      </c>
      <c r="E352" s="3" t="s">
        <v>1745</v>
      </c>
      <c r="F352" s="3" t="s">
        <v>2185</v>
      </c>
      <c r="G352" s="3" t="s">
        <v>2147</v>
      </c>
      <c r="I352" s="3" t="s">
        <v>2211</v>
      </c>
      <c r="J352" s="9" t="s">
        <v>2974</v>
      </c>
      <c r="K352" s="9" t="s">
        <v>2959</v>
      </c>
      <c r="L352" s="8" t="s">
        <v>2212</v>
      </c>
    </row>
    <row r="353">
      <c r="A353" s="3">
        <v>22.0</v>
      </c>
      <c r="B353" s="3" t="s">
        <v>40</v>
      </c>
      <c r="C353" s="3" t="s">
        <v>153</v>
      </c>
      <c r="D353" s="3">
        <v>2014.0</v>
      </c>
      <c r="E353" s="3" t="s">
        <v>154</v>
      </c>
      <c r="F353" s="3" t="s">
        <v>2356</v>
      </c>
      <c r="G353" s="3" t="s">
        <v>2283</v>
      </c>
      <c r="H353" s="3" t="s">
        <v>2357</v>
      </c>
      <c r="I353" s="3" t="s">
        <v>2361</v>
      </c>
      <c r="J353" s="9" t="s">
        <v>3111</v>
      </c>
      <c r="K353" s="9" t="s">
        <v>3112</v>
      </c>
      <c r="L353" s="8" t="s">
        <v>2363</v>
      </c>
    </row>
    <row r="354">
      <c r="A354" s="3">
        <v>56.0</v>
      </c>
      <c r="B354" s="3" t="s">
        <v>40</v>
      </c>
      <c r="C354" s="3" t="s">
        <v>245</v>
      </c>
      <c r="D354" s="3">
        <v>2012.0</v>
      </c>
      <c r="E354" s="3" t="s">
        <v>246</v>
      </c>
      <c r="F354" s="3" t="s">
        <v>2356</v>
      </c>
      <c r="G354" s="3" t="s">
        <v>2283</v>
      </c>
      <c r="H354" s="3" t="s">
        <v>2357</v>
      </c>
      <c r="I354" s="3" t="s">
        <v>2361</v>
      </c>
      <c r="J354" s="9" t="s">
        <v>3113</v>
      </c>
      <c r="K354" s="9" t="s">
        <v>3114</v>
      </c>
      <c r="L354" s="8" t="s">
        <v>2362</v>
      </c>
    </row>
    <row r="355">
      <c r="A355" s="3">
        <v>91.0</v>
      </c>
      <c r="B355" s="3" t="s">
        <v>40</v>
      </c>
      <c r="C355" s="3" t="s">
        <v>347</v>
      </c>
      <c r="D355" s="3">
        <v>2012.0</v>
      </c>
      <c r="E355" s="3" t="s">
        <v>348</v>
      </c>
      <c r="F355" s="3" t="s">
        <v>2371</v>
      </c>
      <c r="I355" s="3" t="s">
        <v>2361</v>
      </c>
      <c r="J355" s="9" t="s">
        <v>3115</v>
      </c>
      <c r="K355" s="9" t="s">
        <v>3116</v>
      </c>
      <c r="L355" s="8" t="s">
        <v>2372</v>
      </c>
    </row>
    <row r="356">
      <c r="A356" s="3">
        <v>125.0</v>
      </c>
      <c r="B356" s="3" t="s">
        <v>40</v>
      </c>
      <c r="C356" s="3" t="s">
        <v>419</v>
      </c>
      <c r="D356" s="3">
        <v>2009.0</v>
      </c>
      <c r="E356" s="3" t="s">
        <v>420</v>
      </c>
      <c r="F356" s="3" t="s">
        <v>2456</v>
      </c>
      <c r="G356" s="3" t="s">
        <v>2283</v>
      </c>
      <c r="H356" s="3" t="s">
        <v>2357</v>
      </c>
      <c r="I356" s="3" t="s">
        <v>2361</v>
      </c>
      <c r="J356" s="9" t="s">
        <v>3117</v>
      </c>
      <c r="K356" s="9" t="s">
        <v>2968</v>
      </c>
      <c r="L356" s="8" t="s">
        <v>2458</v>
      </c>
    </row>
    <row r="357">
      <c r="A357" s="3">
        <v>302.0</v>
      </c>
      <c r="B357" s="3" t="s">
        <v>40</v>
      </c>
      <c r="C357" s="3" t="s">
        <v>772</v>
      </c>
      <c r="D357" s="3">
        <v>2010.0</v>
      </c>
      <c r="E357" s="3" t="s">
        <v>773</v>
      </c>
      <c r="F357" s="3" t="s">
        <v>2456</v>
      </c>
      <c r="G357" s="3" t="s">
        <v>2283</v>
      </c>
      <c r="H357" s="3" t="s">
        <v>2357</v>
      </c>
      <c r="I357" s="3" t="s">
        <v>2361</v>
      </c>
      <c r="J357" s="9" t="s">
        <v>2953</v>
      </c>
      <c r="K357" s="9" t="s">
        <v>2954</v>
      </c>
      <c r="L357" s="8" t="s">
        <v>2459</v>
      </c>
    </row>
    <row r="358">
      <c r="A358" s="3">
        <v>458.0</v>
      </c>
      <c r="B358" s="3" t="s">
        <v>40</v>
      </c>
      <c r="C358" s="3" t="s">
        <v>1044</v>
      </c>
      <c r="D358" s="3">
        <v>2006.0</v>
      </c>
      <c r="E358" s="3" t="s">
        <v>1045</v>
      </c>
      <c r="F358" s="3" t="s">
        <v>2356</v>
      </c>
      <c r="G358" s="3" t="s">
        <v>2283</v>
      </c>
      <c r="H358" s="3" t="s">
        <v>2357</v>
      </c>
      <c r="I358" s="3" t="s">
        <v>2361</v>
      </c>
      <c r="J358" s="9" t="s">
        <v>3075</v>
      </c>
      <c r="K358" s="9" t="s">
        <v>2982</v>
      </c>
      <c r="L358" s="8" t="s">
        <v>2364</v>
      </c>
    </row>
    <row r="359">
      <c r="A359" s="3">
        <v>581.0</v>
      </c>
      <c r="B359" s="3" t="s">
        <v>40</v>
      </c>
      <c r="C359" s="3" t="s">
        <v>1286</v>
      </c>
      <c r="D359" s="3">
        <v>2017.0</v>
      </c>
      <c r="E359" s="3" t="s">
        <v>1287</v>
      </c>
      <c r="F359" s="3" t="s">
        <v>2493</v>
      </c>
      <c r="G359" s="3" t="s">
        <v>2283</v>
      </c>
      <c r="I359" s="3" t="s">
        <v>2361</v>
      </c>
      <c r="J359" s="9" t="s">
        <v>3118</v>
      </c>
      <c r="K359" s="9" t="s">
        <v>2992</v>
      </c>
      <c r="L359" s="8" t="s">
        <v>2494</v>
      </c>
    </row>
    <row r="360">
      <c r="A360" s="3">
        <v>439.0</v>
      </c>
      <c r="B360" s="3" t="s">
        <v>40</v>
      </c>
      <c r="C360" s="3" t="s">
        <v>1004</v>
      </c>
      <c r="D360" s="3">
        <v>2016.0</v>
      </c>
      <c r="E360" s="3" t="s">
        <v>1005</v>
      </c>
      <c r="F360" s="3" t="s">
        <v>2146</v>
      </c>
      <c r="G360" s="3" t="s">
        <v>2147</v>
      </c>
      <c r="I360" s="3" t="s">
        <v>2152</v>
      </c>
      <c r="J360" s="9" t="s">
        <v>3011</v>
      </c>
      <c r="K360" s="9" t="s">
        <v>3025</v>
      </c>
      <c r="L360" s="8" t="s">
        <v>2153</v>
      </c>
    </row>
    <row r="361">
      <c r="A361" s="3">
        <v>257.0</v>
      </c>
      <c r="B361" s="3" t="s">
        <v>40</v>
      </c>
      <c r="C361" s="3" t="s">
        <v>681</v>
      </c>
      <c r="D361" s="3">
        <v>1998.0</v>
      </c>
      <c r="E361" s="3" t="s">
        <v>682</v>
      </c>
      <c r="F361" s="3" t="s">
        <v>2600</v>
      </c>
      <c r="G361" s="3" t="s">
        <v>2147</v>
      </c>
      <c r="H361" s="3" t="s">
        <v>2217</v>
      </c>
      <c r="I361" s="3" t="s">
        <v>2692</v>
      </c>
      <c r="J361" s="9" t="s">
        <v>2971</v>
      </c>
      <c r="K361" s="9" t="s">
        <v>2954</v>
      </c>
      <c r="L361" s="8" t="s">
        <v>2693</v>
      </c>
    </row>
    <row r="362">
      <c r="A362" s="3">
        <v>205.0</v>
      </c>
      <c r="B362" s="3" t="s">
        <v>40</v>
      </c>
      <c r="C362" s="3" t="s">
        <v>578</v>
      </c>
      <c r="D362" s="3">
        <v>2005.0</v>
      </c>
      <c r="E362" s="3" t="s">
        <v>579</v>
      </c>
      <c r="F362" s="3" t="s">
        <v>2600</v>
      </c>
      <c r="G362" s="3" t="s">
        <v>2147</v>
      </c>
      <c r="H362" s="3" t="s">
        <v>2217</v>
      </c>
      <c r="I362" s="3" t="s">
        <v>2654</v>
      </c>
      <c r="J362" s="9" t="s">
        <v>3119</v>
      </c>
      <c r="K362" s="9" t="s">
        <v>3120</v>
      </c>
      <c r="L362" s="8" t="s">
        <v>2655</v>
      </c>
    </row>
    <row r="363">
      <c r="A363" s="3">
        <v>84.0</v>
      </c>
      <c r="B363" s="3" t="s">
        <v>40</v>
      </c>
      <c r="C363" s="3" t="s">
        <v>330</v>
      </c>
      <c r="D363" s="3">
        <v>2007.0</v>
      </c>
      <c r="E363" s="3" t="s">
        <v>331</v>
      </c>
      <c r="G363" s="3" t="s">
        <v>2147</v>
      </c>
      <c r="H363" s="3" t="s">
        <v>2217</v>
      </c>
      <c r="I363" s="3" t="s">
        <v>2221</v>
      </c>
      <c r="J363" s="9" t="s">
        <v>2953</v>
      </c>
      <c r="K363" s="9" t="s">
        <v>3012</v>
      </c>
      <c r="L363" s="8" t="s">
        <v>2843</v>
      </c>
    </row>
    <row r="364">
      <c r="A364" s="3">
        <v>80.0</v>
      </c>
      <c r="B364" s="3" t="s">
        <v>40</v>
      </c>
      <c r="C364" s="3" t="s">
        <v>318</v>
      </c>
      <c r="D364" s="3">
        <v>2009.0</v>
      </c>
      <c r="E364" s="3" t="s">
        <v>319</v>
      </c>
      <c r="F364" s="3" t="s">
        <v>2600</v>
      </c>
      <c r="G364" s="3" t="s">
        <v>2147</v>
      </c>
      <c r="H364" s="3" t="s">
        <v>2217</v>
      </c>
      <c r="I364" s="3" t="s">
        <v>2221</v>
      </c>
      <c r="J364" s="9" t="s">
        <v>3121</v>
      </c>
      <c r="K364" s="9" t="s">
        <v>3012</v>
      </c>
      <c r="L364" s="8" t="s">
        <v>2633</v>
      </c>
    </row>
    <row r="365">
      <c r="A365" s="3">
        <v>87.0</v>
      </c>
      <c r="B365" s="3" t="s">
        <v>40</v>
      </c>
      <c r="C365" s="3" t="s">
        <v>337</v>
      </c>
      <c r="D365" s="3">
        <v>2019.0</v>
      </c>
      <c r="E365" s="3" t="s">
        <v>338</v>
      </c>
      <c r="F365" s="3" t="s">
        <v>2600</v>
      </c>
      <c r="G365" s="3" t="s">
        <v>2147</v>
      </c>
      <c r="H365" s="3" t="s">
        <v>2217</v>
      </c>
      <c r="I365" s="3" t="s">
        <v>2221</v>
      </c>
      <c r="J365" s="9" t="s">
        <v>3122</v>
      </c>
      <c r="K365" s="9" t="s">
        <v>3012</v>
      </c>
      <c r="L365" s="8" t="s">
        <v>2635</v>
      </c>
    </row>
    <row r="366">
      <c r="A366" s="3">
        <v>86.0</v>
      </c>
      <c r="B366" s="3" t="s">
        <v>40</v>
      </c>
      <c r="C366" s="3" t="s">
        <v>335</v>
      </c>
      <c r="D366" s="3">
        <v>2013.0</v>
      </c>
      <c r="E366" s="3" t="s">
        <v>336</v>
      </c>
      <c r="F366" s="3" t="s">
        <v>2600</v>
      </c>
      <c r="G366" s="3" t="s">
        <v>2147</v>
      </c>
      <c r="H366" s="3" t="s">
        <v>2217</v>
      </c>
      <c r="I366" s="3" t="s">
        <v>2221</v>
      </c>
      <c r="J366" s="9" t="s">
        <v>3122</v>
      </c>
      <c r="K366" s="9" t="s">
        <v>3012</v>
      </c>
      <c r="L366" s="8" t="s">
        <v>2634</v>
      </c>
    </row>
    <row r="367">
      <c r="A367" s="3">
        <v>113.0</v>
      </c>
      <c r="B367" s="3" t="s">
        <v>40</v>
      </c>
      <c r="C367" s="3" t="s">
        <v>398</v>
      </c>
      <c r="D367" s="3">
        <v>1995.0</v>
      </c>
      <c r="E367" s="3" t="s">
        <v>399</v>
      </c>
      <c r="F367" s="3" t="s">
        <v>2216</v>
      </c>
      <c r="G367" s="3" t="s">
        <v>2147</v>
      </c>
      <c r="H367" s="3" t="s">
        <v>2217</v>
      </c>
      <c r="I367" s="3" t="s">
        <v>2221</v>
      </c>
      <c r="J367" s="9" t="s">
        <v>2971</v>
      </c>
      <c r="K367" s="9" t="s">
        <v>2980</v>
      </c>
      <c r="L367" s="8" t="s">
        <v>2223</v>
      </c>
    </row>
    <row r="368">
      <c r="A368" s="3">
        <v>116.0</v>
      </c>
      <c r="B368" s="3" t="s">
        <v>40</v>
      </c>
      <c r="C368" s="3" t="s">
        <v>404</v>
      </c>
      <c r="D368" s="3">
        <v>2009.0</v>
      </c>
      <c r="E368" s="3" t="s">
        <v>405</v>
      </c>
      <c r="F368" s="3" t="s">
        <v>2216</v>
      </c>
      <c r="G368" s="3" t="s">
        <v>2147</v>
      </c>
      <c r="H368" s="3" t="s">
        <v>2217</v>
      </c>
      <c r="I368" s="3" t="s">
        <v>2221</v>
      </c>
      <c r="J368" s="9" t="s">
        <v>3123</v>
      </c>
      <c r="K368" s="9" t="s">
        <v>2980</v>
      </c>
      <c r="L368" s="8" t="s">
        <v>2222</v>
      </c>
    </row>
    <row r="369">
      <c r="A369" s="3">
        <v>208.0</v>
      </c>
      <c r="B369" s="3" t="s">
        <v>40</v>
      </c>
      <c r="C369" s="3" t="s">
        <v>584</v>
      </c>
      <c r="D369" s="3">
        <v>2018.0</v>
      </c>
      <c r="E369" s="3" t="s">
        <v>585</v>
      </c>
      <c r="F369" s="3" t="s">
        <v>2600</v>
      </c>
      <c r="G369" s="3" t="s">
        <v>2147</v>
      </c>
      <c r="H369" s="3" t="s">
        <v>2217</v>
      </c>
      <c r="I369" s="3" t="s">
        <v>2221</v>
      </c>
      <c r="J369" s="9" t="s">
        <v>3124</v>
      </c>
      <c r="K369" s="9" t="s">
        <v>3125</v>
      </c>
      <c r="L369" s="8" t="s">
        <v>2611</v>
      </c>
    </row>
    <row r="370">
      <c r="A370" s="3">
        <v>225.0</v>
      </c>
      <c r="B370" s="3" t="s">
        <v>40</v>
      </c>
      <c r="C370" s="3" t="s">
        <v>615</v>
      </c>
      <c r="D370" s="3">
        <v>2009.0</v>
      </c>
      <c r="E370" s="3" t="s">
        <v>616</v>
      </c>
      <c r="F370" s="3" t="s">
        <v>2216</v>
      </c>
      <c r="G370" s="3" t="s">
        <v>2147</v>
      </c>
      <c r="H370" s="3" t="s">
        <v>2217</v>
      </c>
      <c r="I370" s="3" t="s">
        <v>2221</v>
      </c>
      <c r="J370" s="9" t="s">
        <v>3008</v>
      </c>
      <c r="K370" s="9" t="s">
        <v>3009</v>
      </c>
      <c r="L370" s="8" t="s">
        <v>2226</v>
      </c>
    </row>
    <row r="371">
      <c r="A371" s="3">
        <v>247.0</v>
      </c>
      <c r="B371" s="3" t="s">
        <v>40</v>
      </c>
      <c r="C371" s="3" t="s">
        <v>661</v>
      </c>
      <c r="D371" s="3">
        <v>1994.0</v>
      </c>
      <c r="E371" s="3" t="s">
        <v>662</v>
      </c>
      <c r="F371" s="3" t="s">
        <v>2216</v>
      </c>
      <c r="G371" s="3" t="s">
        <v>2147</v>
      </c>
      <c r="H371" s="3" t="s">
        <v>2217</v>
      </c>
      <c r="I371" s="3" t="s">
        <v>2221</v>
      </c>
      <c r="J371" s="9" t="s">
        <v>2953</v>
      </c>
      <c r="K371" s="9" t="s">
        <v>2954</v>
      </c>
      <c r="L371" s="8" t="s">
        <v>2236</v>
      </c>
    </row>
    <row r="372">
      <c r="A372" s="3">
        <v>307.0</v>
      </c>
      <c r="B372" s="3" t="s">
        <v>40</v>
      </c>
      <c r="C372" s="3" t="s">
        <v>782</v>
      </c>
      <c r="D372" s="3">
        <v>2011.0</v>
      </c>
      <c r="E372" s="3" t="s">
        <v>783</v>
      </c>
      <c r="F372" s="3" t="s">
        <v>2600</v>
      </c>
      <c r="G372" s="3" t="s">
        <v>2147</v>
      </c>
      <c r="H372" s="3" t="s">
        <v>2217</v>
      </c>
      <c r="I372" s="3" t="s">
        <v>2221</v>
      </c>
      <c r="J372" s="9" t="s">
        <v>2953</v>
      </c>
      <c r="K372" s="9" t="s">
        <v>2954</v>
      </c>
      <c r="L372" s="8" t="s">
        <v>2686</v>
      </c>
    </row>
    <row r="373">
      <c r="A373" s="3">
        <v>306.0</v>
      </c>
      <c r="B373" s="3" t="s">
        <v>40</v>
      </c>
      <c r="C373" s="3" t="s">
        <v>780</v>
      </c>
      <c r="D373" s="3">
        <v>2011.0</v>
      </c>
      <c r="E373" s="3" t="s">
        <v>781</v>
      </c>
      <c r="F373" s="3" t="s">
        <v>2600</v>
      </c>
      <c r="G373" s="3" t="s">
        <v>2147</v>
      </c>
      <c r="H373" s="3" t="s">
        <v>2217</v>
      </c>
      <c r="I373" s="3" t="s">
        <v>2221</v>
      </c>
      <c r="J373" s="9" t="s">
        <v>2971</v>
      </c>
      <c r="K373" s="9" t="s">
        <v>2954</v>
      </c>
      <c r="L373" s="8" t="s">
        <v>2697</v>
      </c>
    </row>
    <row r="374">
      <c r="A374" s="3">
        <v>340.0</v>
      </c>
      <c r="B374" s="3" t="s">
        <v>40</v>
      </c>
      <c r="C374" s="3" t="s">
        <v>848</v>
      </c>
      <c r="D374" s="3">
        <v>2018.0</v>
      </c>
      <c r="E374" s="3" t="s">
        <v>849</v>
      </c>
      <c r="F374" s="3" t="s">
        <v>2600</v>
      </c>
      <c r="G374" s="3" t="s">
        <v>2147</v>
      </c>
      <c r="H374" s="3" t="s">
        <v>2217</v>
      </c>
      <c r="I374" s="3" t="s">
        <v>2221</v>
      </c>
      <c r="J374" s="9" t="s">
        <v>3022</v>
      </c>
      <c r="K374" s="9" t="s">
        <v>2954</v>
      </c>
      <c r="L374" s="8" t="s">
        <v>2672</v>
      </c>
    </row>
    <row r="375">
      <c r="A375" s="3">
        <v>293.0</v>
      </c>
      <c r="B375" s="3" t="s">
        <v>40</v>
      </c>
      <c r="C375" s="3" t="s">
        <v>752</v>
      </c>
      <c r="D375" s="3">
        <v>2008.0</v>
      </c>
      <c r="E375" s="3" t="s">
        <v>753</v>
      </c>
      <c r="F375" s="3" t="s">
        <v>2216</v>
      </c>
      <c r="G375" s="3" t="s">
        <v>2147</v>
      </c>
      <c r="H375" s="3" t="s">
        <v>2217</v>
      </c>
      <c r="I375" s="3" t="s">
        <v>2221</v>
      </c>
      <c r="J375" s="9" t="s">
        <v>2971</v>
      </c>
      <c r="K375" s="9" t="s">
        <v>2954</v>
      </c>
      <c r="L375" s="8" t="s">
        <v>2246</v>
      </c>
    </row>
    <row r="376">
      <c r="A376" s="3">
        <v>333.0</v>
      </c>
      <c r="B376" s="3" t="s">
        <v>40</v>
      </c>
      <c r="C376" s="3" t="s">
        <v>834</v>
      </c>
      <c r="D376" s="3">
        <v>2017.0</v>
      </c>
      <c r="E376" s="3" t="s">
        <v>835</v>
      </c>
      <c r="F376" s="3" t="s">
        <v>2600</v>
      </c>
      <c r="G376" s="3" t="s">
        <v>2147</v>
      </c>
      <c r="H376" s="3" t="s">
        <v>2217</v>
      </c>
      <c r="I376" s="3" t="s">
        <v>2221</v>
      </c>
      <c r="J376" s="9" t="s">
        <v>2971</v>
      </c>
      <c r="K376" s="9" t="s">
        <v>2954</v>
      </c>
      <c r="L376" s="8" t="s">
        <v>2699</v>
      </c>
    </row>
    <row r="377">
      <c r="A377" s="3">
        <v>256.0</v>
      </c>
      <c r="B377" s="3" t="s">
        <v>40</v>
      </c>
      <c r="C377" s="3" t="s">
        <v>679</v>
      </c>
      <c r="D377" s="3">
        <v>1998.0</v>
      </c>
      <c r="E377" s="3" t="s">
        <v>680</v>
      </c>
      <c r="F377" s="3" t="s">
        <v>2600</v>
      </c>
      <c r="G377" s="3" t="s">
        <v>2147</v>
      </c>
      <c r="H377" s="3" t="s">
        <v>2217</v>
      </c>
      <c r="I377" s="3" t="s">
        <v>2221</v>
      </c>
      <c r="J377" s="9" t="s">
        <v>2971</v>
      </c>
      <c r="K377" s="9" t="s">
        <v>2954</v>
      </c>
      <c r="L377" s="8" t="s">
        <v>2691</v>
      </c>
    </row>
    <row r="378">
      <c r="A378" s="3">
        <v>250.0</v>
      </c>
      <c r="B378" s="3" t="s">
        <v>40</v>
      </c>
      <c r="C378" s="3" t="s">
        <v>667</v>
      </c>
      <c r="D378" s="3">
        <v>1994.0</v>
      </c>
      <c r="E378" s="3" t="s">
        <v>668</v>
      </c>
      <c r="F378" s="3" t="s">
        <v>2600</v>
      </c>
      <c r="G378" s="3" t="s">
        <v>2147</v>
      </c>
      <c r="H378" s="3" t="s">
        <v>2217</v>
      </c>
      <c r="I378" s="3" t="s">
        <v>2221</v>
      </c>
      <c r="J378" s="9" t="s">
        <v>2971</v>
      </c>
      <c r="K378" s="9" t="s">
        <v>2954</v>
      </c>
      <c r="L378" s="8" t="s">
        <v>2690</v>
      </c>
    </row>
    <row r="379">
      <c r="A379" s="3">
        <v>266.0</v>
      </c>
      <c r="B379" s="3" t="s">
        <v>40</v>
      </c>
      <c r="C379" s="3" t="s">
        <v>699</v>
      </c>
      <c r="D379" s="3">
        <v>2000.0</v>
      </c>
      <c r="E379" s="3" t="s">
        <v>700</v>
      </c>
      <c r="F379" s="3" t="s">
        <v>2216</v>
      </c>
      <c r="G379" s="3" t="s">
        <v>2147</v>
      </c>
      <c r="H379" s="3" t="s">
        <v>2217</v>
      </c>
      <c r="I379" s="3" t="s">
        <v>2221</v>
      </c>
      <c r="J379" s="9" t="s">
        <v>2971</v>
      </c>
      <c r="K379" s="9" t="s">
        <v>2954</v>
      </c>
      <c r="L379" s="8" t="s">
        <v>2244</v>
      </c>
    </row>
    <row r="380">
      <c r="A380" s="3">
        <v>303.0</v>
      </c>
      <c r="B380" s="3" t="s">
        <v>40</v>
      </c>
      <c r="C380" s="3" t="s">
        <v>774</v>
      </c>
      <c r="D380" s="3">
        <v>2010.0</v>
      </c>
      <c r="E380" s="3" t="s">
        <v>775</v>
      </c>
      <c r="F380" s="3" t="s">
        <v>2216</v>
      </c>
      <c r="G380" s="3" t="s">
        <v>2147</v>
      </c>
      <c r="H380" s="3" t="s">
        <v>2217</v>
      </c>
      <c r="I380" s="3" t="s">
        <v>2221</v>
      </c>
      <c r="J380" s="9" t="s">
        <v>2971</v>
      </c>
      <c r="K380" s="9" t="s">
        <v>2954</v>
      </c>
      <c r="L380" s="8" t="s">
        <v>2247</v>
      </c>
    </row>
    <row r="381">
      <c r="A381" s="3">
        <v>245.0</v>
      </c>
      <c r="B381" s="3" t="s">
        <v>40</v>
      </c>
      <c r="C381" s="3" t="s">
        <v>657</v>
      </c>
      <c r="D381" s="3">
        <v>1993.0</v>
      </c>
      <c r="E381" s="3" t="s">
        <v>658</v>
      </c>
      <c r="F381" s="3" t="s">
        <v>2600</v>
      </c>
      <c r="G381" s="3" t="s">
        <v>2147</v>
      </c>
      <c r="H381" s="3" t="s">
        <v>2217</v>
      </c>
      <c r="I381" s="3" t="s">
        <v>2221</v>
      </c>
      <c r="J381" s="9" t="s">
        <v>3022</v>
      </c>
      <c r="K381" s="9" t="s">
        <v>2954</v>
      </c>
      <c r="L381" s="8" t="s">
        <v>2664</v>
      </c>
    </row>
    <row r="382">
      <c r="A382" s="3">
        <v>249.0</v>
      </c>
      <c r="B382" s="3" t="s">
        <v>40</v>
      </c>
      <c r="C382" s="3" t="s">
        <v>665</v>
      </c>
      <c r="D382" s="3">
        <v>1994.0</v>
      </c>
      <c r="E382" s="3" t="s">
        <v>666</v>
      </c>
      <c r="F382" s="3" t="s">
        <v>2600</v>
      </c>
      <c r="G382" s="3" t="s">
        <v>2147</v>
      </c>
      <c r="H382" s="3" t="s">
        <v>2217</v>
      </c>
      <c r="I382" s="3" t="s">
        <v>2221</v>
      </c>
      <c r="J382" s="9" t="s">
        <v>2953</v>
      </c>
      <c r="K382" s="9" t="s">
        <v>2954</v>
      </c>
      <c r="L382" s="8" t="s">
        <v>2677</v>
      </c>
    </row>
    <row r="383">
      <c r="A383" s="3">
        <v>271.0</v>
      </c>
      <c r="B383" s="3" t="s">
        <v>40</v>
      </c>
      <c r="C383" s="3" t="s">
        <v>709</v>
      </c>
      <c r="D383" s="3">
        <v>2001.0</v>
      </c>
      <c r="E383" s="3" t="s">
        <v>710</v>
      </c>
      <c r="F383" s="3" t="s">
        <v>2600</v>
      </c>
      <c r="G383" s="3" t="s">
        <v>2147</v>
      </c>
      <c r="H383" s="3" t="s">
        <v>2217</v>
      </c>
      <c r="I383" s="3" t="s">
        <v>2221</v>
      </c>
      <c r="J383" s="9" t="s">
        <v>2971</v>
      </c>
      <c r="K383" s="9" t="s">
        <v>2954</v>
      </c>
      <c r="L383" s="8" t="s">
        <v>2696</v>
      </c>
    </row>
    <row r="384">
      <c r="A384" s="3">
        <v>248.0</v>
      </c>
      <c r="B384" s="3" t="s">
        <v>40</v>
      </c>
      <c r="C384" s="3" t="s">
        <v>663</v>
      </c>
      <c r="D384" s="3">
        <v>1994.0</v>
      </c>
      <c r="E384" s="3" t="s">
        <v>664</v>
      </c>
      <c r="F384" s="3" t="s">
        <v>2600</v>
      </c>
      <c r="G384" s="3" t="s">
        <v>2147</v>
      </c>
      <c r="H384" s="3" t="s">
        <v>2217</v>
      </c>
      <c r="I384" s="3" t="s">
        <v>2221</v>
      </c>
      <c r="J384" s="9" t="s">
        <v>3022</v>
      </c>
      <c r="K384" s="9" t="s">
        <v>2954</v>
      </c>
      <c r="L384" s="8" t="s">
        <v>2665</v>
      </c>
    </row>
    <row r="385">
      <c r="A385" s="3">
        <v>252.0</v>
      </c>
      <c r="B385" s="3" t="s">
        <v>40</v>
      </c>
      <c r="C385" s="3" t="s">
        <v>671</v>
      </c>
      <c r="D385" s="3">
        <v>1996.0</v>
      </c>
      <c r="E385" s="3" t="s">
        <v>672</v>
      </c>
      <c r="F385" s="3" t="s">
        <v>2216</v>
      </c>
      <c r="G385" s="3" t="s">
        <v>2147</v>
      </c>
      <c r="H385" s="3" t="s">
        <v>2217</v>
      </c>
      <c r="I385" s="3" t="s">
        <v>2221</v>
      </c>
      <c r="J385" s="9" t="s">
        <v>2971</v>
      </c>
      <c r="K385" s="9" t="s">
        <v>2954</v>
      </c>
      <c r="L385" s="8" t="s">
        <v>2243</v>
      </c>
    </row>
    <row r="386">
      <c r="A386" s="3">
        <v>299.0</v>
      </c>
      <c r="B386" s="3" t="s">
        <v>40</v>
      </c>
      <c r="C386" s="3" t="s">
        <v>764</v>
      </c>
      <c r="D386" s="3">
        <v>2009.0</v>
      </c>
      <c r="E386" s="3" t="s">
        <v>765</v>
      </c>
      <c r="F386" s="3" t="s">
        <v>2600</v>
      </c>
      <c r="G386" s="3" t="s">
        <v>2147</v>
      </c>
      <c r="H386" s="3" t="s">
        <v>2217</v>
      </c>
      <c r="I386" s="3" t="s">
        <v>2221</v>
      </c>
      <c r="J386" s="9" t="s">
        <v>2953</v>
      </c>
      <c r="K386" s="9" t="s">
        <v>2954</v>
      </c>
      <c r="L386" s="8" t="s">
        <v>2685</v>
      </c>
    </row>
    <row r="387">
      <c r="A387" s="3">
        <v>260.0</v>
      </c>
      <c r="B387" s="3" t="s">
        <v>40</v>
      </c>
      <c r="C387" s="3" t="s">
        <v>687</v>
      </c>
      <c r="D387" s="3">
        <v>1999.0</v>
      </c>
      <c r="E387" s="3" t="s">
        <v>688</v>
      </c>
      <c r="F387" s="3" t="s">
        <v>2600</v>
      </c>
      <c r="G387" s="3" t="s">
        <v>2147</v>
      </c>
      <c r="H387" s="3" t="s">
        <v>2217</v>
      </c>
      <c r="I387" s="3" t="s">
        <v>2221</v>
      </c>
      <c r="J387" s="9" t="s">
        <v>2971</v>
      </c>
      <c r="K387" s="9" t="s">
        <v>2954</v>
      </c>
      <c r="L387" s="8" t="s">
        <v>2694</v>
      </c>
    </row>
    <row r="388">
      <c r="A388" s="3">
        <v>332.0</v>
      </c>
      <c r="B388" s="3" t="s">
        <v>40</v>
      </c>
      <c r="C388" s="3" t="s">
        <v>832</v>
      </c>
      <c r="D388" s="3">
        <v>2017.0</v>
      </c>
      <c r="E388" s="3" t="s">
        <v>833</v>
      </c>
      <c r="F388" s="3" t="s">
        <v>2216</v>
      </c>
      <c r="G388" s="3" t="s">
        <v>2147</v>
      </c>
      <c r="H388" s="3" t="s">
        <v>2217</v>
      </c>
      <c r="I388" s="3" t="s">
        <v>2221</v>
      </c>
      <c r="J388" s="9" t="s">
        <v>2971</v>
      </c>
      <c r="K388" s="9" t="s">
        <v>2954</v>
      </c>
      <c r="L388" s="8" t="s">
        <v>2248</v>
      </c>
    </row>
    <row r="389">
      <c r="A389" s="3">
        <v>426.0</v>
      </c>
      <c r="B389" s="3" t="s">
        <v>40</v>
      </c>
      <c r="C389" s="3" t="s">
        <v>978</v>
      </c>
      <c r="D389" s="3">
        <v>2020.0</v>
      </c>
      <c r="E389" s="3" t="s">
        <v>979</v>
      </c>
      <c r="F389" s="3" t="s">
        <v>2600</v>
      </c>
      <c r="G389" s="3" t="s">
        <v>2147</v>
      </c>
      <c r="H389" s="3" t="s">
        <v>2217</v>
      </c>
      <c r="I389" s="3" t="s">
        <v>2221</v>
      </c>
      <c r="J389" s="9" t="s">
        <v>3126</v>
      </c>
      <c r="K389" s="9" t="s">
        <v>3127</v>
      </c>
      <c r="L389" s="8" t="s">
        <v>2620</v>
      </c>
    </row>
    <row r="390">
      <c r="A390" s="3">
        <v>428.0</v>
      </c>
      <c r="B390" s="3" t="s">
        <v>40</v>
      </c>
      <c r="C390" s="3" t="s">
        <v>978</v>
      </c>
      <c r="D390" s="3">
        <v>2019.0</v>
      </c>
      <c r="E390" s="3" t="s">
        <v>982</v>
      </c>
      <c r="F390" s="3" t="s">
        <v>2600</v>
      </c>
      <c r="G390" s="3" t="s">
        <v>2147</v>
      </c>
      <c r="H390" s="3" t="s">
        <v>2217</v>
      </c>
      <c r="I390" s="3" t="s">
        <v>2221</v>
      </c>
      <c r="J390" s="9" t="s">
        <v>3128</v>
      </c>
      <c r="K390" s="9" t="s">
        <v>3129</v>
      </c>
      <c r="L390" s="8" t="s">
        <v>2609</v>
      </c>
    </row>
    <row r="391">
      <c r="A391" s="3">
        <v>436.0</v>
      </c>
      <c r="B391" s="3" t="s">
        <v>40</v>
      </c>
      <c r="C391" s="3" t="s">
        <v>997</v>
      </c>
      <c r="D391" s="3">
        <v>2013.0</v>
      </c>
      <c r="E391" s="3" t="s">
        <v>998</v>
      </c>
      <c r="F391" s="3" t="s">
        <v>2600</v>
      </c>
      <c r="G391" s="3" t="s">
        <v>2147</v>
      </c>
      <c r="H391" s="3" t="s">
        <v>2217</v>
      </c>
      <c r="I391" s="3" t="s">
        <v>2221</v>
      </c>
      <c r="J391" s="9" t="s">
        <v>3011</v>
      </c>
      <c r="K391" s="9" t="s">
        <v>3025</v>
      </c>
      <c r="L391" s="8" t="s">
        <v>2707</v>
      </c>
    </row>
    <row r="392">
      <c r="A392" s="3">
        <v>685.0</v>
      </c>
      <c r="B392" s="3" t="s">
        <v>40</v>
      </c>
      <c r="C392" s="3" t="s">
        <v>1483</v>
      </c>
      <c r="D392" s="3">
        <v>2006.0</v>
      </c>
      <c r="E392" s="3" t="s">
        <v>1484</v>
      </c>
      <c r="F392" s="3" t="s">
        <v>2600</v>
      </c>
      <c r="G392" s="3" t="s">
        <v>2147</v>
      </c>
      <c r="H392" s="3" t="s">
        <v>2217</v>
      </c>
      <c r="I392" s="3" t="s">
        <v>2221</v>
      </c>
      <c r="J392" s="9"/>
      <c r="K392" s="9"/>
      <c r="L392" s="8" t="s">
        <v>2771</v>
      </c>
    </row>
    <row r="393">
      <c r="A393" s="3">
        <v>708.0</v>
      </c>
      <c r="B393" s="3" t="s">
        <v>40</v>
      </c>
      <c r="C393" s="3" t="s">
        <v>1528</v>
      </c>
      <c r="D393" s="3">
        <v>2017.0</v>
      </c>
      <c r="E393" s="3" t="s">
        <v>1529</v>
      </c>
      <c r="F393" s="3" t="s">
        <v>2600</v>
      </c>
      <c r="G393" s="3" t="s">
        <v>2147</v>
      </c>
      <c r="H393" s="3" t="s">
        <v>2217</v>
      </c>
      <c r="I393" s="3" t="s">
        <v>2221</v>
      </c>
      <c r="J393" s="9"/>
      <c r="K393" s="9"/>
      <c r="L393" s="8" t="s">
        <v>2783</v>
      </c>
    </row>
    <row r="394">
      <c r="A394" s="3">
        <v>668.0</v>
      </c>
      <c r="B394" s="3" t="s">
        <v>40</v>
      </c>
      <c r="C394" s="3" t="s">
        <v>1448</v>
      </c>
      <c r="D394" s="3">
        <v>1996.0</v>
      </c>
      <c r="E394" s="3" t="s">
        <v>1449</v>
      </c>
      <c r="F394" s="3" t="s">
        <v>2600</v>
      </c>
      <c r="G394" s="3" t="s">
        <v>2147</v>
      </c>
      <c r="H394" s="3" t="s">
        <v>2217</v>
      </c>
      <c r="I394" s="3" t="s">
        <v>2221</v>
      </c>
      <c r="J394" s="9"/>
      <c r="K394" s="9"/>
      <c r="L394" s="8" t="s">
        <v>2763</v>
      </c>
    </row>
    <row r="395">
      <c r="A395" s="3">
        <v>351.0</v>
      </c>
      <c r="B395" s="3" t="s">
        <v>40</v>
      </c>
      <c r="C395" s="3" t="s">
        <v>871</v>
      </c>
      <c r="D395" s="3">
        <v>2019.0</v>
      </c>
      <c r="E395" s="3" t="s">
        <v>872</v>
      </c>
      <c r="F395" s="3" t="s">
        <v>2600</v>
      </c>
      <c r="G395" s="3" t="s">
        <v>2147</v>
      </c>
      <c r="H395" s="3" t="s">
        <v>2217</v>
      </c>
      <c r="I395" s="3" t="s">
        <v>2700</v>
      </c>
      <c r="J395" s="9" t="s">
        <v>2971</v>
      </c>
      <c r="K395" s="9" t="s">
        <v>2954</v>
      </c>
      <c r="L395" s="8" t="s">
        <v>2704</v>
      </c>
    </row>
    <row r="396">
      <c r="A396" s="3">
        <v>350.0</v>
      </c>
      <c r="B396" s="3" t="s">
        <v>40</v>
      </c>
      <c r="C396" s="3" t="s">
        <v>869</v>
      </c>
      <c r="D396" s="3">
        <v>2019.0</v>
      </c>
      <c r="E396" s="3" t="s">
        <v>870</v>
      </c>
      <c r="F396" s="3" t="s">
        <v>2600</v>
      </c>
      <c r="G396" s="3" t="s">
        <v>2147</v>
      </c>
      <c r="H396" s="3" t="s">
        <v>2217</v>
      </c>
      <c r="I396" s="3" t="s">
        <v>2700</v>
      </c>
      <c r="J396" s="9" t="s">
        <v>2971</v>
      </c>
      <c r="K396" s="9" t="s">
        <v>2954</v>
      </c>
      <c r="L396" s="8" t="s">
        <v>2703</v>
      </c>
    </row>
    <row r="397">
      <c r="A397" s="3">
        <v>348.0</v>
      </c>
      <c r="B397" s="3" t="s">
        <v>40</v>
      </c>
      <c r="C397" s="3" t="s">
        <v>864</v>
      </c>
      <c r="D397" s="3">
        <v>2019.0</v>
      </c>
      <c r="E397" s="3" t="s">
        <v>865</v>
      </c>
      <c r="F397" s="3" t="s">
        <v>2600</v>
      </c>
      <c r="G397" s="3" t="s">
        <v>2147</v>
      </c>
      <c r="H397" s="3" t="s">
        <v>2217</v>
      </c>
      <c r="I397" s="3" t="s">
        <v>2700</v>
      </c>
      <c r="J397" s="9" t="s">
        <v>2971</v>
      </c>
      <c r="K397" s="9" t="s">
        <v>2954</v>
      </c>
      <c r="L397" s="8" t="s">
        <v>2701</v>
      </c>
    </row>
    <row r="398">
      <c r="A398" s="3">
        <v>349.0</v>
      </c>
      <c r="B398" s="3" t="s">
        <v>40</v>
      </c>
      <c r="C398" s="3" t="s">
        <v>867</v>
      </c>
      <c r="D398" s="3">
        <v>2019.0</v>
      </c>
      <c r="E398" s="3" t="s">
        <v>868</v>
      </c>
      <c r="F398" s="3" t="s">
        <v>2600</v>
      </c>
      <c r="G398" s="3" t="s">
        <v>2147</v>
      </c>
      <c r="H398" s="3" t="s">
        <v>2217</v>
      </c>
      <c r="I398" s="3" t="s">
        <v>2700</v>
      </c>
      <c r="J398" s="9" t="s">
        <v>2971</v>
      </c>
      <c r="K398" s="9" t="s">
        <v>2954</v>
      </c>
      <c r="L398" s="8" t="s">
        <v>2702</v>
      </c>
    </row>
    <row r="399">
      <c r="A399" s="3">
        <v>460.0</v>
      </c>
      <c r="B399" s="3" t="s">
        <v>40</v>
      </c>
      <c r="C399" s="3" t="s">
        <v>1048</v>
      </c>
      <c r="D399" s="3">
        <v>2017.0</v>
      </c>
      <c r="E399" s="3" t="s">
        <v>1049</v>
      </c>
      <c r="F399" s="3" t="s">
        <v>2600</v>
      </c>
      <c r="G399" s="3" t="s">
        <v>2147</v>
      </c>
      <c r="H399" s="3" t="s">
        <v>2217</v>
      </c>
      <c r="I399" s="3" t="s">
        <v>2700</v>
      </c>
      <c r="J399" s="9" t="s">
        <v>3029</v>
      </c>
      <c r="K399" s="9" t="s">
        <v>2982</v>
      </c>
      <c r="L399" s="8" t="s">
        <v>2710</v>
      </c>
    </row>
    <row r="400">
      <c r="A400" s="3">
        <v>600.0</v>
      </c>
      <c r="B400" s="3" t="s">
        <v>40</v>
      </c>
      <c r="C400" s="3" t="s">
        <v>1326</v>
      </c>
      <c r="D400" s="3">
        <v>2019.0</v>
      </c>
      <c r="E400" s="3" t="s">
        <v>1327</v>
      </c>
      <c r="G400" s="3" t="s">
        <v>2147</v>
      </c>
      <c r="H400" s="3" t="s">
        <v>2217</v>
      </c>
      <c r="I400" s="3" t="s">
        <v>2700</v>
      </c>
      <c r="J400" s="9" t="s">
        <v>3118</v>
      </c>
      <c r="K400" s="9" t="s">
        <v>2992</v>
      </c>
      <c r="L400" s="8" t="s">
        <v>2853</v>
      </c>
    </row>
    <row r="401">
      <c r="A401" s="3">
        <v>9.0</v>
      </c>
      <c r="B401" s="3" t="s">
        <v>40</v>
      </c>
      <c r="C401" s="3" t="s">
        <v>98</v>
      </c>
      <c r="D401" s="3">
        <v>2011.0</v>
      </c>
      <c r="E401" s="3" t="s">
        <v>99</v>
      </c>
      <c r="F401" s="3" t="s">
        <v>2282</v>
      </c>
      <c r="G401" s="3" t="s">
        <v>2283</v>
      </c>
      <c r="I401" s="3" t="s">
        <v>2289</v>
      </c>
      <c r="J401" s="9" t="s">
        <v>3130</v>
      </c>
      <c r="K401" s="9" t="s">
        <v>2961</v>
      </c>
      <c r="L401" s="8" t="s">
        <v>2290</v>
      </c>
    </row>
    <row r="402">
      <c r="A402" s="3">
        <v>207.0</v>
      </c>
      <c r="B402" s="3" t="s">
        <v>40</v>
      </c>
      <c r="C402" s="3" t="s">
        <v>582</v>
      </c>
      <c r="D402" s="3">
        <v>2017.0</v>
      </c>
      <c r="E402" s="3" t="s">
        <v>583</v>
      </c>
      <c r="F402" s="3" t="s">
        <v>2396</v>
      </c>
      <c r="G402" s="3" t="s">
        <v>2283</v>
      </c>
      <c r="I402" s="3" t="s">
        <v>2401</v>
      </c>
      <c r="J402" s="9" t="s">
        <v>2971</v>
      </c>
      <c r="K402" s="9" t="s">
        <v>3120</v>
      </c>
      <c r="L402" s="8" t="s">
        <v>2402</v>
      </c>
    </row>
    <row r="403">
      <c r="A403" s="3">
        <v>334.0</v>
      </c>
      <c r="B403" s="3" t="s">
        <v>40</v>
      </c>
      <c r="C403" s="3" t="s">
        <v>836</v>
      </c>
      <c r="D403" s="3">
        <v>2017.0</v>
      </c>
      <c r="E403" s="3" t="s">
        <v>837</v>
      </c>
      <c r="F403" s="3" t="s">
        <v>2420</v>
      </c>
      <c r="G403" s="3" t="s">
        <v>2283</v>
      </c>
      <c r="I403" s="3" t="s">
        <v>2401</v>
      </c>
      <c r="J403" s="9" t="s">
        <v>3131</v>
      </c>
      <c r="K403" s="9" t="s">
        <v>2954</v>
      </c>
      <c r="L403" s="8" t="s">
        <v>2426</v>
      </c>
    </row>
    <row r="404">
      <c r="A404" s="3">
        <v>328.0</v>
      </c>
      <c r="B404" s="3" t="s">
        <v>40</v>
      </c>
      <c r="C404" s="3" t="s">
        <v>824</v>
      </c>
      <c r="D404" s="3">
        <v>2016.0</v>
      </c>
      <c r="E404" s="3" t="s">
        <v>825</v>
      </c>
      <c r="F404" s="3" t="s">
        <v>2420</v>
      </c>
      <c r="G404" s="3" t="s">
        <v>2283</v>
      </c>
      <c r="I404" s="3" t="s">
        <v>2401</v>
      </c>
      <c r="J404" s="9" t="s">
        <v>2971</v>
      </c>
      <c r="K404" s="9" t="s">
        <v>2954</v>
      </c>
      <c r="L404" s="8" t="s">
        <v>2427</v>
      </c>
    </row>
    <row r="405">
      <c r="A405" s="3">
        <v>329.0</v>
      </c>
      <c r="B405" s="3" t="s">
        <v>40</v>
      </c>
      <c r="C405" s="3" t="s">
        <v>826</v>
      </c>
      <c r="D405" s="3">
        <v>2016.0</v>
      </c>
      <c r="E405" s="3" t="s">
        <v>827</v>
      </c>
      <c r="F405" s="3" t="s">
        <v>2456</v>
      </c>
      <c r="G405" s="3" t="s">
        <v>2283</v>
      </c>
      <c r="H405" s="3" t="s">
        <v>2357</v>
      </c>
      <c r="I405" s="3" t="s">
        <v>2460</v>
      </c>
      <c r="J405" s="9" t="s">
        <v>2953</v>
      </c>
      <c r="K405" s="9" t="s">
        <v>2954</v>
      </c>
      <c r="L405" s="8" t="s">
        <v>2461</v>
      </c>
    </row>
    <row r="406">
      <c r="A406" s="3">
        <v>320.0</v>
      </c>
      <c r="B406" s="3" t="s">
        <v>40</v>
      </c>
      <c r="C406" s="3" t="s">
        <v>808</v>
      </c>
      <c r="D406" s="3">
        <v>2014.0</v>
      </c>
      <c r="E406" s="3" t="s">
        <v>809</v>
      </c>
      <c r="F406" s="3" t="s">
        <v>2497</v>
      </c>
      <c r="G406" s="3" t="s">
        <v>2142</v>
      </c>
      <c r="I406" s="3" t="s">
        <v>2517</v>
      </c>
      <c r="J406" s="9" t="s">
        <v>2953</v>
      </c>
      <c r="K406" s="9" t="s">
        <v>2954</v>
      </c>
      <c r="L406" s="8" t="s">
        <v>2518</v>
      </c>
    </row>
    <row r="407">
      <c r="A407" s="3">
        <v>574.0</v>
      </c>
      <c r="B407" s="3" t="s">
        <v>40</v>
      </c>
      <c r="C407" s="3" t="s">
        <v>1273</v>
      </c>
      <c r="D407" s="3">
        <v>2016.0</v>
      </c>
      <c r="E407" s="3" t="s">
        <v>1274</v>
      </c>
      <c r="G407" s="3" t="s">
        <v>2142</v>
      </c>
      <c r="I407" s="3" t="s">
        <v>2517</v>
      </c>
      <c r="J407" s="9" t="s">
        <v>2983</v>
      </c>
      <c r="K407" s="9" t="s">
        <v>2992</v>
      </c>
      <c r="L407" s="8" t="s">
        <v>2915</v>
      </c>
    </row>
    <row r="408">
      <c r="A408" s="3">
        <v>872.0</v>
      </c>
      <c r="B408" s="3" t="s">
        <v>40</v>
      </c>
      <c r="C408" s="3" t="s">
        <v>1858</v>
      </c>
      <c r="D408" s="3">
        <v>2018.0</v>
      </c>
      <c r="E408" s="3" t="s">
        <v>1859</v>
      </c>
      <c r="F408" s="3" t="s">
        <v>2307</v>
      </c>
      <c r="G408" s="3" t="s">
        <v>2142</v>
      </c>
      <c r="I408" s="3" t="s">
        <v>2314</v>
      </c>
      <c r="J408" s="9" t="s">
        <v>2956</v>
      </c>
      <c r="K408" s="9" t="s">
        <v>2959</v>
      </c>
      <c r="L408" s="8" t="s">
        <v>2315</v>
      </c>
    </row>
    <row r="409">
      <c r="A409" s="3">
        <v>552.0</v>
      </c>
      <c r="B409" s="3" t="s">
        <v>40</v>
      </c>
      <c r="C409" s="3" t="s">
        <v>1228</v>
      </c>
      <c r="D409" s="3">
        <v>2012.0</v>
      </c>
      <c r="E409" s="3" t="s">
        <v>1229</v>
      </c>
      <c r="F409" s="3" t="s">
        <v>2177</v>
      </c>
      <c r="G409" s="3" t="s">
        <v>2142</v>
      </c>
      <c r="I409" s="3" t="s">
        <v>2180</v>
      </c>
      <c r="J409" s="9" t="s">
        <v>2985</v>
      </c>
      <c r="K409" s="9" t="s">
        <v>2992</v>
      </c>
      <c r="L409" s="8" t="s">
        <v>2181</v>
      </c>
    </row>
    <row r="410">
      <c r="A410" s="3">
        <v>537.0</v>
      </c>
      <c r="B410" s="3" t="s">
        <v>40</v>
      </c>
      <c r="C410" s="3" t="s">
        <v>1197</v>
      </c>
      <c r="D410" s="3">
        <v>2010.0</v>
      </c>
      <c r="E410" s="3" t="s">
        <v>1198</v>
      </c>
      <c r="F410" s="3" t="s">
        <v>2497</v>
      </c>
      <c r="G410" s="3" t="s">
        <v>2142</v>
      </c>
      <c r="I410" s="3" t="s">
        <v>2180</v>
      </c>
      <c r="J410" s="9" t="s">
        <v>2985</v>
      </c>
      <c r="K410" s="9" t="s">
        <v>2992</v>
      </c>
      <c r="L410" s="8" t="s">
        <v>2527</v>
      </c>
    </row>
    <row r="411">
      <c r="A411" s="3">
        <v>582.0</v>
      </c>
      <c r="B411" s="3" t="s">
        <v>40</v>
      </c>
      <c r="C411" s="3" t="s">
        <v>1289</v>
      </c>
      <c r="D411" s="3">
        <v>2017.0</v>
      </c>
      <c r="E411" s="3" t="s">
        <v>1290</v>
      </c>
      <c r="F411" s="3" t="s">
        <v>2345</v>
      </c>
      <c r="G411" s="3" t="s">
        <v>2142</v>
      </c>
      <c r="I411" s="3" t="s">
        <v>2180</v>
      </c>
      <c r="J411" s="9" t="s">
        <v>2983</v>
      </c>
      <c r="K411" s="9" t="s">
        <v>2992</v>
      </c>
      <c r="L411" s="8" t="s">
        <v>2349</v>
      </c>
    </row>
    <row r="412">
      <c r="A412" s="3">
        <v>828.0</v>
      </c>
      <c r="B412" s="3" t="s">
        <v>40</v>
      </c>
      <c r="C412" s="3" t="s">
        <v>1770</v>
      </c>
      <c r="D412" s="3">
        <v>2006.0</v>
      </c>
      <c r="E412" s="3" t="s">
        <v>1771</v>
      </c>
      <c r="F412" s="3" t="s">
        <v>2379</v>
      </c>
      <c r="G412" s="3" t="s">
        <v>2142</v>
      </c>
      <c r="I412" s="3" t="s">
        <v>2180</v>
      </c>
      <c r="J412" s="9" t="s">
        <v>2974</v>
      </c>
      <c r="K412" s="9" t="s">
        <v>2959</v>
      </c>
      <c r="L412" s="8" t="s">
        <v>2395</v>
      </c>
    </row>
    <row r="413">
      <c r="A413" s="3">
        <v>228.0</v>
      </c>
      <c r="B413" s="3" t="s">
        <v>40</v>
      </c>
      <c r="C413" s="3" t="s">
        <v>621</v>
      </c>
      <c r="D413" s="3">
        <v>2015.0</v>
      </c>
      <c r="E413" s="3" t="s">
        <v>622</v>
      </c>
      <c r="F413" s="3" t="s">
        <v>2325</v>
      </c>
      <c r="G413" s="3" t="s">
        <v>2142</v>
      </c>
      <c r="I413" s="3" t="s">
        <v>2329</v>
      </c>
      <c r="J413" s="9" t="s">
        <v>3008</v>
      </c>
      <c r="K413" s="9" t="s">
        <v>3009</v>
      </c>
      <c r="L413" s="8" t="s">
        <v>2330</v>
      </c>
    </row>
    <row r="414">
      <c r="A414" s="3">
        <v>504.0</v>
      </c>
      <c r="B414" s="3" t="s">
        <v>40</v>
      </c>
      <c r="C414" s="3" t="s">
        <v>1131</v>
      </c>
      <c r="D414" s="3">
        <v>2000.0</v>
      </c>
      <c r="E414" s="3" t="s">
        <v>1132</v>
      </c>
      <c r="F414" s="3" t="s">
        <v>2163</v>
      </c>
      <c r="G414" s="3" t="s">
        <v>2142</v>
      </c>
      <c r="I414" s="3" t="s">
        <v>2170</v>
      </c>
      <c r="J414" s="9" t="s">
        <v>3010</v>
      </c>
      <c r="K414" s="9" t="s">
        <v>2992</v>
      </c>
      <c r="L414" s="8" t="s">
        <v>2171</v>
      </c>
    </row>
    <row r="415">
      <c r="A415" s="3">
        <v>8.0</v>
      </c>
      <c r="B415" s="3" t="s">
        <v>40</v>
      </c>
      <c r="C415" s="3" t="s">
        <v>93</v>
      </c>
      <c r="D415" s="3">
        <v>1998.0</v>
      </c>
      <c r="E415" s="3" t="s">
        <v>94</v>
      </c>
      <c r="F415" s="3" t="s">
        <v>2318</v>
      </c>
      <c r="G415" s="3" t="s">
        <v>2142</v>
      </c>
      <c r="I415" s="3" t="s">
        <v>2166</v>
      </c>
      <c r="J415" s="9" t="s">
        <v>3130</v>
      </c>
      <c r="K415" s="9" t="s">
        <v>2961</v>
      </c>
      <c r="L415" s="8" t="s">
        <v>2319</v>
      </c>
    </row>
    <row r="416">
      <c r="A416" s="3">
        <v>37.0</v>
      </c>
      <c r="B416" s="3" t="s">
        <v>40</v>
      </c>
      <c r="C416" s="3" t="s">
        <v>195</v>
      </c>
      <c r="D416" s="3">
        <v>2012.0</v>
      </c>
      <c r="E416" s="3" t="s">
        <v>196</v>
      </c>
      <c r="F416" s="3" t="s">
        <v>2325</v>
      </c>
      <c r="G416" s="3" t="s">
        <v>2142</v>
      </c>
      <c r="I416" s="3" t="s">
        <v>2166</v>
      </c>
      <c r="J416" s="9" t="s">
        <v>3132</v>
      </c>
      <c r="K416" s="9" t="s">
        <v>2965</v>
      </c>
      <c r="L416" s="8" t="s">
        <v>2332</v>
      </c>
    </row>
    <row r="417">
      <c r="A417" s="3">
        <v>33.0</v>
      </c>
      <c r="B417" s="3" t="s">
        <v>40</v>
      </c>
      <c r="C417" s="3" t="s">
        <v>185</v>
      </c>
      <c r="D417" s="3">
        <v>2008.0</v>
      </c>
      <c r="E417" s="3" t="s">
        <v>186</v>
      </c>
      <c r="F417" s="3" t="s">
        <v>2325</v>
      </c>
      <c r="G417" s="3" t="s">
        <v>2142</v>
      </c>
      <c r="I417" s="3" t="s">
        <v>2166</v>
      </c>
      <c r="J417" s="9" t="s">
        <v>3132</v>
      </c>
      <c r="K417" s="9" t="s">
        <v>2965</v>
      </c>
      <c r="L417" s="8" t="s">
        <v>2331</v>
      </c>
    </row>
    <row r="418">
      <c r="A418" s="3">
        <v>32.0</v>
      </c>
      <c r="B418" s="3" t="s">
        <v>40</v>
      </c>
      <c r="C418" s="3" t="s">
        <v>182</v>
      </c>
      <c r="D418" s="3">
        <v>2008.0</v>
      </c>
      <c r="E418" s="3" t="s">
        <v>183</v>
      </c>
      <c r="F418" s="3" t="s">
        <v>2307</v>
      </c>
      <c r="G418" s="3" t="s">
        <v>2142</v>
      </c>
      <c r="I418" s="3" t="s">
        <v>2166</v>
      </c>
      <c r="J418" s="9" t="s">
        <v>2973</v>
      </c>
      <c r="K418" s="9" t="s">
        <v>2965</v>
      </c>
      <c r="L418" s="8" t="s">
        <v>2308</v>
      </c>
    </row>
    <row r="419">
      <c r="A419" s="3">
        <v>59.0</v>
      </c>
      <c r="B419" s="3" t="s">
        <v>40</v>
      </c>
      <c r="C419" s="3" t="s">
        <v>255</v>
      </c>
      <c r="D419" s="3">
        <v>2001.0</v>
      </c>
      <c r="E419" s="3" t="s">
        <v>256</v>
      </c>
      <c r="F419" s="3" t="s">
        <v>2553</v>
      </c>
      <c r="G419" s="3" t="s">
        <v>2142</v>
      </c>
      <c r="I419" s="3" t="s">
        <v>2166</v>
      </c>
      <c r="J419" s="9" t="s">
        <v>3133</v>
      </c>
      <c r="K419" s="9" t="s">
        <v>2970</v>
      </c>
      <c r="L419" s="8" t="s">
        <v>2563</v>
      </c>
    </row>
    <row r="420">
      <c r="A420" s="3">
        <v>198.0</v>
      </c>
      <c r="B420" s="3" t="s">
        <v>40</v>
      </c>
      <c r="C420" s="3" t="s">
        <v>563</v>
      </c>
      <c r="D420" s="3">
        <v>2003.0</v>
      </c>
      <c r="E420" s="3" t="s">
        <v>564</v>
      </c>
      <c r="F420" s="3" t="s">
        <v>2553</v>
      </c>
      <c r="G420" s="3" t="s">
        <v>2142</v>
      </c>
      <c r="I420" s="3" t="s">
        <v>2166</v>
      </c>
      <c r="J420" s="9" t="s">
        <v>3134</v>
      </c>
      <c r="K420" s="9" t="s">
        <v>3135</v>
      </c>
      <c r="L420" s="8" t="s">
        <v>2554</v>
      </c>
    </row>
    <row r="421">
      <c r="A421" s="3">
        <v>212.0</v>
      </c>
      <c r="B421" s="3" t="s">
        <v>40</v>
      </c>
      <c r="C421" s="3" t="s">
        <v>591</v>
      </c>
      <c r="D421" s="3">
        <v>2001.0</v>
      </c>
      <c r="E421" s="3" t="s">
        <v>592</v>
      </c>
      <c r="F421" s="3" t="s">
        <v>2553</v>
      </c>
      <c r="G421" s="3" t="s">
        <v>2142</v>
      </c>
      <c r="I421" s="3" t="s">
        <v>2166</v>
      </c>
      <c r="J421" s="9" t="s">
        <v>3136</v>
      </c>
      <c r="K421" s="9" t="s">
        <v>3009</v>
      </c>
      <c r="L421" s="8" t="s">
        <v>2565</v>
      </c>
    </row>
    <row r="422">
      <c r="A422" s="3">
        <v>294.0</v>
      </c>
      <c r="B422" s="3" t="s">
        <v>40</v>
      </c>
      <c r="C422" s="3" t="s">
        <v>754</v>
      </c>
      <c r="D422" s="3">
        <v>2008.0</v>
      </c>
      <c r="E422" s="3" t="s">
        <v>755</v>
      </c>
      <c r="F422" s="3" t="s">
        <v>2163</v>
      </c>
      <c r="G422" s="3" t="s">
        <v>2142</v>
      </c>
      <c r="I422" s="3" t="s">
        <v>2166</v>
      </c>
      <c r="J422" s="9" t="s">
        <v>2971</v>
      </c>
      <c r="K422" s="9" t="s">
        <v>2954</v>
      </c>
      <c r="L422" s="8" t="s">
        <v>2167</v>
      </c>
    </row>
    <row r="423">
      <c r="A423" s="3">
        <v>261.0</v>
      </c>
      <c r="B423" s="3" t="s">
        <v>40</v>
      </c>
      <c r="C423" s="3" t="s">
        <v>689</v>
      </c>
      <c r="D423" s="3">
        <v>1999.0</v>
      </c>
      <c r="E423" s="3" t="s">
        <v>690</v>
      </c>
      <c r="F423" s="3" t="s">
        <v>2318</v>
      </c>
      <c r="G423" s="3" t="s">
        <v>2142</v>
      </c>
      <c r="I423" s="3" t="s">
        <v>2166</v>
      </c>
      <c r="J423" s="9" t="s">
        <v>2953</v>
      </c>
      <c r="K423" s="9" t="s">
        <v>2954</v>
      </c>
      <c r="L423" s="8" t="s">
        <v>2323</v>
      </c>
    </row>
    <row r="424">
      <c r="A424" s="3">
        <v>143.0</v>
      </c>
      <c r="B424" s="3" t="s">
        <v>40</v>
      </c>
      <c r="C424" s="3" t="s">
        <v>456</v>
      </c>
      <c r="D424" s="3">
        <v>2012.0</v>
      </c>
      <c r="E424" s="3" t="s">
        <v>457</v>
      </c>
      <c r="F424" s="3" t="s">
        <v>2373</v>
      </c>
      <c r="G424" s="3" t="s">
        <v>2142</v>
      </c>
      <c r="I424" s="3" t="s">
        <v>2166</v>
      </c>
      <c r="J424" s="9" t="s">
        <v>2971</v>
      </c>
      <c r="K424" s="9" t="s">
        <v>2954</v>
      </c>
      <c r="L424" s="8" t="s">
        <v>2376</v>
      </c>
    </row>
    <row r="425">
      <c r="A425" s="3">
        <v>267.0</v>
      </c>
      <c r="B425" s="3" t="s">
        <v>40</v>
      </c>
      <c r="C425" s="3" t="s">
        <v>701</v>
      </c>
      <c r="D425" s="3">
        <v>2000.0</v>
      </c>
      <c r="E425" s="3" t="s">
        <v>702</v>
      </c>
      <c r="G425" s="3" t="s">
        <v>2142</v>
      </c>
      <c r="I425" s="3" t="s">
        <v>2166</v>
      </c>
      <c r="J425" s="9" t="s">
        <v>2953</v>
      </c>
      <c r="K425" s="9" t="s">
        <v>2954</v>
      </c>
      <c r="L425" s="8" t="s">
        <v>2895</v>
      </c>
    </row>
    <row r="426">
      <c r="A426" s="3">
        <v>352.0</v>
      </c>
      <c r="B426" s="3" t="s">
        <v>40</v>
      </c>
      <c r="C426" s="3" t="s">
        <v>873</v>
      </c>
      <c r="D426" s="3">
        <v>2019.0</v>
      </c>
      <c r="E426" s="3" t="s">
        <v>874</v>
      </c>
      <c r="F426" s="3" t="s">
        <v>2553</v>
      </c>
      <c r="G426" s="3" t="s">
        <v>2142</v>
      </c>
      <c r="I426" s="3" t="s">
        <v>2166</v>
      </c>
      <c r="J426" s="9" t="s">
        <v>3022</v>
      </c>
      <c r="K426" s="9" t="s">
        <v>2954</v>
      </c>
      <c r="L426" s="8" t="s">
        <v>2567</v>
      </c>
    </row>
    <row r="427">
      <c r="A427" s="3">
        <v>246.0</v>
      </c>
      <c r="B427" s="3" t="s">
        <v>40</v>
      </c>
      <c r="C427" s="3" t="s">
        <v>659</v>
      </c>
      <c r="D427" s="3">
        <v>1993.0</v>
      </c>
      <c r="E427" s="3" t="s">
        <v>660</v>
      </c>
      <c r="F427" s="3" t="s">
        <v>2497</v>
      </c>
      <c r="G427" s="3" t="s">
        <v>2142</v>
      </c>
      <c r="I427" s="3" t="s">
        <v>2166</v>
      </c>
      <c r="J427" s="9" t="s">
        <v>2953</v>
      </c>
      <c r="K427" s="9" t="s">
        <v>2954</v>
      </c>
      <c r="L427" s="8" t="s">
        <v>2514</v>
      </c>
    </row>
    <row r="428">
      <c r="A428" s="3">
        <v>82.0</v>
      </c>
      <c r="B428" s="3" t="s">
        <v>40</v>
      </c>
      <c r="C428" s="3" t="s">
        <v>324</v>
      </c>
      <c r="D428" s="3">
        <v>2017.0</v>
      </c>
      <c r="E428" s="3" t="s">
        <v>325</v>
      </c>
      <c r="F428" s="3" t="s">
        <v>2282</v>
      </c>
      <c r="G428" s="3" t="s">
        <v>2283</v>
      </c>
      <c r="I428" s="3" t="s">
        <v>2284</v>
      </c>
      <c r="J428" s="9" t="s">
        <v>3137</v>
      </c>
      <c r="K428" s="9" t="s">
        <v>3138</v>
      </c>
      <c r="L428" s="8" t="s">
        <v>2285</v>
      </c>
    </row>
    <row r="429">
      <c r="A429" s="3">
        <v>133.0</v>
      </c>
      <c r="B429" s="3" t="s">
        <v>40</v>
      </c>
      <c r="C429" s="3" t="s">
        <v>434</v>
      </c>
      <c r="D429" s="3">
        <v>2013.0</v>
      </c>
      <c r="E429" s="3" t="s">
        <v>435</v>
      </c>
      <c r="F429" s="3" t="s">
        <v>2487</v>
      </c>
      <c r="G429" s="3" t="s">
        <v>2142</v>
      </c>
      <c r="I429" s="3" t="s">
        <v>2284</v>
      </c>
      <c r="J429" s="9" t="s">
        <v>3139</v>
      </c>
      <c r="K429" s="9" t="s">
        <v>2968</v>
      </c>
      <c r="L429" s="8" t="s">
        <v>2488</v>
      </c>
    </row>
    <row r="430">
      <c r="A430" s="3">
        <v>335.0</v>
      </c>
      <c r="B430" s="3" t="s">
        <v>40</v>
      </c>
      <c r="C430" s="3" t="s">
        <v>838</v>
      </c>
      <c r="D430" s="3">
        <v>2017.0</v>
      </c>
      <c r="E430" s="3" t="s">
        <v>839</v>
      </c>
      <c r="F430" s="3" t="s">
        <v>2282</v>
      </c>
      <c r="G430" s="3" t="s">
        <v>2283</v>
      </c>
      <c r="I430" s="3" t="s">
        <v>2284</v>
      </c>
      <c r="J430" s="9" t="s">
        <v>2953</v>
      </c>
      <c r="K430" s="9" t="s">
        <v>2954</v>
      </c>
      <c r="L430" s="8" t="s">
        <v>2293</v>
      </c>
    </row>
    <row r="431">
      <c r="A431" s="3">
        <v>341.0</v>
      </c>
      <c r="B431" s="3" t="s">
        <v>40</v>
      </c>
      <c r="C431" s="3" t="s">
        <v>850</v>
      </c>
      <c r="D431" s="3">
        <v>2018.0</v>
      </c>
      <c r="E431" s="3" t="s">
        <v>851</v>
      </c>
      <c r="F431" s="3" t="s">
        <v>2487</v>
      </c>
      <c r="G431" s="3" t="s">
        <v>2142</v>
      </c>
      <c r="I431" s="3" t="s">
        <v>2284</v>
      </c>
      <c r="J431" s="9" t="s">
        <v>2953</v>
      </c>
      <c r="K431" s="9" t="s">
        <v>2954</v>
      </c>
      <c r="L431" s="8" t="s">
        <v>2489</v>
      </c>
    </row>
    <row r="432">
      <c r="A432" s="3">
        <v>336.0</v>
      </c>
      <c r="B432" s="3" t="s">
        <v>40</v>
      </c>
      <c r="C432" s="3" t="s">
        <v>840</v>
      </c>
      <c r="D432" s="3">
        <v>2017.0</v>
      </c>
      <c r="E432" s="3" t="s">
        <v>841</v>
      </c>
      <c r="F432" s="3" t="s">
        <v>2282</v>
      </c>
      <c r="G432" s="3" t="s">
        <v>2283</v>
      </c>
      <c r="I432" s="3" t="s">
        <v>2284</v>
      </c>
      <c r="J432" s="9" t="s">
        <v>2953</v>
      </c>
      <c r="K432" s="9" t="s">
        <v>2954</v>
      </c>
      <c r="L432" s="8" t="s">
        <v>2294</v>
      </c>
    </row>
    <row r="433">
      <c r="A433" s="3">
        <v>275.0</v>
      </c>
      <c r="B433" s="3" t="s">
        <v>40</v>
      </c>
      <c r="C433" s="3" t="s">
        <v>717</v>
      </c>
      <c r="D433" s="3">
        <v>2002.0</v>
      </c>
      <c r="E433" s="3" t="s">
        <v>718</v>
      </c>
      <c r="F433" s="3" t="s">
        <v>2497</v>
      </c>
      <c r="G433" s="3" t="s">
        <v>2142</v>
      </c>
      <c r="I433" s="3" t="s">
        <v>2515</v>
      </c>
      <c r="J433" s="9" t="s">
        <v>2971</v>
      </c>
      <c r="K433" s="9" t="s">
        <v>2954</v>
      </c>
      <c r="L433" s="8" t="s">
        <v>2520</v>
      </c>
    </row>
    <row r="434">
      <c r="A434" s="3">
        <v>283.0</v>
      </c>
      <c r="B434" s="3" t="s">
        <v>40</v>
      </c>
      <c r="C434" s="3" t="s">
        <v>732</v>
      </c>
      <c r="D434" s="3">
        <v>2005.0</v>
      </c>
      <c r="E434" s="3" t="s">
        <v>733</v>
      </c>
      <c r="F434" s="3" t="s">
        <v>2497</v>
      </c>
      <c r="G434" s="3" t="s">
        <v>2142</v>
      </c>
      <c r="I434" s="3" t="s">
        <v>2515</v>
      </c>
      <c r="J434" s="9" t="s">
        <v>2953</v>
      </c>
      <c r="K434" s="9" t="s">
        <v>2954</v>
      </c>
      <c r="L434" s="8" t="s">
        <v>2516</v>
      </c>
    </row>
    <row r="435">
      <c r="A435" s="3">
        <v>312.0</v>
      </c>
      <c r="B435" s="3" t="s">
        <v>40</v>
      </c>
      <c r="C435" s="3" t="s">
        <v>792</v>
      </c>
      <c r="D435" s="3">
        <v>2012.0</v>
      </c>
      <c r="E435" s="3" t="s">
        <v>793</v>
      </c>
      <c r="G435" s="3" t="s">
        <v>2142</v>
      </c>
      <c r="I435" s="3" t="s">
        <v>2515</v>
      </c>
      <c r="J435" s="9" t="s">
        <v>2953</v>
      </c>
      <c r="K435" s="9" t="s">
        <v>2954</v>
      </c>
      <c r="L435" s="8" t="s">
        <v>2894</v>
      </c>
    </row>
    <row r="436">
      <c r="A436" s="3">
        <v>71.0</v>
      </c>
      <c r="B436" s="3" t="s">
        <v>40</v>
      </c>
      <c r="C436" s="3" t="s">
        <v>291</v>
      </c>
      <c r="D436" s="3">
        <v>2010.0</v>
      </c>
      <c r="E436" s="3" t="s">
        <v>292</v>
      </c>
      <c r="F436" s="3" t="s">
        <v>2282</v>
      </c>
      <c r="G436" s="3" t="s">
        <v>2283</v>
      </c>
      <c r="I436" s="3" t="s">
        <v>2287</v>
      </c>
      <c r="J436" s="9" t="s">
        <v>3140</v>
      </c>
      <c r="K436" s="9" t="s">
        <v>2970</v>
      </c>
      <c r="L436" s="8" t="s">
        <v>2288</v>
      </c>
    </row>
    <row r="437">
      <c r="A437" s="3">
        <v>3.0</v>
      </c>
      <c r="B437" s="3" t="s">
        <v>40</v>
      </c>
      <c r="C437" s="3" t="s">
        <v>66</v>
      </c>
      <c r="D437" s="3">
        <v>1998.0</v>
      </c>
      <c r="E437" s="3" t="s">
        <v>67</v>
      </c>
      <c r="F437" s="3" t="s">
        <v>2553</v>
      </c>
      <c r="G437" s="3" t="s">
        <v>2142</v>
      </c>
      <c r="I437" s="3" t="s">
        <v>2311</v>
      </c>
      <c r="J437" s="9" t="s">
        <v>3141</v>
      </c>
      <c r="K437" s="9" t="s">
        <v>3142</v>
      </c>
      <c r="L437" s="8" t="s">
        <v>2559</v>
      </c>
    </row>
    <row r="438">
      <c r="A438" s="3">
        <v>12.0</v>
      </c>
      <c r="B438" s="3" t="s">
        <v>40</v>
      </c>
      <c r="C438" s="3" t="s">
        <v>115</v>
      </c>
      <c r="D438" s="3">
        <v>2012.0</v>
      </c>
      <c r="E438" s="3" t="s">
        <v>116</v>
      </c>
      <c r="F438" s="3" t="s">
        <v>2553</v>
      </c>
      <c r="G438" s="3" t="s">
        <v>2142</v>
      </c>
      <c r="I438" s="3" t="s">
        <v>2311</v>
      </c>
      <c r="J438" s="9" t="s">
        <v>3143</v>
      </c>
      <c r="K438" s="9" t="s">
        <v>3144</v>
      </c>
      <c r="L438" s="8" t="s">
        <v>2564</v>
      </c>
    </row>
    <row r="439">
      <c r="A439" s="3">
        <v>23.0</v>
      </c>
      <c r="B439" s="3" t="s">
        <v>40</v>
      </c>
      <c r="C439" s="3" t="s">
        <v>156</v>
      </c>
      <c r="D439" s="3">
        <v>2012.0</v>
      </c>
      <c r="E439" s="3" t="s">
        <v>157</v>
      </c>
      <c r="F439" s="3" t="s">
        <v>2497</v>
      </c>
      <c r="G439" s="3" t="s">
        <v>2142</v>
      </c>
      <c r="I439" s="3" t="s">
        <v>2311</v>
      </c>
      <c r="J439" s="9" t="s">
        <v>3145</v>
      </c>
      <c r="K439" s="9" t="s">
        <v>3146</v>
      </c>
      <c r="L439" s="8" t="s">
        <v>2511</v>
      </c>
    </row>
    <row r="440">
      <c r="A440" s="3">
        <v>28.0</v>
      </c>
      <c r="B440" s="3" t="s">
        <v>40</v>
      </c>
      <c r="C440" s="3" t="s">
        <v>174</v>
      </c>
      <c r="D440" s="3">
        <v>2000.0</v>
      </c>
      <c r="E440" s="3" t="s">
        <v>175</v>
      </c>
      <c r="F440" s="3" t="s">
        <v>2497</v>
      </c>
      <c r="G440" s="3" t="s">
        <v>2142</v>
      </c>
      <c r="I440" s="3" t="s">
        <v>2311</v>
      </c>
      <c r="J440" s="9" t="s">
        <v>3132</v>
      </c>
      <c r="K440" s="9" t="s">
        <v>2965</v>
      </c>
      <c r="L440" s="8" t="s">
        <v>2513</v>
      </c>
    </row>
    <row r="441">
      <c r="A441" s="3">
        <v>38.0</v>
      </c>
      <c r="B441" s="3" t="s">
        <v>40</v>
      </c>
      <c r="C441" s="3" t="s">
        <v>197</v>
      </c>
      <c r="D441" s="3">
        <v>2016.0</v>
      </c>
      <c r="E441" s="3" t="s">
        <v>198</v>
      </c>
      <c r="F441" s="3" t="s">
        <v>2471</v>
      </c>
      <c r="G441" s="3" t="s">
        <v>2142</v>
      </c>
      <c r="I441" s="3" t="s">
        <v>2311</v>
      </c>
      <c r="J441" s="9" t="s">
        <v>3132</v>
      </c>
      <c r="K441" s="9" t="s">
        <v>2965</v>
      </c>
      <c r="L441" s="8" t="s">
        <v>2473</v>
      </c>
    </row>
    <row r="442">
      <c r="A442" s="3">
        <v>39.0</v>
      </c>
      <c r="B442" s="3" t="s">
        <v>40</v>
      </c>
      <c r="C442" s="3" t="s">
        <v>199</v>
      </c>
      <c r="D442" s="3">
        <v>2017.0</v>
      </c>
      <c r="E442" s="3" t="s">
        <v>200</v>
      </c>
      <c r="F442" s="3" t="s">
        <v>2379</v>
      </c>
      <c r="G442" s="3" t="s">
        <v>2142</v>
      </c>
      <c r="I442" s="3" t="s">
        <v>2311</v>
      </c>
      <c r="J442" s="9" t="s">
        <v>3147</v>
      </c>
      <c r="K442" s="9" t="s">
        <v>2965</v>
      </c>
      <c r="L442" s="8" t="s">
        <v>2391</v>
      </c>
    </row>
    <row r="443">
      <c r="A443" s="3">
        <v>66.0</v>
      </c>
      <c r="B443" s="3" t="s">
        <v>40</v>
      </c>
      <c r="C443" s="3" t="s">
        <v>276</v>
      </c>
      <c r="D443" s="3">
        <v>1991.0</v>
      </c>
      <c r="E443" s="3" t="s">
        <v>277</v>
      </c>
      <c r="F443" s="3" t="s">
        <v>2553</v>
      </c>
      <c r="G443" s="3" t="s">
        <v>2142</v>
      </c>
      <c r="I443" s="3" t="s">
        <v>2311</v>
      </c>
      <c r="J443" s="9" t="s">
        <v>3148</v>
      </c>
      <c r="K443" s="9" t="s">
        <v>3149</v>
      </c>
      <c r="L443" s="8" t="s">
        <v>2560</v>
      </c>
    </row>
    <row r="444">
      <c r="A444" s="3">
        <v>68.0</v>
      </c>
      <c r="B444" s="3" t="s">
        <v>40</v>
      </c>
      <c r="C444" s="3" t="s">
        <v>280</v>
      </c>
      <c r="D444" s="3">
        <v>1993.0</v>
      </c>
      <c r="E444" s="3" t="s">
        <v>281</v>
      </c>
      <c r="F444" s="3" t="s">
        <v>2553</v>
      </c>
      <c r="G444" s="3" t="s">
        <v>2142</v>
      </c>
      <c r="I444" s="3" t="s">
        <v>2311</v>
      </c>
      <c r="J444" s="9" t="s">
        <v>3150</v>
      </c>
      <c r="K444" s="9" t="s">
        <v>2970</v>
      </c>
      <c r="L444" s="8" t="s">
        <v>2562</v>
      </c>
    </row>
    <row r="445">
      <c r="A445" s="3">
        <v>99.0</v>
      </c>
      <c r="B445" s="3" t="s">
        <v>40</v>
      </c>
      <c r="C445" s="3" t="s">
        <v>365</v>
      </c>
      <c r="D445" s="3">
        <v>1987.0</v>
      </c>
      <c r="E445" s="3" t="s">
        <v>366</v>
      </c>
      <c r="F445" s="3" t="s">
        <v>2440</v>
      </c>
      <c r="G445" s="3" t="s">
        <v>2142</v>
      </c>
      <c r="I445" s="3" t="s">
        <v>2311</v>
      </c>
      <c r="J445" s="9" t="s">
        <v>3151</v>
      </c>
      <c r="K445" s="9" t="s">
        <v>3017</v>
      </c>
      <c r="L445" s="8" t="s">
        <v>2443</v>
      </c>
    </row>
    <row r="446">
      <c r="A446" s="3">
        <v>112.0</v>
      </c>
      <c r="B446" s="3" t="s">
        <v>40</v>
      </c>
      <c r="C446" s="3" t="s">
        <v>396</v>
      </c>
      <c r="D446" s="3">
        <v>1995.0</v>
      </c>
      <c r="E446" s="3" t="s">
        <v>397</v>
      </c>
      <c r="F446" s="3" t="s">
        <v>2318</v>
      </c>
      <c r="G446" s="3" t="s">
        <v>2142</v>
      </c>
      <c r="I446" s="3" t="s">
        <v>2311</v>
      </c>
      <c r="J446" s="9" t="s">
        <v>3152</v>
      </c>
      <c r="K446" s="9" t="s">
        <v>2980</v>
      </c>
      <c r="L446" s="8" t="s">
        <v>2322</v>
      </c>
    </row>
    <row r="447">
      <c r="A447" s="3">
        <v>206.0</v>
      </c>
      <c r="B447" s="3" t="s">
        <v>40</v>
      </c>
      <c r="C447" s="3" t="s">
        <v>580</v>
      </c>
      <c r="D447" s="3">
        <v>2006.0</v>
      </c>
      <c r="E447" s="3" t="s">
        <v>581</v>
      </c>
      <c r="F447" s="3" t="s">
        <v>2379</v>
      </c>
      <c r="G447" s="3" t="s">
        <v>2142</v>
      </c>
      <c r="I447" s="3" t="s">
        <v>2311</v>
      </c>
      <c r="J447" s="9" t="s">
        <v>3153</v>
      </c>
      <c r="K447" s="9" t="s">
        <v>3120</v>
      </c>
      <c r="L447" s="8" t="s">
        <v>2390</v>
      </c>
    </row>
    <row r="448">
      <c r="A448" s="3">
        <v>214.0</v>
      </c>
      <c r="B448" s="3" t="s">
        <v>40</v>
      </c>
      <c r="C448" s="3" t="s">
        <v>595</v>
      </c>
      <c r="D448" s="3">
        <v>2018.0</v>
      </c>
      <c r="E448" s="3" t="s">
        <v>596</v>
      </c>
      <c r="F448" s="3" t="s">
        <v>2440</v>
      </c>
      <c r="G448" s="3" t="s">
        <v>2142</v>
      </c>
      <c r="I448" s="3" t="s">
        <v>2311</v>
      </c>
      <c r="J448" s="9" t="s">
        <v>3154</v>
      </c>
      <c r="K448" s="9" t="s">
        <v>3155</v>
      </c>
      <c r="L448" s="8" t="s">
        <v>2442</v>
      </c>
    </row>
    <row r="449">
      <c r="A449" s="3">
        <v>221.0</v>
      </c>
      <c r="B449" s="3" t="s">
        <v>40</v>
      </c>
      <c r="C449" s="3" t="s">
        <v>174</v>
      </c>
      <c r="D449" s="3">
        <v>2001.0</v>
      </c>
      <c r="E449" s="3" t="s">
        <v>608</v>
      </c>
      <c r="F449" s="3" t="s">
        <v>2497</v>
      </c>
      <c r="G449" s="3" t="s">
        <v>2142</v>
      </c>
      <c r="I449" s="3" t="s">
        <v>2311</v>
      </c>
      <c r="J449" s="9" t="s">
        <v>3008</v>
      </c>
      <c r="K449" s="9" t="s">
        <v>3009</v>
      </c>
      <c r="L449" s="8" t="s">
        <v>2512</v>
      </c>
    </row>
    <row r="450">
      <c r="A450" s="3">
        <v>229.0</v>
      </c>
      <c r="B450" s="3" t="s">
        <v>40</v>
      </c>
      <c r="C450" s="3" t="s">
        <v>623</v>
      </c>
      <c r="D450" s="3">
        <v>2015.0</v>
      </c>
      <c r="E450" s="3" t="s">
        <v>624</v>
      </c>
      <c r="F450" s="3" t="s">
        <v>2440</v>
      </c>
      <c r="G450" s="3" t="s">
        <v>2142</v>
      </c>
      <c r="I450" s="3" t="s">
        <v>2311</v>
      </c>
      <c r="J450" s="9" t="s">
        <v>3008</v>
      </c>
      <c r="K450" s="9" t="s">
        <v>3009</v>
      </c>
      <c r="L450" s="8" t="s">
        <v>2444</v>
      </c>
    </row>
    <row r="451">
      <c r="A451" s="3">
        <v>220.0</v>
      </c>
      <c r="B451" s="3" t="s">
        <v>40</v>
      </c>
      <c r="C451" s="3" t="s">
        <v>606</v>
      </c>
      <c r="D451" s="3">
        <v>1993.0</v>
      </c>
      <c r="E451" s="3" t="s">
        <v>607</v>
      </c>
      <c r="G451" s="3" t="s">
        <v>2142</v>
      </c>
      <c r="I451" s="3" t="s">
        <v>2311</v>
      </c>
      <c r="J451" s="9" t="s">
        <v>3008</v>
      </c>
      <c r="K451" s="9" t="s">
        <v>3009</v>
      </c>
      <c r="L451" s="8" t="s">
        <v>2889</v>
      </c>
    </row>
    <row r="452">
      <c r="A452" s="3">
        <v>286.0</v>
      </c>
      <c r="B452" s="3" t="s">
        <v>40</v>
      </c>
      <c r="C452" s="3" t="s">
        <v>738</v>
      </c>
      <c r="D452" s="3">
        <v>2006.0</v>
      </c>
      <c r="E452" s="3" t="s">
        <v>739</v>
      </c>
      <c r="G452" s="3" t="s">
        <v>2142</v>
      </c>
      <c r="I452" s="3" t="s">
        <v>2311</v>
      </c>
      <c r="J452" s="9" t="s">
        <v>2953</v>
      </c>
      <c r="K452" s="9" t="s">
        <v>2954</v>
      </c>
      <c r="L452" s="8" t="s">
        <v>2893</v>
      </c>
    </row>
    <row r="453">
      <c r="A453" s="3">
        <v>317.0</v>
      </c>
      <c r="B453" s="3" t="s">
        <v>40</v>
      </c>
      <c r="C453" s="3" t="s">
        <v>802</v>
      </c>
      <c r="D453" s="3">
        <v>2013.0</v>
      </c>
      <c r="E453" s="3" t="s">
        <v>803</v>
      </c>
      <c r="F453" s="3" t="s">
        <v>2373</v>
      </c>
      <c r="G453" s="3" t="s">
        <v>2142</v>
      </c>
      <c r="I453" s="3" t="s">
        <v>2311</v>
      </c>
      <c r="J453" s="9" t="s">
        <v>2953</v>
      </c>
      <c r="K453" s="9" t="s">
        <v>2954</v>
      </c>
      <c r="L453" s="8" t="s">
        <v>2375</v>
      </c>
    </row>
    <row r="454">
      <c r="A454" s="3">
        <v>337.0</v>
      </c>
      <c r="B454" s="3" t="s">
        <v>40</v>
      </c>
      <c r="C454" s="3" t="s">
        <v>842</v>
      </c>
      <c r="D454" s="3">
        <v>2017.0</v>
      </c>
      <c r="E454" s="3" t="s">
        <v>843</v>
      </c>
      <c r="F454" s="3" t="s">
        <v>2396</v>
      </c>
      <c r="G454" s="3" t="s">
        <v>2283</v>
      </c>
      <c r="I454" s="3" t="s">
        <v>2311</v>
      </c>
      <c r="J454" s="9" t="s">
        <v>2971</v>
      </c>
      <c r="K454" s="9" t="s">
        <v>2954</v>
      </c>
      <c r="L454" s="8" t="s">
        <v>2403</v>
      </c>
    </row>
    <row r="455">
      <c r="A455" s="3">
        <v>316.0</v>
      </c>
      <c r="B455" s="3" t="s">
        <v>40</v>
      </c>
      <c r="C455" s="3" t="s">
        <v>800</v>
      </c>
      <c r="D455" s="3">
        <v>2013.0</v>
      </c>
      <c r="E455" s="3" t="s">
        <v>801</v>
      </c>
      <c r="F455" s="3" t="s">
        <v>2553</v>
      </c>
      <c r="G455" s="3" t="s">
        <v>2142</v>
      </c>
      <c r="I455" s="3" t="s">
        <v>2311</v>
      </c>
      <c r="J455" s="9" t="s">
        <v>2953</v>
      </c>
      <c r="K455" s="9" t="s">
        <v>2954</v>
      </c>
      <c r="L455" s="8" t="s">
        <v>2573</v>
      </c>
    </row>
    <row r="456">
      <c r="A456" s="3">
        <v>272.0</v>
      </c>
      <c r="B456" s="3" t="s">
        <v>40</v>
      </c>
      <c r="C456" s="3" t="s">
        <v>711</v>
      </c>
      <c r="D456" s="3">
        <v>2001.0</v>
      </c>
      <c r="E456" s="3" t="s">
        <v>712</v>
      </c>
      <c r="F456" s="3" t="s">
        <v>2497</v>
      </c>
      <c r="G456" s="3" t="s">
        <v>2142</v>
      </c>
      <c r="I456" s="3" t="s">
        <v>2311</v>
      </c>
      <c r="J456" s="9" t="s">
        <v>2971</v>
      </c>
      <c r="K456" s="9" t="s">
        <v>2954</v>
      </c>
      <c r="L456" s="8" t="s">
        <v>2519</v>
      </c>
    </row>
    <row r="457">
      <c r="A457" s="3">
        <v>242.0</v>
      </c>
      <c r="B457" s="3" t="s">
        <v>40</v>
      </c>
      <c r="C457" s="3" t="s">
        <v>651</v>
      </c>
      <c r="D457" s="3">
        <v>1989.0</v>
      </c>
      <c r="E457" s="3" t="s">
        <v>652</v>
      </c>
      <c r="F457" s="3" t="s">
        <v>2553</v>
      </c>
      <c r="G457" s="3" t="s">
        <v>2142</v>
      </c>
      <c r="I457" s="3" t="s">
        <v>2311</v>
      </c>
      <c r="J457" s="9" t="s">
        <v>2953</v>
      </c>
      <c r="K457" s="9" t="s">
        <v>2954</v>
      </c>
      <c r="L457" s="8" t="s">
        <v>2568</v>
      </c>
    </row>
    <row r="458">
      <c r="A458" s="3">
        <v>279.0</v>
      </c>
      <c r="B458" s="3" t="s">
        <v>40</v>
      </c>
      <c r="C458" s="3" t="s">
        <v>724</v>
      </c>
      <c r="D458" s="3">
        <v>2004.0</v>
      </c>
      <c r="E458" s="3" t="s">
        <v>725</v>
      </c>
      <c r="F458" s="3" t="s">
        <v>2553</v>
      </c>
      <c r="G458" s="3" t="s">
        <v>2142</v>
      </c>
      <c r="I458" s="3" t="s">
        <v>2311</v>
      </c>
      <c r="J458" s="9" t="s">
        <v>2953</v>
      </c>
      <c r="K458" s="9" t="s">
        <v>2954</v>
      </c>
      <c r="L458" s="8" t="s">
        <v>2571</v>
      </c>
    </row>
    <row r="459">
      <c r="A459" s="3">
        <v>258.0</v>
      </c>
      <c r="B459" s="3" t="s">
        <v>40</v>
      </c>
      <c r="C459" s="3" t="s">
        <v>683</v>
      </c>
      <c r="D459" s="3">
        <v>1998.0</v>
      </c>
      <c r="E459" s="3" t="s">
        <v>684</v>
      </c>
      <c r="F459" s="3" t="s">
        <v>2553</v>
      </c>
      <c r="G459" s="3" t="s">
        <v>2142</v>
      </c>
      <c r="I459" s="3" t="s">
        <v>2311</v>
      </c>
      <c r="J459" s="9" t="s">
        <v>2953</v>
      </c>
      <c r="K459" s="9" t="s">
        <v>2954</v>
      </c>
      <c r="L459" s="8" t="s">
        <v>2569</v>
      </c>
    </row>
    <row r="460">
      <c r="A460" s="3">
        <v>430.0</v>
      </c>
      <c r="B460" s="3" t="s">
        <v>40</v>
      </c>
      <c r="C460" s="3" t="s">
        <v>985</v>
      </c>
      <c r="D460" s="3">
        <v>2010.0</v>
      </c>
      <c r="E460" s="3" t="s">
        <v>986</v>
      </c>
      <c r="F460" s="3" t="s">
        <v>2553</v>
      </c>
      <c r="G460" s="3" t="s">
        <v>2142</v>
      </c>
      <c r="I460" s="3" t="s">
        <v>2311</v>
      </c>
      <c r="J460" s="9" t="s">
        <v>3023</v>
      </c>
      <c r="K460" s="9" t="s">
        <v>3156</v>
      </c>
      <c r="L460" s="8" t="s">
        <v>2566</v>
      </c>
    </row>
    <row r="461">
      <c r="A461" s="3">
        <v>514.0</v>
      </c>
      <c r="B461" s="3" t="s">
        <v>40</v>
      </c>
      <c r="C461" s="3" t="s">
        <v>1151</v>
      </c>
      <c r="D461" s="3">
        <v>2004.0</v>
      </c>
      <c r="E461" s="3" t="s">
        <v>1152</v>
      </c>
      <c r="F461" s="3" t="s">
        <v>2307</v>
      </c>
      <c r="G461" s="3" t="s">
        <v>2142</v>
      </c>
      <c r="I461" s="3" t="s">
        <v>2311</v>
      </c>
      <c r="J461" s="9" t="s">
        <v>2985</v>
      </c>
      <c r="K461" s="9" t="s">
        <v>2992</v>
      </c>
      <c r="L461" s="8" t="s">
        <v>2312</v>
      </c>
    </row>
    <row r="462">
      <c r="A462" s="3">
        <v>539.0</v>
      </c>
      <c r="B462" s="3" t="s">
        <v>40</v>
      </c>
      <c r="C462" s="3" t="s">
        <v>1201</v>
      </c>
      <c r="D462" s="3">
        <v>2010.0</v>
      </c>
      <c r="E462" s="3" t="s">
        <v>1202</v>
      </c>
      <c r="F462" s="3" t="s">
        <v>2379</v>
      </c>
      <c r="G462" s="3" t="s">
        <v>2142</v>
      </c>
      <c r="I462" s="3" t="s">
        <v>2311</v>
      </c>
      <c r="J462" s="9" t="s">
        <v>2983</v>
      </c>
      <c r="K462" s="9" t="s">
        <v>2992</v>
      </c>
      <c r="L462" s="8" t="s">
        <v>2392</v>
      </c>
    </row>
    <row r="463">
      <c r="A463" s="3">
        <v>538.0</v>
      </c>
      <c r="B463" s="3" t="s">
        <v>40</v>
      </c>
      <c r="C463" s="3" t="s">
        <v>1199</v>
      </c>
      <c r="D463" s="3">
        <v>2010.0</v>
      </c>
      <c r="E463" s="3" t="s">
        <v>1200</v>
      </c>
      <c r="F463" s="3" t="s">
        <v>2352</v>
      </c>
      <c r="G463" s="3" t="s">
        <v>2142</v>
      </c>
      <c r="I463" s="3" t="s">
        <v>2311</v>
      </c>
      <c r="J463" s="9" t="s">
        <v>2985</v>
      </c>
      <c r="K463" s="9" t="s">
        <v>2992</v>
      </c>
      <c r="L463" s="8" t="s">
        <v>2354</v>
      </c>
    </row>
    <row r="464">
      <c r="A464" s="3">
        <v>505.0</v>
      </c>
      <c r="B464" s="3" t="s">
        <v>40</v>
      </c>
      <c r="C464" s="3" t="s">
        <v>1133</v>
      </c>
      <c r="D464" s="3">
        <v>2000.0</v>
      </c>
      <c r="E464" s="3" t="s">
        <v>1134</v>
      </c>
      <c r="F464" s="3" t="s">
        <v>2553</v>
      </c>
      <c r="G464" s="3" t="s">
        <v>2142</v>
      </c>
      <c r="I464" s="3" t="s">
        <v>2311</v>
      </c>
      <c r="J464" s="9" t="s">
        <v>2983</v>
      </c>
      <c r="K464" s="9" t="s">
        <v>2992</v>
      </c>
      <c r="L464" s="8" t="s">
        <v>2579</v>
      </c>
    </row>
    <row r="465">
      <c r="A465" s="3">
        <v>602.0</v>
      </c>
      <c r="B465" s="3" t="s">
        <v>40</v>
      </c>
      <c r="C465" s="3" t="s">
        <v>1330</v>
      </c>
      <c r="D465" s="3">
        <v>2019.0</v>
      </c>
      <c r="E465" s="3" t="s">
        <v>1331</v>
      </c>
      <c r="F465" s="3" t="s">
        <v>2484</v>
      </c>
      <c r="G465" s="3" t="s">
        <v>2142</v>
      </c>
      <c r="I465" s="3" t="s">
        <v>2311</v>
      </c>
      <c r="J465" s="9" t="s">
        <v>2983</v>
      </c>
      <c r="K465" s="9" t="s">
        <v>2992</v>
      </c>
      <c r="L465" s="8" t="s">
        <v>2486</v>
      </c>
    </row>
    <row r="466">
      <c r="A466" s="3">
        <v>649.0</v>
      </c>
      <c r="B466" s="3" t="s">
        <v>40</v>
      </c>
      <c r="C466" s="3" t="s">
        <v>1411</v>
      </c>
      <c r="D466" s="3">
        <v>2011.0</v>
      </c>
      <c r="E466" s="3" t="s">
        <v>1412</v>
      </c>
      <c r="F466" s="3" t="s">
        <v>2497</v>
      </c>
      <c r="G466" s="3" t="s">
        <v>2142</v>
      </c>
      <c r="I466" s="3" t="s">
        <v>2311</v>
      </c>
      <c r="J466" s="9"/>
      <c r="K466" s="9" t="s">
        <v>2955</v>
      </c>
      <c r="L466" s="8" t="s">
        <v>2530</v>
      </c>
    </row>
    <row r="467">
      <c r="A467" s="3">
        <v>741.0</v>
      </c>
      <c r="B467" s="3" t="s">
        <v>40</v>
      </c>
      <c r="C467" s="3" t="s">
        <v>1598</v>
      </c>
      <c r="D467" s="3">
        <v>2013.0</v>
      </c>
      <c r="E467" s="3" t="s">
        <v>1599</v>
      </c>
      <c r="F467" s="3" t="s">
        <v>2497</v>
      </c>
      <c r="G467" s="3" t="s">
        <v>2142</v>
      </c>
      <c r="I467" s="3" t="s">
        <v>2311</v>
      </c>
      <c r="J467" s="9" t="s">
        <v>2996</v>
      </c>
      <c r="K467" s="9" t="s">
        <v>2995</v>
      </c>
      <c r="L467" s="8" t="s">
        <v>2509</v>
      </c>
    </row>
    <row r="468">
      <c r="A468" s="3">
        <v>835.0</v>
      </c>
      <c r="B468" s="3" t="s">
        <v>40</v>
      </c>
      <c r="C468" s="3" t="s">
        <v>1784</v>
      </c>
      <c r="D468" s="3">
        <v>2008.0</v>
      </c>
      <c r="E468" s="3" t="s">
        <v>1785</v>
      </c>
      <c r="F468" s="3" t="s">
        <v>2497</v>
      </c>
      <c r="G468" s="3" t="s">
        <v>2142</v>
      </c>
      <c r="I468" s="3" t="s">
        <v>2311</v>
      </c>
      <c r="J468" s="9" t="s">
        <v>2974</v>
      </c>
      <c r="K468" s="9" t="s">
        <v>2959</v>
      </c>
      <c r="L468" s="8" t="s">
        <v>2533</v>
      </c>
    </row>
    <row r="469">
      <c r="A469" s="3">
        <v>74.0</v>
      </c>
      <c r="B469" s="3" t="s">
        <v>40</v>
      </c>
      <c r="C469" s="3" t="s">
        <v>300</v>
      </c>
      <c r="D469" s="3">
        <v>2016.0</v>
      </c>
      <c r="E469" s="3" t="s">
        <v>301</v>
      </c>
      <c r="F469" s="3" t="s">
        <v>2420</v>
      </c>
      <c r="G469" s="3" t="s">
        <v>2283</v>
      </c>
      <c r="I469" s="3" t="s">
        <v>2423</v>
      </c>
      <c r="J469" s="9" t="s">
        <v>3140</v>
      </c>
      <c r="K469" s="9" t="s">
        <v>2970</v>
      </c>
      <c r="L469" s="8" t="s">
        <v>2422</v>
      </c>
    </row>
    <row r="470">
      <c r="A470" s="3">
        <v>73.0</v>
      </c>
      <c r="B470" s="3" t="s">
        <v>40</v>
      </c>
      <c r="C470" s="3" t="s">
        <v>296</v>
      </c>
      <c r="D470" s="3">
        <v>2016.0</v>
      </c>
      <c r="E470" s="3" t="s">
        <v>297</v>
      </c>
      <c r="F470" s="3" t="s">
        <v>2420</v>
      </c>
      <c r="G470" s="3" t="s">
        <v>2283</v>
      </c>
      <c r="I470" s="3" t="s">
        <v>2424</v>
      </c>
      <c r="J470" s="9" t="s">
        <v>3157</v>
      </c>
      <c r="K470" s="9" t="s">
        <v>2970</v>
      </c>
      <c r="L470" s="8" t="s">
        <v>2425</v>
      </c>
    </row>
    <row r="471">
      <c r="A471" s="3">
        <v>322.0</v>
      </c>
      <c r="B471" s="3" t="s">
        <v>40</v>
      </c>
      <c r="C471" s="3" t="s">
        <v>811</v>
      </c>
      <c r="D471" s="3">
        <v>2014.0</v>
      </c>
      <c r="E471" s="3" t="s">
        <v>812</v>
      </c>
      <c r="F471" s="3" t="s">
        <v>2406</v>
      </c>
      <c r="G471" s="3" t="s">
        <v>2283</v>
      </c>
      <c r="I471" s="3" t="s">
        <v>2409</v>
      </c>
      <c r="J471" s="9" t="s">
        <v>2953</v>
      </c>
      <c r="K471" s="9" t="s">
        <v>2954</v>
      </c>
      <c r="L471" s="8" t="s">
        <v>2410</v>
      </c>
    </row>
    <row r="472">
      <c r="A472" s="3">
        <v>35.0</v>
      </c>
      <c r="B472" s="3" t="s">
        <v>40</v>
      </c>
      <c r="C472" s="3" t="s">
        <v>190</v>
      </c>
      <c r="D472" s="3">
        <v>2010.0</v>
      </c>
      <c r="E472" s="3" t="s">
        <v>191</v>
      </c>
      <c r="G472" s="3" t="s">
        <v>2142</v>
      </c>
      <c r="I472" s="3" t="s">
        <v>2890</v>
      </c>
      <c r="J472" s="9" t="s">
        <v>3132</v>
      </c>
      <c r="K472" s="9" t="s">
        <v>2965</v>
      </c>
      <c r="L472" s="8" t="s">
        <v>2891</v>
      </c>
    </row>
    <row r="473">
      <c r="A473" s="3">
        <v>805.0</v>
      </c>
      <c r="B473" s="3" t="s">
        <v>40</v>
      </c>
      <c r="C473" s="3" t="s">
        <v>1724</v>
      </c>
      <c r="D473" s="3">
        <v>1998.0</v>
      </c>
      <c r="E473" s="3" t="s">
        <v>1725</v>
      </c>
      <c r="F473" s="3" t="s">
        <v>2553</v>
      </c>
      <c r="G473" s="3" t="s">
        <v>2142</v>
      </c>
      <c r="I473" s="3" t="s">
        <v>2587</v>
      </c>
      <c r="J473" s="9" t="s">
        <v>2956</v>
      </c>
      <c r="K473" s="9" t="s">
        <v>2959</v>
      </c>
      <c r="L473" s="8" t="s">
        <v>2588</v>
      </c>
    </row>
    <row r="474">
      <c r="A474" s="3">
        <v>521.0</v>
      </c>
      <c r="B474" s="3" t="s">
        <v>40</v>
      </c>
      <c r="C474" s="3" t="s">
        <v>1165</v>
      </c>
      <c r="D474" s="3">
        <v>2007.0</v>
      </c>
      <c r="E474" s="3" t="s">
        <v>1166</v>
      </c>
      <c r="F474" s="3" t="s">
        <v>2163</v>
      </c>
      <c r="G474" s="3" t="s">
        <v>2142</v>
      </c>
      <c r="I474" s="3" t="s">
        <v>2173</v>
      </c>
      <c r="J474" s="9" t="s">
        <v>3010</v>
      </c>
      <c r="K474" s="9" t="s">
        <v>2992</v>
      </c>
      <c r="L474" s="8" t="s">
        <v>2174</v>
      </c>
    </row>
    <row r="475">
      <c r="A475" s="3">
        <v>620.0</v>
      </c>
      <c r="B475" s="3" t="s">
        <v>40</v>
      </c>
      <c r="C475" s="3" t="s">
        <v>1357</v>
      </c>
      <c r="D475" s="3">
        <v>2014.0</v>
      </c>
      <c r="E475" s="3" t="s">
        <v>1358</v>
      </c>
      <c r="F475" s="3" t="s">
        <v>2600</v>
      </c>
      <c r="G475" s="3" t="s">
        <v>2147</v>
      </c>
      <c r="H475" s="3" t="s">
        <v>2217</v>
      </c>
      <c r="I475" s="3" t="s">
        <v>2173</v>
      </c>
      <c r="J475" s="9" t="s">
        <v>3158</v>
      </c>
      <c r="K475" s="9" t="s">
        <v>3159</v>
      </c>
      <c r="L475" s="8" t="s">
        <v>2610</v>
      </c>
    </row>
    <row r="476">
      <c r="A476" s="3">
        <v>16.0</v>
      </c>
      <c r="B476" s="3" t="s">
        <v>40</v>
      </c>
      <c r="C476" s="3" t="s">
        <v>131</v>
      </c>
      <c r="D476" s="3">
        <v>2013.0</v>
      </c>
      <c r="E476" s="3" t="s">
        <v>132</v>
      </c>
      <c r="G476" s="3" t="s">
        <v>2142</v>
      </c>
      <c r="I476" s="3" t="s">
        <v>2885</v>
      </c>
      <c r="J476" s="9" t="s">
        <v>3160</v>
      </c>
      <c r="K476" s="9" t="s">
        <v>3042</v>
      </c>
      <c r="L476" s="8" t="s">
        <v>2886</v>
      </c>
    </row>
    <row r="477">
      <c r="A477" s="3">
        <v>499.0</v>
      </c>
      <c r="B477" s="3" t="s">
        <v>40</v>
      </c>
      <c r="C477" s="3" t="s">
        <v>1122</v>
      </c>
      <c r="D477" s="3">
        <v>1991.0</v>
      </c>
      <c r="E477" s="3" t="s">
        <v>1123</v>
      </c>
      <c r="F477" s="3" t="s">
        <v>2216</v>
      </c>
      <c r="G477" s="3" t="s">
        <v>2147</v>
      </c>
      <c r="H477" s="3" t="s">
        <v>2217</v>
      </c>
      <c r="I477" s="3" t="s">
        <v>2254</v>
      </c>
      <c r="J477" s="9" t="s">
        <v>2983</v>
      </c>
      <c r="K477" s="9" t="s">
        <v>2992</v>
      </c>
      <c r="L477" s="8" t="s">
        <v>2255</v>
      </c>
    </row>
    <row r="478">
      <c r="A478" s="3">
        <v>30.0</v>
      </c>
      <c r="B478" s="3" t="s">
        <v>40</v>
      </c>
      <c r="C478" s="3" t="s">
        <v>178</v>
      </c>
      <c r="D478" s="3">
        <v>2003.0</v>
      </c>
      <c r="E478" s="3" t="s">
        <v>179</v>
      </c>
      <c r="F478" s="3" t="s">
        <v>2600</v>
      </c>
      <c r="G478" s="3" t="s">
        <v>2147</v>
      </c>
      <c r="H478" s="3" t="s">
        <v>2217</v>
      </c>
      <c r="I478" s="3" t="s">
        <v>2433</v>
      </c>
      <c r="J478" s="9" t="s">
        <v>3132</v>
      </c>
      <c r="K478" s="9" t="s">
        <v>2965</v>
      </c>
      <c r="L478" s="8" t="s">
        <v>2661</v>
      </c>
    </row>
    <row r="479">
      <c r="A479" s="3">
        <v>31.0</v>
      </c>
      <c r="B479" s="3" t="s">
        <v>40</v>
      </c>
      <c r="C479" s="3" t="s">
        <v>178</v>
      </c>
      <c r="D479" s="3">
        <v>2004.0</v>
      </c>
      <c r="E479" s="3" t="s">
        <v>181</v>
      </c>
      <c r="F479" s="3" t="s">
        <v>2600</v>
      </c>
      <c r="G479" s="3" t="s">
        <v>2147</v>
      </c>
      <c r="H479" s="3" t="s">
        <v>2217</v>
      </c>
      <c r="I479" s="3" t="s">
        <v>2433</v>
      </c>
      <c r="J479" s="9" t="s">
        <v>3132</v>
      </c>
      <c r="K479" s="9" t="s">
        <v>2965</v>
      </c>
      <c r="L479" s="8" t="s">
        <v>2662</v>
      </c>
    </row>
    <row r="480">
      <c r="A480" s="3">
        <v>516.0</v>
      </c>
      <c r="B480" s="3" t="s">
        <v>40</v>
      </c>
      <c r="C480" s="3" t="s">
        <v>1155</v>
      </c>
      <c r="D480" s="3">
        <v>2005.0</v>
      </c>
      <c r="E480" s="3" t="s">
        <v>1156</v>
      </c>
      <c r="F480" s="3" t="s">
        <v>2428</v>
      </c>
      <c r="G480" s="3" t="s">
        <v>2147</v>
      </c>
      <c r="I480" s="3" t="s">
        <v>2433</v>
      </c>
      <c r="J480" s="9" t="s">
        <v>2983</v>
      </c>
      <c r="K480" s="9" t="s">
        <v>2992</v>
      </c>
      <c r="L480" s="8" t="s">
        <v>2434</v>
      </c>
    </row>
    <row r="481">
      <c r="A481" s="3">
        <v>526.0</v>
      </c>
      <c r="B481" s="3" t="s">
        <v>40</v>
      </c>
      <c r="C481" s="3" t="s">
        <v>1175</v>
      </c>
      <c r="D481" s="3">
        <v>2008.0</v>
      </c>
      <c r="E481" s="3" t="s">
        <v>1176</v>
      </c>
      <c r="F481" s="3" t="s">
        <v>2163</v>
      </c>
      <c r="G481" s="3" t="s">
        <v>2142</v>
      </c>
      <c r="I481" s="3" t="s">
        <v>2175</v>
      </c>
      <c r="J481" s="9" t="s">
        <v>3010</v>
      </c>
      <c r="K481" s="9" t="s">
        <v>2992</v>
      </c>
      <c r="L481" s="8" t="s">
        <v>2176</v>
      </c>
    </row>
    <row r="482">
      <c r="A482" s="3">
        <v>517.0</v>
      </c>
      <c r="B482" s="3" t="s">
        <v>40</v>
      </c>
      <c r="C482" s="3" t="s">
        <v>1157</v>
      </c>
      <c r="D482" s="3">
        <v>2005.0</v>
      </c>
      <c r="E482" s="3" t="s">
        <v>1158</v>
      </c>
      <c r="G482" s="3" t="s">
        <v>2142</v>
      </c>
      <c r="I482" s="3" t="s">
        <v>2334</v>
      </c>
      <c r="J482" s="9" t="s">
        <v>3118</v>
      </c>
      <c r="K482" s="9" t="s">
        <v>2992</v>
      </c>
      <c r="L482" s="8" t="s">
        <v>2904</v>
      </c>
    </row>
    <row r="483">
      <c r="A483" s="3">
        <v>527.0</v>
      </c>
      <c r="B483" s="3" t="s">
        <v>40</v>
      </c>
      <c r="C483" s="3" t="s">
        <v>1177</v>
      </c>
      <c r="D483" s="3">
        <v>2008.0</v>
      </c>
      <c r="E483" s="3" t="s">
        <v>1178</v>
      </c>
      <c r="F483" s="3" t="s">
        <v>2325</v>
      </c>
      <c r="G483" s="3" t="s">
        <v>2142</v>
      </c>
      <c r="I483" s="3" t="s">
        <v>2334</v>
      </c>
      <c r="J483" s="9" t="s">
        <v>2983</v>
      </c>
      <c r="K483" s="9" t="s">
        <v>2992</v>
      </c>
      <c r="L483" s="8" t="s">
        <v>2335</v>
      </c>
    </row>
    <row r="484">
      <c r="A484" s="3">
        <v>644.0</v>
      </c>
      <c r="B484" s="3" t="s">
        <v>40</v>
      </c>
      <c r="C484" s="3" t="s">
        <v>1402</v>
      </c>
      <c r="D484" s="3">
        <v>2007.0</v>
      </c>
      <c r="E484" s="3" t="s">
        <v>1403</v>
      </c>
      <c r="F484" s="3" t="s">
        <v>2325</v>
      </c>
      <c r="G484" s="3" t="s">
        <v>2142</v>
      </c>
      <c r="I484" s="3" t="s">
        <v>2334</v>
      </c>
      <c r="J484" s="9" t="s">
        <v>3038</v>
      </c>
      <c r="K484" s="9" t="s">
        <v>2955</v>
      </c>
      <c r="L484" s="8" t="s">
        <v>2339</v>
      </c>
    </row>
    <row r="485">
      <c r="A485" s="3">
        <v>122.0</v>
      </c>
      <c r="B485" s="3" t="s">
        <v>40</v>
      </c>
      <c r="C485" s="3" t="s">
        <v>413</v>
      </c>
      <c r="D485" s="3">
        <v>2001.0</v>
      </c>
      <c r="E485" s="3" t="s">
        <v>414</v>
      </c>
      <c r="G485" s="3" t="s">
        <v>2142</v>
      </c>
      <c r="I485" s="3" t="s">
        <v>2168</v>
      </c>
      <c r="J485" s="9" t="s">
        <v>3161</v>
      </c>
      <c r="K485" s="9" t="s">
        <v>3162</v>
      </c>
      <c r="L485" s="8" t="s">
        <v>2870</v>
      </c>
    </row>
    <row r="486">
      <c r="A486" s="3">
        <v>124.0</v>
      </c>
      <c r="B486" s="3" t="s">
        <v>40</v>
      </c>
      <c r="C486" s="3" t="s">
        <v>417</v>
      </c>
      <c r="D486" s="3">
        <v>1995.0</v>
      </c>
      <c r="E486" s="3" t="s">
        <v>418</v>
      </c>
      <c r="G486" s="3" t="s">
        <v>2142</v>
      </c>
      <c r="I486" s="3" t="s">
        <v>2168</v>
      </c>
      <c r="J486" s="9" t="s">
        <v>3163</v>
      </c>
      <c r="K486" s="9" t="s">
        <v>3164</v>
      </c>
      <c r="L486" s="8" t="s">
        <v>2873</v>
      </c>
    </row>
    <row r="487">
      <c r="A487" s="3">
        <v>160.0</v>
      </c>
      <c r="B487" s="3" t="s">
        <v>40</v>
      </c>
      <c r="C487" s="3" t="s">
        <v>488</v>
      </c>
      <c r="D487" s="3">
        <v>2003.0</v>
      </c>
      <c r="E487" s="3" t="s">
        <v>489</v>
      </c>
      <c r="F487" s="3" t="s">
        <v>2497</v>
      </c>
      <c r="G487" s="3" t="s">
        <v>2142</v>
      </c>
      <c r="I487" s="3" t="s">
        <v>2168</v>
      </c>
      <c r="J487" s="9" t="s">
        <v>3165</v>
      </c>
      <c r="K487" s="9" t="s">
        <v>3065</v>
      </c>
      <c r="L487" s="8" t="s">
        <v>2499</v>
      </c>
    </row>
    <row r="488">
      <c r="A488" s="3">
        <v>469.0</v>
      </c>
      <c r="B488" s="3" t="s">
        <v>40</v>
      </c>
      <c r="C488" s="3" t="s">
        <v>1064</v>
      </c>
      <c r="D488" s="3">
        <v>2003.0</v>
      </c>
      <c r="E488" s="3" t="s">
        <v>1065</v>
      </c>
      <c r="F488" s="3" t="s">
        <v>2497</v>
      </c>
      <c r="G488" s="3" t="s">
        <v>2142</v>
      </c>
      <c r="I488" s="3" t="s">
        <v>2168</v>
      </c>
      <c r="J488" s="9" t="s">
        <v>2983</v>
      </c>
      <c r="K488" s="9" t="s">
        <v>3166</v>
      </c>
      <c r="L488" s="8" t="s">
        <v>2503</v>
      </c>
    </row>
    <row r="489">
      <c r="A489" s="3">
        <v>470.0</v>
      </c>
      <c r="B489" s="3" t="s">
        <v>40</v>
      </c>
      <c r="C489" s="3" t="s">
        <v>1066</v>
      </c>
      <c r="D489" s="3">
        <v>2008.0</v>
      </c>
      <c r="E489" s="3" t="s">
        <v>1067</v>
      </c>
      <c r="F489" s="3" t="s">
        <v>2497</v>
      </c>
      <c r="G489" s="3" t="s">
        <v>2142</v>
      </c>
      <c r="I489" s="3" t="s">
        <v>2168</v>
      </c>
      <c r="J489" s="9" t="s">
        <v>3167</v>
      </c>
      <c r="K489" s="9" t="s">
        <v>3168</v>
      </c>
      <c r="L489" s="8" t="s">
        <v>2504</v>
      </c>
    </row>
    <row r="490">
      <c r="A490" s="3">
        <v>471.0</v>
      </c>
      <c r="B490" s="3" t="s">
        <v>40</v>
      </c>
      <c r="C490" s="3" t="s">
        <v>1068</v>
      </c>
      <c r="D490" s="3">
        <v>2017.0</v>
      </c>
      <c r="E490" s="3" t="s">
        <v>1069</v>
      </c>
      <c r="G490" s="3" t="s">
        <v>2142</v>
      </c>
      <c r="I490" s="3" t="s">
        <v>2168</v>
      </c>
      <c r="J490" s="9" t="s">
        <v>3169</v>
      </c>
      <c r="K490" s="9" t="s">
        <v>3170</v>
      </c>
      <c r="L490" s="8" t="s">
        <v>2877</v>
      </c>
    </row>
    <row r="491">
      <c r="A491" s="3">
        <v>473.0</v>
      </c>
      <c r="B491" s="3" t="s">
        <v>40</v>
      </c>
      <c r="C491" s="3" t="s">
        <v>1072</v>
      </c>
      <c r="D491" s="3">
        <v>2008.0</v>
      </c>
      <c r="E491" s="3" t="s">
        <v>1073</v>
      </c>
      <c r="G491" s="3" t="s">
        <v>2142</v>
      </c>
      <c r="I491" s="3" t="s">
        <v>2168</v>
      </c>
      <c r="J491" s="9" t="s">
        <v>3171</v>
      </c>
      <c r="K491" s="9" t="s">
        <v>3172</v>
      </c>
      <c r="L491" s="8" t="s">
        <v>2872</v>
      </c>
    </row>
    <row r="492">
      <c r="A492" s="3">
        <v>477.0</v>
      </c>
      <c r="B492" s="3" t="s">
        <v>40</v>
      </c>
      <c r="C492" s="3" t="s">
        <v>1078</v>
      </c>
      <c r="D492" s="3">
        <v>2018.0</v>
      </c>
      <c r="E492" s="3" t="s">
        <v>1079</v>
      </c>
      <c r="F492" s="3" t="s">
        <v>2497</v>
      </c>
      <c r="G492" s="3" t="s">
        <v>2142</v>
      </c>
      <c r="I492" s="3" t="s">
        <v>2168</v>
      </c>
      <c r="J492" s="9" t="s">
        <v>3173</v>
      </c>
      <c r="K492" s="9" t="s">
        <v>2986</v>
      </c>
      <c r="L492" s="8" t="s">
        <v>2510</v>
      </c>
    </row>
    <row r="493">
      <c r="A493" s="3">
        <v>496.0</v>
      </c>
      <c r="B493" s="3" t="s">
        <v>40</v>
      </c>
      <c r="C493" s="3" t="s">
        <v>1116</v>
      </c>
      <c r="D493" s="3">
        <v>2003.0</v>
      </c>
      <c r="E493" s="3" t="s">
        <v>1117</v>
      </c>
      <c r="F493" s="3" t="s">
        <v>2497</v>
      </c>
      <c r="G493" s="3" t="s">
        <v>2142</v>
      </c>
      <c r="I493" s="3" t="s">
        <v>2168</v>
      </c>
      <c r="J493" s="9" t="s">
        <v>3174</v>
      </c>
      <c r="K493" s="9" t="s">
        <v>3175</v>
      </c>
      <c r="L493" s="8" t="s">
        <v>2505</v>
      </c>
    </row>
    <row r="494">
      <c r="A494" s="3">
        <v>508.0</v>
      </c>
      <c r="B494" s="3" t="s">
        <v>40</v>
      </c>
      <c r="C494" s="3" t="s">
        <v>1139</v>
      </c>
      <c r="D494" s="3">
        <v>2001.0</v>
      </c>
      <c r="E494" s="3" t="s">
        <v>1140</v>
      </c>
      <c r="G494" s="3" t="s">
        <v>2142</v>
      </c>
      <c r="I494" s="3" t="s">
        <v>2168</v>
      </c>
      <c r="J494" s="9" t="s">
        <v>2985</v>
      </c>
      <c r="K494" s="9" t="s">
        <v>2992</v>
      </c>
      <c r="L494" s="8" t="s">
        <v>2917</v>
      </c>
    </row>
    <row r="495">
      <c r="A495" s="3">
        <v>515.0</v>
      </c>
      <c r="B495" s="3" t="s">
        <v>40</v>
      </c>
      <c r="C495" s="3" t="s">
        <v>1153</v>
      </c>
      <c r="D495" s="3">
        <v>2004.0</v>
      </c>
      <c r="E495" s="3" t="s">
        <v>1154</v>
      </c>
      <c r="F495" s="3" t="s">
        <v>2325</v>
      </c>
      <c r="G495" s="3" t="s">
        <v>2142</v>
      </c>
      <c r="I495" s="3" t="s">
        <v>2168</v>
      </c>
      <c r="J495" s="9" t="s">
        <v>2985</v>
      </c>
      <c r="K495" s="9" t="s">
        <v>2992</v>
      </c>
      <c r="L495" s="8" t="s">
        <v>2337</v>
      </c>
    </row>
    <row r="496">
      <c r="A496" s="3">
        <v>547.0</v>
      </c>
      <c r="B496" s="3" t="s">
        <v>40</v>
      </c>
      <c r="C496" s="3" t="s">
        <v>1217</v>
      </c>
      <c r="D496" s="3">
        <v>2011.0</v>
      </c>
      <c r="E496" s="3" t="s">
        <v>1218</v>
      </c>
      <c r="G496" s="3" t="s">
        <v>2142</v>
      </c>
      <c r="I496" s="3" t="s">
        <v>2168</v>
      </c>
      <c r="J496" s="9" t="s">
        <v>3118</v>
      </c>
      <c r="K496" s="9" t="s">
        <v>2992</v>
      </c>
      <c r="L496" s="8" t="s">
        <v>2905</v>
      </c>
    </row>
    <row r="497">
      <c r="A497" s="3">
        <v>502.0</v>
      </c>
      <c r="B497" s="3" t="s">
        <v>40</v>
      </c>
      <c r="C497" s="3" t="s">
        <v>1128</v>
      </c>
      <c r="D497" s="3">
        <v>1999.0</v>
      </c>
      <c r="E497" s="3" t="s">
        <v>1129</v>
      </c>
      <c r="F497" s="3" t="s">
        <v>2163</v>
      </c>
      <c r="G497" s="3" t="s">
        <v>2142</v>
      </c>
      <c r="I497" s="3" t="s">
        <v>2168</v>
      </c>
      <c r="J497" s="9" t="s">
        <v>3010</v>
      </c>
      <c r="K497" s="9" t="s">
        <v>2992</v>
      </c>
      <c r="L497" s="8" t="s">
        <v>2169</v>
      </c>
    </row>
    <row r="498">
      <c r="A498" s="3">
        <v>507.0</v>
      </c>
      <c r="B498" s="3" t="s">
        <v>40</v>
      </c>
      <c r="C498" s="3" t="s">
        <v>1137</v>
      </c>
      <c r="D498" s="3">
        <v>2001.0</v>
      </c>
      <c r="E498" s="3" t="s">
        <v>1138</v>
      </c>
      <c r="F498" s="3" t="s">
        <v>2163</v>
      </c>
      <c r="G498" s="3" t="s">
        <v>2142</v>
      </c>
      <c r="I498" s="3" t="s">
        <v>2168</v>
      </c>
      <c r="J498" s="9" t="s">
        <v>3010</v>
      </c>
      <c r="K498" s="9" t="s">
        <v>2992</v>
      </c>
      <c r="L498" s="8" t="s">
        <v>2172</v>
      </c>
    </row>
    <row r="499">
      <c r="A499" s="3">
        <v>557.0</v>
      </c>
      <c r="B499" s="3" t="s">
        <v>40</v>
      </c>
      <c r="C499" s="3" t="s">
        <v>1238</v>
      </c>
      <c r="D499" s="3">
        <v>2013.0</v>
      </c>
      <c r="E499" s="3" t="s">
        <v>1239</v>
      </c>
      <c r="F499" s="3" t="s">
        <v>2497</v>
      </c>
      <c r="G499" s="3" t="s">
        <v>2142</v>
      </c>
      <c r="I499" s="3" t="s">
        <v>2168</v>
      </c>
      <c r="J499" s="9" t="s">
        <v>3010</v>
      </c>
      <c r="K499" s="9" t="s">
        <v>2992</v>
      </c>
      <c r="L499" s="8" t="s">
        <v>2523</v>
      </c>
    </row>
    <row r="500">
      <c r="A500" s="3">
        <v>583.0</v>
      </c>
      <c r="B500" s="3" t="s">
        <v>40</v>
      </c>
      <c r="C500" s="3" t="s">
        <v>1291</v>
      </c>
      <c r="D500" s="3">
        <v>2017.0</v>
      </c>
      <c r="E500" s="3" t="s">
        <v>1292</v>
      </c>
      <c r="G500" s="3" t="s">
        <v>2142</v>
      </c>
      <c r="I500" s="3" t="s">
        <v>2168</v>
      </c>
      <c r="J500" s="9" t="s">
        <v>2983</v>
      </c>
      <c r="K500" s="9" t="s">
        <v>2992</v>
      </c>
      <c r="L500" s="8" t="s">
        <v>2916</v>
      </c>
    </row>
    <row r="501">
      <c r="A501" s="3">
        <v>577.0</v>
      </c>
      <c r="B501" s="3" t="s">
        <v>40</v>
      </c>
      <c r="C501" s="3" t="s">
        <v>1278</v>
      </c>
      <c r="D501" s="3">
        <v>2016.0</v>
      </c>
      <c r="E501" s="3" t="s">
        <v>1279</v>
      </c>
      <c r="G501" s="3" t="s">
        <v>2142</v>
      </c>
      <c r="I501" s="3" t="s">
        <v>2168</v>
      </c>
      <c r="J501" s="9" t="s">
        <v>3010</v>
      </c>
      <c r="K501" s="9" t="s">
        <v>2992</v>
      </c>
      <c r="L501" s="8" t="s">
        <v>2911</v>
      </c>
    </row>
    <row r="502">
      <c r="A502" s="3">
        <v>503.0</v>
      </c>
      <c r="B502" s="3" t="s">
        <v>40</v>
      </c>
      <c r="C502" s="3" t="s">
        <v>429</v>
      </c>
      <c r="D502" s="3">
        <v>1999.0</v>
      </c>
      <c r="E502" s="3" t="s">
        <v>1130</v>
      </c>
      <c r="F502" s="3" t="s">
        <v>2325</v>
      </c>
      <c r="G502" s="3" t="s">
        <v>2142</v>
      </c>
      <c r="I502" s="3" t="s">
        <v>2168</v>
      </c>
      <c r="J502" s="9" t="s">
        <v>3010</v>
      </c>
      <c r="K502" s="9" t="s">
        <v>2992</v>
      </c>
      <c r="L502" s="8" t="s">
        <v>2333</v>
      </c>
    </row>
    <row r="503">
      <c r="A503" s="3">
        <v>540.0</v>
      </c>
      <c r="B503" s="3" t="s">
        <v>40</v>
      </c>
      <c r="C503" s="3" t="s">
        <v>1203</v>
      </c>
      <c r="D503" s="3">
        <v>2010.0</v>
      </c>
      <c r="E503" s="3" t="s">
        <v>1204</v>
      </c>
      <c r="F503" s="3" t="s">
        <v>2325</v>
      </c>
      <c r="G503" s="3" t="s">
        <v>2142</v>
      </c>
      <c r="I503" s="3" t="s">
        <v>2168</v>
      </c>
      <c r="J503" s="9" t="s">
        <v>2983</v>
      </c>
      <c r="K503" s="9" t="s">
        <v>2992</v>
      </c>
      <c r="L503" s="8" t="s">
        <v>2336</v>
      </c>
    </row>
    <row r="504">
      <c r="A504" s="3">
        <v>578.0</v>
      </c>
      <c r="B504" s="3" t="s">
        <v>40</v>
      </c>
      <c r="C504" s="3" t="s">
        <v>1280</v>
      </c>
      <c r="D504" s="3">
        <v>2016.0</v>
      </c>
      <c r="E504" s="3" t="s">
        <v>1281</v>
      </c>
      <c r="G504" s="3" t="s">
        <v>2142</v>
      </c>
      <c r="I504" s="3" t="s">
        <v>2168</v>
      </c>
      <c r="J504" s="9" t="s">
        <v>3010</v>
      </c>
      <c r="K504" s="9" t="s">
        <v>2992</v>
      </c>
      <c r="L504" s="8" t="s">
        <v>2912</v>
      </c>
    </row>
    <row r="505">
      <c r="A505" s="3">
        <v>506.0</v>
      </c>
      <c r="B505" s="3" t="s">
        <v>40</v>
      </c>
      <c r="C505" s="3" t="s">
        <v>1135</v>
      </c>
      <c r="D505" s="3">
        <v>2000.0</v>
      </c>
      <c r="E505" s="3" t="s">
        <v>1136</v>
      </c>
      <c r="G505" s="3" t="s">
        <v>2142</v>
      </c>
      <c r="I505" s="3" t="s">
        <v>2168</v>
      </c>
      <c r="J505" s="9" t="s">
        <v>3118</v>
      </c>
      <c r="K505" s="9" t="s">
        <v>2992</v>
      </c>
      <c r="L505" s="8" t="s">
        <v>2903</v>
      </c>
    </row>
    <row r="506">
      <c r="A506" s="3">
        <v>562.0</v>
      </c>
      <c r="B506" s="3" t="s">
        <v>40</v>
      </c>
      <c r="C506" s="3" t="s">
        <v>1248</v>
      </c>
      <c r="D506" s="3">
        <v>2014.0</v>
      </c>
      <c r="E506" s="3" t="s">
        <v>1249</v>
      </c>
      <c r="F506" s="3" t="s">
        <v>2497</v>
      </c>
      <c r="G506" s="3" t="s">
        <v>2142</v>
      </c>
      <c r="I506" s="3" t="s">
        <v>2168</v>
      </c>
      <c r="J506" s="9" t="s">
        <v>3010</v>
      </c>
      <c r="K506" s="9" t="s">
        <v>2992</v>
      </c>
      <c r="L506" s="8" t="s">
        <v>2524</v>
      </c>
    </row>
    <row r="507">
      <c r="A507" s="3">
        <v>573.0</v>
      </c>
      <c r="B507" s="3" t="s">
        <v>40</v>
      </c>
      <c r="C507" s="3" t="s">
        <v>1271</v>
      </c>
      <c r="D507" s="3">
        <v>2016.0</v>
      </c>
      <c r="E507" s="3" t="s">
        <v>1272</v>
      </c>
      <c r="F507" s="3" t="s">
        <v>2497</v>
      </c>
      <c r="G507" s="3" t="s">
        <v>2142</v>
      </c>
      <c r="I507" s="3" t="s">
        <v>2168</v>
      </c>
      <c r="J507" s="9" t="s">
        <v>3010</v>
      </c>
      <c r="K507" s="9" t="s">
        <v>2992</v>
      </c>
      <c r="L507" s="8" t="s">
        <v>2525</v>
      </c>
    </row>
    <row r="508">
      <c r="A508" s="3">
        <v>594.0</v>
      </c>
      <c r="B508" s="3" t="s">
        <v>40</v>
      </c>
      <c r="C508" s="3" t="s">
        <v>1313</v>
      </c>
      <c r="D508" s="3">
        <v>2018.0</v>
      </c>
      <c r="E508" s="3" t="s">
        <v>1314</v>
      </c>
      <c r="F508" s="3" t="s">
        <v>2497</v>
      </c>
      <c r="G508" s="3" t="s">
        <v>2142</v>
      </c>
      <c r="I508" s="3" t="s">
        <v>2168</v>
      </c>
      <c r="J508" s="9" t="s">
        <v>3010</v>
      </c>
      <c r="K508" s="9" t="s">
        <v>2992</v>
      </c>
      <c r="L508" s="8" t="s">
        <v>2526</v>
      </c>
    </row>
    <row r="509">
      <c r="A509" s="3">
        <v>528.0</v>
      </c>
      <c r="B509" s="3" t="s">
        <v>40</v>
      </c>
      <c r="C509" s="3" t="s">
        <v>1179</v>
      </c>
      <c r="D509" s="3">
        <v>2008.0</v>
      </c>
      <c r="E509" s="3" t="s">
        <v>1180</v>
      </c>
      <c r="F509" s="3" t="s">
        <v>2325</v>
      </c>
      <c r="G509" s="3" t="s">
        <v>2142</v>
      </c>
      <c r="I509" s="3" t="s">
        <v>2168</v>
      </c>
      <c r="J509" s="9" t="s">
        <v>2985</v>
      </c>
      <c r="K509" s="9" t="s">
        <v>2992</v>
      </c>
      <c r="L509" s="8" t="s">
        <v>2338</v>
      </c>
    </row>
    <row r="510">
      <c r="A510" s="3">
        <v>522.0</v>
      </c>
      <c r="B510" s="3" t="s">
        <v>40</v>
      </c>
      <c r="C510" s="3" t="s">
        <v>1167</v>
      </c>
      <c r="D510" s="3">
        <v>2007.0</v>
      </c>
      <c r="E510" s="3" t="s">
        <v>1168</v>
      </c>
      <c r="G510" s="3" t="s">
        <v>2142</v>
      </c>
      <c r="I510" s="3" t="s">
        <v>2168</v>
      </c>
      <c r="J510" s="9" t="s">
        <v>3010</v>
      </c>
      <c r="K510" s="9" t="s">
        <v>2992</v>
      </c>
      <c r="L510" s="8" t="s">
        <v>2907</v>
      </c>
    </row>
    <row r="511">
      <c r="A511" s="3">
        <v>512.0</v>
      </c>
      <c r="B511" s="3" t="s">
        <v>40</v>
      </c>
      <c r="C511" s="3" t="s">
        <v>1147</v>
      </c>
      <c r="D511" s="3">
        <v>2003.0</v>
      </c>
      <c r="E511" s="3" t="s">
        <v>1148</v>
      </c>
      <c r="G511" s="3" t="s">
        <v>2142</v>
      </c>
      <c r="I511" s="3" t="s">
        <v>2168</v>
      </c>
      <c r="J511" s="9" t="s">
        <v>3010</v>
      </c>
      <c r="K511" s="9" t="s">
        <v>2992</v>
      </c>
      <c r="L511" s="8" t="s">
        <v>2906</v>
      </c>
    </row>
    <row r="512">
      <c r="A512" s="3">
        <v>636.0</v>
      </c>
      <c r="B512" s="3" t="s">
        <v>40</v>
      </c>
      <c r="C512" s="3" t="s">
        <v>429</v>
      </c>
      <c r="D512" s="3">
        <v>2002.0</v>
      </c>
      <c r="E512" s="3" t="s">
        <v>1387</v>
      </c>
      <c r="G512" s="3" t="s">
        <v>2142</v>
      </c>
      <c r="I512" s="3" t="s">
        <v>2168</v>
      </c>
      <c r="J512" s="9" t="s">
        <v>3176</v>
      </c>
      <c r="K512" s="9" t="s">
        <v>3177</v>
      </c>
      <c r="L512" s="8" t="s">
        <v>2888</v>
      </c>
    </row>
    <row r="513">
      <c r="A513" s="3">
        <v>650.0</v>
      </c>
      <c r="B513" s="3" t="s">
        <v>40</v>
      </c>
      <c r="C513" s="3" t="s">
        <v>1413</v>
      </c>
      <c r="D513" s="3">
        <v>2013.0</v>
      </c>
      <c r="E513" s="3" t="s">
        <v>1414</v>
      </c>
      <c r="F513" s="3" t="s">
        <v>2497</v>
      </c>
      <c r="G513" s="3" t="s">
        <v>2142</v>
      </c>
      <c r="I513" s="3" t="s">
        <v>2168</v>
      </c>
      <c r="J513" s="9" t="s">
        <v>3038</v>
      </c>
      <c r="K513" s="9" t="s">
        <v>2955</v>
      </c>
      <c r="L513" s="8" t="s">
        <v>2528</v>
      </c>
    </row>
    <row r="514">
      <c r="A514" s="3">
        <v>762.0</v>
      </c>
      <c r="B514" s="3" t="s">
        <v>40</v>
      </c>
      <c r="C514" s="3" t="s">
        <v>1638</v>
      </c>
      <c r="D514" s="3">
        <v>2006.0</v>
      </c>
      <c r="E514" s="3" t="s">
        <v>1639</v>
      </c>
      <c r="G514" s="3" t="s">
        <v>2142</v>
      </c>
      <c r="I514" s="3" t="s">
        <v>2168</v>
      </c>
      <c r="J514" s="9" t="s">
        <v>3178</v>
      </c>
      <c r="K514" s="9" t="s">
        <v>3004</v>
      </c>
      <c r="L514" s="8" t="s">
        <v>2887</v>
      </c>
    </row>
    <row r="515">
      <c r="A515" s="3">
        <v>826.0</v>
      </c>
      <c r="B515" s="3" t="s">
        <v>40</v>
      </c>
      <c r="C515" s="3" t="s">
        <v>1766</v>
      </c>
      <c r="D515" s="3">
        <v>2004.0</v>
      </c>
      <c r="E515" s="3" t="s">
        <v>1767</v>
      </c>
      <c r="F515" s="3" t="s">
        <v>2325</v>
      </c>
      <c r="G515" s="3" t="s">
        <v>2142</v>
      </c>
      <c r="I515" s="3" t="s">
        <v>2168</v>
      </c>
      <c r="J515" s="9" t="s">
        <v>2956</v>
      </c>
      <c r="K515" s="9" t="s">
        <v>2959</v>
      </c>
      <c r="L515" s="8" t="s">
        <v>2343</v>
      </c>
    </row>
    <row r="516">
      <c r="A516" s="3">
        <v>793.0</v>
      </c>
      <c r="B516" s="3" t="s">
        <v>40</v>
      </c>
      <c r="C516" s="3" t="s">
        <v>1699</v>
      </c>
      <c r="D516" s="3">
        <v>1994.0</v>
      </c>
      <c r="E516" s="3" t="s">
        <v>1700</v>
      </c>
      <c r="F516" s="3" t="s">
        <v>2497</v>
      </c>
      <c r="G516" s="3" t="s">
        <v>2142</v>
      </c>
      <c r="I516" s="3" t="s">
        <v>2168</v>
      </c>
      <c r="J516" s="9" t="s">
        <v>2974</v>
      </c>
      <c r="K516" s="9" t="s">
        <v>2959</v>
      </c>
      <c r="L516" s="8" t="s">
        <v>2532</v>
      </c>
    </row>
    <row r="517">
      <c r="A517" s="3">
        <v>682.0</v>
      </c>
      <c r="B517" s="3" t="s">
        <v>40</v>
      </c>
      <c r="C517" s="3" t="s">
        <v>1476</v>
      </c>
      <c r="D517" s="3">
        <v>2005.0</v>
      </c>
      <c r="E517" s="3" t="s">
        <v>1477</v>
      </c>
      <c r="G517" s="3" t="s">
        <v>2142</v>
      </c>
      <c r="I517" s="3" t="s">
        <v>2168</v>
      </c>
      <c r="J517" s="9"/>
      <c r="K517" s="9"/>
      <c r="L517" s="8" t="s">
        <v>2922</v>
      </c>
    </row>
    <row r="518">
      <c r="A518" s="3">
        <v>681.0</v>
      </c>
      <c r="B518" s="3" t="s">
        <v>40</v>
      </c>
      <c r="C518" s="3" t="s">
        <v>1474</v>
      </c>
      <c r="D518" s="3">
        <v>2005.0</v>
      </c>
      <c r="E518" s="3" t="s">
        <v>1475</v>
      </c>
      <c r="G518" s="3" t="s">
        <v>2142</v>
      </c>
      <c r="I518" s="3" t="s">
        <v>2168</v>
      </c>
      <c r="J518" s="9"/>
      <c r="K518" s="9"/>
      <c r="L518" s="8" t="s">
        <v>2921</v>
      </c>
    </row>
    <row r="519">
      <c r="A519" s="3">
        <v>679.0</v>
      </c>
      <c r="B519" s="3" t="s">
        <v>40</v>
      </c>
      <c r="C519" s="3" t="s">
        <v>1470</v>
      </c>
      <c r="D519" s="3">
        <v>2004.0</v>
      </c>
      <c r="E519" s="3" t="s">
        <v>1471</v>
      </c>
      <c r="G519" s="3" t="s">
        <v>2142</v>
      </c>
      <c r="I519" s="3" t="s">
        <v>2168</v>
      </c>
      <c r="J519" s="9"/>
      <c r="K519" s="9"/>
      <c r="L519" s="8" t="s">
        <v>2920</v>
      </c>
    </row>
    <row r="520">
      <c r="A520" s="3">
        <v>676.0</v>
      </c>
      <c r="B520" s="3" t="s">
        <v>40</v>
      </c>
      <c r="C520" s="3" t="s">
        <v>1464</v>
      </c>
      <c r="D520" s="3">
        <v>2003.0</v>
      </c>
      <c r="E520" s="3" t="s">
        <v>1465</v>
      </c>
      <c r="G520" s="3" t="s">
        <v>2142</v>
      </c>
      <c r="I520" s="3" t="s">
        <v>2168</v>
      </c>
      <c r="J520" s="9"/>
      <c r="K520" s="9"/>
      <c r="L520" s="8" t="s">
        <v>2919</v>
      </c>
    </row>
    <row r="521">
      <c r="A521" s="3">
        <v>703.0</v>
      </c>
      <c r="B521" s="3" t="s">
        <v>40</v>
      </c>
      <c r="C521" s="3" t="s">
        <v>1518</v>
      </c>
      <c r="D521" s="3">
        <v>2015.0</v>
      </c>
      <c r="E521" s="3" t="s">
        <v>1519</v>
      </c>
      <c r="G521" s="3" t="s">
        <v>2142</v>
      </c>
      <c r="I521" s="3" t="s">
        <v>2168</v>
      </c>
      <c r="J521" s="9"/>
      <c r="K521" s="9"/>
      <c r="L521" s="8" t="s">
        <v>2924</v>
      </c>
    </row>
    <row r="522">
      <c r="A522" s="3">
        <v>701.0</v>
      </c>
      <c r="B522" s="3" t="s">
        <v>40</v>
      </c>
      <c r="C522" s="3" t="s">
        <v>1514</v>
      </c>
      <c r="D522" s="3">
        <v>2014.0</v>
      </c>
      <c r="E522" s="3" t="s">
        <v>1515</v>
      </c>
      <c r="G522" s="3" t="s">
        <v>2142</v>
      </c>
      <c r="I522" s="3" t="s">
        <v>2168</v>
      </c>
      <c r="J522" s="9"/>
      <c r="K522" s="9"/>
      <c r="L522" s="8" t="s">
        <v>2923</v>
      </c>
    </row>
    <row r="523">
      <c r="A523" s="3">
        <v>709.0</v>
      </c>
      <c r="B523" s="3" t="s">
        <v>40</v>
      </c>
      <c r="C523" s="3" t="s">
        <v>1530</v>
      </c>
      <c r="D523" s="3">
        <v>2018.0</v>
      </c>
      <c r="E523" s="3" t="s">
        <v>1531</v>
      </c>
      <c r="G523" s="3" t="s">
        <v>2142</v>
      </c>
      <c r="I523" s="3" t="s">
        <v>2168</v>
      </c>
      <c r="J523" s="9"/>
      <c r="K523" s="9"/>
      <c r="L523" s="8" t="s">
        <v>2925</v>
      </c>
    </row>
    <row r="524">
      <c r="A524" s="3">
        <v>661.0</v>
      </c>
      <c r="B524" s="3" t="s">
        <v>40</v>
      </c>
      <c r="C524" s="3" t="s">
        <v>1434</v>
      </c>
      <c r="D524" s="3">
        <v>2000.0</v>
      </c>
      <c r="E524" s="3" t="s">
        <v>1435</v>
      </c>
      <c r="F524" s="3" t="s">
        <v>2600</v>
      </c>
      <c r="G524" s="3" t="s">
        <v>2147</v>
      </c>
      <c r="H524" s="3" t="s">
        <v>2217</v>
      </c>
      <c r="I524" s="3" t="s">
        <v>2601</v>
      </c>
      <c r="J524" s="9"/>
      <c r="K524" s="9" t="s">
        <v>2965</v>
      </c>
      <c r="L524" s="8" t="s">
        <v>2627</v>
      </c>
    </row>
    <row r="525">
      <c r="A525" s="3">
        <v>662.0</v>
      </c>
      <c r="B525" s="3" t="s">
        <v>40</v>
      </c>
      <c r="C525" s="3" t="s">
        <v>1436</v>
      </c>
      <c r="D525" s="3">
        <v>2011.0</v>
      </c>
      <c r="E525" s="3" t="s">
        <v>1437</v>
      </c>
      <c r="F525" s="3" t="s">
        <v>2600</v>
      </c>
      <c r="G525" s="3" t="s">
        <v>2147</v>
      </c>
      <c r="H525" s="3" t="s">
        <v>2217</v>
      </c>
      <c r="I525" s="3" t="s">
        <v>2601</v>
      </c>
      <c r="J525" s="9"/>
      <c r="K525" s="9" t="s">
        <v>2965</v>
      </c>
      <c r="L525" s="8" t="s">
        <v>2628</v>
      </c>
    </row>
    <row r="526">
      <c r="A526" s="3">
        <v>54.0</v>
      </c>
      <c r="B526" s="3" t="s">
        <v>40</v>
      </c>
      <c r="C526" s="3" t="s">
        <v>240</v>
      </c>
      <c r="D526" s="3">
        <v>2003.0</v>
      </c>
      <c r="E526" s="3" t="s">
        <v>241</v>
      </c>
      <c r="F526" s="3" t="s">
        <v>2600</v>
      </c>
      <c r="G526" s="3" t="s">
        <v>2147</v>
      </c>
      <c r="H526" s="3" t="s">
        <v>2217</v>
      </c>
      <c r="I526" s="3" t="s">
        <v>2601</v>
      </c>
      <c r="J526" s="9" t="s">
        <v>3179</v>
      </c>
      <c r="K526" s="9" t="s">
        <v>3180</v>
      </c>
      <c r="L526" s="8" t="s">
        <v>2616</v>
      </c>
    </row>
    <row r="527">
      <c r="A527" s="3">
        <v>482.0</v>
      </c>
      <c r="B527" s="3" t="s">
        <v>40</v>
      </c>
      <c r="C527" s="3" t="s">
        <v>1088</v>
      </c>
      <c r="D527" s="3">
        <v>2012.0</v>
      </c>
      <c r="E527" s="3" t="s">
        <v>1089</v>
      </c>
      <c r="F527" s="3" t="s">
        <v>2600</v>
      </c>
      <c r="G527" s="3" t="s">
        <v>2147</v>
      </c>
      <c r="H527" s="3" t="s">
        <v>2217</v>
      </c>
      <c r="I527" s="3" t="s">
        <v>2601</v>
      </c>
      <c r="J527" s="9" t="s">
        <v>3181</v>
      </c>
      <c r="K527" s="9" t="s">
        <v>3182</v>
      </c>
      <c r="L527" s="8" t="s">
        <v>2607</v>
      </c>
    </row>
    <row r="528">
      <c r="A528" s="3">
        <v>479.0</v>
      </c>
      <c r="B528" s="3" t="s">
        <v>40</v>
      </c>
      <c r="C528" s="3" t="s">
        <v>1082</v>
      </c>
      <c r="D528" s="3">
        <v>2003.0</v>
      </c>
      <c r="E528" s="3" t="s">
        <v>1083</v>
      </c>
      <c r="F528" s="3" t="s">
        <v>2600</v>
      </c>
      <c r="G528" s="3" t="s">
        <v>2147</v>
      </c>
      <c r="H528" s="3" t="s">
        <v>2217</v>
      </c>
      <c r="I528" s="3" t="s">
        <v>2601</v>
      </c>
      <c r="J528" s="9" t="s">
        <v>3181</v>
      </c>
      <c r="K528" s="9" t="s">
        <v>3182</v>
      </c>
      <c r="L528" s="8" t="s">
        <v>2604</v>
      </c>
    </row>
    <row r="529">
      <c r="A529" s="3">
        <v>483.0</v>
      </c>
      <c r="B529" s="3" t="s">
        <v>40</v>
      </c>
      <c r="C529" s="3" t="s">
        <v>1090</v>
      </c>
      <c r="D529" s="3">
        <v>2014.0</v>
      </c>
      <c r="E529" s="3" t="s">
        <v>1091</v>
      </c>
      <c r="F529" s="3" t="s">
        <v>2600</v>
      </c>
      <c r="G529" s="3" t="s">
        <v>2147</v>
      </c>
      <c r="H529" s="3" t="s">
        <v>2217</v>
      </c>
      <c r="I529" s="3" t="s">
        <v>2601</v>
      </c>
      <c r="J529" s="9" t="s">
        <v>3181</v>
      </c>
      <c r="K529" s="9" t="s">
        <v>3182</v>
      </c>
      <c r="L529" s="8" t="s">
        <v>2608</v>
      </c>
    </row>
    <row r="530">
      <c r="A530" s="3">
        <v>663.0</v>
      </c>
      <c r="B530" s="3" t="s">
        <v>40</v>
      </c>
      <c r="C530" s="3" t="s">
        <v>1438</v>
      </c>
      <c r="D530" s="3">
        <v>2000.0</v>
      </c>
      <c r="E530" s="3" t="s">
        <v>1439</v>
      </c>
      <c r="F530" s="3" t="s">
        <v>2600</v>
      </c>
      <c r="G530" s="3" t="s">
        <v>2147</v>
      </c>
      <c r="H530" s="3" t="s">
        <v>2217</v>
      </c>
      <c r="I530" s="3" t="s">
        <v>2601</v>
      </c>
      <c r="J530" s="9"/>
      <c r="K530" s="9" t="s">
        <v>3182</v>
      </c>
      <c r="L530" s="8" t="s">
        <v>2602</v>
      </c>
    </row>
    <row r="531">
      <c r="A531" s="3">
        <v>664.0</v>
      </c>
      <c r="B531" s="3" t="s">
        <v>40</v>
      </c>
      <c r="C531" s="3" t="s">
        <v>1440</v>
      </c>
      <c r="D531" s="3">
        <v>2002.0</v>
      </c>
      <c r="E531" s="3" t="s">
        <v>1441</v>
      </c>
      <c r="F531" s="3" t="s">
        <v>2600</v>
      </c>
      <c r="G531" s="3" t="s">
        <v>2147</v>
      </c>
      <c r="H531" s="3" t="s">
        <v>2217</v>
      </c>
      <c r="I531" s="3" t="s">
        <v>2601</v>
      </c>
      <c r="J531" s="9"/>
      <c r="K531" s="9" t="s">
        <v>3182</v>
      </c>
      <c r="L531" s="8" t="s">
        <v>2603</v>
      </c>
    </row>
    <row r="532">
      <c r="A532" s="3">
        <v>481.0</v>
      </c>
      <c r="B532" s="3" t="s">
        <v>40</v>
      </c>
      <c r="C532" s="3" t="s">
        <v>1086</v>
      </c>
      <c r="D532" s="3">
        <v>2012.0</v>
      </c>
      <c r="E532" s="3" t="s">
        <v>1087</v>
      </c>
      <c r="F532" s="3" t="s">
        <v>2600</v>
      </c>
      <c r="G532" s="3" t="s">
        <v>2147</v>
      </c>
      <c r="H532" s="3" t="s">
        <v>2217</v>
      </c>
      <c r="I532" s="3" t="s">
        <v>2601</v>
      </c>
      <c r="J532" s="9" t="s">
        <v>3181</v>
      </c>
      <c r="K532" s="9" t="s">
        <v>3182</v>
      </c>
      <c r="L532" s="8" t="s">
        <v>2606</v>
      </c>
    </row>
    <row r="533">
      <c r="A533" s="3">
        <v>480.0</v>
      </c>
      <c r="B533" s="3" t="s">
        <v>40</v>
      </c>
      <c r="C533" s="3" t="s">
        <v>1084</v>
      </c>
      <c r="D533" s="3">
        <v>2011.0</v>
      </c>
      <c r="E533" s="3" t="s">
        <v>1085</v>
      </c>
      <c r="F533" s="3" t="s">
        <v>2600</v>
      </c>
      <c r="G533" s="3" t="s">
        <v>2147</v>
      </c>
      <c r="H533" s="3" t="s">
        <v>2217</v>
      </c>
      <c r="I533" s="3" t="s">
        <v>2601</v>
      </c>
      <c r="J533" s="9" t="s">
        <v>3181</v>
      </c>
      <c r="K533" s="9" t="s">
        <v>3182</v>
      </c>
      <c r="L533" s="8" t="s">
        <v>2605</v>
      </c>
    </row>
    <row r="534">
      <c r="A534" s="3">
        <v>529.0</v>
      </c>
      <c r="B534" s="3" t="s">
        <v>40</v>
      </c>
      <c r="C534" s="3" t="s">
        <v>1181</v>
      </c>
      <c r="D534" s="3">
        <v>2008.0</v>
      </c>
      <c r="E534" s="3" t="s">
        <v>1182</v>
      </c>
      <c r="F534" s="3" t="s">
        <v>2600</v>
      </c>
      <c r="G534" s="3" t="s">
        <v>2147</v>
      </c>
      <c r="H534" s="3" t="s">
        <v>2217</v>
      </c>
      <c r="I534" s="3" t="s">
        <v>2601</v>
      </c>
      <c r="J534" s="9" t="s">
        <v>2983</v>
      </c>
      <c r="K534" s="9" t="s">
        <v>2992</v>
      </c>
      <c r="L534" s="8" t="s">
        <v>2717</v>
      </c>
    </row>
    <row r="535">
      <c r="A535" s="3">
        <v>585.0</v>
      </c>
      <c r="B535" s="3" t="s">
        <v>40</v>
      </c>
      <c r="C535" s="3" t="s">
        <v>1295</v>
      </c>
      <c r="D535" s="3">
        <v>2017.0</v>
      </c>
      <c r="E535" s="3" t="s">
        <v>1296</v>
      </c>
      <c r="F535" s="3" t="s">
        <v>2600</v>
      </c>
      <c r="G535" s="3" t="s">
        <v>2147</v>
      </c>
      <c r="H535" s="3" t="s">
        <v>2217</v>
      </c>
      <c r="I535" s="3" t="s">
        <v>2601</v>
      </c>
      <c r="J535" s="9" t="s">
        <v>2983</v>
      </c>
      <c r="K535" s="9" t="s">
        <v>2992</v>
      </c>
      <c r="L535" s="8" t="s">
        <v>2724</v>
      </c>
    </row>
    <row r="536">
      <c r="A536" s="3">
        <v>487.0</v>
      </c>
      <c r="B536" s="3" t="s">
        <v>40</v>
      </c>
      <c r="C536" s="3" t="s">
        <v>1098</v>
      </c>
      <c r="D536" s="3">
        <v>2014.0</v>
      </c>
      <c r="E536" s="3" t="s">
        <v>1099</v>
      </c>
      <c r="F536" s="3" t="s">
        <v>2600</v>
      </c>
      <c r="G536" s="3" t="s">
        <v>2147</v>
      </c>
      <c r="H536" s="3" t="s">
        <v>2217</v>
      </c>
      <c r="I536" s="3" t="s">
        <v>2601</v>
      </c>
      <c r="J536" s="9" t="s">
        <v>2983</v>
      </c>
      <c r="K536" s="9" t="s">
        <v>2992</v>
      </c>
      <c r="L536" s="8" t="s">
        <v>2714</v>
      </c>
    </row>
    <row r="537">
      <c r="A537" s="3">
        <v>541.0</v>
      </c>
      <c r="B537" s="3" t="s">
        <v>40</v>
      </c>
      <c r="C537" s="3" t="s">
        <v>1205</v>
      </c>
      <c r="D537" s="3">
        <v>2010.0</v>
      </c>
      <c r="E537" s="3" t="s">
        <v>1206</v>
      </c>
      <c r="F537" s="3" t="s">
        <v>2600</v>
      </c>
      <c r="G537" s="3" t="s">
        <v>2147</v>
      </c>
      <c r="H537" s="3" t="s">
        <v>2217</v>
      </c>
      <c r="I537" s="3" t="s">
        <v>2601</v>
      </c>
      <c r="J537" s="9" t="s">
        <v>2983</v>
      </c>
      <c r="K537" s="9" t="s">
        <v>2992</v>
      </c>
      <c r="L537" s="8" t="s">
        <v>2718</v>
      </c>
    </row>
    <row r="538">
      <c r="A538" s="3">
        <v>586.0</v>
      </c>
      <c r="B538" s="3" t="s">
        <v>40</v>
      </c>
      <c r="C538" s="3" t="s">
        <v>1297</v>
      </c>
      <c r="D538" s="3">
        <v>2017.0</v>
      </c>
      <c r="E538" s="3" t="s">
        <v>1298</v>
      </c>
      <c r="F538" s="3" t="s">
        <v>2600</v>
      </c>
      <c r="G538" s="3" t="s">
        <v>2147</v>
      </c>
      <c r="H538" s="3" t="s">
        <v>2217</v>
      </c>
      <c r="I538" s="3" t="s">
        <v>2601</v>
      </c>
      <c r="J538" s="9" t="s">
        <v>2983</v>
      </c>
      <c r="K538" s="9" t="s">
        <v>2992</v>
      </c>
      <c r="L538" s="8" t="s">
        <v>2725</v>
      </c>
    </row>
    <row r="539">
      <c r="A539" s="3">
        <v>666.0</v>
      </c>
      <c r="B539" s="3" t="s">
        <v>40</v>
      </c>
      <c r="C539" s="3" t="s">
        <v>1444</v>
      </c>
      <c r="D539" s="3">
        <v>2011.0</v>
      </c>
      <c r="E539" s="3" t="s">
        <v>1445</v>
      </c>
      <c r="F539" s="3" t="s">
        <v>2600</v>
      </c>
      <c r="G539" s="3" t="s">
        <v>2147</v>
      </c>
      <c r="H539" s="3" t="s">
        <v>2217</v>
      </c>
      <c r="I539" s="3" t="s">
        <v>2601</v>
      </c>
      <c r="J539" s="9"/>
      <c r="K539" s="9" t="s">
        <v>2992</v>
      </c>
      <c r="L539" s="8" t="s">
        <v>2643</v>
      </c>
    </row>
    <row r="540">
      <c r="A540" s="3">
        <v>500.0</v>
      </c>
      <c r="B540" s="3" t="s">
        <v>40</v>
      </c>
      <c r="C540" s="3" t="s">
        <v>1124</v>
      </c>
      <c r="D540" s="3">
        <v>1994.0</v>
      </c>
      <c r="E540" s="3" t="s">
        <v>1125</v>
      </c>
      <c r="F540" s="3" t="s">
        <v>2600</v>
      </c>
      <c r="G540" s="3" t="s">
        <v>2147</v>
      </c>
      <c r="H540" s="3" t="s">
        <v>2217</v>
      </c>
      <c r="I540" s="3" t="s">
        <v>2601</v>
      </c>
      <c r="J540" s="9" t="s">
        <v>2983</v>
      </c>
      <c r="K540" s="9" t="s">
        <v>2992</v>
      </c>
      <c r="L540" s="8" t="s">
        <v>2715</v>
      </c>
    </row>
    <row r="541">
      <c r="A541" s="3">
        <v>486.0</v>
      </c>
      <c r="B541" s="3" t="s">
        <v>40</v>
      </c>
      <c r="C541" s="3" t="s">
        <v>1096</v>
      </c>
      <c r="D541" s="3">
        <v>2011.0</v>
      </c>
      <c r="E541" s="3" t="s">
        <v>1097</v>
      </c>
      <c r="F541" s="3" t="s">
        <v>2600</v>
      </c>
      <c r="G541" s="3" t="s">
        <v>2147</v>
      </c>
      <c r="H541" s="3" t="s">
        <v>2217</v>
      </c>
      <c r="I541" s="3" t="s">
        <v>2601</v>
      </c>
      <c r="J541" s="9" t="s">
        <v>2983</v>
      </c>
      <c r="K541" s="9" t="s">
        <v>2992</v>
      </c>
      <c r="L541" s="8" t="s">
        <v>2713</v>
      </c>
    </row>
    <row r="542">
      <c r="A542" s="3">
        <v>553.0</v>
      </c>
      <c r="B542" s="3" t="s">
        <v>40</v>
      </c>
      <c r="C542" s="3" t="s">
        <v>1230</v>
      </c>
      <c r="D542" s="3">
        <v>2012.0</v>
      </c>
      <c r="E542" s="3" t="s">
        <v>1231</v>
      </c>
      <c r="F542" s="3" t="s">
        <v>2600</v>
      </c>
      <c r="G542" s="3" t="s">
        <v>2147</v>
      </c>
      <c r="H542" s="3" t="s">
        <v>2217</v>
      </c>
      <c r="I542" s="3" t="s">
        <v>2601</v>
      </c>
      <c r="J542" s="9" t="s">
        <v>2983</v>
      </c>
      <c r="K542" s="9" t="s">
        <v>2992</v>
      </c>
      <c r="L542" s="8" t="s">
        <v>2720</v>
      </c>
    </row>
    <row r="543">
      <c r="A543" s="3">
        <v>513.0</v>
      </c>
      <c r="B543" s="3" t="s">
        <v>40</v>
      </c>
      <c r="C543" s="3" t="s">
        <v>1149</v>
      </c>
      <c r="D543" s="3">
        <v>2003.0</v>
      </c>
      <c r="E543" s="3" t="s">
        <v>1150</v>
      </c>
      <c r="F543" s="3" t="s">
        <v>2600</v>
      </c>
      <c r="G543" s="3" t="s">
        <v>2147</v>
      </c>
      <c r="H543" s="3" t="s">
        <v>2217</v>
      </c>
      <c r="I543" s="3" t="s">
        <v>2601</v>
      </c>
      <c r="J543" s="9" t="s">
        <v>2983</v>
      </c>
      <c r="K543" s="9" t="s">
        <v>2992</v>
      </c>
      <c r="L543" s="8" t="s">
        <v>2716</v>
      </c>
    </row>
    <row r="544">
      <c r="A544" s="3">
        <v>584.0</v>
      </c>
      <c r="B544" s="3" t="s">
        <v>40</v>
      </c>
      <c r="C544" s="3" t="s">
        <v>1293</v>
      </c>
      <c r="D544" s="3">
        <v>2017.0</v>
      </c>
      <c r="E544" s="3" t="s">
        <v>1294</v>
      </c>
      <c r="F544" s="3" t="s">
        <v>2600</v>
      </c>
      <c r="G544" s="3" t="s">
        <v>2147</v>
      </c>
      <c r="H544" s="3" t="s">
        <v>2217</v>
      </c>
      <c r="I544" s="3" t="s">
        <v>2601</v>
      </c>
      <c r="J544" s="9" t="s">
        <v>2983</v>
      </c>
      <c r="K544" s="9" t="s">
        <v>2992</v>
      </c>
      <c r="L544" s="8" t="s">
        <v>2723</v>
      </c>
    </row>
    <row r="545">
      <c r="A545" s="3">
        <v>558.0</v>
      </c>
      <c r="B545" s="3" t="s">
        <v>40</v>
      </c>
      <c r="C545" s="3" t="s">
        <v>1240</v>
      </c>
      <c r="D545" s="3">
        <v>2013.0</v>
      </c>
      <c r="E545" s="3" t="s">
        <v>1241</v>
      </c>
      <c r="F545" s="3" t="s">
        <v>2600</v>
      </c>
      <c r="G545" s="3" t="s">
        <v>2147</v>
      </c>
      <c r="H545" s="3" t="s">
        <v>2217</v>
      </c>
      <c r="I545" s="3" t="s">
        <v>2601</v>
      </c>
      <c r="J545" s="9" t="s">
        <v>2983</v>
      </c>
      <c r="K545" s="9" t="s">
        <v>2992</v>
      </c>
      <c r="L545" s="8" t="s">
        <v>2721</v>
      </c>
    </row>
    <row r="546">
      <c r="A546" s="3">
        <v>862.0</v>
      </c>
      <c r="B546" s="3" t="s">
        <v>40</v>
      </c>
      <c r="C546" s="3" t="s">
        <v>1838</v>
      </c>
      <c r="D546" s="3">
        <v>2014.0</v>
      </c>
      <c r="E546" s="3" t="s">
        <v>1839</v>
      </c>
      <c r="F546" s="3" t="s">
        <v>2600</v>
      </c>
      <c r="G546" s="3" t="s">
        <v>2147</v>
      </c>
      <c r="H546" s="3" t="s">
        <v>2217</v>
      </c>
      <c r="I546" s="3" t="s">
        <v>2601</v>
      </c>
      <c r="J546" s="9" t="s">
        <v>2956</v>
      </c>
      <c r="K546" s="9" t="s">
        <v>2959</v>
      </c>
      <c r="L546" s="8" t="s">
        <v>2788</v>
      </c>
    </row>
    <row r="547">
      <c r="A547" s="3">
        <v>867.0</v>
      </c>
      <c r="B547" s="3" t="s">
        <v>40</v>
      </c>
      <c r="C547" s="3" t="s">
        <v>1847</v>
      </c>
      <c r="D547" s="3">
        <v>2016.0</v>
      </c>
      <c r="E547" s="3" t="s">
        <v>1848</v>
      </c>
      <c r="F547" s="3" t="s">
        <v>2600</v>
      </c>
      <c r="G547" s="3" t="s">
        <v>2147</v>
      </c>
      <c r="H547" s="3" t="s">
        <v>2217</v>
      </c>
      <c r="I547" s="3" t="s">
        <v>2601</v>
      </c>
      <c r="J547" s="9" t="s">
        <v>2956</v>
      </c>
      <c r="K547" s="9" t="s">
        <v>2959</v>
      </c>
      <c r="L547" s="8" t="s">
        <v>2789</v>
      </c>
    </row>
    <row r="548">
      <c r="A548" s="3">
        <v>704.0</v>
      </c>
      <c r="B548" s="3" t="s">
        <v>40</v>
      </c>
      <c r="C548" s="3" t="s">
        <v>1520</v>
      </c>
      <c r="D548" s="3">
        <v>2015.0</v>
      </c>
      <c r="E548" s="3" t="s">
        <v>1521</v>
      </c>
      <c r="F548" s="3" t="s">
        <v>2600</v>
      </c>
      <c r="G548" s="3" t="s">
        <v>2147</v>
      </c>
      <c r="H548" s="3" t="s">
        <v>2217</v>
      </c>
      <c r="I548" s="3" t="s">
        <v>2601</v>
      </c>
      <c r="J548" s="9"/>
      <c r="K548" s="9"/>
      <c r="L548" s="8" t="s">
        <v>2779</v>
      </c>
    </row>
    <row r="549">
      <c r="A549" s="3">
        <v>693.0</v>
      </c>
      <c r="B549" s="3" t="s">
        <v>40</v>
      </c>
      <c r="C549" s="3" t="s">
        <v>1498</v>
      </c>
      <c r="D549" s="3">
        <v>2008.0</v>
      </c>
      <c r="E549" s="3" t="s">
        <v>1499</v>
      </c>
      <c r="F549" s="3" t="s">
        <v>2600</v>
      </c>
      <c r="G549" s="3" t="s">
        <v>2147</v>
      </c>
      <c r="H549" s="3" t="s">
        <v>2217</v>
      </c>
      <c r="I549" s="3" t="s">
        <v>2601</v>
      </c>
      <c r="J549" s="9"/>
      <c r="K549" s="9"/>
      <c r="L549" s="8" t="s">
        <v>2775</v>
      </c>
    </row>
    <row r="550">
      <c r="A550" s="3">
        <v>711.0</v>
      </c>
      <c r="B550" s="3" t="s">
        <v>40</v>
      </c>
      <c r="C550" s="3" t="s">
        <v>1534</v>
      </c>
      <c r="D550" s="3">
        <v>2019.0</v>
      </c>
      <c r="E550" s="3" t="s">
        <v>1535</v>
      </c>
      <c r="F550" s="3" t="s">
        <v>2600</v>
      </c>
      <c r="G550" s="3" t="s">
        <v>2147</v>
      </c>
      <c r="H550" s="3" t="s">
        <v>2217</v>
      </c>
      <c r="I550" s="3" t="s">
        <v>2601</v>
      </c>
      <c r="J550" s="9"/>
      <c r="K550" s="9"/>
      <c r="L550" s="8" t="s">
        <v>2784</v>
      </c>
    </row>
    <row r="551">
      <c r="A551" s="3">
        <v>697.0</v>
      </c>
      <c r="B551" s="3" t="s">
        <v>40</v>
      </c>
      <c r="C551" s="3" t="s">
        <v>1506</v>
      </c>
      <c r="D551" s="3">
        <v>2011.0</v>
      </c>
      <c r="E551" s="3" t="s">
        <v>1507</v>
      </c>
      <c r="F551" s="3" t="s">
        <v>2600</v>
      </c>
      <c r="G551" s="3" t="s">
        <v>2147</v>
      </c>
      <c r="H551" s="3" t="s">
        <v>2217</v>
      </c>
      <c r="I551" s="3" t="s">
        <v>2601</v>
      </c>
      <c r="J551" s="9"/>
      <c r="K551" s="9"/>
      <c r="L551" s="8" t="s">
        <v>2776</v>
      </c>
    </row>
    <row r="552">
      <c r="A552" s="3">
        <v>669.0</v>
      </c>
      <c r="B552" s="3" t="s">
        <v>40</v>
      </c>
      <c r="C552" s="3" t="s">
        <v>1450</v>
      </c>
      <c r="D552" s="3">
        <v>2000.0</v>
      </c>
      <c r="E552" s="3" t="s">
        <v>1451</v>
      </c>
      <c r="F552" s="3" t="s">
        <v>2600</v>
      </c>
      <c r="G552" s="3" t="s">
        <v>2147</v>
      </c>
      <c r="H552" s="3" t="s">
        <v>2217</v>
      </c>
      <c r="I552" s="3" t="s">
        <v>2601</v>
      </c>
      <c r="J552" s="9"/>
      <c r="K552" s="9"/>
      <c r="L552" s="8" t="s">
        <v>2764</v>
      </c>
    </row>
    <row r="553">
      <c r="A553" s="3">
        <v>806.0</v>
      </c>
      <c r="B553" s="3" t="s">
        <v>40</v>
      </c>
      <c r="C553" s="3" t="s">
        <v>1726</v>
      </c>
      <c r="D553" s="3">
        <v>1998.0</v>
      </c>
      <c r="E553" s="3" t="s">
        <v>1727</v>
      </c>
      <c r="F553" s="3" t="s">
        <v>2440</v>
      </c>
      <c r="G553" s="3" t="s">
        <v>2142</v>
      </c>
      <c r="I553" s="3" t="s">
        <v>2447</v>
      </c>
      <c r="J553" s="9" t="s">
        <v>2974</v>
      </c>
      <c r="K553" s="9" t="s">
        <v>2959</v>
      </c>
      <c r="L553" s="8" t="s">
        <v>2448</v>
      </c>
    </row>
    <row r="554">
      <c r="A554" s="3">
        <v>863.0</v>
      </c>
      <c r="B554" s="3" t="s">
        <v>40</v>
      </c>
      <c r="C554" s="3" t="s">
        <v>1840</v>
      </c>
      <c r="D554" s="3">
        <v>2014.0</v>
      </c>
      <c r="E554" s="3" t="s">
        <v>1841</v>
      </c>
      <c r="G554" s="3" t="s">
        <v>2142</v>
      </c>
      <c r="I554" s="3" t="s">
        <v>2929</v>
      </c>
      <c r="J554" s="9" t="s">
        <v>2956</v>
      </c>
      <c r="K554" s="9" t="s">
        <v>2959</v>
      </c>
      <c r="L554" s="8" t="s">
        <v>2930</v>
      </c>
    </row>
    <row r="555">
      <c r="A555" s="3">
        <v>819.0</v>
      </c>
      <c r="B555" s="3" t="s">
        <v>40</v>
      </c>
      <c r="C555" s="3" t="s">
        <v>1752</v>
      </c>
      <c r="D555" s="3">
        <v>2002.0</v>
      </c>
      <c r="E555" s="3" t="s">
        <v>1753</v>
      </c>
      <c r="F555" s="3" t="s">
        <v>2553</v>
      </c>
      <c r="G555" s="3" t="s">
        <v>2142</v>
      </c>
      <c r="I555" s="3" t="s">
        <v>2591</v>
      </c>
      <c r="J555" s="9" t="s">
        <v>2956</v>
      </c>
      <c r="K555" s="9" t="s">
        <v>2959</v>
      </c>
      <c r="L555" s="8" t="s">
        <v>2592</v>
      </c>
    </row>
    <row r="556">
      <c r="A556" s="3">
        <v>443.0</v>
      </c>
      <c r="B556" s="3" t="s">
        <v>40</v>
      </c>
      <c r="C556" s="3" t="s">
        <v>1012</v>
      </c>
      <c r="D556" s="3">
        <v>2019.0</v>
      </c>
      <c r="E556" s="3" t="s">
        <v>1013</v>
      </c>
      <c r="F556" s="3" t="s">
        <v>2553</v>
      </c>
      <c r="G556" s="3" t="s">
        <v>2142</v>
      </c>
      <c r="I556" s="3" t="s">
        <v>2506</v>
      </c>
      <c r="J556" s="9" t="s">
        <v>3011</v>
      </c>
      <c r="K556" s="9" t="s">
        <v>3025</v>
      </c>
      <c r="L556" s="8" t="s">
        <v>2574</v>
      </c>
    </row>
    <row r="557">
      <c r="A557" s="3">
        <v>629.0</v>
      </c>
      <c r="B557" s="3" t="s">
        <v>40</v>
      </c>
      <c r="C557" s="3" t="s">
        <v>1374</v>
      </c>
      <c r="D557" s="3">
        <v>2018.0</v>
      </c>
      <c r="E557" s="3" t="s">
        <v>1375</v>
      </c>
      <c r="F557" s="3" t="s">
        <v>2497</v>
      </c>
      <c r="G557" s="3" t="s">
        <v>2142</v>
      </c>
      <c r="I557" s="3" t="s">
        <v>2506</v>
      </c>
      <c r="J557" s="9" t="s">
        <v>3023</v>
      </c>
      <c r="K557" s="9" t="s">
        <v>3183</v>
      </c>
      <c r="L557" s="8" t="s">
        <v>2507</v>
      </c>
    </row>
    <row r="558">
      <c r="A558" s="3">
        <v>548.0</v>
      </c>
      <c r="B558" s="3" t="s">
        <v>40</v>
      </c>
      <c r="C558" s="3" t="s">
        <v>1219</v>
      </c>
      <c r="D558" s="3">
        <v>2011.0</v>
      </c>
      <c r="E558" s="3" t="s">
        <v>1220</v>
      </c>
      <c r="G558" s="3" t="s">
        <v>2142</v>
      </c>
      <c r="I558" s="3" t="s">
        <v>2908</v>
      </c>
      <c r="J558" s="9" t="s">
        <v>3010</v>
      </c>
      <c r="K558" s="9" t="s">
        <v>2992</v>
      </c>
      <c r="L558" s="8" t="s">
        <v>2909</v>
      </c>
    </row>
    <row r="559">
      <c r="A559" s="3">
        <v>210.0</v>
      </c>
      <c r="B559" s="3" t="s">
        <v>40</v>
      </c>
      <c r="C559" s="3" t="s">
        <v>588</v>
      </c>
      <c r="D559" s="3">
        <v>2009.0</v>
      </c>
      <c r="E559" s="3" t="s">
        <v>589</v>
      </c>
      <c r="F559" s="3" t="s">
        <v>2497</v>
      </c>
      <c r="G559" s="3" t="s">
        <v>2142</v>
      </c>
      <c r="I559" s="3" t="s">
        <v>2340</v>
      </c>
      <c r="J559" s="9" t="s">
        <v>3184</v>
      </c>
      <c r="K559" s="9" t="s">
        <v>3185</v>
      </c>
      <c r="L559" s="8" t="s">
        <v>2500</v>
      </c>
    </row>
    <row r="560">
      <c r="A560" s="3">
        <v>263.0</v>
      </c>
      <c r="B560" s="3" t="s">
        <v>40</v>
      </c>
      <c r="C560" s="3" t="s">
        <v>693</v>
      </c>
      <c r="D560" s="3">
        <v>1999.0</v>
      </c>
      <c r="E560" s="3" t="s">
        <v>694</v>
      </c>
      <c r="F560" s="3" t="s">
        <v>2553</v>
      </c>
      <c r="G560" s="3" t="s">
        <v>2142</v>
      </c>
      <c r="I560" s="3" t="s">
        <v>2340</v>
      </c>
      <c r="J560" s="9" t="s">
        <v>2953</v>
      </c>
      <c r="K560" s="9" t="s">
        <v>2954</v>
      </c>
      <c r="L560" s="8" t="s">
        <v>2570</v>
      </c>
    </row>
    <row r="561">
      <c r="A561" s="3">
        <v>287.0</v>
      </c>
      <c r="B561" s="3" t="s">
        <v>40</v>
      </c>
      <c r="C561" s="3" t="s">
        <v>740</v>
      </c>
      <c r="D561" s="3">
        <v>2006.0</v>
      </c>
      <c r="E561" s="3" t="s">
        <v>741</v>
      </c>
      <c r="F561" s="3" t="s">
        <v>2553</v>
      </c>
      <c r="G561" s="3" t="s">
        <v>2142</v>
      </c>
      <c r="I561" s="3" t="s">
        <v>2340</v>
      </c>
      <c r="J561" s="9" t="s">
        <v>2953</v>
      </c>
      <c r="K561" s="9" t="s">
        <v>2954</v>
      </c>
      <c r="L561" s="8" t="s">
        <v>2572</v>
      </c>
    </row>
    <row r="562">
      <c r="A562" s="3">
        <v>570.0</v>
      </c>
      <c r="B562" s="3" t="s">
        <v>40</v>
      </c>
      <c r="C562" s="3" t="s">
        <v>1264</v>
      </c>
      <c r="D562" s="3">
        <v>2015.0</v>
      </c>
      <c r="E562" s="3" t="s">
        <v>1265</v>
      </c>
      <c r="G562" s="3" t="s">
        <v>2142</v>
      </c>
      <c r="I562" s="3" t="s">
        <v>2340</v>
      </c>
      <c r="J562" s="9" t="s">
        <v>3010</v>
      </c>
      <c r="K562" s="9" t="s">
        <v>2992</v>
      </c>
      <c r="L562" s="8" t="s">
        <v>2910</v>
      </c>
    </row>
    <row r="563">
      <c r="A563" s="3">
        <v>554.0</v>
      </c>
      <c r="B563" s="3" t="s">
        <v>40</v>
      </c>
      <c r="C563" s="3" t="s">
        <v>1232</v>
      </c>
      <c r="D563" s="3">
        <v>2012.0</v>
      </c>
      <c r="E563" s="3" t="s">
        <v>1233</v>
      </c>
      <c r="F563" s="3" t="s">
        <v>2497</v>
      </c>
      <c r="G563" s="3" t="s">
        <v>2142</v>
      </c>
      <c r="I563" s="3" t="s">
        <v>2340</v>
      </c>
      <c r="J563" s="9" t="s">
        <v>3010</v>
      </c>
      <c r="K563" s="9" t="s">
        <v>2992</v>
      </c>
      <c r="L563" s="8" t="s">
        <v>2522</v>
      </c>
    </row>
    <row r="564">
      <c r="A564" s="3">
        <v>726.0</v>
      </c>
      <c r="B564" s="3" t="s">
        <v>40</v>
      </c>
      <c r="C564" s="3" t="s">
        <v>1566</v>
      </c>
      <c r="D564" s="3">
        <v>2018.0</v>
      </c>
      <c r="E564" s="3" t="s">
        <v>1567</v>
      </c>
      <c r="G564" s="3" t="s">
        <v>2142</v>
      </c>
      <c r="I564" s="3" t="s">
        <v>2340</v>
      </c>
      <c r="J564" s="9" t="s">
        <v>3186</v>
      </c>
      <c r="K564" s="9" t="s">
        <v>3187</v>
      </c>
      <c r="L564" s="8" t="s">
        <v>2874</v>
      </c>
    </row>
    <row r="565">
      <c r="A565" s="3">
        <v>759.0</v>
      </c>
      <c r="B565" s="3" t="s">
        <v>40</v>
      </c>
      <c r="C565" s="3" t="s">
        <v>1632</v>
      </c>
      <c r="D565" s="3">
        <v>2001.0</v>
      </c>
      <c r="E565" s="3" t="s">
        <v>1633</v>
      </c>
      <c r="G565" s="3" t="s">
        <v>2142</v>
      </c>
      <c r="I565" s="3" t="s">
        <v>2340</v>
      </c>
      <c r="J565" s="9" t="s">
        <v>3188</v>
      </c>
      <c r="K565" s="9" t="s">
        <v>3189</v>
      </c>
      <c r="L565" s="8" t="s">
        <v>2882</v>
      </c>
    </row>
    <row r="566">
      <c r="A566" s="3">
        <v>767.0</v>
      </c>
      <c r="B566" s="3" t="s">
        <v>40</v>
      </c>
      <c r="C566" s="3" t="s">
        <v>1647</v>
      </c>
      <c r="D566" s="3">
        <v>2020.0</v>
      </c>
      <c r="E566" s="3" t="s">
        <v>1648</v>
      </c>
      <c r="F566" s="3" t="s">
        <v>2553</v>
      </c>
      <c r="G566" s="3" t="s">
        <v>2142</v>
      </c>
      <c r="I566" s="3" t="s">
        <v>2340</v>
      </c>
      <c r="J566" s="9" t="s">
        <v>2956</v>
      </c>
      <c r="K566" s="9" t="s">
        <v>2959</v>
      </c>
      <c r="L566" s="8" t="s">
        <v>2585</v>
      </c>
    </row>
    <row r="567">
      <c r="A567" s="3">
        <v>873.0</v>
      </c>
      <c r="B567" s="3" t="s">
        <v>40</v>
      </c>
      <c r="C567" s="3" t="s">
        <v>1860</v>
      </c>
      <c r="D567" s="3">
        <v>2018.0</v>
      </c>
      <c r="E567" s="3" t="s">
        <v>1861</v>
      </c>
      <c r="F567" s="3" t="s">
        <v>2553</v>
      </c>
      <c r="G567" s="3" t="s">
        <v>2142</v>
      </c>
      <c r="I567" s="3" t="s">
        <v>2340</v>
      </c>
      <c r="J567" s="9" t="s">
        <v>2956</v>
      </c>
      <c r="K567" s="9" t="s">
        <v>2959</v>
      </c>
      <c r="L567" s="8" t="s">
        <v>2593</v>
      </c>
    </row>
    <row r="568">
      <c r="A568" s="3">
        <v>807.0</v>
      </c>
      <c r="B568" s="3" t="s">
        <v>40</v>
      </c>
      <c r="C568" s="3" t="s">
        <v>1728</v>
      </c>
      <c r="D568" s="3">
        <v>1998.0</v>
      </c>
      <c r="E568" s="3" t="s">
        <v>1729</v>
      </c>
      <c r="F568" s="3" t="s">
        <v>2553</v>
      </c>
      <c r="G568" s="3" t="s">
        <v>2142</v>
      </c>
      <c r="I568" s="3" t="s">
        <v>2340</v>
      </c>
      <c r="J568" s="9" t="s">
        <v>2956</v>
      </c>
      <c r="K568" s="9" t="s">
        <v>2959</v>
      </c>
      <c r="L568" s="8" t="s">
        <v>2589</v>
      </c>
    </row>
    <row r="569">
      <c r="A569" s="3">
        <v>683.0</v>
      </c>
      <c r="B569" s="3" t="s">
        <v>40</v>
      </c>
      <c r="C569" s="3" t="s">
        <v>1478</v>
      </c>
      <c r="D569" s="3">
        <v>2005.0</v>
      </c>
      <c r="E569" s="3" t="s">
        <v>1479</v>
      </c>
      <c r="F569" s="3" t="s">
        <v>2417</v>
      </c>
      <c r="G569" s="3" t="s">
        <v>2142</v>
      </c>
      <c r="I569" s="3" t="s">
        <v>2340</v>
      </c>
      <c r="J569" s="9"/>
      <c r="K569" s="9"/>
      <c r="L569" s="8" t="s">
        <v>2419</v>
      </c>
    </row>
    <row r="570">
      <c r="A570" s="3">
        <v>686.0</v>
      </c>
      <c r="B570" s="3" t="s">
        <v>40</v>
      </c>
      <c r="C570" s="3" t="s">
        <v>429</v>
      </c>
      <c r="D570" s="3">
        <v>2006.0</v>
      </c>
      <c r="E570" s="3" t="s">
        <v>1485</v>
      </c>
      <c r="F570" s="3" t="s">
        <v>2325</v>
      </c>
      <c r="G570" s="3" t="s">
        <v>2142</v>
      </c>
      <c r="I570" s="3" t="s">
        <v>2340</v>
      </c>
      <c r="J570" s="9"/>
      <c r="K570" s="9"/>
      <c r="L570" s="8" t="s">
        <v>2341</v>
      </c>
    </row>
    <row r="571">
      <c r="A571" s="3">
        <v>696.0</v>
      </c>
      <c r="B571" s="3" t="s">
        <v>40</v>
      </c>
      <c r="C571" s="3" t="s">
        <v>1504</v>
      </c>
      <c r="D571" s="3">
        <v>2009.0</v>
      </c>
      <c r="E571" s="3" t="s">
        <v>2481</v>
      </c>
      <c r="F571" s="3" t="s">
        <v>2471</v>
      </c>
      <c r="G571" s="3" t="s">
        <v>2142</v>
      </c>
      <c r="I571" s="3" t="s">
        <v>2340</v>
      </c>
      <c r="J571" s="9"/>
      <c r="K571" s="9"/>
      <c r="L571" s="8" t="s">
        <v>2482</v>
      </c>
    </row>
    <row r="572">
      <c r="A572" s="3">
        <v>699.0</v>
      </c>
      <c r="B572" s="3" t="s">
        <v>40</v>
      </c>
      <c r="C572" s="3" t="s">
        <v>1510</v>
      </c>
      <c r="D572" s="3">
        <v>2013.0</v>
      </c>
      <c r="E572" s="3" t="s">
        <v>1511</v>
      </c>
      <c r="F572" s="3" t="s">
        <v>2553</v>
      </c>
      <c r="G572" s="3" t="s">
        <v>2142</v>
      </c>
      <c r="I572" s="3" t="s">
        <v>2340</v>
      </c>
      <c r="J572" s="9"/>
      <c r="K572" s="9"/>
      <c r="L572" s="8" t="s">
        <v>2583</v>
      </c>
    </row>
    <row r="573">
      <c r="A573" s="3">
        <v>786.0</v>
      </c>
      <c r="B573" s="3" t="s">
        <v>40</v>
      </c>
      <c r="C573" s="3" t="s">
        <v>1687</v>
      </c>
      <c r="D573" s="3">
        <v>1991.0</v>
      </c>
      <c r="E573" s="3" t="s">
        <v>1688</v>
      </c>
      <c r="F573" s="3" t="s">
        <v>2600</v>
      </c>
      <c r="G573" s="3" t="s">
        <v>2147</v>
      </c>
      <c r="H573" s="3" t="s">
        <v>2217</v>
      </c>
      <c r="I573" s="3" t="s">
        <v>2796</v>
      </c>
      <c r="J573" s="9" t="s">
        <v>2974</v>
      </c>
      <c r="K573" s="9" t="s">
        <v>2959</v>
      </c>
      <c r="L573" s="8" t="s">
        <v>2797</v>
      </c>
    </row>
    <row r="574">
      <c r="A574" s="3">
        <v>437.0</v>
      </c>
      <c r="B574" s="3" t="s">
        <v>40</v>
      </c>
      <c r="C574" s="3" t="s">
        <v>999</v>
      </c>
      <c r="D574" s="3">
        <v>2015.0</v>
      </c>
      <c r="E574" s="3" t="s">
        <v>1000</v>
      </c>
      <c r="F574" s="3" t="s">
        <v>2600</v>
      </c>
      <c r="G574" s="3" t="s">
        <v>2147</v>
      </c>
      <c r="H574" s="3" t="s">
        <v>2217</v>
      </c>
      <c r="I574" s="3" t="s">
        <v>2155</v>
      </c>
      <c r="J574" s="9" t="s">
        <v>3070</v>
      </c>
      <c r="K574" s="9" t="s">
        <v>3025</v>
      </c>
      <c r="L574" s="8" t="s">
        <v>2705</v>
      </c>
    </row>
    <row r="575">
      <c r="A575" s="3">
        <v>523.0</v>
      </c>
      <c r="B575" s="3" t="s">
        <v>40</v>
      </c>
      <c r="C575" s="3" t="s">
        <v>1169</v>
      </c>
      <c r="D575" s="3">
        <v>2007.0</v>
      </c>
      <c r="E575" s="3" t="s">
        <v>1170</v>
      </c>
      <c r="F575" s="3" t="s">
        <v>2216</v>
      </c>
      <c r="G575" s="3" t="s">
        <v>2147</v>
      </c>
      <c r="H575" s="3" t="s">
        <v>2217</v>
      </c>
      <c r="I575" s="3" t="s">
        <v>2155</v>
      </c>
      <c r="J575" s="9" t="s">
        <v>3010</v>
      </c>
      <c r="K575" s="9" t="s">
        <v>2992</v>
      </c>
      <c r="L575" s="8" t="s">
        <v>2252</v>
      </c>
    </row>
    <row r="576">
      <c r="A576" s="3">
        <v>531.0</v>
      </c>
      <c r="B576" s="3" t="s">
        <v>40</v>
      </c>
      <c r="C576" s="3" t="s">
        <v>1185</v>
      </c>
      <c r="D576" s="3">
        <v>2009.0</v>
      </c>
      <c r="E576" s="3" t="s">
        <v>1186</v>
      </c>
      <c r="F576" s="3" t="s">
        <v>2600</v>
      </c>
      <c r="G576" s="3" t="s">
        <v>2147</v>
      </c>
      <c r="H576" s="3" t="s">
        <v>2217</v>
      </c>
      <c r="I576" s="3" t="s">
        <v>2155</v>
      </c>
      <c r="J576" s="9" t="s">
        <v>2985</v>
      </c>
      <c r="K576" s="9" t="s">
        <v>2992</v>
      </c>
      <c r="L576" s="8" t="s">
        <v>2736</v>
      </c>
    </row>
    <row r="577">
      <c r="A577" s="3">
        <v>530.0</v>
      </c>
      <c r="B577" s="3" t="s">
        <v>40</v>
      </c>
      <c r="C577" s="3" t="s">
        <v>1183</v>
      </c>
      <c r="D577" s="3">
        <v>2009.0</v>
      </c>
      <c r="E577" s="3" t="s">
        <v>1184</v>
      </c>
      <c r="F577" s="3" t="s">
        <v>2216</v>
      </c>
      <c r="G577" s="3" t="s">
        <v>2147</v>
      </c>
      <c r="H577" s="3" t="s">
        <v>2217</v>
      </c>
      <c r="I577" s="3" t="s">
        <v>2155</v>
      </c>
      <c r="J577" s="9" t="s">
        <v>3190</v>
      </c>
      <c r="K577" s="9" t="s">
        <v>2992</v>
      </c>
      <c r="L577" s="8" t="s">
        <v>2251</v>
      </c>
    </row>
    <row r="578">
      <c r="A578" s="3">
        <v>588.0</v>
      </c>
      <c r="B578" s="3" t="s">
        <v>40</v>
      </c>
      <c r="C578" s="3" t="s">
        <v>1301</v>
      </c>
      <c r="D578" s="3">
        <v>2017.0</v>
      </c>
      <c r="E578" s="3" t="s">
        <v>1302</v>
      </c>
      <c r="F578" s="3" t="s">
        <v>2216</v>
      </c>
      <c r="G578" s="3" t="s">
        <v>2147</v>
      </c>
      <c r="H578" s="3" t="s">
        <v>2217</v>
      </c>
      <c r="I578" s="3" t="s">
        <v>2155</v>
      </c>
      <c r="J578" s="9" t="s">
        <v>3010</v>
      </c>
      <c r="K578" s="9" t="s">
        <v>2992</v>
      </c>
      <c r="L578" s="8" t="s">
        <v>2253</v>
      </c>
    </row>
    <row r="579">
      <c r="A579" s="3">
        <v>549.0</v>
      </c>
      <c r="B579" s="3" t="s">
        <v>40</v>
      </c>
      <c r="C579" s="3" t="s">
        <v>1221</v>
      </c>
      <c r="D579" s="3">
        <v>2011.0</v>
      </c>
      <c r="E579" s="3" t="s">
        <v>1222</v>
      </c>
      <c r="G579" s="3" t="s">
        <v>2147</v>
      </c>
      <c r="H579" s="3" t="s">
        <v>2217</v>
      </c>
      <c r="I579" s="3" t="s">
        <v>2155</v>
      </c>
      <c r="J579" s="9" t="s">
        <v>2983</v>
      </c>
      <c r="K579" s="9" t="s">
        <v>2992</v>
      </c>
      <c r="L579" s="8" t="s">
        <v>2854</v>
      </c>
    </row>
    <row r="580">
      <c r="A580" s="3">
        <v>587.0</v>
      </c>
      <c r="B580" s="3" t="s">
        <v>40</v>
      </c>
      <c r="C580" s="3" t="s">
        <v>1299</v>
      </c>
      <c r="D580" s="3">
        <v>2017.0</v>
      </c>
      <c r="E580" s="3" t="s">
        <v>1300</v>
      </c>
      <c r="F580" s="3" t="s">
        <v>2146</v>
      </c>
      <c r="G580" s="3" t="s">
        <v>2147</v>
      </c>
      <c r="I580" s="3" t="s">
        <v>2155</v>
      </c>
      <c r="J580" s="9" t="s">
        <v>2983</v>
      </c>
      <c r="K580" s="9" t="s">
        <v>2992</v>
      </c>
      <c r="L580" s="8" t="s">
        <v>2156</v>
      </c>
    </row>
    <row r="581">
      <c r="A581" s="3">
        <v>634.0</v>
      </c>
      <c r="B581" s="3" t="s">
        <v>40</v>
      </c>
      <c r="C581" s="3" t="s">
        <v>1384</v>
      </c>
      <c r="D581" s="3">
        <v>2014.0</v>
      </c>
      <c r="E581" s="3" t="s">
        <v>1385</v>
      </c>
      <c r="F581" s="3" t="s">
        <v>2600</v>
      </c>
      <c r="G581" s="3" t="s">
        <v>2147</v>
      </c>
      <c r="H581" s="3" t="s">
        <v>2217</v>
      </c>
      <c r="I581" s="3" t="s">
        <v>2155</v>
      </c>
      <c r="J581" s="9" t="s">
        <v>3191</v>
      </c>
      <c r="K581" s="9" t="s">
        <v>2993</v>
      </c>
      <c r="L581" s="8" t="s">
        <v>2640</v>
      </c>
    </row>
    <row r="582">
      <c r="A582" s="3">
        <v>794.0</v>
      </c>
      <c r="B582" s="3" t="s">
        <v>40</v>
      </c>
      <c r="C582" s="3" t="s">
        <v>1701</v>
      </c>
      <c r="D582" s="3">
        <v>1994.0</v>
      </c>
      <c r="E582" s="3" t="s">
        <v>1702</v>
      </c>
      <c r="F582" s="3" t="s">
        <v>2600</v>
      </c>
      <c r="G582" s="3" t="s">
        <v>2147</v>
      </c>
      <c r="H582" s="3" t="s">
        <v>2217</v>
      </c>
      <c r="I582" s="3" t="s">
        <v>2155</v>
      </c>
      <c r="J582" s="9" t="s">
        <v>2974</v>
      </c>
      <c r="K582" s="9" t="s">
        <v>2959</v>
      </c>
      <c r="L582" s="8" t="s">
        <v>2799</v>
      </c>
    </row>
    <row r="583">
      <c r="A583" s="3">
        <v>874.0</v>
      </c>
      <c r="B583" s="3" t="s">
        <v>40</v>
      </c>
      <c r="C583" s="3" t="s">
        <v>1862</v>
      </c>
      <c r="D583" s="3">
        <v>2018.0</v>
      </c>
      <c r="E583" s="3" t="s">
        <v>1863</v>
      </c>
      <c r="F583" s="3" t="s">
        <v>2600</v>
      </c>
      <c r="G583" s="3" t="s">
        <v>2147</v>
      </c>
      <c r="H583" s="3" t="s">
        <v>2217</v>
      </c>
      <c r="I583" s="3" t="s">
        <v>2155</v>
      </c>
      <c r="J583" s="9" t="s">
        <v>2974</v>
      </c>
      <c r="K583" s="9" t="s">
        <v>2959</v>
      </c>
      <c r="L583" s="8" t="s">
        <v>2828</v>
      </c>
    </row>
    <row r="584">
      <c r="A584" s="3">
        <v>829.0</v>
      </c>
      <c r="B584" s="3" t="s">
        <v>40</v>
      </c>
      <c r="C584" s="3" t="s">
        <v>1772</v>
      </c>
      <c r="D584" s="3">
        <v>2006.0</v>
      </c>
      <c r="E584" s="3" t="s">
        <v>1773</v>
      </c>
      <c r="F584" s="3" t="s">
        <v>2216</v>
      </c>
      <c r="G584" s="3" t="s">
        <v>2147</v>
      </c>
      <c r="H584" s="3" t="s">
        <v>2217</v>
      </c>
      <c r="I584" s="3" t="s">
        <v>2155</v>
      </c>
      <c r="J584" s="9" t="s">
        <v>2974</v>
      </c>
      <c r="K584" s="9" t="s">
        <v>2959</v>
      </c>
      <c r="L584" s="8" t="s">
        <v>2267</v>
      </c>
    </row>
    <row r="585">
      <c r="A585" s="3">
        <v>798.0</v>
      </c>
      <c r="B585" s="3" t="s">
        <v>40</v>
      </c>
      <c r="C585" s="3" t="s">
        <v>1709</v>
      </c>
      <c r="D585" s="3">
        <v>1995.0</v>
      </c>
      <c r="E585" s="3" t="s">
        <v>1710</v>
      </c>
      <c r="F585" s="3" t="s">
        <v>2600</v>
      </c>
      <c r="G585" s="3" t="s">
        <v>2147</v>
      </c>
      <c r="H585" s="3" t="s">
        <v>2217</v>
      </c>
      <c r="I585" s="3" t="s">
        <v>2155</v>
      </c>
      <c r="J585" s="9" t="s">
        <v>2974</v>
      </c>
      <c r="K585" s="9" t="s">
        <v>2959</v>
      </c>
      <c r="L585" s="8" t="s">
        <v>2803</v>
      </c>
    </row>
    <row r="586">
      <c r="A586" s="3">
        <v>801.0</v>
      </c>
      <c r="B586" s="3" t="s">
        <v>40</v>
      </c>
      <c r="C586" s="3" t="s">
        <v>1715</v>
      </c>
      <c r="D586" s="3">
        <v>1997.0</v>
      </c>
      <c r="E586" s="3" t="s">
        <v>1716</v>
      </c>
      <c r="F586" s="3" t="s">
        <v>2216</v>
      </c>
      <c r="G586" s="3" t="s">
        <v>2147</v>
      </c>
      <c r="H586" s="3" t="s">
        <v>2217</v>
      </c>
      <c r="I586" s="3" t="s">
        <v>2155</v>
      </c>
      <c r="J586" s="9" t="s">
        <v>2974</v>
      </c>
      <c r="K586" s="9" t="s">
        <v>2959</v>
      </c>
      <c r="L586" s="8" t="s">
        <v>2265</v>
      </c>
    </row>
    <row r="587">
      <c r="A587" s="3">
        <v>217.0</v>
      </c>
      <c r="B587" s="3" t="s">
        <v>40</v>
      </c>
      <c r="C587" s="3" t="s">
        <v>601</v>
      </c>
      <c r="D587" s="3">
        <v>2001.0</v>
      </c>
      <c r="E587" s="3" t="s">
        <v>602</v>
      </c>
      <c r="G587" s="3" t="s">
        <v>2147</v>
      </c>
      <c r="H587" s="3" t="s">
        <v>2217</v>
      </c>
      <c r="I587" s="3" t="s">
        <v>2840</v>
      </c>
      <c r="J587" s="9" t="s">
        <v>3192</v>
      </c>
      <c r="K587" s="9" t="s">
        <v>3193</v>
      </c>
      <c r="L587" s="8" t="s">
        <v>2841</v>
      </c>
    </row>
    <row r="588">
      <c r="A588" s="3">
        <v>79.0</v>
      </c>
      <c r="B588" s="3" t="s">
        <v>40</v>
      </c>
      <c r="C588" s="3" t="s">
        <v>315</v>
      </c>
      <c r="D588" s="3">
        <v>2020.0</v>
      </c>
      <c r="E588" s="3" t="s">
        <v>316</v>
      </c>
      <c r="G588" s="3" t="s">
        <v>2147</v>
      </c>
      <c r="H588" s="3" t="s">
        <v>2217</v>
      </c>
      <c r="I588" s="3" t="s">
        <v>2260</v>
      </c>
      <c r="J588" s="9" t="s">
        <v>3194</v>
      </c>
      <c r="K588" s="9" t="s">
        <v>3195</v>
      </c>
      <c r="L588" s="8" t="s">
        <v>2839</v>
      </c>
    </row>
    <row r="589">
      <c r="A589" s="3">
        <v>440.0</v>
      </c>
      <c r="B589" s="3" t="s">
        <v>40</v>
      </c>
      <c r="C589" s="3" t="s">
        <v>1006</v>
      </c>
      <c r="D589" s="3">
        <v>2017.0</v>
      </c>
      <c r="E589" s="3" t="s">
        <v>1007</v>
      </c>
      <c r="F589" s="3" t="s">
        <v>2600</v>
      </c>
      <c r="G589" s="3" t="s">
        <v>2147</v>
      </c>
      <c r="H589" s="3" t="s">
        <v>2217</v>
      </c>
      <c r="I589" s="3" t="s">
        <v>2260</v>
      </c>
      <c r="J589" s="9" t="s">
        <v>3011</v>
      </c>
      <c r="K589" s="9" t="s">
        <v>3025</v>
      </c>
      <c r="L589" s="8" t="s">
        <v>2708</v>
      </c>
    </row>
    <row r="590">
      <c r="A590" s="3">
        <v>871.0</v>
      </c>
      <c r="B590" s="3" t="s">
        <v>40</v>
      </c>
      <c r="C590" s="3" t="s">
        <v>1856</v>
      </c>
      <c r="D590" s="3">
        <v>2017.0</v>
      </c>
      <c r="E590" s="3" t="s">
        <v>1857</v>
      </c>
      <c r="F590" s="3" t="s">
        <v>2216</v>
      </c>
      <c r="G590" s="3" t="s">
        <v>2147</v>
      </c>
      <c r="H590" s="3" t="s">
        <v>2217</v>
      </c>
      <c r="I590" s="3" t="s">
        <v>2260</v>
      </c>
      <c r="J590" s="9" t="s">
        <v>2956</v>
      </c>
      <c r="K590" s="9" t="s">
        <v>2959</v>
      </c>
      <c r="L590" s="8" t="s">
        <v>2261</v>
      </c>
    </row>
    <row r="591">
      <c r="A591" s="3">
        <v>104.0</v>
      </c>
      <c r="B591" s="3" t="s">
        <v>40</v>
      </c>
      <c r="C591" s="3" t="s">
        <v>376</v>
      </c>
      <c r="D591" s="3">
        <v>2013.0</v>
      </c>
      <c r="E591" s="3" t="s">
        <v>377</v>
      </c>
      <c r="F591" s="3" t="s">
        <v>2600</v>
      </c>
      <c r="G591" s="3" t="s">
        <v>2147</v>
      </c>
      <c r="H591" s="3" t="s">
        <v>2217</v>
      </c>
      <c r="I591" s="3" t="s">
        <v>2224</v>
      </c>
      <c r="J591" s="9" t="s">
        <v>2971</v>
      </c>
      <c r="K591" s="9" t="s">
        <v>3196</v>
      </c>
      <c r="L591" s="8" t="s">
        <v>2622</v>
      </c>
    </row>
    <row r="592">
      <c r="A592" s="3">
        <v>103.0</v>
      </c>
      <c r="B592" s="3" t="s">
        <v>40</v>
      </c>
      <c r="C592" s="3" t="s">
        <v>374</v>
      </c>
      <c r="D592" s="3">
        <v>2007.0</v>
      </c>
      <c r="E592" s="3" t="s">
        <v>375</v>
      </c>
      <c r="F592" s="3" t="s">
        <v>2600</v>
      </c>
      <c r="G592" s="3" t="s">
        <v>2147</v>
      </c>
      <c r="H592" s="3" t="s">
        <v>2217</v>
      </c>
      <c r="I592" s="3" t="s">
        <v>2224</v>
      </c>
      <c r="J592" s="9" t="s">
        <v>3197</v>
      </c>
      <c r="K592" s="9" t="s">
        <v>3196</v>
      </c>
      <c r="L592" s="8" t="s">
        <v>2621</v>
      </c>
    </row>
    <row r="593">
      <c r="A593" s="3">
        <v>117.0</v>
      </c>
      <c r="B593" s="3" t="s">
        <v>40</v>
      </c>
      <c r="C593" s="3" t="s">
        <v>406</v>
      </c>
      <c r="D593" s="3">
        <v>2015.0</v>
      </c>
      <c r="E593" s="3" t="s">
        <v>407</v>
      </c>
      <c r="F593" s="3" t="s">
        <v>2600</v>
      </c>
      <c r="G593" s="3" t="s">
        <v>2147</v>
      </c>
      <c r="H593" s="3" t="s">
        <v>2217</v>
      </c>
      <c r="I593" s="3" t="s">
        <v>2224</v>
      </c>
      <c r="J593" s="9" t="s">
        <v>3123</v>
      </c>
      <c r="K593" s="9" t="s">
        <v>2980</v>
      </c>
      <c r="L593" s="8" t="s">
        <v>2639</v>
      </c>
    </row>
    <row r="594">
      <c r="A594" s="3">
        <v>134.0</v>
      </c>
      <c r="B594" s="3" t="s">
        <v>40</v>
      </c>
      <c r="C594" s="3" t="s">
        <v>437</v>
      </c>
      <c r="D594" s="3">
        <v>2015.0</v>
      </c>
      <c r="E594" s="3" t="s">
        <v>438</v>
      </c>
      <c r="F594" s="3" t="s">
        <v>2600</v>
      </c>
      <c r="G594" s="3" t="s">
        <v>2147</v>
      </c>
      <c r="H594" s="3" t="s">
        <v>2217</v>
      </c>
      <c r="I594" s="3" t="s">
        <v>2224</v>
      </c>
      <c r="J594" s="9" t="s">
        <v>3198</v>
      </c>
      <c r="K594" s="9" t="s">
        <v>2968</v>
      </c>
      <c r="L594" s="8" t="s">
        <v>2648</v>
      </c>
    </row>
    <row r="595">
      <c r="A595" s="3">
        <v>227.0</v>
      </c>
      <c r="B595" s="3" t="s">
        <v>40</v>
      </c>
      <c r="C595" s="3" t="s">
        <v>619</v>
      </c>
      <c r="D595" s="3">
        <v>2011.0</v>
      </c>
      <c r="E595" s="3" t="s">
        <v>620</v>
      </c>
      <c r="F595" s="3" t="s">
        <v>2216</v>
      </c>
      <c r="G595" s="3" t="s">
        <v>2147</v>
      </c>
      <c r="H595" s="3" t="s">
        <v>2217</v>
      </c>
      <c r="I595" s="3" t="s">
        <v>2224</v>
      </c>
      <c r="J595" s="9" t="s">
        <v>3136</v>
      </c>
      <c r="K595" s="9" t="s">
        <v>3009</v>
      </c>
      <c r="L595" s="8" t="s">
        <v>2225</v>
      </c>
    </row>
    <row r="596">
      <c r="A596" s="3">
        <v>268.0</v>
      </c>
      <c r="B596" s="3" t="s">
        <v>40</v>
      </c>
      <c r="C596" s="3" t="s">
        <v>703</v>
      </c>
      <c r="D596" s="3">
        <v>2000.0</v>
      </c>
      <c r="E596" s="3" t="s">
        <v>704</v>
      </c>
      <c r="F596" s="3" t="s">
        <v>2600</v>
      </c>
      <c r="G596" s="3" t="s">
        <v>2147</v>
      </c>
      <c r="H596" s="3" t="s">
        <v>2217</v>
      </c>
      <c r="I596" s="3" t="s">
        <v>2224</v>
      </c>
      <c r="J596" s="9" t="s">
        <v>3022</v>
      </c>
      <c r="K596" s="9" t="s">
        <v>2954</v>
      </c>
      <c r="L596" s="8" t="s">
        <v>2666</v>
      </c>
    </row>
    <row r="597">
      <c r="A597" s="3">
        <v>321.0</v>
      </c>
      <c r="B597" s="3" t="s">
        <v>40</v>
      </c>
      <c r="C597" s="3" t="s">
        <v>437</v>
      </c>
      <c r="D597" s="3">
        <v>2014.0</v>
      </c>
      <c r="E597" s="3" t="s">
        <v>810</v>
      </c>
      <c r="F597" s="3" t="s">
        <v>2600</v>
      </c>
      <c r="G597" s="3" t="s">
        <v>2147</v>
      </c>
      <c r="H597" s="3" t="s">
        <v>2217</v>
      </c>
      <c r="I597" s="3" t="s">
        <v>2224</v>
      </c>
      <c r="J597" s="9" t="s">
        <v>2971</v>
      </c>
      <c r="K597" s="9" t="s">
        <v>2954</v>
      </c>
      <c r="L597" s="8" t="s">
        <v>2698</v>
      </c>
    </row>
    <row r="598">
      <c r="A598" s="3">
        <v>304.0</v>
      </c>
      <c r="B598" s="3" t="s">
        <v>40</v>
      </c>
      <c r="C598" s="3" t="s">
        <v>776</v>
      </c>
      <c r="D598" s="3">
        <v>2010.0</v>
      </c>
      <c r="E598" s="3" t="s">
        <v>777</v>
      </c>
      <c r="F598" s="3" t="s">
        <v>2600</v>
      </c>
      <c r="G598" s="3" t="s">
        <v>2147</v>
      </c>
      <c r="H598" s="3" t="s">
        <v>2217</v>
      </c>
      <c r="I598" s="3" t="s">
        <v>2224</v>
      </c>
      <c r="J598" s="9" t="s">
        <v>3022</v>
      </c>
      <c r="K598" s="9" t="s">
        <v>2954</v>
      </c>
      <c r="L598" s="8" t="s">
        <v>2669</v>
      </c>
    </row>
    <row r="599">
      <c r="A599" s="3">
        <v>278.0</v>
      </c>
      <c r="B599" s="3" t="s">
        <v>40</v>
      </c>
      <c r="C599" s="3" t="s">
        <v>722</v>
      </c>
      <c r="D599" s="3">
        <v>2003.0</v>
      </c>
      <c r="E599" s="3" t="s">
        <v>723</v>
      </c>
      <c r="F599" s="3" t="s">
        <v>2600</v>
      </c>
      <c r="G599" s="3" t="s">
        <v>2147</v>
      </c>
      <c r="H599" s="3" t="s">
        <v>2217</v>
      </c>
      <c r="I599" s="3" t="s">
        <v>2224</v>
      </c>
      <c r="J599" s="9" t="s">
        <v>3022</v>
      </c>
      <c r="K599" s="9" t="s">
        <v>2954</v>
      </c>
      <c r="L599" s="8" t="s">
        <v>2668</v>
      </c>
    </row>
    <row r="600">
      <c r="A600" s="3">
        <v>289.0</v>
      </c>
      <c r="B600" s="3" t="s">
        <v>40</v>
      </c>
      <c r="C600" s="3" t="s">
        <v>744</v>
      </c>
      <c r="D600" s="3">
        <v>2007.0</v>
      </c>
      <c r="E600" s="3" t="s">
        <v>745</v>
      </c>
      <c r="G600" s="3" t="s">
        <v>2147</v>
      </c>
      <c r="H600" s="3" t="s">
        <v>2217</v>
      </c>
      <c r="I600" s="3" t="s">
        <v>2224</v>
      </c>
      <c r="J600" s="9" t="s">
        <v>3022</v>
      </c>
      <c r="K600" s="9" t="s">
        <v>2954</v>
      </c>
      <c r="L600" s="8" t="s">
        <v>2847</v>
      </c>
    </row>
    <row r="601">
      <c r="A601" s="3">
        <v>295.0</v>
      </c>
      <c r="B601" s="3" t="s">
        <v>40</v>
      </c>
      <c r="C601" s="3" t="s">
        <v>756</v>
      </c>
      <c r="D601" s="3">
        <v>2008.0</v>
      </c>
      <c r="E601" s="3" t="s">
        <v>757</v>
      </c>
      <c r="F601" s="3" t="s">
        <v>2216</v>
      </c>
      <c r="G601" s="3" t="s">
        <v>2147</v>
      </c>
      <c r="H601" s="3" t="s">
        <v>2217</v>
      </c>
      <c r="I601" s="3" t="s">
        <v>2224</v>
      </c>
      <c r="J601" s="9" t="s">
        <v>3022</v>
      </c>
      <c r="K601" s="9" t="s">
        <v>2954</v>
      </c>
      <c r="L601" s="8" t="s">
        <v>2233</v>
      </c>
    </row>
    <row r="602">
      <c r="A602" s="3">
        <v>147.0</v>
      </c>
      <c r="B602" s="3" t="s">
        <v>40</v>
      </c>
      <c r="C602" s="3" t="s">
        <v>466</v>
      </c>
      <c r="D602" s="3">
        <v>2018.0</v>
      </c>
      <c r="E602" s="3" t="s">
        <v>467</v>
      </c>
      <c r="F602" s="3" t="s">
        <v>2216</v>
      </c>
      <c r="G602" s="3" t="s">
        <v>2147</v>
      </c>
      <c r="H602" s="3" t="s">
        <v>2217</v>
      </c>
      <c r="I602" s="3" t="s">
        <v>2224</v>
      </c>
      <c r="J602" s="9" t="s">
        <v>3022</v>
      </c>
      <c r="K602" s="9" t="s">
        <v>2954</v>
      </c>
      <c r="L602" s="8" t="s">
        <v>2231</v>
      </c>
    </row>
    <row r="603">
      <c r="A603" s="3">
        <v>273.0</v>
      </c>
      <c r="B603" s="3" t="s">
        <v>40</v>
      </c>
      <c r="C603" s="3" t="s">
        <v>713</v>
      </c>
      <c r="D603" s="3">
        <v>2001.0</v>
      </c>
      <c r="E603" s="3" t="s">
        <v>714</v>
      </c>
      <c r="F603" s="3" t="s">
        <v>2600</v>
      </c>
      <c r="G603" s="3" t="s">
        <v>2147</v>
      </c>
      <c r="H603" s="3" t="s">
        <v>2217</v>
      </c>
      <c r="I603" s="3" t="s">
        <v>2224</v>
      </c>
      <c r="J603" s="9" t="s">
        <v>3022</v>
      </c>
      <c r="K603" s="9" t="s">
        <v>2954</v>
      </c>
      <c r="L603" s="8" t="s">
        <v>2667</v>
      </c>
    </row>
    <row r="604">
      <c r="A604" s="3">
        <v>311.0</v>
      </c>
      <c r="B604" s="3" t="s">
        <v>40</v>
      </c>
      <c r="C604" s="3" t="s">
        <v>790</v>
      </c>
      <c r="D604" s="3">
        <v>2012.0</v>
      </c>
      <c r="E604" s="3" t="s">
        <v>791</v>
      </c>
      <c r="F604" s="3" t="s">
        <v>2600</v>
      </c>
      <c r="G604" s="3" t="s">
        <v>2147</v>
      </c>
      <c r="H604" s="3" t="s">
        <v>2217</v>
      </c>
      <c r="I604" s="3" t="s">
        <v>2224</v>
      </c>
      <c r="J604" s="9" t="s">
        <v>3022</v>
      </c>
      <c r="K604" s="9" t="s">
        <v>2954</v>
      </c>
      <c r="L604" s="8" t="s">
        <v>2671</v>
      </c>
    </row>
    <row r="605">
      <c r="A605" s="3">
        <v>253.0</v>
      </c>
      <c r="B605" s="3" t="s">
        <v>40</v>
      </c>
      <c r="C605" s="3" t="s">
        <v>673</v>
      </c>
      <c r="D605" s="3">
        <v>1996.0</v>
      </c>
      <c r="E605" s="3" t="s">
        <v>674</v>
      </c>
      <c r="F605" s="3" t="s">
        <v>2600</v>
      </c>
      <c r="G605" s="3" t="s">
        <v>2147</v>
      </c>
      <c r="H605" s="3" t="s">
        <v>2217</v>
      </c>
      <c r="I605" s="3" t="s">
        <v>2224</v>
      </c>
      <c r="J605" s="9" t="s">
        <v>2953</v>
      </c>
      <c r="K605" s="9" t="s">
        <v>2954</v>
      </c>
      <c r="L605" s="8" t="s">
        <v>2679</v>
      </c>
    </row>
    <row r="606">
      <c r="A606" s="3">
        <v>308.0</v>
      </c>
      <c r="B606" s="3" t="s">
        <v>40</v>
      </c>
      <c r="C606" s="3" t="s">
        <v>784</v>
      </c>
      <c r="D606" s="3">
        <v>2011.0</v>
      </c>
      <c r="E606" s="3" t="s">
        <v>785</v>
      </c>
      <c r="F606" s="3" t="s">
        <v>2600</v>
      </c>
      <c r="G606" s="3" t="s">
        <v>2147</v>
      </c>
      <c r="H606" s="3" t="s">
        <v>2217</v>
      </c>
      <c r="I606" s="3" t="s">
        <v>2224</v>
      </c>
      <c r="J606" s="9" t="s">
        <v>3022</v>
      </c>
      <c r="K606" s="9" t="s">
        <v>2954</v>
      </c>
      <c r="L606" s="8" t="s">
        <v>2670</v>
      </c>
    </row>
    <row r="607">
      <c r="A607" s="3">
        <v>330.0</v>
      </c>
      <c r="B607" s="3" t="s">
        <v>40</v>
      </c>
      <c r="C607" s="3" t="s">
        <v>828</v>
      </c>
      <c r="D607" s="3">
        <v>2016.0</v>
      </c>
      <c r="E607" s="3" t="s">
        <v>829</v>
      </c>
      <c r="G607" s="3" t="s">
        <v>2147</v>
      </c>
      <c r="H607" s="3" t="s">
        <v>2217</v>
      </c>
      <c r="I607" s="3" t="s">
        <v>2224</v>
      </c>
      <c r="J607" s="9" t="s">
        <v>2971</v>
      </c>
      <c r="K607" s="9" t="s">
        <v>2954</v>
      </c>
      <c r="L607" s="8" t="s">
        <v>2850</v>
      </c>
    </row>
    <row r="608">
      <c r="A608" s="3">
        <v>262.0</v>
      </c>
      <c r="B608" s="3" t="s">
        <v>40</v>
      </c>
      <c r="C608" s="3" t="s">
        <v>691</v>
      </c>
      <c r="D608" s="3">
        <v>1999.0</v>
      </c>
      <c r="E608" s="3" t="s">
        <v>692</v>
      </c>
      <c r="F608" s="3" t="s">
        <v>2600</v>
      </c>
      <c r="G608" s="3" t="s">
        <v>2147</v>
      </c>
      <c r="H608" s="3" t="s">
        <v>2217</v>
      </c>
      <c r="I608" s="3" t="s">
        <v>2224</v>
      </c>
      <c r="J608" s="9" t="s">
        <v>2971</v>
      </c>
      <c r="K608" s="9" t="s">
        <v>2954</v>
      </c>
      <c r="L608" s="8" t="s">
        <v>2695</v>
      </c>
    </row>
    <row r="609">
      <c r="A609" s="3">
        <v>492.0</v>
      </c>
      <c r="B609" s="3" t="s">
        <v>40</v>
      </c>
      <c r="C609" s="3" t="s">
        <v>1108</v>
      </c>
      <c r="D609" s="3">
        <v>2015.0</v>
      </c>
      <c r="E609" s="3" t="s">
        <v>1109</v>
      </c>
      <c r="F609" s="3" t="s">
        <v>2600</v>
      </c>
      <c r="G609" s="3" t="s">
        <v>2147</v>
      </c>
      <c r="H609" s="3" t="s">
        <v>2217</v>
      </c>
      <c r="I609" s="3" t="s">
        <v>2224</v>
      </c>
      <c r="J609" s="9" t="s">
        <v>3199</v>
      </c>
      <c r="K609" s="9" t="s">
        <v>3200</v>
      </c>
      <c r="L609" s="8" t="s">
        <v>2624</v>
      </c>
    </row>
    <row r="610">
      <c r="A610" s="3">
        <v>493.0</v>
      </c>
      <c r="B610" s="3" t="s">
        <v>40</v>
      </c>
      <c r="C610" s="3" t="s">
        <v>1110</v>
      </c>
      <c r="D610" s="3">
        <v>2015.0</v>
      </c>
      <c r="E610" s="3" t="s">
        <v>1111</v>
      </c>
      <c r="F610" s="3" t="s">
        <v>2600</v>
      </c>
      <c r="G610" s="3" t="s">
        <v>2147</v>
      </c>
      <c r="H610" s="3" t="s">
        <v>2217</v>
      </c>
      <c r="I610" s="3" t="s">
        <v>2224</v>
      </c>
      <c r="J610" s="9" t="s">
        <v>3199</v>
      </c>
      <c r="K610" s="9" t="s">
        <v>3200</v>
      </c>
      <c r="L610" s="8" t="s">
        <v>2625</v>
      </c>
    </row>
    <row r="611">
      <c r="A611" s="3">
        <v>497.0</v>
      </c>
      <c r="B611" s="3" t="s">
        <v>40</v>
      </c>
      <c r="C611" s="3" t="s">
        <v>1118</v>
      </c>
      <c r="D611" s="3">
        <v>2016.0</v>
      </c>
      <c r="E611" s="3" t="s">
        <v>1119</v>
      </c>
      <c r="F611" s="3" t="s">
        <v>2600</v>
      </c>
      <c r="G611" s="3" t="s">
        <v>2147</v>
      </c>
      <c r="H611" s="3" t="s">
        <v>2217</v>
      </c>
      <c r="I611" s="3" t="s">
        <v>2224</v>
      </c>
      <c r="J611" s="9" t="s">
        <v>3201</v>
      </c>
      <c r="K611" s="9" t="s">
        <v>3175</v>
      </c>
      <c r="L611" s="8" t="s">
        <v>2619</v>
      </c>
    </row>
    <row r="612">
      <c r="A612" s="3">
        <v>601.0</v>
      </c>
      <c r="B612" s="3" t="s">
        <v>40</v>
      </c>
      <c r="C612" s="3" t="s">
        <v>1328</v>
      </c>
      <c r="D612" s="3">
        <v>2019.0</v>
      </c>
      <c r="E612" s="3" t="s">
        <v>1329</v>
      </c>
      <c r="F612" s="3" t="s">
        <v>2600</v>
      </c>
      <c r="G612" s="3" t="s">
        <v>2147</v>
      </c>
      <c r="H612" s="3" t="s">
        <v>2217</v>
      </c>
      <c r="I612" s="3" t="s">
        <v>2224</v>
      </c>
      <c r="J612" s="9"/>
      <c r="K612" s="9" t="s">
        <v>2992</v>
      </c>
      <c r="L612" s="8" t="s">
        <v>2758</v>
      </c>
    </row>
    <row r="613">
      <c r="A613" s="3">
        <v>575.0</v>
      </c>
      <c r="B613" s="3" t="s">
        <v>40</v>
      </c>
      <c r="C613" s="3" t="s">
        <v>1275</v>
      </c>
      <c r="D613" s="3">
        <v>2016.0</v>
      </c>
      <c r="E613" s="3" t="s">
        <v>1276</v>
      </c>
      <c r="F613" s="3" t="s">
        <v>2600</v>
      </c>
      <c r="G613" s="3" t="s">
        <v>2147</v>
      </c>
      <c r="H613" s="3" t="s">
        <v>2217</v>
      </c>
      <c r="I613" s="3" t="s">
        <v>2224</v>
      </c>
      <c r="J613" s="9" t="s">
        <v>2985</v>
      </c>
      <c r="K613" s="9" t="s">
        <v>2992</v>
      </c>
      <c r="L613" s="8" t="s">
        <v>2746</v>
      </c>
    </row>
    <row r="614">
      <c r="A614" s="3">
        <v>546.0</v>
      </c>
      <c r="B614" s="3" t="s">
        <v>40</v>
      </c>
      <c r="C614" s="3" t="s">
        <v>1215</v>
      </c>
      <c r="D614" s="3">
        <v>2011.0</v>
      </c>
      <c r="E614" s="3" t="s">
        <v>1216</v>
      </c>
      <c r="F614" s="3" t="s">
        <v>2600</v>
      </c>
      <c r="G614" s="3" t="s">
        <v>2147</v>
      </c>
      <c r="H614" s="3" t="s">
        <v>2217</v>
      </c>
      <c r="I614" s="3" t="s">
        <v>2224</v>
      </c>
      <c r="J614" s="9" t="s">
        <v>2983</v>
      </c>
      <c r="K614" s="9" t="s">
        <v>2992</v>
      </c>
      <c r="L614" s="8" t="s">
        <v>2719</v>
      </c>
    </row>
    <row r="615">
      <c r="A615" s="3">
        <v>576.0</v>
      </c>
      <c r="B615" s="3" t="s">
        <v>40</v>
      </c>
      <c r="C615" s="3" t="s">
        <v>1275</v>
      </c>
      <c r="D615" s="3">
        <v>2016.0</v>
      </c>
      <c r="E615" s="3" t="s">
        <v>1277</v>
      </c>
      <c r="F615" s="3" t="s">
        <v>2600</v>
      </c>
      <c r="G615" s="3" t="s">
        <v>2147</v>
      </c>
      <c r="H615" s="3" t="s">
        <v>2217</v>
      </c>
      <c r="I615" s="3" t="s">
        <v>2224</v>
      </c>
      <c r="J615" s="9" t="s">
        <v>2985</v>
      </c>
      <c r="K615" s="9" t="s">
        <v>2992</v>
      </c>
      <c r="L615" s="8" t="s">
        <v>2747</v>
      </c>
    </row>
    <row r="616">
      <c r="A616" s="3">
        <v>624.0</v>
      </c>
      <c r="B616" s="3" t="s">
        <v>40</v>
      </c>
      <c r="C616" s="3" t="s">
        <v>1365</v>
      </c>
      <c r="D616" s="3">
        <v>2011.0</v>
      </c>
      <c r="E616" s="3" t="s">
        <v>1366</v>
      </c>
      <c r="F616" s="3" t="s">
        <v>2600</v>
      </c>
      <c r="G616" s="3" t="s">
        <v>2147</v>
      </c>
      <c r="H616" s="3" t="s">
        <v>2217</v>
      </c>
      <c r="I616" s="3" t="s">
        <v>2224</v>
      </c>
      <c r="J616" s="9" t="s">
        <v>3202</v>
      </c>
      <c r="K616" s="9" t="s">
        <v>3203</v>
      </c>
      <c r="L616" s="8" t="s">
        <v>2617</v>
      </c>
    </row>
    <row r="617">
      <c r="A617" s="3">
        <v>632.0</v>
      </c>
      <c r="B617" s="3" t="s">
        <v>40</v>
      </c>
      <c r="C617" s="3" t="s">
        <v>1380</v>
      </c>
      <c r="D617" s="3">
        <v>2011.0</v>
      </c>
      <c r="E617" s="3" t="s">
        <v>1381</v>
      </c>
      <c r="F617" s="3" t="s">
        <v>2600</v>
      </c>
      <c r="G617" s="3" t="s">
        <v>2147</v>
      </c>
      <c r="H617" s="3" t="s">
        <v>2217</v>
      </c>
      <c r="I617" s="3" t="s">
        <v>2224</v>
      </c>
      <c r="J617" s="9" t="s">
        <v>3204</v>
      </c>
      <c r="K617" s="9" t="s">
        <v>2993</v>
      </c>
      <c r="L617" s="8" t="s">
        <v>2641</v>
      </c>
    </row>
    <row r="618">
      <c r="A618" s="3">
        <v>654.0</v>
      </c>
      <c r="B618" s="3" t="s">
        <v>40</v>
      </c>
      <c r="C618" s="3" t="s">
        <v>1421</v>
      </c>
      <c r="D618" s="3">
        <v>2016.0</v>
      </c>
      <c r="E618" s="3" t="s">
        <v>1422</v>
      </c>
      <c r="F618" s="3" t="s">
        <v>2600</v>
      </c>
      <c r="G618" s="3" t="s">
        <v>2147</v>
      </c>
      <c r="H618" s="3" t="s">
        <v>2217</v>
      </c>
      <c r="I618" s="3" t="s">
        <v>2224</v>
      </c>
      <c r="J618" s="9" t="s">
        <v>3205</v>
      </c>
      <c r="K618" s="9" t="s">
        <v>2955</v>
      </c>
      <c r="L618" s="8" t="s">
        <v>2760</v>
      </c>
    </row>
    <row r="619">
      <c r="A619" s="3">
        <v>648.0</v>
      </c>
      <c r="B619" s="3" t="s">
        <v>40</v>
      </c>
      <c r="C619" s="3" t="s">
        <v>1409</v>
      </c>
      <c r="D619" s="3">
        <v>2011.0</v>
      </c>
      <c r="E619" s="3" t="s">
        <v>1410</v>
      </c>
      <c r="F619" s="3" t="s">
        <v>2600</v>
      </c>
      <c r="G619" s="3" t="s">
        <v>2147</v>
      </c>
      <c r="H619" s="3" t="s">
        <v>2217</v>
      </c>
      <c r="I619" s="3" t="s">
        <v>2224</v>
      </c>
      <c r="J619" s="9" t="s">
        <v>3205</v>
      </c>
      <c r="K619" s="9" t="s">
        <v>2955</v>
      </c>
      <c r="L619" s="8" t="s">
        <v>2759</v>
      </c>
    </row>
    <row r="620">
      <c r="A620" s="3">
        <v>851.0</v>
      </c>
      <c r="B620" s="3" t="s">
        <v>40</v>
      </c>
      <c r="C620" s="3" t="s">
        <v>1816</v>
      </c>
      <c r="D620" s="3">
        <v>2012.0</v>
      </c>
      <c r="E620" s="3" t="s">
        <v>1817</v>
      </c>
      <c r="F620" s="3" t="s">
        <v>2600</v>
      </c>
      <c r="G620" s="3" t="s">
        <v>2147</v>
      </c>
      <c r="H620" s="3" t="s">
        <v>2217</v>
      </c>
      <c r="I620" s="3" t="s">
        <v>2224</v>
      </c>
      <c r="J620" s="9" t="s">
        <v>2956</v>
      </c>
      <c r="K620" s="9" t="s">
        <v>2959</v>
      </c>
      <c r="L620" s="8" t="s">
        <v>2786</v>
      </c>
    </row>
    <row r="621">
      <c r="A621" s="3">
        <v>861.0</v>
      </c>
      <c r="B621" s="3" t="s">
        <v>40</v>
      </c>
      <c r="C621" s="3" t="s">
        <v>1836</v>
      </c>
      <c r="D621" s="3">
        <v>2014.0</v>
      </c>
      <c r="E621" s="3" t="s">
        <v>1837</v>
      </c>
      <c r="F621" s="3" t="s">
        <v>2600</v>
      </c>
      <c r="G621" s="3" t="s">
        <v>2147</v>
      </c>
      <c r="H621" s="3" t="s">
        <v>2217</v>
      </c>
      <c r="I621" s="3" t="s">
        <v>2224</v>
      </c>
      <c r="J621" s="9" t="s">
        <v>2956</v>
      </c>
      <c r="K621" s="9" t="s">
        <v>2959</v>
      </c>
      <c r="L621" s="8" t="s">
        <v>2787</v>
      </c>
    </row>
    <row r="622">
      <c r="A622" s="3">
        <v>675.0</v>
      </c>
      <c r="B622" s="3" t="s">
        <v>40</v>
      </c>
      <c r="C622" s="3" t="s">
        <v>1462</v>
      </c>
      <c r="D622" s="3">
        <v>2003.0</v>
      </c>
      <c r="E622" s="3" t="s">
        <v>1463</v>
      </c>
      <c r="G622" s="3" t="s">
        <v>2147</v>
      </c>
      <c r="H622" s="3" t="s">
        <v>2217</v>
      </c>
      <c r="I622" s="3" t="s">
        <v>2224</v>
      </c>
      <c r="J622" s="9"/>
      <c r="K622" s="9"/>
      <c r="L622" s="8" t="s">
        <v>2858</v>
      </c>
    </row>
    <row r="623">
      <c r="A623" s="3">
        <v>678.0</v>
      </c>
      <c r="B623" s="3" t="s">
        <v>40</v>
      </c>
      <c r="C623" s="3" t="s">
        <v>1468</v>
      </c>
      <c r="D623" s="3">
        <v>2004.0</v>
      </c>
      <c r="E623" s="3" t="s">
        <v>1469</v>
      </c>
      <c r="F623" s="3" t="s">
        <v>2600</v>
      </c>
      <c r="G623" s="3" t="s">
        <v>2147</v>
      </c>
      <c r="H623" s="3" t="s">
        <v>2217</v>
      </c>
      <c r="I623" s="3" t="s">
        <v>2224</v>
      </c>
      <c r="J623" s="9"/>
      <c r="K623" s="9"/>
      <c r="L623" s="8" t="s">
        <v>2769</v>
      </c>
    </row>
    <row r="624">
      <c r="A624" s="3">
        <v>702.0</v>
      </c>
      <c r="B624" s="3" t="s">
        <v>40</v>
      </c>
      <c r="C624" s="3" t="s">
        <v>1516</v>
      </c>
      <c r="D624" s="3">
        <v>2014.0</v>
      </c>
      <c r="E624" s="3" t="s">
        <v>1517</v>
      </c>
      <c r="F624" s="3" t="s">
        <v>2600</v>
      </c>
      <c r="G624" s="3" t="s">
        <v>2147</v>
      </c>
      <c r="H624" s="3" t="s">
        <v>2217</v>
      </c>
      <c r="I624" s="3" t="s">
        <v>2224</v>
      </c>
      <c r="J624" s="9"/>
      <c r="K624" s="9"/>
      <c r="L624" s="8" t="s">
        <v>2778</v>
      </c>
    </row>
    <row r="625">
      <c r="A625" s="3">
        <v>700.0</v>
      </c>
      <c r="B625" s="3" t="s">
        <v>40</v>
      </c>
      <c r="C625" s="3" t="s">
        <v>1512</v>
      </c>
      <c r="D625" s="3">
        <v>2014.0</v>
      </c>
      <c r="E625" s="3" t="s">
        <v>1513</v>
      </c>
      <c r="F625" s="3" t="s">
        <v>2600</v>
      </c>
      <c r="G625" s="3" t="s">
        <v>2147</v>
      </c>
      <c r="H625" s="3" t="s">
        <v>2217</v>
      </c>
      <c r="I625" s="3" t="s">
        <v>2224</v>
      </c>
      <c r="J625" s="9"/>
      <c r="K625" s="9"/>
      <c r="L625" s="8" t="s">
        <v>2777</v>
      </c>
    </row>
    <row r="626">
      <c r="A626" s="3">
        <v>589.0</v>
      </c>
      <c r="B626" s="3" t="s">
        <v>40</v>
      </c>
      <c r="C626" s="3" t="s">
        <v>1303</v>
      </c>
      <c r="D626" s="3">
        <v>2017.0</v>
      </c>
      <c r="E626" s="3" t="s">
        <v>1304</v>
      </c>
      <c r="F626" s="3" t="s">
        <v>2185</v>
      </c>
      <c r="G626" s="3" t="s">
        <v>2147</v>
      </c>
      <c r="I626" s="3" t="s">
        <v>2206</v>
      </c>
      <c r="J626" s="9" t="s">
        <v>2983</v>
      </c>
      <c r="K626" s="9" t="s">
        <v>2992</v>
      </c>
      <c r="L626" s="8" t="s">
        <v>2207</v>
      </c>
    </row>
    <row r="627">
      <c r="A627" s="3">
        <v>1.0</v>
      </c>
      <c r="B627" s="3" t="s">
        <v>40</v>
      </c>
      <c r="C627" s="3" t="s">
        <v>41</v>
      </c>
      <c r="D627" s="3">
        <v>2005.0</v>
      </c>
      <c r="E627" s="3" t="s">
        <v>42</v>
      </c>
      <c r="F627" s="3" t="s">
        <v>2185</v>
      </c>
      <c r="G627" s="3" t="s">
        <v>2147</v>
      </c>
      <c r="I627" s="3" t="s">
        <v>2186</v>
      </c>
      <c r="J627" s="9" t="s">
        <v>3206</v>
      </c>
      <c r="K627" s="9" t="s">
        <v>3207</v>
      </c>
      <c r="L627" s="8" t="s">
        <v>2189</v>
      </c>
    </row>
    <row r="628">
      <c r="A628" s="3">
        <v>52.0</v>
      </c>
      <c r="B628" s="3" t="s">
        <v>40</v>
      </c>
      <c r="C628" s="3" t="s">
        <v>236</v>
      </c>
      <c r="D628" s="3">
        <v>2015.0</v>
      </c>
      <c r="E628" s="3" t="s">
        <v>237</v>
      </c>
      <c r="F628" s="3" t="s">
        <v>2299</v>
      </c>
      <c r="G628" s="3" t="s">
        <v>2147</v>
      </c>
      <c r="I628" s="3" t="s">
        <v>2186</v>
      </c>
      <c r="J628" s="9" t="s">
        <v>3208</v>
      </c>
      <c r="K628" s="9" t="s">
        <v>3209</v>
      </c>
      <c r="L628" s="8" t="s">
        <v>2300</v>
      </c>
    </row>
    <row r="629">
      <c r="A629" s="3">
        <v>88.0</v>
      </c>
      <c r="B629" s="3" t="s">
        <v>40</v>
      </c>
      <c r="C629" s="3" t="s">
        <v>339</v>
      </c>
      <c r="D629" s="3">
        <v>2014.0</v>
      </c>
      <c r="E629" s="3" t="s">
        <v>340</v>
      </c>
      <c r="F629" s="3" t="s">
        <v>2462</v>
      </c>
      <c r="G629" s="3" t="s">
        <v>2147</v>
      </c>
      <c r="I629" s="3" t="s">
        <v>2186</v>
      </c>
      <c r="J629" s="9" t="s">
        <v>3210</v>
      </c>
      <c r="K629" s="9" t="s">
        <v>3211</v>
      </c>
      <c r="L629" s="8" t="s">
        <v>2464</v>
      </c>
    </row>
    <row r="630">
      <c r="A630" s="3">
        <v>92.0</v>
      </c>
      <c r="B630" s="3" t="s">
        <v>40</v>
      </c>
      <c r="C630" s="3" t="s">
        <v>350</v>
      </c>
      <c r="D630" s="3">
        <v>2007.0</v>
      </c>
      <c r="E630" s="3" t="s">
        <v>351</v>
      </c>
      <c r="F630" s="3" t="s">
        <v>2185</v>
      </c>
      <c r="G630" s="3" t="s">
        <v>2147</v>
      </c>
      <c r="I630" s="3" t="s">
        <v>2186</v>
      </c>
      <c r="J630" s="9" t="s">
        <v>3212</v>
      </c>
      <c r="K630" s="9" t="s">
        <v>3213</v>
      </c>
      <c r="L630" s="8" t="s">
        <v>2191</v>
      </c>
    </row>
    <row r="631">
      <c r="A631" s="3">
        <v>132.0</v>
      </c>
      <c r="B631" s="3" t="s">
        <v>40</v>
      </c>
      <c r="C631" s="3" t="s">
        <v>431</v>
      </c>
      <c r="D631" s="3">
        <v>2012.0</v>
      </c>
      <c r="E631" s="3" t="s">
        <v>432</v>
      </c>
      <c r="G631" s="3" t="s">
        <v>2147</v>
      </c>
      <c r="I631" s="3" t="s">
        <v>2186</v>
      </c>
      <c r="J631" s="9" t="s">
        <v>3117</v>
      </c>
      <c r="K631" s="9" t="s">
        <v>2968</v>
      </c>
      <c r="L631" s="8" t="s">
        <v>2865</v>
      </c>
    </row>
    <row r="632">
      <c r="A632" s="3">
        <v>202.0</v>
      </c>
      <c r="B632" s="3" t="s">
        <v>40</v>
      </c>
      <c r="C632" s="3" t="s">
        <v>571</v>
      </c>
      <c r="D632" s="3">
        <v>2014.0</v>
      </c>
      <c r="E632" s="3" t="s">
        <v>572</v>
      </c>
      <c r="F632" s="3" t="s">
        <v>2185</v>
      </c>
      <c r="G632" s="3" t="s">
        <v>2147</v>
      </c>
      <c r="I632" s="3" t="s">
        <v>2186</v>
      </c>
      <c r="J632" s="9" t="s">
        <v>3214</v>
      </c>
      <c r="K632" s="9" t="s">
        <v>3215</v>
      </c>
      <c r="L632" s="8" t="s">
        <v>2187</v>
      </c>
    </row>
    <row r="633">
      <c r="A633" s="3">
        <v>323.0</v>
      </c>
      <c r="B633" s="3" t="s">
        <v>40</v>
      </c>
      <c r="C633" s="3" t="s">
        <v>814</v>
      </c>
      <c r="D633" s="3">
        <v>2014.0</v>
      </c>
      <c r="E633" s="3" t="s">
        <v>815</v>
      </c>
      <c r="F633" s="3" t="s">
        <v>2462</v>
      </c>
      <c r="G633" s="3" t="s">
        <v>2147</v>
      </c>
      <c r="I633" s="3" t="s">
        <v>2186</v>
      </c>
      <c r="J633" s="9" t="s">
        <v>2953</v>
      </c>
      <c r="K633" s="9" t="s">
        <v>2954</v>
      </c>
      <c r="L633" s="8" t="s">
        <v>2463</v>
      </c>
    </row>
    <row r="634">
      <c r="A634" s="3">
        <v>310.0</v>
      </c>
      <c r="B634" s="3" t="s">
        <v>40</v>
      </c>
      <c r="C634" s="3" t="s">
        <v>788</v>
      </c>
      <c r="D634" s="3">
        <v>2012.0</v>
      </c>
      <c r="E634" s="3" t="s">
        <v>789</v>
      </c>
      <c r="F634" s="3" t="s">
        <v>2185</v>
      </c>
      <c r="G634" s="3" t="s">
        <v>2147</v>
      </c>
      <c r="I634" s="3" t="s">
        <v>2186</v>
      </c>
      <c r="J634" s="9" t="s">
        <v>2981</v>
      </c>
      <c r="K634" s="9" t="s">
        <v>2954</v>
      </c>
      <c r="L634" s="8" t="s">
        <v>2198</v>
      </c>
    </row>
    <row r="635">
      <c r="A635" s="3">
        <v>305.0</v>
      </c>
      <c r="B635" s="3" t="s">
        <v>40</v>
      </c>
      <c r="C635" s="3" t="s">
        <v>778</v>
      </c>
      <c r="D635" s="3">
        <v>2010.0</v>
      </c>
      <c r="E635" s="3" t="s">
        <v>779</v>
      </c>
      <c r="F635" s="3" t="s">
        <v>2185</v>
      </c>
      <c r="G635" s="3" t="s">
        <v>2147</v>
      </c>
      <c r="I635" s="3" t="s">
        <v>2186</v>
      </c>
      <c r="J635" s="9" t="s">
        <v>2953</v>
      </c>
      <c r="K635" s="9" t="s">
        <v>2954</v>
      </c>
      <c r="L635" s="8" t="s">
        <v>2200</v>
      </c>
    </row>
    <row r="636">
      <c r="A636" s="3">
        <v>296.0</v>
      </c>
      <c r="B636" s="3" t="s">
        <v>40</v>
      </c>
      <c r="C636" s="3" t="s">
        <v>758</v>
      </c>
      <c r="D636" s="3">
        <v>2008.0</v>
      </c>
      <c r="E636" s="3" t="s">
        <v>759</v>
      </c>
      <c r="F636" s="3" t="s">
        <v>2185</v>
      </c>
      <c r="G636" s="3" t="s">
        <v>2147</v>
      </c>
      <c r="I636" s="3" t="s">
        <v>2186</v>
      </c>
      <c r="J636" s="9" t="s">
        <v>2953</v>
      </c>
      <c r="K636" s="9" t="s">
        <v>2954</v>
      </c>
      <c r="L636" s="8" t="s">
        <v>2199</v>
      </c>
    </row>
    <row r="637">
      <c r="A637" s="3">
        <v>342.0</v>
      </c>
      <c r="B637" s="3" t="s">
        <v>40</v>
      </c>
      <c r="C637" s="3" t="s">
        <v>852</v>
      </c>
      <c r="D637" s="3">
        <v>2018.0</v>
      </c>
      <c r="E637" s="3" t="s">
        <v>853</v>
      </c>
      <c r="F637" s="3" t="s">
        <v>2185</v>
      </c>
      <c r="G637" s="3" t="s">
        <v>2147</v>
      </c>
      <c r="I637" s="3" t="s">
        <v>2186</v>
      </c>
      <c r="J637" s="9" t="s">
        <v>2953</v>
      </c>
      <c r="K637" s="9" t="s">
        <v>2954</v>
      </c>
      <c r="L637" s="8" t="s">
        <v>2202</v>
      </c>
    </row>
    <row r="638">
      <c r="A638" s="3">
        <v>445.0</v>
      </c>
      <c r="B638" s="3" t="s">
        <v>40</v>
      </c>
      <c r="C638" s="3" t="s">
        <v>1016</v>
      </c>
      <c r="D638" s="3">
        <v>1997.0</v>
      </c>
      <c r="E638" s="3" t="s">
        <v>1017</v>
      </c>
      <c r="G638" s="3" t="s">
        <v>2147</v>
      </c>
      <c r="I638" s="3" t="s">
        <v>2186</v>
      </c>
      <c r="J638" s="9" t="s">
        <v>3216</v>
      </c>
      <c r="K638" s="9" t="s">
        <v>3217</v>
      </c>
      <c r="L638" s="8" t="s">
        <v>2863</v>
      </c>
    </row>
    <row r="639">
      <c r="A639" s="3">
        <v>452.0</v>
      </c>
      <c r="B639" s="3" t="s">
        <v>40</v>
      </c>
      <c r="C639" s="3" t="s">
        <v>1031</v>
      </c>
      <c r="D639" s="3">
        <v>2015.0</v>
      </c>
      <c r="E639" s="3" t="s">
        <v>1032</v>
      </c>
      <c r="F639" s="3" t="s">
        <v>2185</v>
      </c>
      <c r="G639" s="3" t="s">
        <v>2147</v>
      </c>
      <c r="I639" s="3" t="s">
        <v>2186</v>
      </c>
      <c r="J639" s="9" t="s">
        <v>3218</v>
      </c>
      <c r="K639" s="9" t="s">
        <v>3219</v>
      </c>
      <c r="L639" s="8" t="s">
        <v>2194</v>
      </c>
    </row>
    <row r="640">
      <c r="A640" s="3">
        <v>651.0</v>
      </c>
      <c r="B640" s="3" t="s">
        <v>40</v>
      </c>
      <c r="C640" s="3" t="s">
        <v>1415</v>
      </c>
      <c r="D640" s="3">
        <v>2014.0</v>
      </c>
      <c r="E640" s="3" t="s">
        <v>1416</v>
      </c>
      <c r="F640" s="3" t="s">
        <v>2185</v>
      </c>
      <c r="G640" s="3" t="s">
        <v>2147</v>
      </c>
      <c r="I640" s="3" t="s">
        <v>2186</v>
      </c>
      <c r="J640" s="9" t="s">
        <v>3038</v>
      </c>
      <c r="K640" s="9" t="s">
        <v>2955</v>
      </c>
      <c r="L640" s="8" t="s">
        <v>2210</v>
      </c>
    </row>
    <row r="641">
      <c r="A641" s="3">
        <v>5.0</v>
      </c>
      <c r="B641" s="3" t="s">
        <v>40</v>
      </c>
      <c r="C641" s="3" t="s">
        <v>79</v>
      </c>
      <c r="D641" s="3">
        <v>2004.0</v>
      </c>
      <c r="E641" s="3" t="s">
        <v>80</v>
      </c>
      <c r="G641" s="3" t="s">
        <v>2147</v>
      </c>
      <c r="H641" s="3" t="s">
        <v>2217</v>
      </c>
      <c r="I641" s="3" t="s">
        <v>2256</v>
      </c>
      <c r="J641" s="9" t="s">
        <v>3220</v>
      </c>
      <c r="K641" s="9" t="s">
        <v>3221</v>
      </c>
      <c r="L641" s="8" t="s">
        <v>2842</v>
      </c>
    </row>
    <row r="642">
      <c r="A642" s="3">
        <v>115.0</v>
      </c>
      <c r="B642" s="3" t="s">
        <v>40</v>
      </c>
      <c r="C642" s="3" t="s">
        <v>402</v>
      </c>
      <c r="D642" s="3">
        <v>2004.0</v>
      </c>
      <c r="E642" s="3" t="s">
        <v>403</v>
      </c>
      <c r="F642" s="3" t="s">
        <v>2600</v>
      </c>
      <c r="G642" s="3" t="s">
        <v>2147</v>
      </c>
      <c r="H642" s="3" t="s">
        <v>2217</v>
      </c>
      <c r="I642" s="3" t="s">
        <v>2256</v>
      </c>
      <c r="J642" s="9" t="s">
        <v>3152</v>
      </c>
      <c r="K642" s="9" t="s">
        <v>2980</v>
      </c>
      <c r="L642" s="8" t="s">
        <v>2637</v>
      </c>
    </row>
    <row r="643">
      <c r="A643" s="3">
        <v>590.0</v>
      </c>
      <c r="B643" s="3" t="s">
        <v>40</v>
      </c>
      <c r="C643" s="3" t="s">
        <v>1305</v>
      </c>
      <c r="D643" s="3">
        <v>2017.0</v>
      </c>
      <c r="E643" s="3" t="s">
        <v>1306</v>
      </c>
      <c r="F643" s="3" t="s">
        <v>2216</v>
      </c>
      <c r="G643" s="3" t="s">
        <v>2147</v>
      </c>
      <c r="H643" s="3" t="s">
        <v>2217</v>
      </c>
      <c r="I643" s="3" t="s">
        <v>2256</v>
      </c>
      <c r="J643" s="9" t="s">
        <v>2983</v>
      </c>
      <c r="K643" s="9" t="s">
        <v>2992</v>
      </c>
      <c r="L643" s="8" t="s">
        <v>2257</v>
      </c>
    </row>
    <row r="644">
      <c r="A644" s="3">
        <v>830.0</v>
      </c>
      <c r="B644" s="3" t="s">
        <v>40</v>
      </c>
      <c r="C644" s="3" t="s">
        <v>1774</v>
      </c>
      <c r="D644" s="3">
        <v>2006.0</v>
      </c>
      <c r="E644" s="3" t="s">
        <v>1775</v>
      </c>
      <c r="F644" s="3" t="s">
        <v>2600</v>
      </c>
      <c r="G644" s="3" t="s">
        <v>2147</v>
      </c>
      <c r="H644" s="3" t="s">
        <v>2217</v>
      </c>
      <c r="I644" s="3" t="s">
        <v>2256</v>
      </c>
      <c r="J644" s="9" t="s">
        <v>2974</v>
      </c>
      <c r="K644" s="9" t="s">
        <v>2959</v>
      </c>
      <c r="L644" s="8" t="s">
        <v>2813</v>
      </c>
    </row>
    <row r="645">
      <c r="A645" s="3">
        <v>698.0</v>
      </c>
      <c r="B645" s="3" t="s">
        <v>40</v>
      </c>
      <c r="C645" s="3" t="s">
        <v>1508</v>
      </c>
      <c r="D645" s="3">
        <v>2012.0</v>
      </c>
      <c r="E645" s="3" t="s">
        <v>1509</v>
      </c>
      <c r="F645" s="3" t="s">
        <v>2216</v>
      </c>
      <c r="G645" s="3" t="s">
        <v>2147</v>
      </c>
      <c r="H645" s="3" t="s">
        <v>2217</v>
      </c>
      <c r="I645" s="3" t="s">
        <v>2256</v>
      </c>
      <c r="J645" s="9"/>
      <c r="K645" s="9"/>
      <c r="L645" s="8" t="s">
        <v>2259</v>
      </c>
    </row>
    <row r="646">
      <c r="A646" s="3">
        <v>555.0</v>
      </c>
      <c r="B646" s="3" t="s">
        <v>40</v>
      </c>
      <c r="C646" s="3" t="s">
        <v>1234</v>
      </c>
      <c r="D646" s="3">
        <v>2012.0</v>
      </c>
      <c r="E646" s="3" t="s">
        <v>1235</v>
      </c>
      <c r="G646" s="3" t="s">
        <v>2142</v>
      </c>
      <c r="I646" s="3" t="s">
        <v>2913</v>
      </c>
      <c r="J646" s="9" t="s">
        <v>2983</v>
      </c>
      <c r="K646" s="9" t="s">
        <v>2992</v>
      </c>
      <c r="L646" s="8" t="s">
        <v>2914</v>
      </c>
    </row>
    <row r="647">
      <c r="A647" s="3">
        <v>712.0</v>
      </c>
      <c r="B647" s="3" t="s">
        <v>40</v>
      </c>
      <c r="C647" s="3" t="s">
        <v>1536</v>
      </c>
      <c r="D647" s="3">
        <v>2019.0</v>
      </c>
      <c r="E647" s="3" t="s">
        <v>1537</v>
      </c>
      <c r="F647" s="3" t="s">
        <v>2213</v>
      </c>
      <c r="G647" s="3" t="s">
        <v>2142</v>
      </c>
      <c r="I647" s="3" t="s">
        <v>2214</v>
      </c>
      <c r="J647" s="9"/>
      <c r="K647" s="9"/>
      <c r="L647" s="8" t="s">
        <v>2215</v>
      </c>
    </row>
  </sheetData>
  <autoFilter ref="$A$1:$L$647">
    <sortState ref="A1:L647">
      <sortCondition ref="I1:I647"/>
      <sortCondition ref="K1:K647"/>
      <sortCondition ref="L1:L647"/>
      <sortCondition ref="F1:F647"/>
      <sortCondition ref="H1:H647"/>
      <sortCondition ref="G1:G647"/>
      <sortCondition ref="J1:J647"/>
    </sortState>
  </autoFilter>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4">
      <c r="C4" s="3" t="s">
        <v>44</v>
      </c>
      <c r="D4" s="3" t="s">
        <v>3222</v>
      </c>
      <c r="E4" s="3" t="s">
        <v>3223</v>
      </c>
    </row>
    <row r="5">
      <c r="C5" s="3" t="s">
        <v>58</v>
      </c>
      <c r="D5" s="3" t="s">
        <v>3222</v>
      </c>
      <c r="E5" s="3" t="s">
        <v>3224</v>
      </c>
    </row>
    <row r="6">
      <c r="C6" s="3" t="s">
        <v>82</v>
      </c>
      <c r="D6" s="3" t="s">
        <v>3222</v>
      </c>
      <c r="E6" s="3" t="s">
        <v>3223</v>
      </c>
    </row>
    <row r="7">
      <c r="C7" s="3" t="s">
        <v>91</v>
      </c>
      <c r="D7" s="3" t="s">
        <v>3222</v>
      </c>
      <c r="E7" s="3" t="s">
        <v>258</v>
      </c>
    </row>
    <row r="8">
      <c r="C8" s="3" t="s">
        <v>101</v>
      </c>
      <c r="D8" s="3" t="s">
        <v>3222</v>
      </c>
      <c r="E8" s="3" t="s">
        <v>3225</v>
      </c>
    </row>
    <row r="9">
      <c r="C9" s="3" t="s">
        <v>124</v>
      </c>
      <c r="D9" s="3" t="s">
        <v>3222</v>
      </c>
      <c r="E9" s="3" t="s">
        <v>3225</v>
      </c>
      <c r="G9" s="3" t="s">
        <v>124</v>
      </c>
    </row>
    <row r="10">
      <c r="B10" s="3" t="s">
        <v>3226</v>
      </c>
      <c r="C10" s="3" t="s">
        <v>142</v>
      </c>
      <c r="D10" s="3" t="s">
        <v>3222</v>
      </c>
    </row>
    <row r="11">
      <c r="C11" s="3" t="s">
        <v>541</v>
      </c>
      <c r="D11" s="3" t="s">
        <v>3222</v>
      </c>
      <c r="E11" s="3" t="s">
        <v>3227</v>
      </c>
    </row>
    <row r="17">
      <c r="D17" s="3" t="s">
        <v>2115</v>
      </c>
      <c r="E17" s="3" t="s">
        <v>3228</v>
      </c>
    </row>
    <row r="18">
      <c r="C18" s="3" t="s">
        <v>19</v>
      </c>
    </row>
    <row r="19">
      <c r="C19" s="3" t="s">
        <v>102</v>
      </c>
      <c r="D19" s="3" t="s">
        <v>3222</v>
      </c>
    </row>
    <row r="21">
      <c r="C21" s="3" t="s">
        <v>58</v>
      </c>
    </row>
    <row r="22">
      <c r="C22" s="3" t="s">
        <v>541</v>
      </c>
    </row>
    <row r="23">
      <c r="C23" s="3" t="s">
        <v>45</v>
      </c>
    </row>
    <row r="24">
      <c r="C24" s="3" t="s">
        <v>142</v>
      </c>
    </row>
    <row r="25">
      <c r="C25" s="10" t="s">
        <v>82</v>
      </c>
      <c r="E25" s="3" t="s">
        <v>82</v>
      </c>
    </row>
    <row r="26">
      <c r="C26" s="10" t="s">
        <v>124</v>
      </c>
      <c r="E26" s="3" t="s">
        <v>124</v>
      </c>
    </row>
    <row r="27">
      <c r="C27" s="3" t="s">
        <v>101</v>
      </c>
    </row>
    <row r="28">
      <c r="C28" s="3" t="s">
        <v>91</v>
      </c>
    </row>
    <row r="30">
      <c r="D30" s="3" t="s">
        <v>2112</v>
      </c>
      <c r="E30" s="3" t="s">
        <v>3229</v>
      </c>
    </row>
    <row r="31">
      <c r="C31" s="3" t="s">
        <v>17</v>
      </c>
    </row>
    <row r="33">
      <c r="C33" s="3" t="s">
        <v>2112</v>
      </c>
      <c r="E33" s="3" t="s">
        <v>3230</v>
      </c>
    </row>
    <row r="34">
      <c r="C34" s="3" t="s">
        <v>150</v>
      </c>
      <c r="E34" s="3" t="s">
        <v>3231</v>
      </c>
    </row>
    <row r="35">
      <c r="C35" s="3" t="s">
        <v>897</v>
      </c>
      <c r="E35" s="3" t="s">
        <v>3232</v>
      </c>
    </row>
    <row r="36">
      <c r="C36" s="3" t="s">
        <v>141</v>
      </c>
      <c r="E36" s="3" t="s">
        <v>3233</v>
      </c>
    </row>
    <row r="37">
      <c r="C37" s="3" t="s">
        <v>643</v>
      </c>
      <c r="E37" s="3" t="s">
        <v>3234</v>
      </c>
    </row>
    <row r="38">
      <c r="C38" s="3" t="s">
        <v>2044</v>
      </c>
      <c r="E38" s="3" t="s">
        <v>3235</v>
      </c>
    </row>
    <row r="39">
      <c r="C39" s="3" t="s">
        <v>372</v>
      </c>
      <c r="E39" s="3" t="s">
        <v>3235</v>
      </c>
    </row>
    <row r="40">
      <c r="C40" s="3" t="s">
        <v>449</v>
      </c>
      <c r="E40" s="3" t="s">
        <v>3236</v>
      </c>
    </row>
    <row r="41">
      <c r="C41" s="3" t="s">
        <v>152</v>
      </c>
      <c r="E41" s="3" t="s">
        <v>3237</v>
      </c>
    </row>
    <row r="42">
      <c r="C42" s="3" t="s">
        <v>441</v>
      </c>
      <c r="E42" s="3" t="s">
        <v>3238</v>
      </c>
    </row>
    <row r="43">
      <c r="C43" s="3" t="s">
        <v>161</v>
      </c>
      <c r="E43" s="3" t="s">
        <v>3239</v>
      </c>
    </row>
    <row r="44">
      <c r="C44" s="3" t="s">
        <v>165</v>
      </c>
      <c r="E44" s="3" t="s">
        <v>3240</v>
      </c>
    </row>
    <row r="45">
      <c r="C45" s="3" t="s">
        <v>1350</v>
      </c>
      <c r="E45" s="3" t="s">
        <v>3240</v>
      </c>
    </row>
    <row r="46">
      <c r="C46" s="3" t="s">
        <v>1024</v>
      </c>
      <c r="E46" s="3" t="s">
        <v>3241</v>
      </c>
    </row>
    <row r="47">
      <c r="C47" s="3" t="s">
        <v>68</v>
      </c>
      <c r="E47" s="3" t="s">
        <v>3241</v>
      </c>
    </row>
    <row r="48">
      <c r="C48" s="3" t="s">
        <v>129</v>
      </c>
      <c r="E48" s="3" t="s">
        <v>3242</v>
      </c>
    </row>
    <row r="49">
      <c r="C49" s="3" t="s">
        <v>484</v>
      </c>
      <c r="E49" s="3" t="s">
        <v>3243</v>
      </c>
    </row>
    <row r="50">
      <c r="C50" s="3" t="s">
        <v>321</v>
      </c>
      <c r="E50" s="3" t="s">
        <v>3244</v>
      </c>
    </row>
    <row r="51">
      <c r="C51" s="3" t="s">
        <v>923</v>
      </c>
      <c r="E51" s="3" t="s">
        <v>3245</v>
      </c>
    </row>
    <row r="52">
      <c r="C52" s="3" t="s">
        <v>1721</v>
      </c>
      <c r="E52" s="3" t="s">
        <v>3245</v>
      </c>
    </row>
    <row r="53">
      <c r="C53" s="3" t="s">
        <v>1967</v>
      </c>
      <c r="E53" s="3" t="s">
        <v>3245</v>
      </c>
    </row>
    <row r="54">
      <c r="C54" s="3" t="s">
        <v>475</v>
      </c>
      <c r="E54" s="3" t="s">
        <v>3246</v>
      </c>
    </row>
    <row r="55">
      <c r="C55" s="3" t="s">
        <v>575</v>
      </c>
      <c r="E55" s="3" t="s">
        <v>3246</v>
      </c>
    </row>
    <row r="56">
      <c r="C56" s="3" t="s">
        <v>102</v>
      </c>
      <c r="E56" s="3" t="s">
        <v>3246</v>
      </c>
    </row>
    <row r="57">
      <c r="C57" s="3" t="s">
        <v>57</v>
      </c>
      <c r="E57" s="3" t="s">
        <v>3246</v>
      </c>
    </row>
    <row r="58">
      <c r="C58" s="3" t="s">
        <v>169</v>
      </c>
      <c r="E58" s="3" t="s">
        <v>3246</v>
      </c>
    </row>
    <row r="59">
      <c r="C59" s="3" t="s">
        <v>227</v>
      </c>
      <c r="E59" s="3" t="s">
        <v>3246</v>
      </c>
    </row>
    <row r="60">
      <c r="C60" s="3" t="s">
        <v>1355</v>
      </c>
      <c r="E60" s="3" t="s">
        <v>3246</v>
      </c>
    </row>
    <row r="61">
      <c r="C61" s="3" t="s">
        <v>541</v>
      </c>
      <c r="E61" s="3" t="s">
        <v>3246</v>
      </c>
    </row>
    <row r="62">
      <c r="C62" s="3" t="s">
        <v>1855</v>
      </c>
      <c r="E62" s="3" t="s">
        <v>3246</v>
      </c>
    </row>
    <row r="63">
      <c r="C63" s="3" t="s">
        <v>409</v>
      </c>
      <c r="E63" s="3" t="s">
        <v>3246</v>
      </c>
    </row>
    <row r="64">
      <c r="C64" s="3" t="s">
        <v>253</v>
      </c>
      <c r="E64" s="3" t="s">
        <v>3246</v>
      </c>
    </row>
    <row r="65">
      <c r="C65" s="3" t="s">
        <v>559</v>
      </c>
      <c r="E65" s="3" t="s">
        <v>3246</v>
      </c>
    </row>
    <row r="66">
      <c r="C66" s="3" t="s">
        <v>172</v>
      </c>
      <c r="E66" s="3" t="s">
        <v>3246</v>
      </c>
    </row>
    <row r="67">
      <c r="C67" s="3" t="s">
        <v>433</v>
      </c>
      <c r="E67" s="3" t="s">
        <v>3246</v>
      </c>
    </row>
    <row r="68">
      <c r="C68" s="3" t="s">
        <v>877</v>
      </c>
      <c r="E68" s="3" t="s">
        <v>3246</v>
      </c>
    </row>
    <row r="69">
      <c r="C69" s="3" t="s">
        <v>81</v>
      </c>
      <c r="E69" s="3" t="s">
        <v>3246</v>
      </c>
    </row>
    <row r="70">
      <c r="C70" s="3" t="s">
        <v>1225</v>
      </c>
      <c r="E70" s="3" t="s">
        <v>3246</v>
      </c>
    </row>
    <row r="71">
      <c r="C71" s="3" t="s">
        <v>2134</v>
      </c>
    </row>
    <row r="72">
      <c r="C72" s="3" t="s">
        <v>258</v>
      </c>
    </row>
    <row r="73">
      <c r="C73" s="3" t="s">
        <v>146</v>
      </c>
    </row>
    <row r="74">
      <c r="C74" s="3" t="s">
        <v>113</v>
      </c>
    </row>
    <row r="75">
      <c r="C75" s="3" t="s">
        <v>562</v>
      </c>
    </row>
    <row r="76">
      <c r="C76" s="3" t="s">
        <v>109</v>
      </c>
    </row>
    <row r="77">
      <c r="C77" s="3" t="s">
        <v>1934</v>
      </c>
    </row>
    <row r="78">
      <c r="C78" s="3" t="s">
        <v>391</v>
      </c>
    </row>
    <row r="79">
      <c r="C79" s="3" t="s">
        <v>549</v>
      </c>
    </row>
    <row r="80">
      <c r="C80" s="3" t="s">
        <v>496</v>
      </c>
    </row>
    <row r="81">
      <c r="C81" s="3" t="s">
        <v>538</v>
      </c>
    </row>
    <row r="82">
      <c r="C82" s="3" t="s">
        <v>361</v>
      </c>
    </row>
    <row r="83">
      <c r="C83" s="3" t="s">
        <v>43</v>
      </c>
    </row>
    <row r="84">
      <c r="C84" s="3" t="s">
        <v>552</v>
      </c>
    </row>
    <row r="85">
      <c r="C85" s="3" t="s">
        <v>230</v>
      </c>
    </row>
    <row r="86">
      <c r="C86" s="3" t="s">
        <v>356</v>
      </c>
    </row>
    <row r="87">
      <c r="C87" s="3" t="s">
        <v>137</v>
      </c>
    </row>
    <row r="88">
      <c r="C88" s="3" t="s">
        <v>100</v>
      </c>
    </row>
    <row r="89">
      <c r="C89" s="3" t="s">
        <v>220</v>
      </c>
    </row>
    <row r="90">
      <c r="C90" s="3" t="s">
        <v>269</v>
      </c>
    </row>
    <row r="91">
      <c r="C91" s="3" t="s">
        <v>892</v>
      </c>
    </row>
    <row r="92">
      <c r="C92" s="3" t="s">
        <v>224</v>
      </c>
    </row>
    <row r="93">
      <c r="C93" s="3" t="s">
        <v>184</v>
      </c>
    </row>
    <row r="94">
      <c r="C94" s="3" t="s">
        <v>638</v>
      </c>
    </row>
    <row r="95">
      <c r="C95" s="3" t="s">
        <v>963</v>
      </c>
    </row>
    <row r="96">
      <c r="C96" s="3" t="s">
        <v>95</v>
      </c>
    </row>
    <row r="97">
      <c r="C97" s="3" t="s">
        <v>187</v>
      </c>
    </row>
    <row r="98">
      <c r="C98" s="3" t="s">
        <v>359</v>
      </c>
    </row>
    <row r="99">
      <c r="C99" s="3" t="s">
        <v>518</v>
      </c>
    </row>
    <row r="100">
      <c r="C100" s="3" t="s">
        <v>515</v>
      </c>
    </row>
    <row r="101">
      <c r="C101" s="3" t="s">
        <v>526</v>
      </c>
    </row>
    <row r="102">
      <c r="C102" s="3" t="s">
        <v>911</v>
      </c>
    </row>
    <row r="103">
      <c r="C103" s="3" t="s">
        <v>504</v>
      </c>
    </row>
    <row r="104">
      <c r="C104" s="3" t="s">
        <v>123</v>
      </c>
    </row>
    <row r="105">
      <c r="C105" s="3" t="s">
        <v>204</v>
      </c>
    </row>
    <row r="106">
      <c r="C106" s="3" t="s">
        <v>233</v>
      </c>
    </row>
    <row r="107">
      <c r="C107" s="3" t="s">
        <v>458</v>
      </c>
    </row>
    <row r="108">
      <c r="C108" s="3" t="s">
        <v>473</v>
      </c>
    </row>
    <row r="109">
      <c r="C109" s="3" t="s">
        <v>201</v>
      </c>
    </row>
    <row r="110">
      <c r="C110" s="3" t="s">
        <v>928</v>
      </c>
    </row>
    <row r="111">
      <c r="C111" s="3" t="s">
        <v>284</v>
      </c>
    </row>
    <row r="112">
      <c r="C112" s="3" t="s">
        <v>447</v>
      </c>
    </row>
    <row r="113">
      <c r="C113" s="3" t="s">
        <v>1480</v>
      </c>
    </row>
    <row r="114">
      <c r="C114" s="3" t="s">
        <v>249</v>
      </c>
    </row>
    <row r="115">
      <c r="C115" s="3" t="s">
        <v>298</v>
      </c>
    </row>
    <row r="116">
      <c r="C116" s="3" t="s">
        <v>444</v>
      </c>
    </row>
    <row r="117">
      <c r="C117" s="3" t="s">
        <v>427</v>
      </c>
    </row>
    <row r="118">
      <c r="C118" s="3" t="s">
        <v>880</v>
      </c>
    </row>
    <row r="119">
      <c r="C119" s="3" t="s">
        <v>498</v>
      </c>
    </row>
    <row r="120">
      <c r="C120" s="3" t="s">
        <v>213</v>
      </c>
    </row>
    <row r="121">
      <c r="C121" s="3" t="s">
        <v>311</v>
      </c>
    </row>
    <row r="122">
      <c r="C122" s="3" t="s">
        <v>328</v>
      </c>
    </row>
    <row r="123">
      <c r="C123" s="3" t="s">
        <v>605</v>
      </c>
    </row>
    <row r="124">
      <c r="C124" s="3" t="s">
        <v>341</v>
      </c>
    </row>
    <row r="125">
      <c r="C125" s="3" t="s">
        <v>295</v>
      </c>
    </row>
    <row r="126">
      <c r="C126" s="3" t="s">
        <v>75</v>
      </c>
    </row>
    <row r="127">
      <c r="C127" s="3" t="s">
        <v>1027</v>
      </c>
    </row>
    <row r="128">
      <c r="C128" s="3" t="s">
        <v>436</v>
      </c>
    </row>
    <row r="129">
      <c r="C129" s="3" t="s">
        <v>263</v>
      </c>
    </row>
    <row r="130">
      <c r="C130" s="3" t="s">
        <v>1071</v>
      </c>
    </row>
    <row r="131">
      <c r="C131" s="3" t="s">
        <v>1323</v>
      </c>
    </row>
    <row r="132">
      <c r="C132" s="3" t="s">
        <v>1288</v>
      </c>
    </row>
    <row r="133">
      <c r="C133" s="3" t="s">
        <v>533</v>
      </c>
    </row>
    <row r="134">
      <c r="C134" s="3" t="s">
        <v>305</v>
      </c>
    </row>
    <row r="135">
      <c r="C135" s="3" t="s">
        <v>158</v>
      </c>
    </row>
    <row r="136">
      <c r="C136" s="3" t="s">
        <v>1581</v>
      </c>
    </row>
    <row r="137">
      <c r="C137" s="3" t="s">
        <v>492</v>
      </c>
    </row>
    <row r="138">
      <c r="C138" s="3" t="s">
        <v>510</v>
      </c>
    </row>
    <row r="139">
      <c r="C139" s="3" t="s">
        <v>1431</v>
      </c>
    </row>
    <row r="140">
      <c r="C140" s="3" t="s">
        <v>1882</v>
      </c>
    </row>
    <row r="141">
      <c r="C141" s="3" t="s">
        <v>265</v>
      </c>
    </row>
    <row r="142">
      <c r="C142" s="3" t="s">
        <v>308</v>
      </c>
    </row>
    <row r="143">
      <c r="C143" s="3" t="s">
        <v>1611</v>
      </c>
    </row>
    <row r="144">
      <c r="C144" s="3" t="s">
        <v>905</v>
      </c>
    </row>
    <row r="145">
      <c r="C145" s="3" t="s">
        <v>90</v>
      </c>
    </row>
  </sheetData>
  <autoFilter ref="$C$33:$E$145">
    <sortState ref="C33:E145">
      <sortCondition ref="E33:E145"/>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3">
      <c r="C3" s="3" t="s">
        <v>3247</v>
      </c>
    </row>
    <row r="4">
      <c r="B4" s="3" t="s">
        <v>3248</v>
      </c>
      <c r="C4" s="3" t="s">
        <v>51</v>
      </c>
    </row>
    <row r="5">
      <c r="B5" s="3" t="s">
        <v>3248</v>
      </c>
      <c r="C5" s="3" t="s">
        <v>52</v>
      </c>
    </row>
    <row r="6">
      <c r="B6" s="3" t="s">
        <v>3248</v>
      </c>
      <c r="C6" s="3" t="s">
        <v>118</v>
      </c>
    </row>
    <row r="8">
      <c r="B8" s="3" t="s">
        <v>3249</v>
      </c>
      <c r="C8" s="3" t="s">
        <v>235</v>
      </c>
    </row>
    <row r="9">
      <c r="B9" s="3" t="s">
        <v>3249</v>
      </c>
      <c r="C9" s="3" t="s">
        <v>121</v>
      </c>
    </row>
    <row r="10">
      <c r="B10" s="3" t="s">
        <v>3249</v>
      </c>
      <c r="C10" s="3" t="s">
        <v>54</v>
      </c>
    </row>
    <row r="11">
      <c r="B11" s="3" t="s">
        <v>3249</v>
      </c>
      <c r="C11" s="3" t="s">
        <v>53</v>
      </c>
    </row>
    <row r="12">
      <c r="B12" s="11" t="s">
        <v>3250</v>
      </c>
      <c r="C12" s="3" t="s">
        <v>78</v>
      </c>
      <c r="E12" s="3" t="s">
        <v>3251</v>
      </c>
    </row>
    <row r="13">
      <c r="C13" s="3" t="s">
        <v>64</v>
      </c>
    </row>
    <row r="16">
      <c r="C16" s="3"/>
    </row>
    <row r="26">
      <c r="B26" s="11" t="s">
        <v>3250</v>
      </c>
      <c r="C26" s="3" t="s">
        <v>78</v>
      </c>
      <c r="E26" s="3" t="s">
        <v>3251</v>
      </c>
    </row>
    <row r="27">
      <c r="B27" s="3" t="s">
        <v>3252</v>
      </c>
      <c r="C27" s="3" t="s">
        <v>650</v>
      </c>
    </row>
    <row r="30">
      <c r="B30" s="3" t="s">
        <v>3253</v>
      </c>
      <c r="C30" s="3" t="s">
        <v>143</v>
      </c>
    </row>
    <row r="33">
      <c r="B33" s="3"/>
    </row>
    <row r="39">
      <c r="F39" s="3"/>
    </row>
    <row r="40">
      <c r="F40" s="3" t="s">
        <v>51</v>
      </c>
    </row>
    <row r="41">
      <c r="B41" s="3" t="s">
        <v>78</v>
      </c>
      <c r="F41" s="3" t="s">
        <v>118</v>
      </c>
    </row>
    <row r="42">
      <c r="B42" s="3" t="s">
        <v>64</v>
      </c>
      <c r="F42" s="3" t="s">
        <v>78</v>
      </c>
    </row>
    <row r="43">
      <c r="B43" s="3" t="s">
        <v>71</v>
      </c>
      <c r="F43" s="3" t="s">
        <v>78</v>
      </c>
    </row>
    <row r="44">
      <c r="B44" s="3" t="s">
        <v>65</v>
      </c>
      <c r="F44" s="3" t="s">
        <v>78</v>
      </c>
    </row>
    <row r="45">
      <c r="F45" s="3" t="s">
        <v>64</v>
      </c>
    </row>
    <row r="46">
      <c r="F46" s="3" t="s">
        <v>64</v>
      </c>
    </row>
    <row r="47">
      <c r="F47" s="3" t="s">
        <v>64</v>
      </c>
    </row>
    <row r="48">
      <c r="B48" s="3"/>
      <c r="F48" s="3" t="s">
        <v>64</v>
      </c>
    </row>
    <row r="49">
      <c r="B49" s="3" t="s">
        <v>51</v>
      </c>
      <c r="F49" s="3"/>
    </row>
    <row r="50">
      <c r="B50" s="3" t="s">
        <v>52</v>
      </c>
      <c r="F50" s="3"/>
    </row>
    <row r="51">
      <c r="B51" s="3" t="s">
        <v>118</v>
      </c>
      <c r="F51" s="3"/>
    </row>
    <row r="52">
      <c r="B52" s="3" t="s">
        <v>235</v>
      </c>
      <c r="F52" s="3"/>
    </row>
    <row r="53">
      <c r="B53" s="3" t="s">
        <v>121</v>
      </c>
      <c r="F53" s="3"/>
    </row>
    <row r="54">
      <c r="B54" s="3" t="s">
        <v>54</v>
      </c>
      <c r="F54" s="3"/>
    </row>
    <row r="55">
      <c r="B55" s="3" t="s">
        <v>53</v>
      </c>
      <c r="F55" s="3"/>
    </row>
    <row r="56">
      <c r="B56" s="3" t="s">
        <v>78</v>
      </c>
      <c r="F56" s="3"/>
    </row>
    <row r="57">
      <c r="B57" s="3" t="s">
        <v>64</v>
      </c>
      <c r="F57" s="3"/>
    </row>
    <row r="58">
      <c r="B58" s="3" t="s">
        <v>71</v>
      </c>
      <c r="F58" s="3"/>
    </row>
    <row r="59">
      <c r="B59" s="3" t="s">
        <v>65</v>
      </c>
      <c r="F59" s="3"/>
    </row>
    <row r="60">
      <c r="F60" s="3"/>
    </row>
    <row r="61">
      <c r="F61" s="3"/>
    </row>
    <row r="62">
      <c r="F62" s="3"/>
    </row>
    <row r="63">
      <c r="F63" s="3"/>
    </row>
    <row r="64">
      <c r="F64" s="3"/>
    </row>
    <row r="65">
      <c r="F65" s="3"/>
    </row>
    <row r="66">
      <c r="F66" s="3"/>
    </row>
    <row r="67">
      <c r="F67" s="3"/>
    </row>
    <row r="68">
      <c r="F68" s="3"/>
    </row>
    <row r="69">
      <c r="F69" s="3"/>
    </row>
    <row r="70">
      <c r="F70" s="3"/>
    </row>
    <row r="71">
      <c r="F71" s="3"/>
    </row>
    <row r="72">
      <c r="F72" s="3"/>
    </row>
    <row r="73">
      <c r="F73" s="3"/>
    </row>
    <row r="74">
      <c r="F74" s="3"/>
    </row>
    <row r="75">
      <c r="F75" s="3"/>
    </row>
    <row r="76">
      <c r="F76" s="3"/>
    </row>
    <row r="77">
      <c r="F77" s="3"/>
    </row>
    <row r="78">
      <c r="F78" s="3"/>
    </row>
    <row r="79">
      <c r="F79" s="3"/>
    </row>
    <row r="80">
      <c r="F80" s="3"/>
    </row>
    <row r="81">
      <c r="F81" s="3"/>
    </row>
    <row r="82">
      <c r="F82" s="3"/>
    </row>
    <row r="83">
      <c r="F83" s="3"/>
    </row>
    <row r="84">
      <c r="F84" s="3"/>
    </row>
    <row r="85">
      <c r="F85" s="3"/>
    </row>
    <row r="86">
      <c r="F86" s="3"/>
    </row>
    <row r="87">
      <c r="F87" s="3"/>
    </row>
    <row r="88">
      <c r="F88" s="3"/>
    </row>
    <row r="89">
      <c r="F89" s="3"/>
    </row>
    <row r="90">
      <c r="F90" s="3"/>
    </row>
    <row r="91">
      <c r="F91" s="3"/>
    </row>
    <row r="92">
      <c r="F92" s="3"/>
    </row>
    <row r="93">
      <c r="F93" s="3"/>
    </row>
    <row r="94">
      <c r="F94" s="3"/>
    </row>
    <row r="95">
      <c r="F95" s="3"/>
    </row>
    <row r="96">
      <c r="F96" s="3"/>
    </row>
    <row r="97">
      <c r="F97" s="3"/>
    </row>
    <row r="98">
      <c r="F98" s="3"/>
    </row>
    <row r="99">
      <c r="F99" s="3"/>
    </row>
    <row r="100">
      <c r="F100" s="3"/>
    </row>
    <row r="101">
      <c r="F101" s="3"/>
    </row>
    <row r="102">
      <c r="F102" s="3"/>
    </row>
    <row r="103">
      <c r="F103" s="3"/>
    </row>
    <row r="104">
      <c r="F104" s="3"/>
    </row>
    <row r="105">
      <c r="F105" s="3"/>
    </row>
    <row r="106">
      <c r="F106" s="3"/>
    </row>
    <row r="107">
      <c r="F107" s="3"/>
    </row>
    <row r="108">
      <c r="F108" s="3"/>
    </row>
    <row r="109">
      <c r="F109" s="3"/>
    </row>
    <row r="110">
      <c r="F110" s="3"/>
    </row>
    <row r="111">
      <c r="F111" s="3"/>
    </row>
    <row r="112">
      <c r="F112" s="3"/>
    </row>
    <row r="113">
      <c r="F113" s="3"/>
    </row>
    <row r="114">
      <c r="F114" s="3"/>
    </row>
    <row r="115">
      <c r="F115" s="3"/>
    </row>
    <row r="116">
      <c r="F116" s="3"/>
    </row>
    <row r="117">
      <c r="F117" s="3"/>
    </row>
    <row r="118">
      <c r="F118" s="3"/>
    </row>
    <row r="119">
      <c r="F119" s="3"/>
    </row>
    <row r="120">
      <c r="F120" s="3"/>
    </row>
    <row r="121">
      <c r="F121" s="3"/>
    </row>
    <row r="122">
      <c r="F122" s="3"/>
    </row>
    <row r="123">
      <c r="F123" s="3"/>
    </row>
    <row r="124">
      <c r="F124" s="3"/>
    </row>
    <row r="125">
      <c r="F125" s="3"/>
    </row>
    <row r="126">
      <c r="F126" s="3"/>
    </row>
    <row r="127">
      <c r="F127" s="3"/>
    </row>
    <row r="128">
      <c r="F128" s="3"/>
    </row>
    <row r="129">
      <c r="F129" s="3"/>
    </row>
    <row r="130">
      <c r="F130" s="3"/>
    </row>
    <row r="131">
      <c r="F131" s="3"/>
    </row>
    <row r="132">
      <c r="F132" s="3"/>
    </row>
    <row r="133">
      <c r="F133" s="3"/>
    </row>
    <row r="134">
      <c r="F134" s="3"/>
    </row>
    <row r="135">
      <c r="F135" s="3"/>
    </row>
    <row r="136">
      <c r="F136" s="3"/>
    </row>
    <row r="137">
      <c r="F137" s="3"/>
    </row>
    <row r="138">
      <c r="F138" s="3"/>
    </row>
    <row r="139">
      <c r="F139" s="3"/>
    </row>
    <row r="140">
      <c r="F140" s="3"/>
    </row>
    <row r="141">
      <c r="F141" s="3"/>
    </row>
    <row r="142">
      <c r="F142" s="3"/>
    </row>
    <row r="143">
      <c r="F143" s="3"/>
    </row>
    <row r="144">
      <c r="F144" s="3"/>
    </row>
    <row r="145">
      <c r="F145" s="3"/>
    </row>
    <row r="146">
      <c r="F146" s="3"/>
    </row>
    <row r="147">
      <c r="F147" s="3"/>
    </row>
    <row r="148">
      <c r="F148" s="3"/>
    </row>
    <row r="149">
      <c r="F149" s="3"/>
    </row>
    <row r="150">
      <c r="F150" s="3"/>
    </row>
    <row r="151">
      <c r="F151" s="3"/>
    </row>
    <row r="152">
      <c r="F152" s="3"/>
    </row>
    <row r="153">
      <c r="F153" s="3"/>
    </row>
    <row r="154">
      <c r="F154" s="3"/>
    </row>
    <row r="155">
      <c r="F155" s="3"/>
    </row>
    <row r="156">
      <c r="F156" s="3"/>
    </row>
    <row r="157">
      <c r="F157" s="3"/>
    </row>
    <row r="158">
      <c r="F158" s="3"/>
    </row>
    <row r="159">
      <c r="F159" s="3"/>
    </row>
    <row r="160">
      <c r="F160" s="3"/>
    </row>
    <row r="161">
      <c r="F161" s="3"/>
    </row>
    <row r="162">
      <c r="F162" s="3"/>
    </row>
    <row r="163">
      <c r="F163" s="3"/>
    </row>
    <row r="164">
      <c r="F164" s="3"/>
    </row>
    <row r="165">
      <c r="F165" s="3"/>
    </row>
    <row r="166">
      <c r="F166" s="3"/>
    </row>
    <row r="167">
      <c r="F167" s="3"/>
    </row>
    <row r="168">
      <c r="F168" s="3"/>
    </row>
    <row r="169">
      <c r="F169" s="3"/>
    </row>
    <row r="170">
      <c r="F170" s="3"/>
    </row>
    <row r="171">
      <c r="F171" s="3"/>
    </row>
    <row r="172">
      <c r="F172" s="3"/>
    </row>
    <row r="173">
      <c r="F173" s="3"/>
    </row>
    <row r="174">
      <c r="F174" s="3"/>
    </row>
    <row r="175">
      <c r="F175" s="3"/>
    </row>
    <row r="176">
      <c r="F176" s="3"/>
    </row>
    <row r="177">
      <c r="F177" s="3"/>
    </row>
    <row r="178">
      <c r="F178" s="3"/>
    </row>
    <row r="179">
      <c r="F179" s="3"/>
    </row>
    <row r="180">
      <c r="F180" s="3"/>
    </row>
    <row r="181">
      <c r="F181" s="3"/>
    </row>
    <row r="182">
      <c r="F182" s="3"/>
    </row>
    <row r="183">
      <c r="F183" s="3"/>
    </row>
    <row r="184">
      <c r="F184" s="3"/>
    </row>
    <row r="185">
      <c r="F185" s="3"/>
    </row>
    <row r="186">
      <c r="F186" s="3"/>
    </row>
    <row r="187">
      <c r="F187" s="3"/>
    </row>
    <row r="188">
      <c r="F188" s="3"/>
    </row>
    <row r="189">
      <c r="F189" s="3"/>
    </row>
    <row r="190">
      <c r="F190" s="3"/>
    </row>
    <row r="191">
      <c r="F191" s="3"/>
    </row>
    <row r="192">
      <c r="F192" s="3"/>
    </row>
    <row r="193">
      <c r="F193" s="3"/>
    </row>
    <row r="194">
      <c r="F194" s="3"/>
    </row>
    <row r="195">
      <c r="F195" s="3"/>
    </row>
    <row r="196">
      <c r="F196" s="3"/>
    </row>
    <row r="197">
      <c r="F197" s="3"/>
    </row>
    <row r="198">
      <c r="F198" s="3"/>
    </row>
    <row r="199">
      <c r="F199" s="3"/>
    </row>
    <row r="200">
      <c r="F200" s="3"/>
    </row>
    <row r="201">
      <c r="F201" s="3"/>
    </row>
    <row r="202">
      <c r="F202" s="3"/>
    </row>
    <row r="203">
      <c r="F203" s="3"/>
    </row>
    <row r="204">
      <c r="F204" s="3"/>
    </row>
    <row r="205">
      <c r="F205" s="3"/>
    </row>
    <row r="206">
      <c r="F206" s="3"/>
    </row>
    <row r="207">
      <c r="F207" s="3"/>
    </row>
    <row r="208">
      <c r="F208" s="3"/>
    </row>
    <row r="209">
      <c r="F209" s="3"/>
    </row>
    <row r="210">
      <c r="F210" s="3"/>
    </row>
    <row r="211">
      <c r="F211" s="3"/>
    </row>
    <row r="212">
      <c r="F212" s="3"/>
    </row>
    <row r="213">
      <c r="F213" s="3"/>
    </row>
    <row r="214">
      <c r="F214" s="3"/>
    </row>
    <row r="215">
      <c r="F215" s="3"/>
    </row>
    <row r="216">
      <c r="F216" s="3"/>
    </row>
    <row r="217">
      <c r="F217" s="3"/>
    </row>
    <row r="218">
      <c r="F218" s="3"/>
    </row>
    <row r="219">
      <c r="F219" s="3"/>
    </row>
    <row r="220">
      <c r="F220" s="3"/>
    </row>
    <row r="221">
      <c r="F221" s="3"/>
    </row>
    <row r="222">
      <c r="F222" s="3"/>
    </row>
    <row r="223">
      <c r="F223" s="3"/>
    </row>
    <row r="224">
      <c r="F224" s="3"/>
    </row>
    <row r="225">
      <c r="F225" s="3"/>
    </row>
    <row r="226">
      <c r="F226" s="3"/>
    </row>
    <row r="227">
      <c r="F227" s="3"/>
    </row>
    <row r="228">
      <c r="F228" s="3"/>
    </row>
    <row r="229">
      <c r="F229" s="3"/>
    </row>
    <row r="230">
      <c r="F230" s="3"/>
    </row>
    <row r="231">
      <c r="F231" s="3"/>
    </row>
    <row r="232">
      <c r="F232" s="3"/>
    </row>
    <row r="233">
      <c r="F233" s="3"/>
    </row>
    <row r="234">
      <c r="F234" s="3"/>
    </row>
    <row r="235">
      <c r="F235" s="3"/>
    </row>
    <row r="236">
      <c r="F236" s="3"/>
    </row>
    <row r="237">
      <c r="F237" s="3"/>
    </row>
    <row r="238">
      <c r="F238" s="3"/>
    </row>
    <row r="239">
      <c r="F239" s="3"/>
    </row>
    <row r="240">
      <c r="F240" s="3"/>
    </row>
    <row r="241">
      <c r="F241" s="3"/>
    </row>
    <row r="242">
      <c r="F242" s="3"/>
    </row>
    <row r="243">
      <c r="F243" s="3"/>
    </row>
    <row r="244">
      <c r="F244" s="3"/>
    </row>
    <row r="245">
      <c r="F245" s="3"/>
    </row>
    <row r="246">
      <c r="F246" s="3"/>
    </row>
    <row r="247">
      <c r="F247" s="3"/>
    </row>
    <row r="248">
      <c r="F248" s="3"/>
    </row>
    <row r="249">
      <c r="F249" s="3"/>
    </row>
    <row r="250">
      <c r="F250" s="3"/>
    </row>
    <row r="251">
      <c r="F251" s="3"/>
    </row>
    <row r="252">
      <c r="F252" s="3"/>
    </row>
    <row r="253">
      <c r="F253" s="3"/>
    </row>
    <row r="254">
      <c r="F254" s="3"/>
    </row>
    <row r="255">
      <c r="F255" s="3"/>
    </row>
    <row r="256">
      <c r="F256" s="3"/>
    </row>
    <row r="257">
      <c r="F257" s="3"/>
    </row>
    <row r="258">
      <c r="F258" s="3"/>
    </row>
    <row r="259">
      <c r="F259" s="3"/>
    </row>
    <row r="260">
      <c r="F260" s="3"/>
    </row>
    <row r="261">
      <c r="F261" s="3"/>
    </row>
    <row r="262">
      <c r="F262" s="3"/>
    </row>
    <row r="263">
      <c r="F263" s="3"/>
    </row>
    <row r="264">
      <c r="F264" s="3"/>
    </row>
    <row r="265">
      <c r="F265" s="3"/>
    </row>
    <row r="266">
      <c r="F266" s="3"/>
    </row>
    <row r="267">
      <c r="F267" s="3"/>
    </row>
    <row r="268">
      <c r="F268" s="3"/>
    </row>
    <row r="269">
      <c r="F269" s="3"/>
    </row>
    <row r="270">
      <c r="F270" s="3"/>
    </row>
    <row r="271">
      <c r="F271" s="3"/>
    </row>
    <row r="272">
      <c r="F272" s="3"/>
    </row>
    <row r="273">
      <c r="F273" s="3"/>
    </row>
    <row r="274">
      <c r="F274" s="3"/>
    </row>
    <row r="275">
      <c r="F275" s="3"/>
    </row>
    <row r="276">
      <c r="F276" s="3"/>
    </row>
    <row r="277">
      <c r="F277" s="3"/>
    </row>
    <row r="278">
      <c r="F278" s="3"/>
    </row>
    <row r="279">
      <c r="F279" s="3"/>
    </row>
    <row r="280">
      <c r="F280" s="3"/>
    </row>
    <row r="281">
      <c r="F281" s="3"/>
    </row>
    <row r="282">
      <c r="F282" s="3"/>
    </row>
    <row r="283">
      <c r="F283" s="3"/>
    </row>
    <row r="284">
      <c r="F284" s="3"/>
    </row>
    <row r="285">
      <c r="F285" s="3"/>
    </row>
    <row r="286">
      <c r="F286" s="3"/>
    </row>
    <row r="287">
      <c r="F287" s="3"/>
    </row>
    <row r="288">
      <c r="F288" s="3"/>
    </row>
    <row r="289">
      <c r="F289" s="3"/>
    </row>
    <row r="290">
      <c r="F290" s="3"/>
    </row>
    <row r="291">
      <c r="F291" s="3"/>
    </row>
    <row r="292">
      <c r="F292" s="3"/>
    </row>
    <row r="293">
      <c r="F293" s="3"/>
    </row>
    <row r="294">
      <c r="F294" s="3"/>
    </row>
    <row r="295">
      <c r="F295" s="3"/>
    </row>
    <row r="296">
      <c r="F296" s="3"/>
    </row>
    <row r="297">
      <c r="F297" s="3"/>
    </row>
    <row r="298">
      <c r="F298" s="3"/>
    </row>
    <row r="299">
      <c r="F299" s="3"/>
    </row>
    <row r="300">
      <c r="F300" s="3"/>
    </row>
    <row r="301">
      <c r="F301" s="3"/>
    </row>
    <row r="302">
      <c r="F302" s="3"/>
    </row>
    <row r="303">
      <c r="F303" s="3"/>
    </row>
    <row r="304">
      <c r="F304" s="3"/>
    </row>
    <row r="305">
      <c r="F305" s="3"/>
    </row>
    <row r="306">
      <c r="F306" s="3"/>
    </row>
    <row r="307">
      <c r="F307" s="3"/>
    </row>
    <row r="308">
      <c r="F308" s="3"/>
    </row>
    <row r="309">
      <c r="F309" s="3"/>
    </row>
    <row r="310">
      <c r="F310" s="3"/>
    </row>
    <row r="311">
      <c r="F311" s="3"/>
    </row>
    <row r="312">
      <c r="F312" s="3"/>
    </row>
    <row r="313">
      <c r="F313" s="3"/>
    </row>
    <row r="314">
      <c r="F314" s="3"/>
    </row>
    <row r="315">
      <c r="F315" s="3"/>
    </row>
    <row r="316">
      <c r="F316" s="3"/>
    </row>
    <row r="317">
      <c r="F317" s="3"/>
    </row>
    <row r="318">
      <c r="F318" s="3"/>
    </row>
    <row r="319">
      <c r="F319" s="3"/>
    </row>
    <row r="320">
      <c r="F320" s="3"/>
    </row>
    <row r="321">
      <c r="F321" s="3"/>
    </row>
    <row r="322">
      <c r="F322" s="3"/>
    </row>
    <row r="323">
      <c r="F323" s="3"/>
    </row>
    <row r="324">
      <c r="F324" s="3"/>
    </row>
    <row r="325">
      <c r="F325" s="3"/>
    </row>
    <row r="326">
      <c r="F326" s="3"/>
    </row>
    <row r="327">
      <c r="F327" s="3"/>
    </row>
    <row r="328">
      <c r="F328" s="3"/>
    </row>
    <row r="329">
      <c r="F329" s="3"/>
    </row>
    <row r="330">
      <c r="F330" s="3"/>
    </row>
    <row r="331">
      <c r="F331" s="3"/>
    </row>
    <row r="332">
      <c r="F332" s="3"/>
    </row>
    <row r="333">
      <c r="F333" s="3"/>
    </row>
    <row r="334">
      <c r="F334" s="3"/>
    </row>
    <row r="335">
      <c r="F335" s="3"/>
    </row>
    <row r="336">
      <c r="F336" s="3"/>
    </row>
    <row r="337">
      <c r="F337" s="3"/>
    </row>
    <row r="338">
      <c r="F338" s="3"/>
    </row>
    <row r="339">
      <c r="F339" s="3"/>
    </row>
    <row r="340">
      <c r="F340" s="3"/>
    </row>
    <row r="341">
      <c r="F341" s="3"/>
    </row>
    <row r="342">
      <c r="F342" s="3"/>
    </row>
    <row r="343">
      <c r="F343" s="3"/>
    </row>
    <row r="344">
      <c r="F344" s="3"/>
    </row>
    <row r="345">
      <c r="F345" s="3"/>
    </row>
    <row r="346">
      <c r="F346" s="3"/>
    </row>
    <row r="347">
      <c r="F347" s="3"/>
    </row>
    <row r="348">
      <c r="F348" s="3"/>
    </row>
    <row r="349">
      <c r="F349" s="3"/>
    </row>
    <row r="350">
      <c r="F350" s="3"/>
    </row>
    <row r="351">
      <c r="F351" s="3"/>
    </row>
    <row r="352">
      <c r="F352" s="3"/>
    </row>
    <row r="353">
      <c r="F353" s="3"/>
    </row>
    <row r="354">
      <c r="F354" s="3"/>
    </row>
    <row r="355">
      <c r="F355" s="3"/>
    </row>
    <row r="356">
      <c r="F356" s="3"/>
    </row>
    <row r="357">
      <c r="F357" s="3"/>
    </row>
    <row r="358">
      <c r="F358" s="3"/>
    </row>
    <row r="359">
      <c r="F359" s="3"/>
    </row>
    <row r="360">
      <c r="F360" s="3"/>
    </row>
    <row r="361">
      <c r="F361" s="3"/>
    </row>
    <row r="362">
      <c r="F362" s="3"/>
    </row>
    <row r="363">
      <c r="F363" s="3"/>
    </row>
    <row r="364">
      <c r="F364" s="3"/>
    </row>
    <row r="365">
      <c r="F365" s="3"/>
    </row>
    <row r="366">
      <c r="F366" s="3"/>
    </row>
    <row r="367">
      <c r="F367" s="3"/>
    </row>
    <row r="368">
      <c r="F368" s="3"/>
    </row>
    <row r="369">
      <c r="F369" s="3"/>
    </row>
    <row r="370">
      <c r="F370" s="3"/>
    </row>
    <row r="371">
      <c r="F371" s="3"/>
    </row>
    <row r="372">
      <c r="F372" s="3"/>
    </row>
    <row r="373">
      <c r="F373" s="3"/>
    </row>
    <row r="374">
      <c r="F374" s="3"/>
    </row>
    <row r="375">
      <c r="F375" s="3"/>
    </row>
    <row r="376">
      <c r="F376" s="3"/>
    </row>
    <row r="377">
      <c r="F377" s="3"/>
    </row>
    <row r="378">
      <c r="F378" s="3"/>
    </row>
    <row r="379">
      <c r="F379" s="3"/>
    </row>
    <row r="380">
      <c r="F380" s="3"/>
    </row>
    <row r="381">
      <c r="F381" s="3"/>
    </row>
    <row r="382">
      <c r="F382" s="3"/>
    </row>
    <row r="383">
      <c r="F383" s="3"/>
    </row>
    <row r="384">
      <c r="F384" s="3"/>
    </row>
    <row r="385">
      <c r="F385" s="3"/>
    </row>
    <row r="386">
      <c r="F386" s="3"/>
    </row>
    <row r="387">
      <c r="F387" s="3"/>
    </row>
    <row r="388">
      <c r="F388" s="3"/>
    </row>
    <row r="389">
      <c r="F389" s="3"/>
    </row>
    <row r="390">
      <c r="F390" s="3"/>
    </row>
    <row r="391">
      <c r="F391" s="3"/>
    </row>
    <row r="392">
      <c r="F392" s="3"/>
    </row>
    <row r="393">
      <c r="F393" s="3"/>
    </row>
    <row r="394">
      <c r="F394" s="3"/>
    </row>
    <row r="395">
      <c r="F395" s="3"/>
    </row>
    <row r="396">
      <c r="F396" s="3"/>
    </row>
    <row r="397">
      <c r="F397" s="3"/>
    </row>
    <row r="398">
      <c r="F398" s="3"/>
    </row>
    <row r="399">
      <c r="F399" s="3"/>
    </row>
    <row r="400">
      <c r="F400" s="3"/>
    </row>
    <row r="401">
      <c r="F401" s="3"/>
    </row>
    <row r="402">
      <c r="F402" s="3"/>
    </row>
    <row r="403">
      <c r="F403" s="3"/>
    </row>
    <row r="404">
      <c r="F404" s="3"/>
    </row>
    <row r="405">
      <c r="F405" s="3"/>
    </row>
    <row r="406">
      <c r="F406" s="3"/>
    </row>
    <row r="407">
      <c r="F407" s="3"/>
    </row>
    <row r="408">
      <c r="F408" s="3"/>
    </row>
    <row r="409">
      <c r="F409" s="3"/>
    </row>
    <row r="410">
      <c r="F410" s="3"/>
    </row>
    <row r="411">
      <c r="F411" s="3"/>
    </row>
    <row r="412">
      <c r="F412" s="3"/>
    </row>
    <row r="413">
      <c r="F413" s="3"/>
    </row>
    <row r="414">
      <c r="F414" s="3"/>
    </row>
    <row r="415">
      <c r="F415" s="3"/>
    </row>
    <row r="416">
      <c r="F416" s="3"/>
    </row>
    <row r="417">
      <c r="F417" s="3"/>
    </row>
    <row r="418">
      <c r="F418" s="3"/>
    </row>
    <row r="419">
      <c r="F419" s="3"/>
    </row>
    <row r="420">
      <c r="F420" s="3"/>
    </row>
    <row r="421">
      <c r="F421" s="3"/>
    </row>
    <row r="422">
      <c r="F422" s="3"/>
    </row>
    <row r="423">
      <c r="F423" s="3"/>
    </row>
    <row r="424">
      <c r="F424" s="3"/>
    </row>
    <row r="425">
      <c r="F425" s="3"/>
    </row>
    <row r="426">
      <c r="F426" s="3"/>
    </row>
    <row r="427">
      <c r="F427" s="3"/>
    </row>
    <row r="428">
      <c r="F428" s="3"/>
    </row>
    <row r="429">
      <c r="F429" s="3"/>
    </row>
    <row r="430">
      <c r="F430" s="3"/>
    </row>
    <row r="431">
      <c r="F431" s="3"/>
    </row>
    <row r="432">
      <c r="F432" s="3"/>
    </row>
    <row r="433">
      <c r="F433" s="3"/>
    </row>
    <row r="434">
      <c r="F434" s="3"/>
    </row>
    <row r="435">
      <c r="F435" s="3"/>
    </row>
    <row r="436">
      <c r="F436" s="3"/>
    </row>
    <row r="437">
      <c r="F437" s="3"/>
    </row>
    <row r="438">
      <c r="F438" s="3"/>
    </row>
    <row r="439">
      <c r="F439" s="3"/>
    </row>
    <row r="440">
      <c r="F440" s="3"/>
    </row>
    <row r="441">
      <c r="F441" s="3"/>
    </row>
    <row r="442">
      <c r="F442" s="3"/>
    </row>
    <row r="443">
      <c r="F443" s="3"/>
    </row>
    <row r="444">
      <c r="F444" s="3"/>
    </row>
    <row r="445">
      <c r="F445" s="3"/>
    </row>
    <row r="446">
      <c r="F446" s="3"/>
    </row>
    <row r="447">
      <c r="F447" s="3"/>
    </row>
    <row r="448">
      <c r="F448" s="3"/>
    </row>
    <row r="449">
      <c r="F449" s="3"/>
    </row>
    <row r="450">
      <c r="F450" s="3"/>
    </row>
    <row r="451">
      <c r="F451" s="3"/>
    </row>
    <row r="452">
      <c r="F452" s="3"/>
    </row>
    <row r="453">
      <c r="F453" s="3"/>
    </row>
    <row r="454">
      <c r="F454" s="3"/>
    </row>
    <row r="455">
      <c r="F455" s="3"/>
    </row>
    <row r="456">
      <c r="F456" s="3"/>
    </row>
    <row r="457">
      <c r="F457" s="3"/>
    </row>
    <row r="458">
      <c r="F458" s="3"/>
    </row>
    <row r="459">
      <c r="F459" s="3"/>
    </row>
    <row r="460">
      <c r="F460" s="3"/>
    </row>
    <row r="461">
      <c r="F461" s="3"/>
    </row>
    <row r="462">
      <c r="F462" s="3"/>
    </row>
    <row r="463">
      <c r="F463" s="3"/>
    </row>
    <row r="464">
      <c r="F464" s="3"/>
    </row>
    <row r="465">
      <c r="F465" s="3"/>
    </row>
    <row r="466">
      <c r="F466" s="3"/>
    </row>
    <row r="467">
      <c r="F467" s="3"/>
    </row>
    <row r="468">
      <c r="F468" s="3"/>
    </row>
    <row r="469">
      <c r="F469" s="3"/>
    </row>
    <row r="470">
      <c r="F470" s="3"/>
    </row>
    <row r="471">
      <c r="F471" s="3"/>
    </row>
    <row r="472">
      <c r="F472" s="3"/>
    </row>
    <row r="473">
      <c r="F473" s="3"/>
    </row>
    <row r="474">
      <c r="F474" s="3"/>
    </row>
    <row r="475">
      <c r="F475" s="3"/>
    </row>
    <row r="476">
      <c r="F476" s="3"/>
    </row>
    <row r="477">
      <c r="F477" s="3"/>
    </row>
    <row r="478">
      <c r="F478" s="3"/>
    </row>
    <row r="479">
      <c r="F479" s="3"/>
    </row>
    <row r="480">
      <c r="F480" s="3"/>
    </row>
    <row r="481">
      <c r="F481" s="3"/>
    </row>
    <row r="482">
      <c r="F482" s="3"/>
    </row>
    <row r="483">
      <c r="F483" s="3"/>
    </row>
    <row r="484">
      <c r="F484" s="3"/>
    </row>
    <row r="485">
      <c r="F485" s="3"/>
    </row>
    <row r="486">
      <c r="F486" s="3"/>
    </row>
    <row r="487">
      <c r="F487" s="3"/>
    </row>
    <row r="488">
      <c r="F488" s="3"/>
    </row>
    <row r="489">
      <c r="F489" s="3"/>
    </row>
    <row r="490">
      <c r="F490" s="3"/>
    </row>
    <row r="491">
      <c r="F491" s="3"/>
    </row>
    <row r="492">
      <c r="F492" s="3"/>
    </row>
    <row r="493">
      <c r="F493" s="3"/>
    </row>
    <row r="494">
      <c r="F494" s="3"/>
    </row>
    <row r="495">
      <c r="F495" s="3"/>
    </row>
    <row r="496">
      <c r="F496" s="3"/>
    </row>
    <row r="497">
      <c r="F497" s="3"/>
    </row>
    <row r="498">
      <c r="F498" s="3"/>
    </row>
    <row r="499">
      <c r="F499" s="3"/>
    </row>
    <row r="500">
      <c r="F500" s="3"/>
    </row>
    <row r="501">
      <c r="F501" s="3"/>
    </row>
    <row r="502">
      <c r="F502" s="3"/>
    </row>
    <row r="503">
      <c r="F503" s="3"/>
    </row>
    <row r="504">
      <c r="F504" s="3"/>
    </row>
    <row r="505">
      <c r="F505" s="3"/>
    </row>
    <row r="506">
      <c r="F506" s="3"/>
    </row>
    <row r="507">
      <c r="F507" s="3"/>
    </row>
    <row r="508">
      <c r="F508" s="3"/>
    </row>
    <row r="509">
      <c r="F509" s="3"/>
    </row>
    <row r="510">
      <c r="F510" s="3"/>
    </row>
    <row r="511">
      <c r="F511" s="3"/>
    </row>
    <row r="512">
      <c r="F512" s="3"/>
    </row>
    <row r="513">
      <c r="F513" s="3"/>
    </row>
    <row r="514">
      <c r="F514" s="3"/>
    </row>
    <row r="515">
      <c r="F515" s="3"/>
    </row>
    <row r="516">
      <c r="F516" s="3"/>
    </row>
    <row r="517">
      <c r="F517" s="3"/>
    </row>
    <row r="518">
      <c r="F518" s="3"/>
    </row>
    <row r="519">
      <c r="F519" s="3"/>
    </row>
    <row r="520">
      <c r="F520" s="3"/>
    </row>
    <row r="521">
      <c r="F521" s="3"/>
    </row>
    <row r="522">
      <c r="F522" s="3"/>
    </row>
    <row r="523">
      <c r="F523" s="3"/>
    </row>
    <row r="524">
      <c r="F524" s="3"/>
    </row>
    <row r="525">
      <c r="F525" s="3"/>
    </row>
    <row r="526">
      <c r="F526" s="3"/>
    </row>
    <row r="527">
      <c r="F527" s="3"/>
    </row>
    <row r="528">
      <c r="F528" s="3"/>
    </row>
    <row r="529">
      <c r="F529" s="3"/>
    </row>
    <row r="530">
      <c r="F530" s="3"/>
    </row>
    <row r="531">
      <c r="F531" s="3"/>
    </row>
    <row r="532">
      <c r="F532" s="3"/>
    </row>
    <row r="533">
      <c r="F533" s="3"/>
    </row>
    <row r="534">
      <c r="F534" s="3"/>
    </row>
    <row r="535">
      <c r="F535" s="3"/>
    </row>
    <row r="536">
      <c r="F536" s="3"/>
    </row>
    <row r="537">
      <c r="F537" s="3"/>
    </row>
    <row r="538">
      <c r="F538" s="3"/>
    </row>
    <row r="539">
      <c r="F539" s="3"/>
    </row>
    <row r="540">
      <c r="F540" s="3"/>
    </row>
    <row r="541">
      <c r="F541" s="3"/>
    </row>
    <row r="542">
      <c r="F542" s="3"/>
    </row>
    <row r="543">
      <c r="F543" s="3"/>
    </row>
    <row r="544">
      <c r="F544" s="3"/>
    </row>
    <row r="545">
      <c r="F545" s="3"/>
    </row>
    <row r="546">
      <c r="F546" s="3"/>
    </row>
    <row r="547">
      <c r="F547" s="3"/>
    </row>
    <row r="548">
      <c r="F548" s="3"/>
    </row>
    <row r="549">
      <c r="F549" s="3"/>
    </row>
    <row r="550">
      <c r="F550" s="3"/>
    </row>
    <row r="551">
      <c r="F551" s="3"/>
    </row>
    <row r="552">
      <c r="F552" s="3"/>
    </row>
    <row r="553">
      <c r="F553" s="3"/>
    </row>
    <row r="554">
      <c r="F554" s="3"/>
    </row>
    <row r="555">
      <c r="F555" s="3"/>
    </row>
    <row r="556">
      <c r="F556" s="3"/>
    </row>
    <row r="557">
      <c r="F557" s="3"/>
    </row>
    <row r="558">
      <c r="F558" s="3"/>
    </row>
    <row r="559">
      <c r="F559" s="3"/>
    </row>
    <row r="560">
      <c r="F560" s="3"/>
    </row>
    <row r="561">
      <c r="F561" s="3"/>
    </row>
    <row r="562">
      <c r="F562" s="3"/>
    </row>
    <row r="563">
      <c r="F563" s="3"/>
    </row>
    <row r="564">
      <c r="F564" s="3"/>
    </row>
    <row r="565">
      <c r="F565" s="3"/>
    </row>
    <row r="566">
      <c r="F566" s="3"/>
    </row>
    <row r="567">
      <c r="F567" s="3"/>
    </row>
    <row r="568">
      <c r="F568" s="3"/>
    </row>
    <row r="569">
      <c r="F569" s="3"/>
    </row>
    <row r="570">
      <c r="F570" s="3"/>
    </row>
    <row r="571">
      <c r="F571" s="3"/>
    </row>
    <row r="572">
      <c r="F572" s="3"/>
    </row>
    <row r="573">
      <c r="F573" s="3"/>
    </row>
    <row r="574">
      <c r="F574" s="3"/>
    </row>
    <row r="575">
      <c r="F575" s="3"/>
    </row>
    <row r="576">
      <c r="F576" s="3"/>
    </row>
    <row r="577">
      <c r="F577" s="3"/>
    </row>
    <row r="578">
      <c r="F578" s="3"/>
    </row>
    <row r="579">
      <c r="F579" s="3"/>
    </row>
    <row r="580">
      <c r="F580" s="3"/>
    </row>
    <row r="581">
      <c r="F581" s="3"/>
    </row>
    <row r="582">
      <c r="F582" s="3"/>
    </row>
    <row r="583">
      <c r="F583" s="3"/>
    </row>
    <row r="584">
      <c r="F584" s="3"/>
    </row>
    <row r="585">
      <c r="F585" s="3"/>
    </row>
    <row r="586">
      <c r="F586" s="3"/>
    </row>
    <row r="587">
      <c r="F587" s="3"/>
    </row>
    <row r="588">
      <c r="F588" s="3"/>
    </row>
    <row r="589">
      <c r="F589" s="3"/>
    </row>
    <row r="590">
      <c r="F590" s="3"/>
    </row>
    <row r="591">
      <c r="F591" s="3"/>
    </row>
    <row r="592">
      <c r="F592" s="3"/>
    </row>
    <row r="593">
      <c r="F593" s="3"/>
    </row>
    <row r="594">
      <c r="F594" s="3"/>
    </row>
    <row r="595">
      <c r="F595" s="3"/>
    </row>
    <row r="596">
      <c r="F596" s="3"/>
    </row>
    <row r="597">
      <c r="F597" s="3"/>
    </row>
    <row r="598">
      <c r="F598" s="3"/>
    </row>
    <row r="599">
      <c r="F599" s="3"/>
    </row>
    <row r="600">
      <c r="F600" s="3"/>
    </row>
    <row r="601">
      <c r="F601" s="3"/>
    </row>
    <row r="602">
      <c r="F602" s="3"/>
    </row>
    <row r="603">
      <c r="F603" s="3"/>
    </row>
    <row r="604">
      <c r="F604" s="3"/>
    </row>
    <row r="605">
      <c r="F605" s="3"/>
    </row>
    <row r="606">
      <c r="F606" s="3"/>
    </row>
    <row r="607">
      <c r="F607" s="3"/>
    </row>
    <row r="608">
      <c r="F608" s="3"/>
    </row>
    <row r="609">
      <c r="F609" s="3"/>
    </row>
    <row r="610">
      <c r="F610" s="3"/>
    </row>
    <row r="611">
      <c r="F611" s="3"/>
    </row>
    <row r="612">
      <c r="F612" s="3"/>
    </row>
    <row r="613">
      <c r="F613" s="3"/>
    </row>
    <row r="614">
      <c r="F614" s="3"/>
    </row>
    <row r="615">
      <c r="F615" s="3"/>
    </row>
    <row r="616">
      <c r="F616" s="3"/>
    </row>
    <row r="617">
      <c r="F617" s="3"/>
    </row>
    <row r="618">
      <c r="F618" s="3"/>
    </row>
    <row r="619">
      <c r="F619" s="3"/>
    </row>
    <row r="620">
      <c r="F620" s="3"/>
    </row>
    <row r="621">
      <c r="F621" s="3"/>
    </row>
    <row r="622">
      <c r="F622" s="3"/>
    </row>
    <row r="623">
      <c r="F623" s="3"/>
    </row>
    <row r="624">
      <c r="F624" s="3"/>
    </row>
    <row r="625">
      <c r="F625" s="3"/>
    </row>
    <row r="626">
      <c r="F626" s="3"/>
    </row>
    <row r="627">
      <c r="F627" s="3"/>
    </row>
    <row r="628">
      <c r="F628" s="3"/>
    </row>
    <row r="629">
      <c r="F629" s="3"/>
    </row>
    <row r="630">
      <c r="F630" s="3"/>
    </row>
    <row r="631">
      <c r="F631" s="3"/>
    </row>
    <row r="632">
      <c r="F632" s="3"/>
    </row>
    <row r="633">
      <c r="F633" s="3"/>
    </row>
    <row r="634">
      <c r="F634" s="3"/>
    </row>
    <row r="635">
      <c r="F635" s="3"/>
    </row>
    <row r="636">
      <c r="F636" s="3"/>
    </row>
    <row r="637">
      <c r="F637" s="3"/>
    </row>
    <row r="638">
      <c r="F638" s="3"/>
    </row>
    <row r="639">
      <c r="F639" s="3"/>
    </row>
    <row r="640">
      <c r="F640" s="3"/>
    </row>
    <row r="641">
      <c r="F641" s="3"/>
    </row>
    <row r="642">
      <c r="F642" s="3"/>
    </row>
    <row r="643">
      <c r="F643" s="3"/>
    </row>
    <row r="644">
      <c r="F644" s="3"/>
    </row>
    <row r="645">
      <c r="F645" s="3"/>
    </row>
    <row r="646">
      <c r="F646" s="3"/>
    </row>
    <row r="647">
      <c r="F647" s="3"/>
    </row>
    <row r="648">
      <c r="F648" s="3"/>
    </row>
    <row r="649">
      <c r="F649" s="3"/>
    </row>
    <row r="650">
      <c r="F650" s="3"/>
    </row>
    <row r="651">
      <c r="F651" s="3"/>
    </row>
    <row r="652">
      <c r="F652" s="3"/>
    </row>
    <row r="653">
      <c r="F653" s="3"/>
    </row>
    <row r="654">
      <c r="F654" s="3"/>
    </row>
    <row r="655">
      <c r="F655" s="3"/>
    </row>
    <row r="656">
      <c r="F656" s="3"/>
    </row>
    <row r="657">
      <c r="F657" s="3"/>
    </row>
    <row r="658">
      <c r="F658" s="3"/>
    </row>
    <row r="659">
      <c r="F659" s="3"/>
    </row>
    <row r="660">
      <c r="F660" s="3"/>
    </row>
    <row r="661">
      <c r="F661" s="3"/>
    </row>
    <row r="662">
      <c r="F662" s="3"/>
    </row>
    <row r="663">
      <c r="F663" s="3"/>
    </row>
    <row r="664">
      <c r="F664" s="3"/>
    </row>
    <row r="665">
      <c r="F665" s="3"/>
    </row>
    <row r="666">
      <c r="F666" s="3"/>
    </row>
    <row r="667">
      <c r="F667" s="3"/>
    </row>
    <row r="668">
      <c r="F668" s="3"/>
    </row>
    <row r="669">
      <c r="F669" s="3"/>
    </row>
    <row r="670">
      <c r="F670" s="3"/>
    </row>
    <row r="671">
      <c r="F671" s="3"/>
    </row>
    <row r="672">
      <c r="F672" s="3"/>
    </row>
    <row r="673">
      <c r="F673" s="3"/>
    </row>
    <row r="674">
      <c r="F674" s="3"/>
    </row>
    <row r="675">
      <c r="F675" s="3"/>
    </row>
    <row r="676">
      <c r="F676" s="3"/>
    </row>
    <row r="677">
      <c r="F677" s="3"/>
    </row>
    <row r="678">
      <c r="F678" s="3"/>
    </row>
    <row r="679">
      <c r="F679" s="3"/>
    </row>
    <row r="680">
      <c r="F680" s="3"/>
    </row>
    <row r="681">
      <c r="F681" s="3"/>
    </row>
    <row r="682">
      <c r="F682" s="3"/>
    </row>
    <row r="683">
      <c r="F683" s="3"/>
    </row>
    <row r="684">
      <c r="F684" s="3"/>
    </row>
    <row r="685">
      <c r="F685" s="3"/>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50.38"/>
    <col customWidth="1" min="7" max="7" width="36.0"/>
  </cols>
  <sheetData>
    <row r="4">
      <c r="B4" s="3" t="s">
        <v>26</v>
      </c>
      <c r="C4" s="3" t="s">
        <v>3254</v>
      </c>
    </row>
    <row r="5">
      <c r="B5" s="3" t="s">
        <v>62</v>
      </c>
    </row>
    <row r="6">
      <c r="B6" s="3" t="s">
        <v>60</v>
      </c>
    </row>
    <row r="7">
      <c r="B7" s="3" t="s">
        <v>49</v>
      </c>
    </row>
    <row r="8">
      <c r="B8" s="3" t="s">
        <v>322</v>
      </c>
    </row>
    <row r="9">
      <c r="B9" s="3" t="s">
        <v>250</v>
      </c>
    </row>
    <row r="10">
      <c r="B10" s="3" t="s">
        <v>247</v>
      </c>
      <c r="C10" s="3" t="s">
        <v>2164</v>
      </c>
    </row>
    <row r="11">
      <c r="B11" s="3" t="s">
        <v>117</v>
      </c>
    </row>
    <row r="12">
      <c r="B12" s="3" t="s">
        <v>61</v>
      </c>
      <c r="C12" s="3" t="s">
        <v>2138</v>
      </c>
    </row>
    <row r="13">
      <c r="B13" s="3" t="s">
        <v>147</v>
      </c>
    </row>
    <row r="14">
      <c r="B14" s="3" t="s">
        <v>77</v>
      </c>
    </row>
    <row r="15">
      <c r="B15" s="3" t="s">
        <v>50</v>
      </c>
    </row>
    <row r="16">
      <c r="B16" s="3" t="s">
        <v>47</v>
      </c>
    </row>
    <row r="17">
      <c r="B17" s="3" t="s">
        <v>48</v>
      </c>
      <c r="C17" s="3" t="s">
        <v>2139</v>
      </c>
    </row>
    <row r="18">
      <c r="B18" s="3" t="s">
        <v>111</v>
      </c>
    </row>
    <row r="19">
      <c r="B19" s="3" t="s">
        <v>238</v>
      </c>
    </row>
    <row r="20">
      <c r="B20" s="3" t="s">
        <v>493</v>
      </c>
      <c r="C20" s="3" t="s">
        <v>3252</v>
      </c>
    </row>
    <row r="21">
      <c r="B21" s="3" t="s">
        <v>1270</v>
      </c>
      <c r="C21" s="3" t="s">
        <v>3252</v>
      </c>
    </row>
    <row r="22">
      <c r="B22" s="3" t="s">
        <v>1043</v>
      </c>
      <c r="C22" s="3" t="s">
        <v>3252</v>
      </c>
    </row>
    <row r="23">
      <c r="B23" s="3" t="s">
        <v>134</v>
      </c>
      <c r="C23" s="3" t="s">
        <v>3252</v>
      </c>
    </row>
    <row r="24">
      <c r="B24" s="3" t="s">
        <v>332</v>
      </c>
      <c r="C24" s="3" t="s">
        <v>3252</v>
      </c>
    </row>
    <row r="25">
      <c r="B25" s="3" t="s">
        <v>244</v>
      </c>
    </row>
    <row r="26">
      <c r="B26" s="3" t="s">
        <v>162</v>
      </c>
    </row>
    <row r="27">
      <c r="B27" s="3" t="s">
        <v>87</v>
      </c>
      <c r="C27" s="3" t="s">
        <v>3252</v>
      </c>
    </row>
    <row r="28">
      <c r="B28" s="3" t="s">
        <v>1361</v>
      </c>
      <c r="C28" s="3" t="s">
        <v>3252</v>
      </c>
    </row>
    <row r="29">
      <c r="B29" s="3" t="s">
        <v>143</v>
      </c>
      <c r="C29" s="3" t="s">
        <v>3252</v>
      </c>
    </row>
    <row r="30">
      <c r="B30" s="3" t="s">
        <v>385</v>
      </c>
    </row>
    <row r="31">
      <c r="B31" s="3" t="s">
        <v>97</v>
      </c>
    </row>
    <row r="32">
      <c r="B32" s="3" t="s">
        <v>260</v>
      </c>
    </row>
    <row r="34">
      <c r="B34" s="3" t="s">
        <v>27</v>
      </c>
    </row>
    <row r="35">
      <c r="B35" s="3" t="s">
        <v>62</v>
      </c>
    </row>
    <row r="36">
      <c r="B36" s="3" t="s">
        <v>62</v>
      </c>
    </row>
    <row r="37">
      <c r="B37" s="3" t="s">
        <v>62</v>
      </c>
    </row>
    <row r="38">
      <c r="B38" s="3" t="s">
        <v>62</v>
      </c>
    </row>
    <row r="39">
      <c r="B39" s="3" t="s">
        <v>62</v>
      </c>
    </row>
    <row r="40">
      <c r="B40" s="3" t="s">
        <v>62</v>
      </c>
    </row>
    <row r="41">
      <c r="B41" s="3" t="s">
        <v>62</v>
      </c>
    </row>
    <row r="42">
      <c r="B42" s="3" t="s">
        <v>62</v>
      </c>
    </row>
    <row r="43">
      <c r="B43" s="3" t="s">
        <v>62</v>
      </c>
    </row>
    <row r="44">
      <c r="B44" s="3" t="s">
        <v>62</v>
      </c>
    </row>
    <row r="45">
      <c r="B45" s="3" t="s">
        <v>62</v>
      </c>
    </row>
    <row r="46">
      <c r="B46" s="3" t="s">
        <v>62</v>
      </c>
    </row>
    <row r="47">
      <c r="B47" s="3" t="s">
        <v>247</v>
      </c>
    </row>
    <row r="48">
      <c r="B48" s="3" t="s">
        <v>247</v>
      </c>
    </row>
    <row r="49">
      <c r="B49" s="3" t="s">
        <v>247</v>
      </c>
    </row>
    <row r="50">
      <c r="B50" s="3" t="s">
        <v>247</v>
      </c>
    </row>
    <row r="51">
      <c r="B51" s="3" t="s">
        <v>247</v>
      </c>
    </row>
    <row r="52">
      <c r="B52" s="3" t="s">
        <v>247</v>
      </c>
    </row>
    <row r="53">
      <c r="B53" s="3" t="s">
        <v>61</v>
      </c>
    </row>
    <row r="54">
      <c r="B54" s="3" t="s">
        <v>61</v>
      </c>
    </row>
    <row r="55">
      <c r="B55" s="3" t="s">
        <v>61</v>
      </c>
    </row>
    <row r="56">
      <c r="B56" s="3" t="s">
        <v>147</v>
      </c>
    </row>
    <row r="57">
      <c r="B57" s="3" t="s">
        <v>147</v>
      </c>
    </row>
    <row r="58">
      <c r="B58" s="3" t="s">
        <v>147</v>
      </c>
    </row>
    <row r="59">
      <c r="B59" s="3" t="s">
        <v>147</v>
      </c>
    </row>
    <row r="60">
      <c r="B60" s="3" t="s">
        <v>147</v>
      </c>
    </row>
    <row r="61">
      <c r="B61" s="3" t="s">
        <v>147</v>
      </c>
    </row>
    <row r="62">
      <c r="B62" s="3" t="s">
        <v>147</v>
      </c>
    </row>
    <row r="63">
      <c r="B63" s="3" t="s">
        <v>77</v>
      </c>
    </row>
    <row r="64">
      <c r="B64" s="3" t="s">
        <v>50</v>
      </c>
    </row>
    <row r="65">
      <c r="B65" s="3" t="s">
        <v>50</v>
      </c>
    </row>
    <row r="66">
      <c r="B66" s="3" t="s">
        <v>47</v>
      </c>
    </row>
    <row r="67">
      <c r="B67" s="3" t="s">
        <v>47</v>
      </c>
    </row>
    <row r="68">
      <c r="B68" s="3" t="s">
        <v>47</v>
      </c>
    </row>
    <row r="69">
      <c r="B69" s="3" t="s">
        <v>47</v>
      </c>
    </row>
    <row r="70">
      <c r="B70" s="3" t="s">
        <v>47</v>
      </c>
    </row>
    <row r="71">
      <c r="B71" s="3" t="s">
        <v>47</v>
      </c>
    </row>
    <row r="72">
      <c r="B72" s="3" t="s">
        <v>47</v>
      </c>
    </row>
    <row r="73">
      <c r="B73" s="3" t="s">
        <v>47</v>
      </c>
    </row>
    <row r="74">
      <c r="B74" s="3" t="s">
        <v>47</v>
      </c>
    </row>
    <row r="75">
      <c r="B75" s="3" t="s">
        <v>47</v>
      </c>
    </row>
    <row r="76">
      <c r="B76" s="3" t="s">
        <v>47</v>
      </c>
    </row>
    <row r="77">
      <c r="B77" s="3" t="s">
        <v>48</v>
      </c>
    </row>
    <row r="78">
      <c r="B78" s="3" t="s">
        <v>48</v>
      </c>
    </row>
    <row r="79">
      <c r="B79" s="3" t="s">
        <v>48</v>
      </c>
    </row>
    <row r="80">
      <c r="B80" s="3" t="s">
        <v>48</v>
      </c>
    </row>
    <row r="81">
      <c r="B81" s="3" t="s">
        <v>48</v>
      </c>
    </row>
    <row r="82">
      <c r="B82" s="3" t="s">
        <v>48</v>
      </c>
    </row>
    <row r="83">
      <c r="B83" s="3" t="s">
        <v>48</v>
      </c>
    </row>
    <row r="84">
      <c r="B84" s="3" t="s">
        <v>48</v>
      </c>
    </row>
    <row r="85">
      <c r="B85" s="3" t="s">
        <v>48</v>
      </c>
    </row>
    <row r="86">
      <c r="B86" s="3" t="s">
        <v>48</v>
      </c>
    </row>
    <row r="87">
      <c r="B87" s="3" t="s">
        <v>48</v>
      </c>
    </row>
    <row r="88">
      <c r="B88" s="3" t="s">
        <v>48</v>
      </c>
    </row>
    <row r="89">
      <c r="B89" s="3" t="s">
        <v>48</v>
      </c>
    </row>
    <row r="90">
      <c r="B90" s="3" t="s">
        <v>48</v>
      </c>
    </row>
    <row r="91">
      <c r="B91" s="3" t="s">
        <v>48</v>
      </c>
    </row>
    <row r="92">
      <c r="B92" s="3" t="s">
        <v>48</v>
      </c>
    </row>
    <row r="93">
      <c r="B93" s="3" t="s">
        <v>48</v>
      </c>
    </row>
    <row r="94">
      <c r="B94" s="3" t="s">
        <v>48</v>
      </c>
    </row>
    <row r="95">
      <c r="B95" s="3" t="s">
        <v>48</v>
      </c>
    </row>
    <row r="96">
      <c r="B96" s="3" t="s">
        <v>48</v>
      </c>
    </row>
    <row r="97">
      <c r="B97" s="3" t="s">
        <v>48</v>
      </c>
    </row>
    <row r="98">
      <c r="B98" s="3" t="s">
        <v>48</v>
      </c>
    </row>
    <row r="99">
      <c r="B99" s="3" t="s">
        <v>48</v>
      </c>
    </row>
    <row r="100">
      <c r="B100" s="3" t="s">
        <v>48</v>
      </c>
    </row>
    <row r="101">
      <c r="B101" s="3" t="s">
        <v>48</v>
      </c>
    </row>
    <row r="102">
      <c r="B102" s="3" t="s">
        <v>48</v>
      </c>
    </row>
    <row r="103">
      <c r="B103" s="3" t="s">
        <v>48</v>
      </c>
    </row>
    <row r="104">
      <c r="B104" s="3" t="s">
        <v>48</v>
      </c>
    </row>
    <row r="105">
      <c r="B105" s="3" t="s">
        <v>48</v>
      </c>
    </row>
    <row r="106">
      <c r="B106" s="3" t="s">
        <v>48</v>
      </c>
    </row>
    <row r="107">
      <c r="B107" s="3" t="s">
        <v>134</v>
      </c>
    </row>
    <row r="108">
      <c r="B108" s="3" t="s">
        <v>385</v>
      </c>
    </row>
    <row r="109">
      <c r="B109" s="3" t="s">
        <v>385</v>
      </c>
    </row>
    <row r="115">
      <c r="B115" s="3" t="s">
        <v>2121</v>
      </c>
      <c r="D115" s="3" t="s">
        <v>3255</v>
      </c>
    </row>
    <row r="116">
      <c r="B116" s="3" t="s">
        <v>62</v>
      </c>
    </row>
    <row r="117">
      <c r="B117" s="3" t="s">
        <v>60</v>
      </c>
    </row>
    <row r="118">
      <c r="B118" s="3" t="s">
        <v>49</v>
      </c>
    </row>
    <row r="119">
      <c r="B119" s="3" t="s">
        <v>392</v>
      </c>
    </row>
    <row r="120">
      <c r="B120" s="3" t="s">
        <v>250</v>
      </c>
    </row>
    <row r="121">
      <c r="B121" s="3" t="s">
        <v>247</v>
      </c>
      <c r="D121" s="3" t="s">
        <v>2468</v>
      </c>
    </row>
    <row r="122">
      <c r="B122" s="3" t="s">
        <v>117</v>
      </c>
    </row>
    <row r="123">
      <c r="B123" s="3" t="s">
        <v>70</v>
      </c>
    </row>
    <row r="124">
      <c r="B124" s="3" t="s">
        <v>61</v>
      </c>
      <c r="D124" s="3" t="s">
        <v>2178</v>
      </c>
    </row>
    <row r="125">
      <c r="B125" s="3" t="s">
        <v>147</v>
      </c>
    </row>
    <row r="126">
      <c r="B126" s="3" t="s">
        <v>50</v>
      </c>
    </row>
    <row r="127">
      <c r="B127" s="3" t="s">
        <v>47</v>
      </c>
    </row>
    <row r="128">
      <c r="B128" s="3" t="s">
        <v>48</v>
      </c>
      <c r="D128" s="3" t="s">
        <v>2188</v>
      </c>
    </row>
    <row r="129">
      <c r="B129" s="3" t="s">
        <v>111</v>
      </c>
    </row>
    <row r="130">
      <c r="B130" s="3" t="s">
        <v>238</v>
      </c>
    </row>
    <row r="131">
      <c r="B131" s="3" t="s">
        <v>134</v>
      </c>
      <c r="D131" s="3" t="s">
        <v>3245</v>
      </c>
    </row>
    <row r="132">
      <c r="B132" s="3" t="s">
        <v>332</v>
      </c>
      <c r="D132" s="3" t="s">
        <v>3245</v>
      </c>
    </row>
    <row r="133">
      <c r="B133" s="3" t="s">
        <v>244</v>
      </c>
    </row>
    <row r="134">
      <c r="B134" s="3" t="s">
        <v>162</v>
      </c>
    </row>
    <row r="135">
      <c r="B135" s="3" t="s">
        <v>234</v>
      </c>
    </row>
    <row r="136">
      <c r="B136" s="3" t="s">
        <v>63</v>
      </c>
    </row>
    <row r="137">
      <c r="B137" s="3" t="s">
        <v>87</v>
      </c>
      <c r="D137" s="3" t="s">
        <v>3246</v>
      </c>
    </row>
    <row r="138">
      <c r="B138" s="3" t="s">
        <v>143</v>
      </c>
      <c r="D138" s="3" t="s">
        <v>3245</v>
      </c>
    </row>
    <row r="139">
      <c r="B139" s="3" t="s">
        <v>385</v>
      </c>
    </row>
    <row r="140">
      <c r="B140" s="3" t="s">
        <v>97</v>
      </c>
    </row>
    <row r="141">
      <c r="B141" s="3" t="s">
        <v>260</v>
      </c>
    </row>
    <row r="146">
      <c r="B146" s="3" t="s">
        <v>2123</v>
      </c>
      <c r="D146" s="3" t="s">
        <v>3256</v>
      </c>
    </row>
    <row r="147">
      <c r="B147" s="3" t="s">
        <v>62</v>
      </c>
      <c r="G147" s="3" t="s">
        <v>62</v>
      </c>
    </row>
    <row r="148">
      <c r="B148" s="3" t="s">
        <v>60</v>
      </c>
      <c r="G148" s="3" t="s">
        <v>70</v>
      </c>
    </row>
    <row r="149">
      <c r="B149" s="3" t="s">
        <v>1550</v>
      </c>
      <c r="D149" s="3" t="s">
        <v>1942</v>
      </c>
      <c r="G149" s="3" t="s">
        <v>77</v>
      </c>
    </row>
    <row r="150">
      <c r="B150" s="3" t="s">
        <v>49</v>
      </c>
      <c r="G150" s="3" t="s">
        <v>77</v>
      </c>
    </row>
    <row r="151">
      <c r="B151" s="3" t="s">
        <v>1547</v>
      </c>
      <c r="D151" s="3" t="s">
        <v>3245</v>
      </c>
      <c r="G151" s="3" t="s">
        <v>47</v>
      </c>
    </row>
    <row r="152">
      <c r="B152" s="3" t="s">
        <v>1570</v>
      </c>
      <c r="D152" s="3" t="s">
        <v>3245</v>
      </c>
      <c r="G152" s="3" t="s">
        <v>47</v>
      </c>
    </row>
    <row r="153">
      <c r="B153" s="3" t="s">
        <v>117</v>
      </c>
      <c r="G153" s="3" t="s">
        <v>47</v>
      </c>
    </row>
    <row r="154">
      <c r="B154" s="3" t="s">
        <v>70</v>
      </c>
      <c r="G154" s="3" t="s">
        <v>47</v>
      </c>
    </row>
    <row r="155">
      <c r="B155" s="3" t="s">
        <v>61</v>
      </c>
      <c r="D155" s="3" t="s">
        <v>2178</v>
      </c>
      <c r="G155" s="3" t="s">
        <v>47</v>
      </c>
    </row>
    <row r="156">
      <c r="B156" s="3" t="s">
        <v>147</v>
      </c>
      <c r="G156" s="3" t="s">
        <v>47</v>
      </c>
    </row>
    <row r="157">
      <c r="B157" s="3" t="s">
        <v>50</v>
      </c>
      <c r="G157" s="3" t="s">
        <v>47</v>
      </c>
    </row>
    <row r="158">
      <c r="B158" s="3" t="s">
        <v>47</v>
      </c>
      <c r="G158" s="3" t="s">
        <v>352</v>
      </c>
    </row>
    <row r="159">
      <c r="B159" s="3" t="s">
        <v>48</v>
      </c>
      <c r="D159" s="3" t="s">
        <v>2188</v>
      </c>
    </row>
    <row r="160">
      <c r="B160" s="3" t="s">
        <v>111</v>
      </c>
    </row>
    <row r="161">
      <c r="B161" s="3" t="s">
        <v>238</v>
      </c>
    </row>
    <row r="162">
      <c r="B162" s="3" t="s">
        <v>352</v>
      </c>
    </row>
    <row r="163">
      <c r="B163" s="3" t="s">
        <v>493</v>
      </c>
      <c r="D163" s="3" t="s">
        <v>3245</v>
      </c>
    </row>
    <row r="164">
      <c r="B164" s="3" t="s">
        <v>134</v>
      </c>
      <c r="D164" s="3" t="s">
        <v>3245</v>
      </c>
    </row>
    <row r="165">
      <c r="B165" s="3" t="s">
        <v>244</v>
      </c>
    </row>
    <row r="166">
      <c r="B166" s="3" t="s">
        <v>162</v>
      </c>
    </row>
    <row r="167">
      <c r="B167" s="3" t="s">
        <v>234</v>
      </c>
    </row>
    <row r="168">
      <c r="B168" s="3" t="s">
        <v>1651</v>
      </c>
      <c r="D168" s="3" t="s">
        <v>63</v>
      </c>
    </row>
    <row r="169">
      <c r="B169" s="3" t="s">
        <v>63</v>
      </c>
      <c r="D169" s="3" t="s">
        <v>63</v>
      </c>
    </row>
    <row r="170">
      <c r="B170" s="3" t="s">
        <v>87</v>
      </c>
      <c r="D170" s="3" t="s">
        <v>3245</v>
      </c>
    </row>
    <row r="171">
      <c r="B171" s="3" t="s">
        <v>1573</v>
      </c>
      <c r="D171" s="3" t="s">
        <v>3245</v>
      </c>
    </row>
    <row r="172">
      <c r="B172" s="3" t="s">
        <v>143</v>
      </c>
      <c r="D172" s="3" t="s">
        <v>3245</v>
      </c>
    </row>
    <row r="173">
      <c r="B173" s="3" t="s">
        <v>516</v>
      </c>
      <c r="D173" s="3" t="s">
        <v>3245</v>
      </c>
    </row>
    <row r="174">
      <c r="B174" s="3" t="s">
        <v>373</v>
      </c>
      <c r="D174" s="3" t="s">
        <v>3245</v>
      </c>
    </row>
    <row r="175">
      <c r="B175" s="3" t="s">
        <v>97</v>
      </c>
    </row>
    <row r="176">
      <c r="B176" s="3" t="s">
        <v>260</v>
      </c>
    </row>
    <row r="180">
      <c r="B180" s="3" t="s">
        <v>2125</v>
      </c>
    </row>
    <row r="181">
      <c r="B181" s="3" t="s">
        <v>62</v>
      </c>
    </row>
    <row r="182">
      <c r="B182" s="3" t="s">
        <v>49</v>
      </c>
    </row>
    <row r="183">
      <c r="B183" s="3" t="s">
        <v>259</v>
      </c>
    </row>
    <row r="184">
      <c r="B184" s="3" t="s">
        <v>250</v>
      </c>
    </row>
    <row r="185">
      <c r="B185" s="3" t="s">
        <v>117</v>
      </c>
    </row>
    <row r="186">
      <c r="B186" s="3" t="s">
        <v>70</v>
      </c>
    </row>
    <row r="187">
      <c r="B187" s="3" t="s">
        <v>61</v>
      </c>
      <c r="D187" s="3" t="s">
        <v>2178</v>
      </c>
    </row>
    <row r="188">
      <c r="B188" s="3" t="s">
        <v>147</v>
      </c>
    </row>
    <row r="189">
      <c r="B189" s="3" t="s">
        <v>77</v>
      </c>
    </row>
    <row r="190">
      <c r="B190" s="3" t="s">
        <v>50</v>
      </c>
    </row>
    <row r="191">
      <c r="B191" s="3" t="s">
        <v>47</v>
      </c>
    </row>
    <row r="192">
      <c r="B192" s="3" t="s">
        <v>238</v>
      </c>
    </row>
    <row r="193">
      <c r="B193" s="3" t="s">
        <v>134</v>
      </c>
      <c r="D193" s="3" t="s">
        <v>3245</v>
      </c>
    </row>
    <row r="194">
      <c r="B194" s="3" t="s">
        <v>63</v>
      </c>
    </row>
    <row r="195">
      <c r="B195" s="3" t="s">
        <v>349</v>
      </c>
      <c r="D195" s="3" t="s">
        <v>3245</v>
      </c>
    </row>
    <row r="196">
      <c r="B196" s="3" t="s">
        <v>143</v>
      </c>
      <c r="D196" s="3" t="s">
        <v>3245</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70" width="8.0"/>
    <col customWidth="1" min="71" max="71" width="20.5"/>
    <col customWidth="1" min="72" max="77" width="15.25"/>
    <col customWidth="1" min="78" max="78" width="8.0"/>
  </cols>
  <sheetData>
    <row r="1" ht="12.75" customHeight="1">
      <c r="A1" s="8" t="s">
        <v>3257</v>
      </c>
      <c r="B1" s="8" t="s">
        <v>3258</v>
      </c>
      <c r="C1" s="8" t="s">
        <v>3259</v>
      </c>
      <c r="D1" s="8" t="s">
        <v>3260</v>
      </c>
      <c r="E1" s="8" t="s">
        <v>3261</v>
      </c>
      <c r="F1" s="8" t="s">
        <v>3262</v>
      </c>
      <c r="G1" s="8" t="s">
        <v>3263</v>
      </c>
      <c r="H1" s="8" t="s">
        <v>3264</v>
      </c>
      <c r="I1" s="8" t="s">
        <v>3265</v>
      </c>
      <c r="J1" s="8" t="s">
        <v>3266</v>
      </c>
      <c r="K1" s="8" t="s">
        <v>3267</v>
      </c>
      <c r="L1" s="8" t="s">
        <v>3268</v>
      </c>
      <c r="M1" s="8" t="s">
        <v>3269</v>
      </c>
      <c r="N1" s="8" t="s">
        <v>3270</v>
      </c>
      <c r="O1" s="8" t="s">
        <v>3271</v>
      </c>
      <c r="P1" s="8" t="s">
        <v>3272</v>
      </c>
      <c r="Q1" s="8" t="s">
        <v>3273</v>
      </c>
      <c r="R1" s="8" t="s">
        <v>3274</v>
      </c>
      <c r="S1" s="8" t="s">
        <v>3275</v>
      </c>
      <c r="T1" s="8" t="s">
        <v>3276</v>
      </c>
      <c r="U1" s="8" t="s">
        <v>3277</v>
      </c>
      <c r="V1" s="8" t="s">
        <v>3278</v>
      </c>
      <c r="W1" s="8" t="s">
        <v>3279</v>
      </c>
      <c r="X1" s="8" t="s">
        <v>3280</v>
      </c>
      <c r="Y1" s="8" t="s">
        <v>3281</v>
      </c>
      <c r="Z1" s="8" t="s">
        <v>3282</v>
      </c>
      <c r="AA1" s="8" t="s">
        <v>3283</v>
      </c>
      <c r="AB1" s="8" t="s">
        <v>3284</v>
      </c>
      <c r="AC1" s="8" t="s">
        <v>3285</v>
      </c>
      <c r="AD1" s="8" t="s">
        <v>3286</v>
      </c>
      <c r="AE1" s="8" t="s">
        <v>3287</v>
      </c>
      <c r="AF1" s="8" t="s">
        <v>3288</v>
      </c>
      <c r="AG1" s="8" t="s">
        <v>3289</v>
      </c>
      <c r="AH1" s="8" t="s">
        <v>3290</v>
      </c>
      <c r="AI1" s="8" t="s">
        <v>3291</v>
      </c>
      <c r="AJ1" s="8" t="s">
        <v>3292</v>
      </c>
      <c r="AK1" s="8" t="s">
        <v>3293</v>
      </c>
      <c r="AL1" s="8" t="s">
        <v>3294</v>
      </c>
      <c r="AM1" s="8" t="s">
        <v>3295</v>
      </c>
      <c r="AN1" s="8" t="s">
        <v>3296</v>
      </c>
      <c r="AO1" s="8" t="s">
        <v>3297</v>
      </c>
      <c r="AP1" s="8" t="s">
        <v>3298</v>
      </c>
      <c r="AQ1" s="8" t="s">
        <v>3299</v>
      </c>
      <c r="AR1" s="8" t="s">
        <v>3300</v>
      </c>
      <c r="AS1" s="8" t="s">
        <v>3301</v>
      </c>
      <c r="AT1" s="8" t="s">
        <v>3302</v>
      </c>
      <c r="AU1" s="8" t="s">
        <v>3303</v>
      </c>
      <c r="AV1" s="8" t="s">
        <v>3304</v>
      </c>
      <c r="AW1" s="8" t="s">
        <v>3305</v>
      </c>
      <c r="AX1" s="8" t="s">
        <v>3306</v>
      </c>
      <c r="AY1" s="8" t="s">
        <v>3307</v>
      </c>
      <c r="AZ1" s="8" t="s">
        <v>3308</v>
      </c>
      <c r="BA1" s="8" t="s">
        <v>3309</v>
      </c>
      <c r="BB1" s="8" t="s">
        <v>3310</v>
      </c>
      <c r="BC1" s="8" t="s">
        <v>3311</v>
      </c>
      <c r="BD1" s="8" t="s">
        <v>3312</v>
      </c>
      <c r="BE1" s="8" t="s">
        <v>3313</v>
      </c>
      <c r="BF1" s="8" t="s">
        <v>3314</v>
      </c>
      <c r="BG1" s="8" t="s">
        <v>3315</v>
      </c>
      <c r="BH1" s="8" t="s">
        <v>3316</v>
      </c>
      <c r="BI1" s="8" t="s">
        <v>3317</v>
      </c>
      <c r="BJ1" s="8" t="s">
        <v>3318</v>
      </c>
      <c r="BK1" s="8" t="s">
        <v>3319</v>
      </c>
      <c r="BL1" s="8" t="s">
        <v>3320</v>
      </c>
      <c r="BM1" s="8" t="s">
        <v>3321</v>
      </c>
      <c r="BN1" s="8" t="s">
        <v>3322</v>
      </c>
      <c r="BO1" s="8" t="s">
        <v>3323</v>
      </c>
      <c r="BP1" s="8" t="s">
        <v>3324</v>
      </c>
      <c r="BQ1" s="8" t="s">
        <v>3325</v>
      </c>
      <c r="BR1" s="8" t="s">
        <v>3326</v>
      </c>
      <c r="BS1" s="8" t="s">
        <v>3327</v>
      </c>
      <c r="BT1" s="12" t="s">
        <v>2112</v>
      </c>
      <c r="BU1" s="12" t="s">
        <v>2114</v>
      </c>
      <c r="BV1" s="12" t="s">
        <v>2115</v>
      </c>
      <c r="BW1" s="12" t="s">
        <v>2116</v>
      </c>
      <c r="BX1" s="12" t="s">
        <v>2117</v>
      </c>
      <c r="BY1" s="12" t="s">
        <v>2127</v>
      </c>
      <c r="BZ1" s="8" t="s">
        <v>3328</v>
      </c>
    </row>
    <row r="2" ht="12.75" customHeight="1">
      <c r="A2" s="8" t="s">
        <v>3329</v>
      </c>
      <c r="B2" s="8" t="s">
        <v>3330</v>
      </c>
      <c r="C2" s="8" t="s">
        <v>2135</v>
      </c>
      <c r="D2" s="8" t="s">
        <v>2135</v>
      </c>
      <c r="E2" s="8" t="s">
        <v>2135</v>
      </c>
      <c r="F2" s="8" t="s">
        <v>3330</v>
      </c>
      <c r="G2" s="8" t="s">
        <v>2135</v>
      </c>
      <c r="H2" s="8" t="s">
        <v>2135</v>
      </c>
      <c r="I2" s="8" t="s">
        <v>42</v>
      </c>
      <c r="J2" s="8" t="s">
        <v>3331</v>
      </c>
      <c r="K2" s="8" t="s">
        <v>2135</v>
      </c>
      <c r="L2" s="8" t="s">
        <v>2135</v>
      </c>
      <c r="M2" s="8" t="s">
        <v>3332</v>
      </c>
      <c r="N2" s="8" t="s">
        <v>3333</v>
      </c>
      <c r="O2" s="8" t="s">
        <v>2135</v>
      </c>
      <c r="P2" s="8" t="s">
        <v>2135</v>
      </c>
      <c r="Q2" s="8" t="s">
        <v>2135</v>
      </c>
      <c r="R2" s="8" t="s">
        <v>2135</v>
      </c>
      <c r="S2" s="8" t="s">
        <v>2135</v>
      </c>
      <c r="T2" s="8" t="s">
        <v>2135</v>
      </c>
      <c r="U2" s="8" t="s">
        <v>3334</v>
      </c>
      <c r="V2" s="8" t="s">
        <v>3335</v>
      </c>
      <c r="W2" s="8" t="s">
        <v>3336</v>
      </c>
      <c r="X2" s="8" t="s">
        <v>3337</v>
      </c>
      <c r="Y2" s="8" t="s">
        <v>3338</v>
      </c>
      <c r="Z2" s="8" t="s">
        <v>3339</v>
      </c>
      <c r="AA2" s="8" t="s">
        <v>3340</v>
      </c>
      <c r="AB2" s="8" t="s">
        <v>3341</v>
      </c>
      <c r="AC2" s="8" t="s">
        <v>2135</v>
      </c>
      <c r="AD2" s="8" t="s">
        <v>2135</v>
      </c>
      <c r="AE2" s="8" t="s">
        <v>2135</v>
      </c>
      <c r="AF2" s="8" t="s">
        <v>2135</v>
      </c>
      <c r="AG2" s="8">
        <v>43.0</v>
      </c>
      <c r="AH2" s="8">
        <v>164.0</v>
      </c>
      <c r="AI2" s="8">
        <v>196.0</v>
      </c>
      <c r="AJ2" s="8">
        <v>0.0</v>
      </c>
      <c r="AK2" s="8">
        <v>98.0</v>
      </c>
      <c r="AL2" s="8" t="s">
        <v>3342</v>
      </c>
      <c r="AM2" s="8" t="s">
        <v>3343</v>
      </c>
      <c r="AN2" s="8" t="s">
        <v>3344</v>
      </c>
      <c r="AO2" s="8" t="s">
        <v>3345</v>
      </c>
      <c r="AP2" s="8" t="s">
        <v>3346</v>
      </c>
      <c r="AQ2" s="8" t="s">
        <v>2135</v>
      </c>
      <c r="AR2" s="8" t="s">
        <v>3347</v>
      </c>
      <c r="AS2" s="8" t="s">
        <v>3348</v>
      </c>
      <c r="AT2" s="8" t="s">
        <v>3349</v>
      </c>
      <c r="AU2" s="8">
        <v>2005.0</v>
      </c>
      <c r="AV2" s="8">
        <v>19.0</v>
      </c>
      <c r="AW2" s="8">
        <v>3.0</v>
      </c>
      <c r="AX2" s="8" t="s">
        <v>2135</v>
      </c>
      <c r="AY2" s="8" t="s">
        <v>2135</v>
      </c>
      <c r="AZ2" s="8" t="s">
        <v>2135</v>
      </c>
      <c r="BA2" s="8" t="s">
        <v>2135</v>
      </c>
      <c r="BB2" s="8">
        <v>714.0</v>
      </c>
      <c r="BC2" s="8">
        <v>720.0</v>
      </c>
      <c r="BD2" s="8" t="s">
        <v>2135</v>
      </c>
      <c r="BE2" s="8" t="s">
        <v>3350</v>
      </c>
      <c r="BF2" s="13" t="str">
        <f>HYPERLINK("http://dx.doi.org/10.1111/j.1523-1739.2005.00708.x","http://dx.doi.org/10.1111/j.1523-1739.2005.00708.x")</f>
        <v>http://dx.doi.org/10.1111/j.1523-1739.2005.00708.x</v>
      </c>
      <c r="BG2" s="8" t="s">
        <v>2135</v>
      </c>
      <c r="BH2" s="8" t="s">
        <v>2135</v>
      </c>
      <c r="BI2" s="8">
        <v>7.0</v>
      </c>
      <c r="BJ2" s="8" t="s">
        <v>3351</v>
      </c>
      <c r="BK2" s="8" t="s">
        <v>3352</v>
      </c>
      <c r="BL2" s="8" t="s">
        <v>3353</v>
      </c>
      <c r="BM2" s="8" t="s">
        <v>3354</v>
      </c>
      <c r="BN2" s="8" t="s">
        <v>2135</v>
      </c>
      <c r="BO2" s="8" t="s">
        <v>2135</v>
      </c>
      <c r="BP2" s="8" t="s">
        <v>2135</v>
      </c>
      <c r="BQ2" s="8" t="s">
        <v>2135</v>
      </c>
      <c r="BR2" s="8" t="s">
        <v>3355</v>
      </c>
      <c r="BS2" s="8" t="s">
        <v>3356</v>
      </c>
      <c r="BT2" s="8" t="s">
        <v>2185</v>
      </c>
      <c r="BU2" s="8" t="s">
        <v>2147</v>
      </c>
      <c r="BW2" s="8" t="s">
        <v>2186</v>
      </c>
      <c r="BX2" s="8" t="s">
        <v>3206</v>
      </c>
      <c r="BY2" s="8" t="s">
        <v>3207</v>
      </c>
      <c r="BZ2" s="8" t="str">
        <f>HYPERLINK("https%3A%2F%2Fwww.webofscience.com%2Fwos%2Fwoscc%2Ffull-record%2FWOS:000229448100021","View Full Record in Web of Science")</f>
        <v>View Full Record in Web of Science</v>
      </c>
    </row>
    <row r="3" ht="12.75" customHeight="1">
      <c r="A3" s="8" t="s">
        <v>3329</v>
      </c>
      <c r="B3" s="8" t="s">
        <v>3357</v>
      </c>
      <c r="C3" s="8" t="s">
        <v>2135</v>
      </c>
      <c r="D3" s="8" t="s">
        <v>2135</v>
      </c>
      <c r="E3" s="8" t="s">
        <v>2135</v>
      </c>
      <c r="F3" s="8" t="s">
        <v>3357</v>
      </c>
      <c r="G3" s="8" t="s">
        <v>2135</v>
      </c>
      <c r="H3" s="8" t="s">
        <v>2135</v>
      </c>
      <c r="I3" s="8" t="s">
        <v>67</v>
      </c>
      <c r="J3" s="8" t="s">
        <v>3358</v>
      </c>
      <c r="K3" s="8" t="s">
        <v>2135</v>
      </c>
      <c r="L3" s="8" t="s">
        <v>2135</v>
      </c>
      <c r="M3" s="8" t="s">
        <v>3332</v>
      </c>
      <c r="N3" s="8" t="s">
        <v>3333</v>
      </c>
      <c r="O3" s="8" t="s">
        <v>2135</v>
      </c>
      <c r="P3" s="8" t="s">
        <v>2135</v>
      </c>
      <c r="Q3" s="8" t="s">
        <v>2135</v>
      </c>
      <c r="R3" s="8" t="s">
        <v>2135</v>
      </c>
      <c r="S3" s="8" t="s">
        <v>2135</v>
      </c>
      <c r="T3" s="8" t="s">
        <v>3359</v>
      </c>
      <c r="U3" s="8" t="s">
        <v>3360</v>
      </c>
      <c r="V3" s="8" t="s">
        <v>3361</v>
      </c>
      <c r="W3" s="8" t="s">
        <v>3362</v>
      </c>
      <c r="X3" s="8" t="s">
        <v>2135</v>
      </c>
      <c r="Y3" s="8" t="s">
        <v>3363</v>
      </c>
      <c r="Z3" s="8" t="s">
        <v>2135</v>
      </c>
      <c r="AA3" s="8" t="s">
        <v>3364</v>
      </c>
      <c r="AB3" s="8" t="s">
        <v>3365</v>
      </c>
      <c r="AC3" s="8" t="s">
        <v>2135</v>
      </c>
      <c r="AD3" s="8" t="s">
        <v>2135</v>
      </c>
      <c r="AE3" s="8" t="s">
        <v>2135</v>
      </c>
      <c r="AF3" s="8" t="s">
        <v>2135</v>
      </c>
      <c r="AG3" s="8">
        <v>31.0</v>
      </c>
      <c r="AH3" s="8">
        <v>24.0</v>
      </c>
      <c r="AI3" s="8">
        <v>29.0</v>
      </c>
      <c r="AJ3" s="8">
        <v>1.0</v>
      </c>
      <c r="AK3" s="8">
        <v>20.0</v>
      </c>
      <c r="AL3" s="8" t="s">
        <v>3366</v>
      </c>
      <c r="AM3" s="8" t="s">
        <v>3367</v>
      </c>
      <c r="AN3" s="8" t="s">
        <v>3368</v>
      </c>
      <c r="AO3" s="8" t="s">
        <v>3369</v>
      </c>
      <c r="AP3" s="8" t="s">
        <v>2135</v>
      </c>
      <c r="AQ3" s="8" t="s">
        <v>2135</v>
      </c>
      <c r="AR3" s="8" t="s">
        <v>3370</v>
      </c>
      <c r="AS3" s="8" t="s">
        <v>3371</v>
      </c>
      <c r="AT3" s="8" t="s">
        <v>3372</v>
      </c>
      <c r="AU3" s="8">
        <v>1998.0</v>
      </c>
      <c r="AV3" s="8">
        <v>41.0</v>
      </c>
      <c r="AW3" s="8">
        <v>1.0</v>
      </c>
      <c r="AX3" s="8" t="s">
        <v>2135</v>
      </c>
      <c r="AY3" s="8" t="s">
        <v>2135</v>
      </c>
      <c r="AZ3" s="8" t="s">
        <v>2135</v>
      </c>
      <c r="BA3" s="8" t="s">
        <v>2135</v>
      </c>
      <c r="BB3" s="8">
        <v>57.0</v>
      </c>
      <c r="BC3" s="8">
        <v>69.0</v>
      </c>
      <c r="BD3" s="8" t="s">
        <v>2135</v>
      </c>
      <c r="BE3" s="8" t="s">
        <v>3373</v>
      </c>
      <c r="BF3" s="13" t="str">
        <f>HYPERLINK("http://dx.doi.org/10.1016/S0169-2046(97)00058-3","http://dx.doi.org/10.1016/S0169-2046(97)00058-3")</f>
        <v>http://dx.doi.org/10.1016/S0169-2046(97)00058-3</v>
      </c>
      <c r="BG3" s="8" t="s">
        <v>2135</v>
      </c>
      <c r="BH3" s="8" t="s">
        <v>2135</v>
      </c>
      <c r="BI3" s="8">
        <v>13.0</v>
      </c>
      <c r="BJ3" s="8" t="s">
        <v>3374</v>
      </c>
      <c r="BK3" s="8" t="s">
        <v>3375</v>
      </c>
      <c r="BL3" s="8" t="s">
        <v>3376</v>
      </c>
      <c r="BM3" s="8" t="s">
        <v>3377</v>
      </c>
      <c r="BN3" s="8" t="s">
        <v>2135</v>
      </c>
      <c r="BO3" s="8" t="s">
        <v>2135</v>
      </c>
      <c r="BP3" s="8" t="s">
        <v>2135</v>
      </c>
      <c r="BQ3" s="8" t="s">
        <v>2135</v>
      </c>
      <c r="BR3" s="8" t="s">
        <v>3355</v>
      </c>
      <c r="BS3" s="8" t="s">
        <v>3378</v>
      </c>
      <c r="BT3" s="8" t="s">
        <v>2553</v>
      </c>
      <c r="BU3" s="8" t="s">
        <v>2142</v>
      </c>
      <c r="BW3" s="8" t="s">
        <v>2311</v>
      </c>
      <c r="BX3" s="8" t="s">
        <v>3141</v>
      </c>
      <c r="BY3" s="8" t="s">
        <v>3142</v>
      </c>
      <c r="BZ3" s="8" t="str">
        <f>HYPERLINK("https%3A%2F%2Fwww.webofscience.com%2Fwos%2Fwoscc%2Ffull-record%2FWOS:000075333200006","View Full Record in Web of Science")</f>
        <v>View Full Record in Web of Science</v>
      </c>
    </row>
    <row r="4" ht="12.75" customHeight="1">
      <c r="A4" s="8" t="s">
        <v>3329</v>
      </c>
      <c r="B4" s="8" t="s">
        <v>3379</v>
      </c>
      <c r="C4" s="8" t="s">
        <v>2135</v>
      </c>
      <c r="D4" s="8" t="s">
        <v>2135</v>
      </c>
      <c r="E4" s="8" t="s">
        <v>2135</v>
      </c>
      <c r="F4" s="8" t="s">
        <v>3379</v>
      </c>
      <c r="G4" s="8" t="s">
        <v>2135</v>
      </c>
      <c r="H4" s="8" t="s">
        <v>2135</v>
      </c>
      <c r="I4" s="8" t="s">
        <v>80</v>
      </c>
      <c r="J4" s="8" t="s">
        <v>3380</v>
      </c>
      <c r="K4" s="8" t="s">
        <v>2135</v>
      </c>
      <c r="L4" s="8" t="s">
        <v>2135</v>
      </c>
      <c r="M4" s="8" t="s">
        <v>3332</v>
      </c>
      <c r="N4" s="8" t="s">
        <v>3333</v>
      </c>
      <c r="O4" s="8" t="s">
        <v>2135</v>
      </c>
      <c r="P4" s="8" t="s">
        <v>2135</v>
      </c>
      <c r="Q4" s="8" t="s">
        <v>2135</v>
      </c>
      <c r="R4" s="8" t="s">
        <v>2135</v>
      </c>
      <c r="S4" s="8" t="s">
        <v>2135</v>
      </c>
      <c r="T4" s="8" t="s">
        <v>3381</v>
      </c>
      <c r="U4" s="8" t="s">
        <v>3382</v>
      </c>
      <c r="V4" s="8" t="s">
        <v>3383</v>
      </c>
      <c r="W4" s="8" t="s">
        <v>3384</v>
      </c>
      <c r="X4" s="8" t="s">
        <v>3385</v>
      </c>
      <c r="Y4" s="8" t="s">
        <v>3386</v>
      </c>
      <c r="Z4" s="8" t="s">
        <v>3387</v>
      </c>
      <c r="AA4" s="8" t="s">
        <v>3388</v>
      </c>
      <c r="AB4" s="8" t="s">
        <v>2135</v>
      </c>
      <c r="AC4" s="8" t="s">
        <v>2135</v>
      </c>
      <c r="AD4" s="8" t="s">
        <v>2135</v>
      </c>
      <c r="AE4" s="8" t="s">
        <v>2135</v>
      </c>
      <c r="AF4" s="8" t="s">
        <v>2135</v>
      </c>
      <c r="AG4" s="8">
        <v>42.0</v>
      </c>
      <c r="AH4" s="8">
        <v>14.0</v>
      </c>
      <c r="AI4" s="8">
        <v>16.0</v>
      </c>
      <c r="AJ4" s="8">
        <v>1.0</v>
      </c>
      <c r="AK4" s="8">
        <v>34.0</v>
      </c>
      <c r="AL4" s="8" t="s">
        <v>3389</v>
      </c>
      <c r="AM4" s="8" t="s">
        <v>3390</v>
      </c>
      <c r="AN4" s="8" t="s">
        <v>3391</v>
      </c>
      <c r="AO4" s="8" t="s">
        <v>3392</v>
      </c>
      <c r="AP4" s="8" t="s">
        <v>2135</v>
      </c>
      <c r="AQ4" s="8" t="s">
        <v>2135</v>
      </c>
      <c r="AR4" s="8" t="s">
        <v>3393</v>
      </c>
      <c r="AS4" s="8" t="s">
        <v>3394</v>
      </c>
      <c r="AT4" s="8" t="s">
        <v>3395</v>
      </c>
      <c r="AU4" s="8">
        <v>2004.0</v>
      </c>
      <c r="AV4" s="8">
        <v>85.0</v>
      </c>
      <c r="AW4" s="8">
        <v>4.0</v>
      </c>
      <c r="AX4" s="8" t="s">
        <v>2135</v>
      </c>
      <c r="AY4" s="8" t="s">
        <v>2135</v>
      </c>
      <c r="AZ4" s="8" t="s">
        <v>2135</v>
      </c>
      <c r="BA4" s="8" t="s">
        <v>2135</v>
      </c>
      <c r="BB4" s="8">
        <v>633.0</v>
      </c>
      <c r="BC4" s="8">
        <v>639.0</v>
      </c>
      <c r="BD4" s="8" t="s">
        <v>2135</v>
      </c>
      <c r="BE4" s="8" t="s">
        <v>3396</v>
      </c>
      <c r="BF4" s="13" t="str">
        <f>HYPERLINK("http://dx.doi.org/10.1644/BRB-129","http://dx.doi.org/10.1644/BRB-129")</f>
        <v>http://dx.doi.org/10.1644/BRB-129</v>
      </c>
      <c r="BG4" s="8" t="s">
        <v>2135</v>
      </c>
      <c r="BH4" s="8" t="s">
        <v>2135</v>
      </c>
      <c r="BI4" s="8">
        <v>7.0</v>
      </c>
      <c r="BJ4" s="8" t="s">
        <v>3397</v>
      </c>
      <c r="BK4" s="8" t="s">
        <v>3352</v>
      </c>
      <c r="BL4" s="8" t="s">
        <v>3397</v>
      </c>
      <c r="BM4" s="8" t="s">
        <v>3398</v>
      </c>
      <c r="BN4" s="8" t="s">
        <v>2135</v>
      </c>
      <c r="BO4" s="8" t="s">
        <v>2135</v>
      </c>
      <c r="BP4" s="8" t="s">
        <v>2135</v>
      </c>
      <c r="BQ4" s="8" t="s">
        <v>2135</v>
      </c>
      <c r="BR4" s="8" t="s">
        <v>3355</v>
      </c>
      <c r="BS4" s="8" t="s">
        <v>3399</v>
      </c>
      <c r="BU4" s="8" t="s">
        <v>2147</v>
      </c>
      <c r="BV4" s="8" t="s">
        <v>2217</v>
      </c>
      <c r="BW4" s="8" t="s">
        <v>2256</v>
      </c>
      <c r="BX4" s="8" t="s">
        <v>3220</v>
      </c>
      <c r="BY4" s="8" t="s">
        <v>3221</v>
      </c>
      <c r="BZ4" s="8" t="str">
        <f>HYPERLINK("https%3A%2F%2Fwww.webofscience.com%2Fwos%2Fwoscc%2Ffull-record%2FWOS:000223457700006","View Full Record in Web of Science")</f>
        <v>View Full Record in Web of Science</v>
      </c>
    </row>
    <row r="5" ht="12.75" customHeight="1">
      <c r="A5" s="8" t="s">
        <v>3329</v>
      </c>
      <c r="B5" s="8" t="s">
        <v>3400</v>
      </c>
      <c r="C5" s="8" t="s">
        <v>2135</v>
      </c>
      <c r="D5" s="8" t="s">
        <v>2135</v>
      </c>
      <c r="E5" s="8" t="s">
        <v>2135</v>
      </c>
      <c r="F5" s="8" t="s">
        <v>3401</v>
      </c>
      <c r="G5" s="8" t="s">
        <v>2135</v>
      </c>
      <c r="H5" s="8" t="s">
        <v>2135</v>
      </c>
      <c r="I5" s="8" t="s">
        <v>99</v>
      </c>
      <c r="J5" s="8" t="s">
        <v>3402</v>
      </c>
      <c r="K5" s="8" t="s">
        <v>2135</v>
      </c>
      <c r="L5" s="8" t="s">
        <v>2135</v>
      </c>
      <c r="M5" s="8" t="s">
        <v>3332</v>
      </c>
      <c r="N5" s="8" t="s">
        <v>3333</v>
      </c>
      <c r="O5" s="8" t="s">
        <v>2135</v>
      </c>
      <c r="P5" s="8" t="s">
        <v>2135</v>
      </c>
      <c r="Q5" s="8" t="s">
        <v>2135</v>
      </c>
      <c r="R5" s="8" t="s">
        <v>2135</v>
      </c>
      <c r="S5" s="8" t="s">
        <v>2135</v>
      </c>
      <c r="T5" s="8" t="s">
        <v>3403</v>
      </c>
      <c r="U5" s="8" t="s">
        <v>3404</v>
      </c>
      <c r="V5" s="8" t="s">
        <v>3405</v>
      </c>
      <c r="W5" s="8" t="s">
        <v>3406</v>
      </c>
      <c r="X5" s="8" t="s">
        <v>3407</v>
      </c>
      <c r="Y5" s="8" t="s">
        <v>3408</v>
      </c>
      <c r="Z5" s="8" t="s">
        <v>3409</v>
      </c>
      <c r="AA5" s="8" t="s">
        <v>3410</v>
      </c>
      <c r="AB5" s="8" t="s">
        <v>3411</v>
      </c>
      <c r="AC5" s="8" t="s">
        <v>3412</v>
      </c>
      <c r="AD5" s="8" t="s">
        <v>3412</v>
      </c>
      <c r="AE5" s="8" t="s">
        <v>3413</v>
      </c>
      <c r="AF5" s="8" t="s">
        <v>2135</v>
      </c>
      <c r="AG5" s="8">
        <v>35.0</v>
      </c>
      <c r="AH5" s="8">
        <v>23.0</v>
      </c>
      <c r="AI5" s="8">
        <v>27.0</v>
      </c>
      <c r="AJ5" s="8">
        <v>0.0</v>
      </c>
      <c r="AK5" s="8">
        <v>35.0</v>
      </c>
      <c r="AL5" s="8" t="s">
        <v>3414</v>
      </c>
      <c r="AM5" s="8" t="s">
        <v>3415</v>
      </c>
      <c r="AN5" s="8" t="s">
        <v>3416</v>
      </c>
      <c r="AO5" s="8" t="s">
        <v>3417</v>
      </c>
      <c r="AP5" s="8" t="s">
        <v>3418</v>
      </c>
      <c r="AQ5" s="8" t="s">
        <v>2135</v>
      </c>
      <c r="AR5" s="8" t="s">
        <v>3419</v>
      </c>
      <c r="AS5" s="8" t="s">
        <v>3420</v>
      </c>
      <c r="AT5" s="8" t="s">
        <v>3395</v>
      </c>
      <c r="AU5" s="8">
        <v>2011.0</v>
      </c>
      <c r="AV5" s="8">
        <v>68.0</v>
      </c>
      <c r="AW5" s="8">
        <v>5.0</v>
      </c>
      <c r="AX5" s="8" t="s">
        <v>2135</v>
      </c>
      <c r="AY5" s="8" t="s">
        <v>2135</v>
      </c>
      <c r="AZ5" s="8" t="s">
        <v>3421</v>
      </c>
      <c r="BA5" s="8" t="s">
        <v>2135</v>
      </c>
      <c r="BB5" s="8">
        <v>911.0</v>
      </c>
      <c r="BC5" s="8">
        <v>919.0</v>
      </c>
      <c r="BD5" s="8" t="s">
        <v>2135</v>
      </c>
      <c r="BE5" s="8" t="s">
        <v>3422</v>
      </c>
      <c r="BF5" s="13" t="str">
        <f>HYPERLINK("http://dx.doi.org/10.1007/s13595-011-0097-8","http://dx.doi.org/10.1007/s13595-011-0097-8")</f>
        <v>http://dx.doi.org/10.1007/s13595-011-0097-8</v>
      </c>
      <c r="BG5" s="8" t="s">
        <v>2135</v>
      </c>
      <c r="BH5" s="8" t="s">
        <v>2135</v>
      </c>
      <c r="BI5" s="8">
        <v>9.0</v>
      </c>
      <c r="BJ5" s="8" t="s">
        <v>3423</v>
      </c>
      <c r="BK5" s="8" t="s">
        <v>3352</v>
      </c>
      <c r="BL5" s="8" t="s">
        <v>3423</v>
      </c>
      <c r="BM5" s="8" t="s">
        <v>3424</v>
      </c>
      <c r="BN5" s="8" t="s">
        <v>2135</v>
      </c>
      <c r="BO5" s="8" t="s">
        <v>3425</v>
      </c>
      <c r="BP5" s="8" t="s">
        <v>2135</v>
      </c>
      <c r="BQ5" s="8" t="s">
        <v>2135</v>
      </c>
      <c r="BR5" s="8" t="s">
        <v>3355</v>
      </c>
      <c r="BS5" s="8" t="s">
        <v>3426</v>
      </c>
      <c r="BT5" s="8" t="s">
        <v>2282</v>
      </c>
      <c r="BU5" s="8" t="s">
        <v>2283</v>
      </c>
      <c r="BW5" s="8" t="s">
        <v>2289</v>
      </c>
      <c r="BX5" s="8" t="s">
        <v>3130</v>
      </c>
      <c r="BY5" s="8" t="s">
        <v>2961</v>
      </c>
      <c r="BZ5" s="8" t="str">
        <f>HYPERLINK("https%3A%2F%2Fwww.webofscience.com%2Fwos%2Fwoscc%2Ffull-record%2FWOS:000294494900004","View Full Record in Web of Science")</f>
        <v>View Full Record in Web of Science</v>
      </c>
    </row>
    <row r="6" ht="12.75" customHeight="1">
      <c r="A6" s="8" t="s">
        <v>3329</v>
      </c>
      <c r="B6" s="8" t="s">
        <v>3427</v>
      </c>
      <c r="C6" s="8" t="s">
        <v>2135</v>
      </c>
      <c r="D6" s="8" t="s">
        <v>2135</v>
      </c>
      <c r="E6" s="8" t="s">
        <v>2135</v>
      </c>
      <c r="F6" s="8" t="s">
        <v>3427</v>
      </c>
      <c r="G6" s="8" t="s">
        <v>2135</v>
      </c>
      <c r="H6" s="8" t="s">
        <v>2135</v>
      </c>
      <c r="I6" s="8" t="s">
        <v>94</v>
      </c>
      <c r="J6" s="8" t="s">
        <v>3428</v>
      </c>
      <c r="K6" s="8" t="s">
        <v>2135</v>
      </c>
      <c r="L6" s="8" t="s">
        <v>2135</v>
      </c>
      <c r="M6" s="8" t="s">
        <v>3332</v>
      </c>
      <c r="N6" s="8" t="s">
        <v>3333</v>
      </c>
      <c r="O6" s="8" t="s">
        <v>2135</v>
      </c>
      <c r="P6" s="8" t="s">
        <v>2135</v>
      </c>
      <c r="Q6" s="8" t="s">
        <v>2135</v>
      </c>
      <c r="R6" s="8" t="s">
        <v>2135</v>
      </c>
      <c r="S6" s="8" t="s">
        <v>2135</v>
      </c>
      <c r="T6" s="8" t="s">
        <v>3429</v>
      </c>
      <c r="U6" s="8" t="s">
        <v>3430</v>
      </c>
      <c r="V6" s="8" t="s">
        <v>3431</v>
      </c>
      <c r="W6" s="8" t="s">
        <v>3432</v>
      </c>
      <c r="X6" s="8" t="s">
        <v>3433</v>
      </c>
      <c r="Y6" s="8" t="s">
        <v>3434</v>
      </c>
      <c r="Z6" s="8" t="s">
        <v>2135</v>
      </c>
      <c r="AA6" s="8" t="s">
        <v>3435</v>
      </c>
      <c r="AB6" s="8" t="s">
        <v>2135</v>
      </c>
      <c r="AC6" s="8" t="s">
        <v>2135</v>
      </c>
      <c r="AD6" s="8" t="s">
        <v>2135</v>
      </c>
      <c r="AE6" s="8" t="s">
        <v>2135</v>
      </c>
      <c r="AF6" s="8" t="s">
        <v>2135</v>
      </c>
      <c r="AG6" s="8">
        <v>64.0</v>
      </c>
      <c r="AH6" s="8">
        <v>163.0</v>
      </c>
      <c r="AI6" s="8">
        <v>179.0</v>
      </c>
      <c r="AJ6" s="8">
        <v>0.0</v>
      </c>
      <c r="AK6" s="8">
        <v>102.0</v>
      </c>
      <c r="AL6" s="8" t="s">
        <v>3342</v>
      </c>
      <c r="AM6" s="8" t="s">
        <v>3343</v>
      </c>
      <c r="AN6" s="8" t="s">
        <v>3344</v>
      </c>
      <c r="AO6" s="8" t="s">
        <v>3436</v>
      </c>
      <c r="AP6" s="8" t="s">
        <v>3437</v>
      </c>
      <c r="AQ6" s="8" t="s">
        <v>2135</v>
      </c>
      <c r="AR6" s="8" t="s">
        <v>3438</v>
      </c>
      <c r="AS6" s="8" t="s">
        <v>3439</v>
      </c>
      <c r="AT6" s="8" t="s">
        <v>3440</v>
      </c>
      <c r="AU6" s="8">
        <v>1998.0</v>
      </c>
      <c r="AV6" s="8">
        <v>67.0</v>
      </c>
      <c r="AW6" s="8">
        <v>6.0</v>
      </c>
      <c r="AX6" s="8" t="s">
        <v>2135</v>
      </c>
      <c r="AY6" s="8" t="s">
        <v>2135</v>
      </c>
      <c r="AZ6" s="8" t="s">
        <v>2135</v>
      </c>
      <c r="BA6" s="8" t="s">
        <v>2135</v>
      </c>
      <c r="BB6" s="8">
        <v>874.0</v>
      </c>
      <c r="BC6" s="8">
        <v>886.0</v>
      </c>
      <c r="BD6" s="8" t="s">
        <v>2135</v>
      </c>
      <c r="BE6" s="8" t="s">
        <v>3441</v>
      </c>
      <c r="BF6" s="13" t="str">
        <f>HYPERLINK("http://dx.doi.org/10.1046/j.1365-2656.1998.6760874.x","http://dx.doi.org/10.1046/j.1365-2656.1998.6760874.x")</f>
        <v>http://dx.doi.org/10.1046/j.1365-2656.1998.6760874.x</v>
      </c>
      <c r="BG6" s="8" t="s">
        <v>2135</v>
      </c>
      <c r="BH6" s="8" t="s">
        <v>2135</v>
      </c>
      <c r="BI6" s="8">
        <v>13.0</v>
      </c>
      <c r="BJ6" s="8" t="s">
        <v>3442</v>
      </c>
      <c r="BK6" s="8" t="s">
        <v>3352</v>
      </c>
      <c r="BL6" s="8" t="s">
        <v>3443</v>
      </c>
      <c r="BM6" s="8" t="s">
        <v>3444</v>
      </c>
      <c r="BN6" s="8">
        <v>2.6412368E7</v>
      </c>
      <c r="BO6" s="8" t="s">
        <v>3445</v>
      </c>
      <c r="BP6" s="8" t="s">
        <v>2135</v>
      </c>
      <c r="BQ6" s="8" t="s">
        <v>2135</v>
      </c>
      <c r="BR6" s="8" t="s">
        <v>3355</v>
      </c>
      <c r="BS6" s="8" t="s">
        <v>3446</v>
      </c>
      <c r="BT6" s="8" t="s">
        <v>2318</v>
      </c>
      <c r="BU6" s="8" t="s">
        <v>2142</v>
      </c>
      <c r="BW6" s="8" t="s">
        <v>2166</v>
      </c>
      <c r="BX6" s="8" t="s">
        <v>3130</v>
      </c>
      <c r="BY6" s="8" t="s">
        <v>2961</v>
      </c>
      <c r="BZ6" s="8" t="str">
        <f>HYPERLINK("https%3A%2F%2Fwww.webofscience.com%2Fwos%2Fwoscc%2Ffull-record%2FWOS:000077670300004","View Full Record in Web of Science")</f>
        <v>View Full Record in Web of Science</v>
      </c>
    </row>
    <row r="7" ht="12.75" customHeight="1">
      <c r="A7" s="8" t="s">
        <v>3329</v>
      </c>
      <c r="B7" s="8" t="s">
        <v>3447</v>
      </c>
      <c r="C7" s="8" t="s">
        <v>2135</v>
      </c>
      <c r="D7" s="8" t="s">
        <v>2135</v>
      </c>
      <c r="E7" s="8" t="s">
        <v>2135</v>
      </c>
      <c r="F7" s="8" t="s">
        <v>3447</v>
      </c>
      <c r="G7" s="8" t="s">
        <v>2135</v>
      </c>
      <c r="H7" s="8" t="s">
        <v>2135</v>
      </c>
      <c r="I7" s="8" t="s">
        <v>89</v>
      </c>
      <c r="J7" s="8" t="s">
        <v>3448</v>
      </c>
      <c r="K7" s="8" t="s">
        <v>2135</v>
      </c>
      <c r="L7" s="8" t="s">
        <v>2135</v>
      </c>
      <c r="M7" s="8" t="s">
        <v>3332</v>
      </c>
      <c r="N7" s="8" t="s">
        <v>3333</v>
      </c>
      <c r="O7" s="8" t="s">
        <v>2135</v>
      </c>
      <c r="P7" s="8" t="s">
        <v>2135</v>
      </c>
      <c r="Q7" s="8" t="s">
        <v>2135</v>
      </c>
      <c r="R7" s="8" t="s">
        <v>2135</v>
      </c>
      <c r="S7" s="8" t="s">
        <v>2135</v>
      </c>
      <c r="T7" s="8" t="s">
        <v>3449</v>
      </c>
      <c r="U7" s="8" t="s">
        <v>3450</v>
      </c>
      <c r="V7" s="8" t="s">
        <v>3451</v>
      </c>
      <c r="W7" s="8" t="s">
        <v>2135</v>
      </c>
      <c r="X7" s="8" t="s">
        <v>2135</v>
      </c>
      <c r="Y7" s="8" t="s">
        <v>3452</v>
      </c>
      <c r="Z7" s="8" t="s">
        <v>2135</v>
      </c>
      <c r="AA7" s="8" t="s">
        <v>3453</v>
      </c>
      <c r="AB7" s="8" t="s">
        <v>3454</v>
      </c>
      <c r="AC7" s="8" t="s">
        <v>2135</v>
      </c>
      <c r="AD7" s="8" t="s">
        <v>2135</v>
      </c>
      <c r="AE7" s="8" t="s">
        <v>2135</v>
      </c>
      <c r="AF7" s="8" t="s">
        <v>2135</v>
      </c>
      <c r="AG7" s="8">
        <v>24.0</v>
      </c>
      <c r="AH7" s="8">
        <v>23.0</v>
      </c>
      <c r="AI7" s="8">
        <v>24.0</v>
      </c>
      <c r="AJ7" s="8">
        <v>0.0</v>
      </c>
      <c r="AK7" s="8">
        <v>15.0</v>
      </c>
      <c r="AL7" s="8" t="s">
        <v>3455</v>
      </c>
      <c r="AM7" s="8" t="s">
        <v>3456</v>
      </c>
      <c r="AN7" s="8" t="s">
        <v>3457</v>
      </c>
      <c r="AO7" s="8" t="s">
        <v>3458</v>
      </c>
      <c r="AP7" s="8" t="s">
        <v>3459</v>
      </c>
      <c r="AQ7" s="8" t="s">
        <v>2135</v>
      </c>
      <c r="AR7" s="8" t="s">
        <v>3460</v>
      </c>
      <c r="AS7" s="8" t="s">
        <v>3461</v>
      </c>
      <c r="AT7" s="8" t="s">
        <v>3462</v>
      </c>
      <c r="AU7" s="8">
        <v>1994.0</v>
      </c>
      <c r="AV7" s="8">
        <v>24.0</v>
      </c>
      <c r="AW7" s="8">
        <v>3.0</v>
      </c>
      <c r="AX7" s="8" t="s">
        <v>2135</v>
      </c>
      <c r="AY7" s="8" t="s">
        <v>2135</v>
      </c>
      <c r="AZ7" s="8" t="s">
        <v>2135</v>
      </c>
      <c r="BA7" s="8" t="s">
        <v>2135</v>
      </c>
      <c r="BB7" s="8">
        <v>41.0</v>
      </c>
      <c r="BC7" s="8">
        <v>47.0</v>
      </c>
      <c r="BD7" s="8" t="s">
        <v>2135</v>
      </c>
      <c r="BE7" s="8" t="s">
        <v>2135</v>
      </c>
      <c r="BF7" s="8" t="s">
        <v>2135</v>
      </c>
      <c r="BG7" s="8" t="s">
        <v>2135</v>
      </c>
      <c r="BH7" s="8" t="s">
        <v>2135</v>
      </c>
      <c r="BI7" s="8">
        <v>7.0</v>
      </c>
      <c r="BJ7" s="8" t="s">
        <v>3442</v>
      </c>
      <c r="BK7" s="8" t="s">
        <v>3352</v>
      </c>
      <c r="BL7" s="8" t="s">
        <v>3443</v>
      </c>
      <c r="BM7" s="8" t="s">
        <v>3463</v>
      </c>
      <c r="BN7" s="8" t="s">
        <v>2135</v>
      </c>
      <c r="BO7" s="8" t="s">
        <v>2135</v>
      </c>
      <c r="BP7" s="8" t="s">
        <v>2135</v>
      </c>
      <c r="BQ7" s="8" t="s">
        <v>2135</v>
      </c>
      <c r="BR7" s="8" t="s">
        <v>3355</v>
      </c>
      <c r="BS7" s="8" t="s">
        <v>3464</v>
      </c>
      <c r="BT7" s="8" t="s">
        <v>2835</v>
      </c>
      <c r="BU7" s="8" t="s">
        <v>2136</v>
      </c>
      <c r="BW7" s="8" t="s">
        <v>2836</v>
      </c>
      <c r="BX7" s="8" t="s">
        <v>2960</v>
      </c>
      <c r="BY7" s="8" t="s">
        <v>2961</v>
      </c>
      <c r="BZ7" s="8" t="str">
        <f>HYPERLINK("https%3A%2F%2Fwww.webofscience.com%2Fwos%2Fwoscc%2Ffull-record%2FWOS:A1994PW11600001","View Full Record in Web of Science")</f>
        <v>View Full Record in Web of Science</v>
      </c>
    </row>
    <row r="8" ht="12.75" customHeight="1">
      <c r="A8" s="8" t="s">
        <v>3329</v>
      </c>
      <c r="B8" s="8" t="s">
        <v>3465</v>
      </c>
      <c r="C8" s="8" t="s">
        <v>2135</v>
      </c>
      <c r="D8" s="8" t="s">
        <v>2135</v>
      </c>
      <c r="E8" s="8" t="s">
        <v>2135</v>
      </c>
      <c r="F8" s="8" t="s">
        <v>3466</v>
      </c>
      <c r="G8" s="8" t="s">
        <v>2135</v>
      </c>
      <c r="H8" s="8" t="s">
        <v>2135</v>
      </c>
      <c r="I8" s="8" t="s">
        <v>116</v>
      </c>
      <c r="J8" s="8" t="s">
        <v>3467</v>
      </c>
      <c r="K8" s="8" t="s">
        <v>2135</v>
      </c>
      <c r="L8" s="8" t="s">
        <v>2135</v>
      </c>
      <c r="M8" s="8" t="s">
        <v>3332</v>
      </c>
      <c r="N8" s="8" t="s">
        <v>3333</v>
      </c>
      <c r="O8" s="8" t="s">
        <v>2135</v>
      </c>
      <c r="P8" s="8" t="s">
        <v>2135</v>
      </c>
      <c r="Q8" s="8" t="s">
        <v>2135</v>
      </c>
      <c r="R8" s="8" t="s">
        <v>2135</v>
      </c>
      <c r="S8" s="8" t="s">
        <v>2135</v>
      </c>
      <c r="T8" s="8" t="s">
        <v>3468</v>
      </c>
      <c r="U8" s="8" t="s">
        <v>3469</v>
      </c>
      <c r="V8" s="8" t="s">
        <v>3470</v>
      </c>
      <c r="W8" s="8" t="s">
        <v>3471</v>
      </c>
      <c r="X8" s="8" t="s">
        <v>3472</v>
      </c>
      <c r="Y8" s="8" t="s">
        <v>3473</v>
      </c>
      <c r="Z8" s="8" t="s">
        <v>3474</v>
      </c>
      <c r="AA8" s="8" t="s">
        <v>3475</v>
      </c>
      <c r="AB8" s="8" t="s">
        <v>3476</v>
      </c>
      <c r="AC8" s="8" t="s">
        <v>3477</v>
      </c>
      <c r="AD8" s="8" t="s">
        <v>3477</v>
      </c>
      <c r="AE8" s="8" t="s">
        <v>3478</v>
      </c>
      <c r="AF8" s="8" t="s">
        <v>2135</v>
      </c>
      <c r="AG8" s="8">
        <v>21.0</v>
      </c>
      <c r="AH8" s="8">
        <v>4.0</v>
      </c>
      <c r="AI8" s="8">
        <v>4.0</v>
      </c>
      <c r="AJ8" s="8">
        <v>0.0</v>
      </c>
      <c r="AK8" s="8">
        <v>27.0</v>
      </c>
      <c r="AL8" s="8" t="s">
        <v>3479</v>
      </c>
      <c r="AM8" s="8" t="s">
        <v>3480</v>
      </c>
      <c r="AN8" s="8" t="s">
        <v>3481</v>
      </c>
      <c r="AO8" s="8" t="s">
        <v>3482</v>
      </c>
      <c r="AP8" s="8" t="s">
        <v>2135</v>
      </c>
      <c r="AQ8" s="8" t="s">
        <v>2135</v>
      </c>
      <c r="AR8" s="8" t="s">
        <v>3483</v>
      </c>
      <c r="AS8" s="8" t="s">
        <v>3484</v>
      </c>
      <c r="AT8" s="8" t="s">
        <v>3485</v>
      </c>
      <c r="AU8" s="8">
        <v>2012.0</v>
      </c>
      <c r="AV8" s="8">
        <v>58.0</v>
      </c>
      <c r="AW8" s="8">
        <v>1.0</v>
      </c>
      <c r="AX8" s="8" t="s">
        <v>2135</v>
      </c>
      <c r="AY8" s="8" t="s">
        <v>2135</v>
      </c>
      <c r="AZ8" s="8" t="s">
        <v>2135</v>
      </c>
      <c r="BA8" s="8" t="s">
        <v>2135</v>
      </c>
      <c r="BB8" s="8">
        <v>177.0</v>
      </c>
      <c r="BC8" s="8">
        <v>183.0</v>
      </c>
      <c r="BD8" s="8" t="s">
        <v>2135</v>
      </c>
      <c r="BE8" s="8" t="s">
        <v>3486</v>
      </c>
      <c r="BF8" s="13" t="str">
        <f>HYPERLINK("http://dx.doi.org/10.1007/s10344-011-0560-8","http://dx.doi.org/10.1007/s10344-011-0560-8")</f>
        <v>http://dx.doi.org/10.1007/s10344-011-0560-8</v>
      </c>
      <c r="BG8" s="8" t="s">
        <v>2135</v>
      </c>
      <c r="BH8" s="8" t="s">
        <v>2135</v>
      </c>
      <c r="BI8" s="8">
        <v>7.0</v>
      </c>
      <c r="BJ8" s="8" t="s">
        <v>3442</v>
      </c>
      <c r="BK8" s="8" t="s">
        <v>3352</v>
      </c>
      <c r="BL8" s="8" t="s">
        <v>3443</v>
      </c>
      <c r="BM8" s="8" t="s">
        <v>3487</v>
      </c>
      <c r="BN8" s="8" t="s">
        <v>2135</v>
      </c>
      <c r="BO8" s="8" t="s">
        <v>2135</v>
      </c>
      <c r="BP8" s="8" t="s">
        <v>2135</v>
      </c>
      <c r="BQ8" s="8" t="s">
        <v>2135</v>
      </c>
      <c r="BR8" s="8" t="s">
        <v>3355</v>
      </c>
      <c r="BS8" s="8" t="s">
        <v>3488</v>
      </c>
      <c r="BT8" s="8" t="s">
        <v>2553</v>
      </c>
      <c r="BU8" s="8" t="s">
        <v>2142</v>
      </c>
      <c r="BW8" s="8" t="s">
        <v>2311</v>
      </c>
      <c r="BX8" s="8" t="s">
        <v>3143</v>
      </c>
      <c r="BY8" s="8" t="s">
        <v>3144</v>
      </c>
      <c r="BZ8" s="8" t="str">
        <f>HYPERLINK("https%3A%2F%2Fwww.webofscience.com%2Fwos%2Fwoscc%2Ffull-record%2FWOS:000301781700019","View Full Record in Web of Science")</f>
        <v>View Full Record in Web of Science</v>
      </c>
    </row>
    <row r="9" ht="12.75" customHeight="1">
      <c r="A9" s="8" t="s">
        <v>3329</v>
      </c>
      <c r="B9" s="8" t="s">
        <v>3489</v>
      </c>
      <c r="C9" s="8" t="s">
        <v>2135</v>
      </c>
      <c r="D9" s="8" t="s">
        <v>2135</v>
      </c>
      <c r="E9" s="8" t="s">
        <v>2135</v>
      </c>
      <c r="F9" s="8" t="s">
        <v>3490</v>
      </c>
      <c r="G9" s="8" t="s">
        <v>2135</v>
      </c>
      <c r="H9" s="8" t="s">
        <v>2135</v>
      </c>
      <c r="I9" s="8" t="s">
        <v>132</v>
      </c>
      <c r="J9" s="8" t="s">
        <v>3491</v>
      </c>
      <c r="K9" s="8" t="s">
        <v>2135</v>
      </c>
      <c r="L9" s="8" t="s">
        <v>2135</v>
      </c>
      <c r="M9" s="8" t="s">
        <v>3332</v>
      </c>
      <c r="N9" s="8" t="s">
        <v>3492</v>
      </c>
      <c r="O9" s="8" t="s">
        <v>2135</v>
      </c>
      <c r="P9" s="8" t="s">
        <v>2135</v>
      </c>
      <c r="Q9" s="8" t="s">
        <v>2135</v>
      </c>
      <c r="R9" s="8" t="s">
        <v>2135</v>
      </c>
      <c r="S9" s="8" t="s">
        <v>2135</v>
      </c>
      <c r="T9" s="8" t="s">
        <v>3493</v>
      </c>
      <c r="U9" s="8" t="s">
        <v>3494</v>
      </c>
      <c r="V9" s="8" t="s">
        <v>3495</v>
      </c>
      <c r="W9" s="8" t="s">
        <v>3496</v>
      </c>
      <c r="X9" s="8" t="s">
        <v>3497</v>
      </c>
      <c r="Y9" s="8" t="s">
        <v>3498</v>
      </c>
      <c r="Z9" s="8" t="s">
        <v>3499</v>
      </c>
      <c r="AA9" s="8" t="s">
        <v>3500</v>
      </c>
      <c r="AB9" s="8" t="s">
        <v>3501</v>
      </c>
      <c r="AC9" s="8" t="s">
        <v>3502</v>
      </c>
      <c r="AD9" s="8" t="s">
        <v>3503</v>
      </c>
      <c r="AE9" s="8" t="s">
        <v>3504</v>
      </c>
      <c r="AF9" s="8" t="s">
        <v>2135</v>
      </c>
      <c r="AG9" s="8">
        <v>111.0</v>
      </c>
      <c r="AH9" s="8">
        <v>14.0</v>
      </c>
      <c r="AI9" s="8">
        <v>20.0</v>
      </c>
      <c r="AJ9" s="8">
        <v>0.0</v>
      </c>
      <c r="AK9" s="8">
        <v>79.0</v>
      </c>
      <c r="AL9" s="8" t="s">
        <v>3505</v>
      </c>
      <c r="AM9" s="8" t="s">
        <v>3506</v>
      </c>
      <c r="AN9" s="8" t="s">
        <v>3507</v>
      </c>
      <c r="AO9" s="8" t="s">
        <v>3508</v>
      </c>
      <c r="AP9" s="8" t="s">
        <v>3509</v>
      </c>
      <c r="AQ9" s="8" t="s">
        <v>2135</v>
      </c>
      <c r="AR9" s="8" t="s">
        <v>3510</v>
      </c>
      <c r="AS9" s="8" t="s">
        <v>3511</v>
      </c>
      <c r="AT9" s="8" t="s">
        <v>3512</v>
      </c>
      <c r="AU9" s="8">
        <v>2013.0</v>
      </c>
      <c r="AV9" s="8">
        <v>58.0</v>
      </c>
      <c r="AW9" s="8">
        <v>3.0</v>
      </c>
      <c r="AX9" s="8" t="s">
        <v>2135</v>
      </c>
      <c r="AY9" s="8" t="s">
        <v>2135</v>
      </c>
      <c r="AZ9" s="8" t="s">
        <v>2135</v>
      </c>
      <c r="BA9" s="8" t="s">
        <v>2135</v>
      </c>
      <c r="BB9" s="8">
        <v>233.0</v>
      </c>
      <c r="BC9" s="8">
        <v>244.0</v>
      </c>
      <c r="BD9" s="8" t="s">
        <v>2135</v>
      </c>
      <c r="BE9" s="8" t="s">
        <v>3513</v>
      </c>
      <c r="BF9" s="13" t="str">
        <f>HYPERLINK("http://dx.doi.org/10.1007/s13364-013-0134-0","http://dx.doi.org/10.1007/s13364-013-0134-0")</f>
        <v>http://dx.doi.org/10.1007/s13364-013-0134-0</v>
      </c>
      <c r="BG9" s="8" t="s">
        <v>2135</v>
      </c>
      <c r="BH9" s="8" t="s">
        <v>2135</v>
      </c>
      <c r="BI9" s="8">
        <v>12.0</v>
      </c>
      <c r="BJ9" s="8" t="s">
        <v>3397</v>
      </c>
      <c r="BK9" s="8" t="s">
        <v>3352</v>
      </c>
      <c r="BL9" s="8" t="s">
        <v>3397</v>
      </c>
      <c r="BM9" s="8" t="s">
        <v>3514</v>
      </c>
      <c r="BN9" s="8" t="s">
        <v>2135</v>
      </c>
      <c r="BO9" s="8" t="s">
        <v>2135</v>
      </c>
      <c r="BP9" s="8" t="s">
        <v>2135</v>
      </c>
      <c r="BQ9" s="8" t="s">
        <v>2135</v>
      </c>
      <c r="BR9" s="8" t="s">
        <v>3355</v>
      </c>
      <c r="BS9" s="8" t="s">
        <v>3515</v>
      </c>
      <c r="BU9" s="8" t="s">
        <v>2142</v>
      </c>
      <c r="BW9" s="8" t="s">
        <v>2885</v>
      </c>
      <c r="BX9" s="8" t="s">
        <v>3160</v>
      </c>
      <c r="BY9" s="8" t="s">
        <v>3042</v>
      </c>
      <c r="BZ9" s="8" t="str">
        <f>HYPERLINK("https%3A%2F%2Fwww.webofscience.com%2Fwos%2Fwoscc%2Ffull-record%2FWOS:000320330900001","View Full Record in Web of Science")</f>
        <v>View Full Record in Web of Science</v>
      </c>
    </row>
    <row r="10" ht="12.75" customHeight="1">
      <c r="A10" s="8" t="s">
        <v>3329</v>
      </c>
      <c r="B10" s="8" t="s">
        <v>3516</v>
      </c>
      <c r="C10" s="8" t="s">
        <v>2135</v>
      </c>
      <c r="D10" s="8" t="s">
        <v>2135</v>
      </c>
      <c r="E10" s="8" t="s">
        <v>2135</v>
      </c>
      <c r="F10" s="8" t="s">
        <v>3517</v>
      </c>
      <c r="G10" s="8" t="s">
        <v>2135</v>
      </c>
      <c r="H10" s="8" t="s">
        <v>2135</v>
      </c>
      <c r="I10" s="8" t="s">
        <v>140</v>
      </c>
      <c r="J10" s="8" t="s">
        <v>3518</v>
      </c>
      <c r="K10" s="8" t="s">
        <v>2135</v>
      </c>
      <c r="L10" s="8" t="s">
        <v>2135</v>
      </c>
      <c r="M10" s="8" t="s">
        <v>3332</v>
      </c>
      <c r="N10" s="8" t="s">
        <v>3333</v>
      </c>
      <c r="O10" s="8" t="s">
        <v>2135</v>
      </c>
      <c r="P10" s="8" t="s">
        <v>2135</v>
      </c>
      <c r="Q10" s="8" t="s">
        <v>2135</v>
      </c>
      <c r="R10" s="8" t="s">
        <v>2135</v>
      </c>
      <c r="S10" s="8" t="s">
        <v>2135</v>
      </c>
      <c r="T10" s="8" t="s">
        <v>3519</v>
      </c>
      <c r="U10" s="8" t="s">
        <v>2135</v>
      </c>
      <c r="V10" s="8" t="s">
        <v>3520</v>
      </c>
      <c r="W10" s="8" t="s">
        <v>3521</v>
      </c>
      <c r="X10" s="8" t="s">
        <v>3522</v>
      </c>
      <c r="Y10" s="8" t="s">
        <v>3523</v>
      </c>
      <c r="Z10" s="8" t="s">
        <v>3524</v>
      </c>
      <c r="AA10" s="8" t="s">
        <v>3525</v>
      </c>
      <c r="AB10" s="8" t="s">
        <v>3526</v>
      </c>
      <c r="AC10" s="8" t="s">
        <v>2135</v>
      </c>
      <c r="AD10" s="8" t="s">
        <v>2135</v>
      </c>
      <c r="AE10" s="8" t="s">
        <v>2135</v>
      </c>
      <c r="AF10" s="8" t="s">
        <v>2135</v>
      </c>
      <c r="AG10" s="8">
        <v>17.0</v>
      </c>
      <c r="AH10" s="8">
        <v>5.0</v>
      </c>
      <c r="AI10" s="8">
        <v>5.0</v>
      </c>
      <c r="AJ10" s="8">
        <v>0.0</v>
      </c>
      <c r="AK10" s="8">
        <v>14.0</v>
      </c>
      <c r="AL10" s="8" t="s">
        <v>3527</v>
      </c>
      <c r="AM10" s="8" t="s">
        <v>3528</v>
      </c>
      <c r="AN10" s="8" t="s">
        <v>3529</v>
      </c>
      <c r="AO10" s="8" t="s">
        <v>3530</v>
      </c>
      <c r="AP10" s="8" t="s">
        <v>2135</v>
      </c>
      <c r="AQ10" s="8" t="s">
        <v>2135</v>
      </c>
      <c r="AR10" s="8" t="s">
        <v>3531</v>
      </c>
      <c r="AS10" s="8" t="s">
        <v>3532</v>
      </c>
      <c r="AT10" s="8" t="s">
        <v>2135</v>
      </c>
      <c r="AU10" s="8">
        <v>2009.0</v>
      </c>
      <c r="AV10" s="8">
        <v>20.0</v>
      </c>
      <c r="AW10" s="8">
        <v>2.0</v>
      </c>
      <c r="AX10" s="8" t="s">
        <v>2135</v>
      </c>
      <c r="AY10" s="8" t="s">
        <v>2135</v>
      </c>
      <c r="AZ10" s="8" t="s">
        <v>2135</v>
      </c>
      <c r="BA10" s="8" t="s">
        <v>2135</v>
      </c>
      <c r="BB10" s="8">
        <v>161.0</v>
      </c>
      <c r="BC10" s="8">
        <v>167.0</v>
      </c>
      <c r="BD10" s="8" t="s">
        <v>2135</v>
      </c>
      <c r="BE10" s="8" t="s">
        <v>2135</v>
      </c>
      <c r="BF10" s="8" t="s">
        <v>2135</v>
      </c>
      <c r="BG10" s="8" t="s">
        <v>2135</v>
      </c>
      <c r="BH10" s="8" t="s">
        <v>2135</v>
      </c>
      <c r="BI10" s="8">
        <v>7.0</v>
      </c>
      <c r="BJ10" s="8" t="s">
        <v>3397</v>
      </c>
      <c r="BK10" s="8" t="s">
        <v>3352</v>
      </c>
      <c r="BL10" s="8" t="s">
        <v>3397</v>
      </c>
      <c r="BM10" s="8" t="s">
        <v>3533</v>
      </c>
      <c r="BN10" s="8" t="s">
        <v>2135</v>
      </c>
      <c r="BO10" s="8" t="s">
        <v>2135</v>
      </c>
      <c r="BP10" s="8" t="s">
        <v>2135</v>
      </c>
      <c r="BQ10" s="8" t="s">
        <v>2135</v>
      </c>
      <c r="BR10" s="8" t="s">
        <v>3355</v>
      </c>
      <c r="BS10" s="8" t="s">
        <v>3534</v>
      </c>
      <c r="BT10" s="8" t="s">
        <v>2367</v>
      </c>
      <c r="BW10" s="8" t="s">
        <v>2143</v>
      </c>
      <c r="BX10" s="8" t="s">
        <v>3044</v>
      </c>
      <c r="BY10" s="8" t="s">
        <v>3053</v>
      </c>
      <c r="BZ10" s="8" t="str">
        <f>HYPERLINK("https%3A%2F%2Fwww.webofscience.com%2Fwos%2Fwoscc%2Ffull-record%2FWOS:000274414600009","View Full Record in Web of Science")</f>
        <v>View Full Record in Web of Science</v>
      </c>
    </row>
    <row r="11" ht="12.75" customHeight="1">
      <c r="A11" s="8" t="s">
        <v>3329</v>
      </c>
      <c r="B11" s="8" t="s">
        <v>3535</v>
      </c>
      <c r="C11" s="8" t="s">
        <v>2135</v>
      </c>
      <c r="D11" s="8" t="s">
        <v>2135</v>
      </c>
      <c r="E11" s="8" t="s">
        <v>2135</v>
      </c>
      <c r="F11" s="8" t="s">
        <v>3536</v>
      </c>
      <c r="G11" s="8" t="s">
        <v>2135</v>
      </c>
      <c r="H11" s="8" t="s">
        <v>2135</v>
      </c>
      <c r="I11" s="8" t="s">
        <v>145</v>
      </c>
      <c r="J11" s="8" t="s">
        <v>3537</v>
      </c>
      <c r="K11" s="8" t="s">
        <v>2135</v>
      </c>
      <c r="L11" s="8" t="s">
        <v>2135</v>
      </c>
      <c r="M11" s="8" t="s">
        <v>3332</v>
      </c>
      <c r="N11" s="8" t="s">
        <v>3333</v>
      </c>
      <c r="O11" s="8" t="s">
        <v>2135</v>
      </c>
      <c r="P11" s="8" t="s">
        <v>2135</v>
      </c>
      <c r="Q11" s="8" t="s">
        <v>2135</v>
      </c>
      <c r="R11" s="8" t="s">
        <v>2135</v>
      </c>
      <c r="S11" s="8" t="s">
        <v>2135</v>
      </c>
      <c r="T11" s="8" t="s">
        <v>3538</v>
      </c>
      <c r="U11" s="8" t="s">
        <v>3539</v>
      </c>
      <c r="V11" s="8" t="s">
        <v>3540</v>
      </c>
      <c r="W11" s="8" t="s">
        <v>3541</v>
      </c>
      <c r="X11" s="8" t="s">
        <v>3542</v>
      </c>
      <c r="Y11" s="8" t="s">
        <v>3543</v>
      </c>
      <c r="Z11" s="8" t="s">
        <v>3544</v>
      </c>
      <c r="AA11" s="8" t="s">
        <v>3545</v>
      </c>
      <c r="AB11" s="8" t="s">
        <v>3546</v>
      </c>
      <c r="AC11" s="8" t="s">
        <v>3547</v>
      </c>
      <c r="AD11" s="8" t="s">
        <v>3548</v>
      </c>
      <c r="AE11" s="8" t="s">
        <v>3549</v>
      </c>
      <c r="AF11" s="8" t="s">
        <v>2135</v>
      </c>
      <c r="AG11" s="8">
        <v>43.0</v>
      </c>
      <c r="AH11" s="8">
        <v>4.0</v>
      </c>
      <c r="AI11" s="8">
        <v>6.0</v>
      </c>
      <c r="AJ11" s="8">
        <v>0.0</v>
      </c>
      <c r="AK11" s="8">
        <v>21.0</v>
      </c>
      <c r="AL11" s="8" t="s">
        <v>3550</v>
      </c>
      <c r="AM11" s="8" t="s">
        <v>3551</v>
      </c>
      <c r="AN11" s="8" t="s">
        <v>3552</v>
      </c>
      <c r="AO11" s="8" t="s">
        <v>3553</v>
      </c>
      <c r="AP11" s="8" t="s">
        <v>3554</v>
      </c>
      <c r="AQ11" s="8" t="s">
        <v>2135</v>
      </c>
      <c r="AR11" s="8" t="s">
        <v>3537</v>
      </c>
      <c r="AS11" s="8" t="s">
        <v>3555</v>
      </c>
      <c r="AT11" s="8" t="s">
        <v>3556</v>
      </c>
      <c r="AU11" s="8">
        <v>2016.0</v>
      </c>
      <c r="AV11" s="8">
        <v>50.0</v>
      </c>
      <c r="AW11" s="8">
        <v>2.0</v>
      </c>
      <c r="AX11" s="8" t="s">
        <v>2135</v>
      </c>
      <c r="AY11" s="8" t="s">
        <v>2135</v>
      </c>
      <c r="AZ11" s="8" t="s">
        <v>2135</v>
      </c>
      <c r="BA11" s="8" t="s">
        <v>2135</v>
      </c>
      <c r="BB11" s="8">
        <v>368.0</v>
      </c>
      <c r="BC11" s="8">
        <v>373.0</v>
      </c>
      <c r="BD11" s="8" t="s">
        <v>2135</v>
      </c>
      <c r="BE11" s="8" t="s">
        <v>3557</v>
      </c>
      <c r="BF11" s="13" t="str">
        <f>HYPERLINK("http://dx.doi.org/10.1017/S0030605314000921","http://dx.doi.org/10.1017/S0030605314000921")</f>
        <v>http://dx.doi.org/10.1017/S0030605314000921</v>
      </c>
      <c r="BG11" s="8" t="s">
        <v>2135</v>
      </c>
      <c r="BH11" s="8" t="s">
        <v>2135</v>
      </c>
      <c r="BI11" s="8">
        <v>6.0</v>
      </c>
      <c r="BJ11" s="8" t="s">
        <v>3558</v>
      </c>
      <c r="BK11" s="8" t="s">
        <v>3352</v>
      </c>
      <c r="BL11" s="8" t="s">
        <v>3353</v>
      </c>
      <c r="BM11" s="8" t="s">
        <v>3559</v>
      </c>
      <c r="BN11" s="8" t="s">
        <v>2135</v>
      </c>
      <c r="BO11" s="8" t="s">
        <v>3560</v>
      </c>
      <c r="BP11" s="8" t="s">
        <v>2135</v>
      </c>
      <c r="BQ11" s="8" t="s">
        <v>2135</v>
      </c>
      <c r="BR11" s="8" t="s">
        <v>3355</v>
      </c>
      <c r="BS11" s="8" t="s">
        <v>3561</v>
      </c>
      <c r="BT11" s="8" t="s">
        <v>2141</v>
      </c>
      <c r="BU11" s="8" t="s">
        <v>2142</v>
      </c>
      <c r="BW11" s="8" t="s">
        <v>2143</v>
      </c>
      <c r="BX11" s="8" t="s">
        <v>3054</v>
      </c>
      <c r="BY11" s="8" t="s">
        <v>3055</v>
      </c>
      <c r="BZ11" s="8" t="str">
        <f>HYPERLINK("https%3A%2F%2Fwww.webofscience.com%2Fwos%2Fwoscc%2Ffull-record%2FWOS:000372525900035","View Full Record in Web of Science")</f>
        <v>View Full Record in Web of Science</v>
      </c>
    </row>
    <row r="12" ht="12.75" customHeight="1">
      <c r="A12" s="8" t="s">
        <v>3329</v>
      </c>
      <c r="B12" s="8" t="s">
        <v>3562</v>
      </c>
      <c r="C12" s="8" t="s">
        <v>2135</v>
      </c>
      <c r="D12" s="8" t="s">
        <v>2135</v>
      </c>
      <c r="E12" s="8" t="s">
        <v>2135</v>
      </c>
      <c r="F12" s="8" t="s">
        <v>3563</v>
      </c>
      <c r="G12" s="8" t="s">
        <v>2135</v>
      </c>
      <c r="H12" s="8" t="s">
        <v>2135</v>
      </c>
      <c r="I12" s="8" t="s">
        <v>149</v>
      </c>
      <c r="J12" s="8" t="s">
        <v>3564</v>
      </c>
      <c r="K12" s="8" t="s">
        <v>2135</v>
      </c>
      <c r="L12" s="8" t="s">
        <v>2135</v>
      </c>
      <c r="M12" s="8" t="s">
        <v>3332</v>
      </c>
      <c r="N12" s="8" t="s">
        <v>3333</v>
      </c>
      <c r="O12" s="8" t="s">
        <v>2135</v>
      </c>
      <c r="P12" s="8" t="s">
        <v>2135</v>
      </c>
      <c r="Q12" s="8" t="s">
        <v>2135</v>
      </c>
      <c r="R12" s="8" t="s">
        <v>2135</v>
      </c>
      <c r="S12" s="8" t="s">
        <v>2135</v>
      </c>
      <c r="T12" s="8" t="s">
        <v>3565</v>
      </c>
      <c r="U12" s="8" t="s">
        <v>3566</v>
      </c>
      <c r="V12" s="8" t="s">
        <v>3567</v>
      </c>
      <c r="W12" s="8" t="s">
        <v>3568</v>
      </c>
      <c r="X12" s="8" t="s">
        <v>2135</v>
      </c>
      <c r="Y12" s="8" t="s">
        <v>3569</v>
      </c>
      <c r="Z12" s="8" t="s">
        <v>3570</v>
      </c>
      <c r="AA12" s="8" t="s">
        <v>3571</v>
      </c>
      <c r="AB12" s="8" t="s">
        <v>3572</v>
      </c>
      <c r="AC12" s="8" t="s">
        <v>3573</v>
      </c>
      <c r="AD12" s="8" t="s">
        <v>3574</v>
      </c>
      <c r="AE12" s="8" t="s">
        <v>3575</v>
      </c>
      <c r="AF12" s="8" t="s">
        <v>2135</v>
      </c>
      <c r="AG12" s="8">
        <v>50.0</v>
      </c>
      <c r="AH12" s="8">
        <v>19.0</v>
      </c>
      <c r="AI12" s="8">
        <v>20.0</v>
      </c>
      <c r="AJ12" s="8">
        <v>2.0</v>
      </c>
      <c r="AK12" s="8">
        <v>62.0</v>
      </c>
      <c r="AL12" s="8" t="s">
        <v>3342</v>
      </c>
      <c r="AM12" s="8" t="s">
        <v>3343</v>
      </c>
      <c r="AN12" s="8" t="s">
        <v>3344</v>
      </c>
      <c r="AO12" s="8" t="s">
        <v>3576</v>
      </c>
      <c r="AP12" s="8" t="s">
        <v>3577</v>
      </c>
      <c r="AQ12" s="8" t="s">
        <v>2135</v>
      </c>
      <c r="AR12" s="8" t="s">
        <v>3578</v>
      </c>
      <c r="AS12" s="8" t="s">
        <v>3579</v>
      </c>
      <c r="AT12" s="8" t="s">
        <v>3580</v>
      </c>
      <c r="AU12" s="8">
        <v>2012.0</v>
      </c>
      <c r="AV12" s="8">
        <v>18.0</v>
      </c>
      <c r="AW12" s="8">
        <v>10.0</v>
      </c>
      <c r="AX12" s="8" t="s">
        <v>2135</v>
      </c>
      <c r="AY12" s="8" t="s">
        <v>2135</v>
      </c>
      <c r="AZ12" s="8" t="s">
        <v>2135</v>
      </c>
      <c r="BA12" s="8" t="s">
        <v>2135</v>
      </c>
      <c r="BB12" s="8">
        <v>1001.0</v>
      </c>
      <c r="BC12" s="8">
        <v>1012.0</v>
      </c>
      <c r="BD12" s="8" t="s">
        <v>2135</v>
      </c>
      <c r="BE12" s="8" t="s">
        <v>3581</v>
      </c>
      <c r="BF12" s="13" t="str">
        <f>HYPERLINK("http://dx.doi.org/10.1111/j.1472-4642.2012.00898.x","http://dx.doi.org/10.1111/j.1472-4642.2012.00898.x")</f>
        <v>http://dx.doi.org/10.1111/j.1472-4642.2012.00898.x</v>
      </c>
      <c r="BG12" s="8" t="s">
        <v>2135</v>
      </c>
      <c r="BH12" s="8" t="s">
        <v>2135</v>
      </c>
      <c r="BI12" s="8">
        <v>12.0</v>
      </c>
      <c r="BJ12" s="8" t="s">
        <v>3558</v>
      </c>
      <c r="BK12" s="8" t="s">
        <v>3352</v>
      </c>
      <c r="BL12" s="8" t="s">
        <v>3353</v>
      </c>
      <c r="BM12" s="8" t="s">
        <v>3582</v>
      </c>
      <c r="BN12" s="8" t="s">
        <v>2135</v>
      </c>
      <c r="BO12" s="8" t="s">
        <v>3583</v>
      </c>
      <c r="BP12" s="8" t="s">
        <v>2135</v>
      </c>
      <c r="BQ12" s="8" t="s">
        <v>2135</v>
      </c>
      <c r="BR12" s="8" t="s">
        <v>3355</v>
      </c>
      <c r="BS12" s="8" t="s">
        <v>3584</v>
      </c>
      <c r="BT12" s="8" t="s">
        <v>2304</v>
      </c>
      <c r="BU12" s="8" t="s">
        <v>2142</v>
      </c>
      <c r="BW12" s="8" t="s">
        <v>2143</v>
      </c>
      <c r="BX12" s="8" t="s">
        <v>3030</v>
      </c>
      <c r="BY12" s="8" t="s">
        <v>3056</v>
      </c>
      <c r="BZ12" s="8" t="str">
        <f>HYPERLINK("https%3A%2F%2Fwww.webofscience.com%2Fwos%2Fwoscc%2Ffull-record%2FWOS:000308466900005","View Full Record in Web of Science")</f>
        <v>View Full Record in Web of Science</v>
      </c>
    </row>
    <row r="13" ht="12.75" customHeight="1">
      <c r="A13" s="8" t="s">
        <v>3329</v>
      </c>
      <c r="B13" s="8" t="s">
        <v>3585</v>
      </c>
      <c r="C13" s="8" t="s">
        <v>2135</v>
      </c>
      <c r="D13" s="8" t="s">
        <v>2135</v>
      </c>
      <c r="E13" s="8" t="s">
        <v>2135</v>
      </c>
      <c r="F13" s="8" t="s">
        <v>3586</v>
      </c>
      <c r="G13" s="8" t="s">
        <v>2135</v>
      </c>
      <c r="H13" s="8" t="s">
        <v>2135</v>
      </c>
      <c r="I13" s="8" t="s">
        <v>154</v>
      </c>
      <c r="J13" s="8" t="s">
        <v>3587</v>
      </c>
      <c r="K13" s="8" t="s">
        <v>2135</v>
      </c>
      <c r="L13" s="8" t="s">
        <v>2135</v>
      </c>
      <c r="M13" s="8" t="s">
        <v>3332</v>
      </c>
      <c r="N13" s="8" t="s">
        <v>3333</v>
      </c>
      <c r="O13" s="8" t="s">
        <v>2135</v>
      </c>
      <c r="P13" s="8" t="s">
        <v>2135</v>
      </c>
      <c r="Q13" s="8" t="s">
        <v>2135</v>
      </c>
      <c r="R13" s="8" t="s">
        <v>2135</v>
      </c>
      <c r="S13" s="8" t="s">
        <v>2135</v>
      </c>
      <c r="T13" s="8" t="s">
        <v>3588</v>
      </c>
      <c r="U13" s="8" t="s">
        <v>3589</v>
      </c>
      <c r="V13" s="8" t="s">
        <v>3590</v>
      </c>
      <c r="W13" s="8" t="s">
        <v>3591</v>
      </c>
      <c r="X13" s="8" t="s">
        <v>3592</v>
      </c>
      <c r="Y13" s="8" t="s">
        <v>3593</v>
      </c>
      <c r="Z13" s="8" t="s">
        <v>2135</v>
      </c>
      <c r="AA13" s="8" t="s">
        <v>3594</v>
      </c>
      <c r="AB13" s="8" t="s">
        <v>3595</v>
      </c>
      <c r="AC13" s="8" t="s">
        <v>3596</v>
      </c>
      <c r="AD13" s="8" t="s">
        <v>3596</v>
      </c>
      <c r="AE13" s="8" t="s">
        <v>3597</v>
      </c>
      <c r="AF13" s="8" t="s">
        <v>2135</v>
      </c>
      <c r="AG13" s="8">
        <v>44.0</v>
      </c>
      <c r="AH13" s="8">
        <v>11.0</v>
      </c>
      <c r="AI13" s="8">
        <v>19.0</v>
      </c>
      <c r="AJ13" s="8">
        <v>0.0</v>
      </c>
      <c r="AK13" s="8">
        <v>24.0</v>
      </c>
      <c r="AL13" s="8" t="s">
        <v>3598</v>
      </c>
      <c r="AM13" s="8" t="s">
        <v>3599</v>
      </c>
      <c r="AN13" s="8" t="s">
        <v>3600</v>
      </c>
      <c r="AO13" s="8" t="s">
        <v>3601</v>
      </c>
      <c r="AP13" s="8" t="s">
        <v>2135</v>
      </c>
      <c r="AQ13" s="8" t="s">
        <v>2135</v>
      </c>
      <c r="AR13" s="8" t="s">
        <v>3602</v>
      </c>
      <c r="AS13" s="8" t="s">
        <v>3603</v>
      </c>
      <c r="AT13" s="8" t="s">
        <v>2135</v>
      </c>
      <c r="AU13" s="8">
        <v>2014.0</v>
      </c>
      <c r="AV13" s="8">
        <v>37.0</v>
      </c>
      <c r="AW13" s="8">
        <v>1.0</v>
      </c>
      <c r="AX13" s="8" t="s">
        <v>2135</v>
      </c>
      <c r="AY13" s="8" t="s">
        <v>2135</v>
      </c>
      <c r="AZ13" s="8" t="s">
        <v>2135</v>
      </c>
      <c r="BA13" s="8" t="s">
        <v>2135</v>
      </c>
      <c r="BB13" s="8">
        <v>69.0</v>
      </c>
      <c r="BC13" s="8">
        <v>76.0</v>
      </c>
      <c r="BD13" s="8" t="s">
        <v>2135</v>
      </c>
      <c r="BE13" s="8" t="s">
        <v>2135</v>
      </c>
      <c r="BF13" s="8" t="s">
        <v>2135</v>
      </c>
      <c r="BG13" s="8" t="s">
        <v>2135</v>
      </c>
      <c r="BH13" s="8" t="s">
        <v>2135</v>
      </c>
      <c r="BI13" s="8">
        <v>8.0</v>
      </c>
      <c r="BJ13" s="8" t="s">
        <v>3604</v>
      </c>
      <c r="BK13" s="8" t="s">
        <v>3352</v>
      </c>
      <c r="BL13" s="8" t="s">
        <v>3605</v>
      </c>
      <c r="BM13" s="8" t="s">
        <v>3606</v>
      </c>
      <c r="BN13" s="8" t="s">
        <v>2135</v>
      </c>
      <c r="BO13" s="8" t="s">
        <v>2135</v>
      </c>
      <c r="BP13" s="8" t="s">
        <v>2135</v>
      </c>
      <c r="BQ13" s="8" t="s">
        <v>2135</v>
      </c>
      <c r="BR13" s="8" t="s">
        <v>3355</v>
      </c>
      <c r="BS13" s="8" t="s">
        <v>3607</v>
      </c>
      <c r="BT13" s="8" t="s">
        <v>2356</v>
      </c>
      <c r="BU13" s="8" t="s">
        <v>2283</v>
      </c>
      <c r="BV13" s="8" t="s">
        <v>2357</v>
      </c>
      <c r="BW13" s="8" t="s">
        <v>2361</v>
      </c>
      <c r="BX13" s="8" t="s">
        <v>3111</v>
      </c>
      <c r="BY13" s="8" t="s">
        <v>3112</v>
      </c>
      <c r="BZ13" s="8" t="str">
        <f>HYPERLINK("https%3A%2F%2Fwww.webofscience.com%2Fwos%2Fwoscc%2Ffull-record%2FWOS:000341223500007","View Full Record in Web of Science")</f>
        <v>View Full Record in Web of Science</v>
      </c>
    </row>
    <row r="14" ht="12.75" customHeight="1">
      <c r="A14" s="8" t="s">
        <v>3329</v>
      </c>
      <c r="B14" s="8" t="s">
        <v>3608</v>
      </c>
      <c r="C14" s="8" t="s">
        <v>2135</v>
      </c>
      <c r="D14" s="8" t="s">
        <v>2135</v>
      </c>
      <c r="E14" s="8" t="s">
        <v>2135</v>
      </c>
      <c r="F14" s="8" t="s">
        <v>3609</v>
      </c>
      <c r="G14" s="8" t="s">
        <v>2135</v>
      </c>
      <c r="H14" s="8" t="s">
        <v>2135</v>
      </c>
      <c r="I14" s="8" t="s">
        <v>157</v>
      </c>
      <c r="J14" s="8" t="s">
        <v>3610</v>
      </c>
      <c r="K14" s="8" t="s">
        <v>2135</v>
      </c>
      <c r="L14" s="8" t="s">
        <v>2135</v>
      </c>
      <c r="M14" s="8" t="s">
        <v>3332</v>
      </c>
      <c r="N14" s="8" t="s">
        <v>3333</v>
      </c>
      <c r="O14" s="8" t="s">
        <v>2135</v>
      </c>
      <c r="P14" s="8" t="s">
        <v>2135</v>
      </c>
      <c r="Q14" s="8" t="s">
        <v>2135</v>
      </c>
      <c r="R14" s="8" t="s">
        <v>2135</v>
      </c>
      <c r="S14" s="8" t="s">
        <v>2135</v>
      </c>
      <c r="T14" s="8" t="s">
        <v>3611</v>
      </c>
      <c r="U14" s="8" t="s">
        <v>3612</v>
      </c>
      <c r="V14" s="8" t="s">
        <v>3613</v>
      </c>
      <c r="W14" s="8" t="s">
        <v>3614</v>
      </c>
      <c r="X14" s="8" t="s">
        <v>3615</v>
      </c>
      <c r="Y14" s="8" t="s">
        <v>3616</v>
      </c>
      <c r="Z14" s="8" t="s">
        <v>3617</v>
      </c>
      <c r="AA14" s="8" t="s">
        <v>3618</v>
      </c>
      <c r="AB14" s="8" t="s">
        <v>3619</v>
      </c>
      <c r="AC14" s="8" t="s">
        <v>3620</v>
      </c>
      <c r="AD14" s="8" t="s">
        <v>3621</v>
      </c>
      <c r="AE14" s="8" t="s">
        <v>3622</v>
      </c>
      <c r="AF14" s="8" t="s">
        <v>2135</v>
      </c>
      <c r="AG14" s="8">
        <v>49.0</v>
      </c>
      <c r="AH14" s="8">
        <v>32.0</v>
      </c>
      <c r="AI14" s="8">
        <v>37.0</v>
      </c>
      <c r="AJ14" s="8">
        <v>0.0</v>
      </c>
      <c r="AK14" s="8">
        <v>51.0</v>
      </c>
      <c r="AL14" s="8" t="s">
        <v>3623</v>
      </c>
      <c r="AM14" s="8" t="s">
        <v>3624</v>
      </c>
      <c r="AN14" s="8" t="s">
        <v>3625</v>
      </c>
      <c r="AO14" s="8" t="s">
        <v>3626</v>
      </c>
      <c r="AP14" s="8" t="s">
        <v>2135</v>
      </c>
      <c r="AQ14" s="8" t="s">
        <v>2135</v>
      </c>
      <c r="AR14" s="8" t="s">
        <v>3627</v>
      </c>
      <c r="AS14" s="8" t="s">
        <v>3628</v>
      </c>
      <c r="AT14" s="8" t="s">
        <v>3629</v>
      </c>
      <c r="AU14" s="8">
        <v>2012.0</v>
      </c>
      <c r="AV14" s="8">
        <v>76.0</v>
      </c>
      <c r="AW14" s="8" t="s">
        <v>2135</v>
      </c>
      <c r="AX14" s="8" t="s">
        <v>2135</v>
      </c>
      <c r="AY14" s="8" t="s">
        <v>2135</v>
      </c>
      <c r="AZ14" s="8" t="s">
        <v>2135</v>
      </c>
      <c r="BA14" s="8" t="s">
        <v>2135</v>
      </c>
      <c r="BB14" s="8">
        <v>43.0</v>
      </c>
      <c r="BC14" s="8">
        <v>48.0</v>
      </c>
      <c r="BD14" s="8" t="s">
        <v>2135</v>
      </c>
      <c r="BE14" s="8" t="s">
        <v>3630</v>
      </c>
      <c r="BF14" s="13" t="str">
        <f>HYPERLINK("http://dx.doi.org/10.1016/j.jaridenv.2011.08.004","http://dx.doi.org/10.1016/j.jaridenv.2011.08.004")</f>
        <v>http://dx.doi.org/10.1016/j.jaridenv.2011.08.004</v>
      </c>
      <c r="BG14" s="8" t="s">
        <v>2135</v>
      </c>
      <c r="BH14" s="8" t="s">
        <v>2135</v>
      </c>
      <c r="BI14" s="8">
        <v>6.0</v>
      </c>
      <c r="BJ14" s="8" t="s">
        <v>3631</v>
      </c>
      <c r="BK14" s="8" t="s">
        <v>3352</v>
      </c>
      <c r="BL14" s="8" t="s">
        <v>3632</v>
      </c>
      <c r="BM14" s="8" t="s">
        <v>3633</v>
      </c>
      <c r="BN14" s="8" t="s">
        <v>2135</v>
      </c>
      <c r="BO14" s="8" t="s">
        <v>2135</v>
      </c>
      <c r="BP14" s="8" t="s">
        <v>2135</v>
      </c>
      <c r="BQ14" s="8" t="s">
        <v>2135</v>
      </c>
      <c r="BR14" s="8" t="s">
        <v>3355</v>
      </c>
      <c r="BS14" s="8" t="s">
        <v>3634</v>
      </c>
      <c r="BT14" s="8" t="s">
        <v>2497</v>
      </c>
      <c r="BU14" s="8" t="s">
        <v>2142</v>
      </c>
      <c r="BW14" s="8" t="s">
        <v>2311</v>
      </c>
      <c r="BX14" s="8" t="s">
        <v>3145</v>
      </c>
      <c r="BY14" s="8" t="s">
        <v>3146</v>
      </c>
      <c r="BZ14" s="8" t="str">
        <f>HYPERLINK("https%3A%2F%2Fwww.webofscience.com%2Fwos%2Fwoscc%2Ffull-record%2FWOS:000297139700007","View Full Record in Web of Science")</f>
        <v>View Full Record in Web of Science</v>
      </c>
    </row>
    <row r="15" ht="12.75" customHeight="1">
      <c r="A15" s="8" t="s">
        <v>3329</v>
      </c>
      <c r="B15" s="8" t="s">
        <v>3635</v>
      </c>
      <c r="C15" s="8" t="s">
        <v>2135</v>
      </c>
      <c r="D15" s="8" t="s">
        <v>2135</v>
      </c>
      <c r="E15" s="8" t="s">
        <v>2135</v>
      </c>
      <c r="F15" s="8" t="s">
        <v>3636</v>
      </c>
      <c r="G15" s="8" t="s">
        <v>2135</v>
      </c>
      <c r="H15" s="8" t="s">
        <v>2135</v>
      </c>
      <c r="I15" s="8" t="s">
        <v>207</v>
      </c>
      <c r="J15" s="8" t="s">
        <v>3637</v>
      </c>
      <c r="K15" s="8" t="s">
        <v>2135</v>
      </c>
      <c r="L15" s="8" t="s">
        <v>2135</v>
      </c>
      <c r="M15" s="8" t="s">
        <v>3332</v>
      </c>
      <c r="N15" s="8" t="s">
        <v>3333</v>
      </c>
      <c r="O15" s="8" t="s">
        <v>2135</v>
      </c>
      <c r="P15" s="8" t="s">
        <v>2135</v>
      </c>
      <c r="Q15" s="8" t="s">
        <v>2135</v>
      </c>
      <c r="R15" s="8" t="s">
        <v>2135</v>
      </c>
      <c r="S15" s="8" t="s">
        <v>2135</v>
      </c>
      <c r="T15" s="8" t="s">
        <v>2135</v>
      </c>
      <c r="U15" s="8" t="s">
        <v>3638</v>
      </c>
      <c r="V15" s="8" t="s">
        <v>3639</v>
      </c>
      <c r="W15" s="8" t="s">
        <v>3640</v>
      </c>
      <c r="X15" s="8" t="s">
        <v>3641</v>
      </c>
      <c r="Y15" s="8" t="s">
        <v>3642</v>
      </c>
      <c r="Z15" s="8" t="s">
        <v>3643</v>
      </c>
      <c r="AA15" s="8" t="s">
        <v>3644</v>
      </c>
      <c r="AB15" s="8" t="s">
        <v>3645</v>
      </c>
      <c r="AC15" s="8" t="s">
        <v>3646</v>
      </c>
      <c r="AD15" s="8" t="s">
        <v>3646</v>
      </c>
      <c r="AE15" s="8" t="s">
        <v>3647</v>
      </c>
      <c r="AF15" s="8" t="s">
        <v>2135</v>
      </c>
      <c r="AG15" s="8">
        <v>55.0</v>
      </c>
      <c r="AH15" s="8">
        <v>13.0</v>
      </c>
      <c r="AI15" s="8">
        <v>21.0</v>
      </c>
      <c r="AJ15" s="8">
        <v>0.0</v>
      </c>
      <c r="AK15" s="8">
        <v>33.0</v>
      </c>
      <c r="AL15" s="8" t="s">
        <v>3648</v>
      </c>
      <c r="AM15" s="8" t="s">
        <v>3649</v>
      </c>
      <c r="AN15" s="8" t="s">
        <v>3650</v>
      </c>
      <c r="AO15" s="8" t="s">
        <v>3651</v>
      </c>
      <c r="AP15" s="8" t="s">
        <v>2135</v>
      </c>
      <c r="AQ15" s="8" t="s">
        <v>2135</v>
      </c>
      <c r="AR15" s="8" t="s">
        <v>3637</v>
      </c>
      <c r="AS15" s="8" t="s">
        <v>3652</v>
      </c>
      <c r="AT15" s="8" t="s">
        <v>3653</v>
      </c>
      <c r="AU15" s="8">
        <v>2018.0</v>
      </c>
      <c r="AV15" s="8">
        <v>13.0</v>
      </c>
      <c r="AW15" s="8">
        <v>4.0</v>
      </c>
      <c r="AX15" s="8" t="s">
        <v>2135</v>
      </c>
      <c r="AY15" s="8" t="s">
        <v>2135</v>
      </c>
      <c r="AZ15" s="8" t="s">
        <v>2135</v>
      </c>
      <c r="BA15" s="8" t="s">
        <v>2135</v>
      </c>
      <c r="BB15" s="8" t="s">
        <v>2135</v>
      </c>
      <c r="BC15" s="8" t="s">
        <v>2135</v>
      </c>
      <c r="BD15" s="8" t="s">
        <v>3654</v>
      </c>
      <c r="BE15" s="8" t="s">
        <v>3655</v>
      </c>
      <c r="BF15" s="13" t="str">
        <f>HYPERLINK("http://dx.doi.org/10.1371/journal.pone.0195311","http://dx.doi.org/10.1371/journal.pone.0195311")</f>
        <v>http://dx.doi.org/10.1371/journal.pone.0195311</v>
      </c>
      <c r="BG15" s="8" t="s">
        <v>2135</v>
      </c>
      <c r="BH15" s="8" t="s">
        <v>2135</v>
      </c>
      <c r="BI15" s="8">
        <v>18.0</v>
      </c>
      <c r="BJ15" s="8" t="s">
        <v>3656</v>
      </c>
      <c r="BK15" s="8" t="s">
        <v>3352</v>
      </c>
      <c r="BL15" s="8" t="s">
        <v>3657</v>
      </c>
      <c r="BM15" s="8" t="s">
        <v>3658</v>
      </c>
      <c r="BN15" s="8">
        <v>2.9659594E7</v>
      </c>
      <c r="BO15" s="8" t="s">
        <v>3659</v>
      </c>
      <c r="BP15" s="8" t="s">
        <v>2135</v>
      </c>
      <c r="BQ15" s="8" t="s">
        <v>2135</v>
      </c>
      <c r="BR15" s="8" t="s">
        <v>3355</v>
      </c>
      <c r="BS15" s="8" t="s">
        <v>3660</v>
      </c>
      <c r="BT15" s="8" t="s">
        <v>2185</v>
      </c>
      <c r="BU15" s="8" t="s">
        <v>2147</v>
      </c>
      <c r="BW15" s="8" t="s">
        <v>2196</v>
      </c>
      <c r="BX15" s="8" t="s">
        <v>2973</v>
      </c>
      <c r="BY15" s="8" t="s">
        <v>2965</v>
      </c>
      <c r="BZ15" s="8" t="str">
        <f>HYPERLINK("https%3A%2F%2Fwww.webofscience.com%2Fwos%2Fwoscc%2Ffull-record%2FWOS:000430061100013","View Full Record in Web of Science")</f>
        <v>View Full Record in Web of Science</v>
      </c>
    </row>
    <row r="16" ht="12.75" customHeight="1">
      <c r="A16" s="8" t="s">
        <v>3329</v>
      </c>
      <c r="B16" s="8" t="s">
        <v>3661</v>
      </c>
      <c r="C16" s="8" t="s">
        <v>2135</v>
      </c>
      <c r="D16" s="8" t="s">
        <v>2135</v>
      </c>
      <c r="E16" s="8" t="s">
        <v>2135</v>
      </c>
      <c r="F16" s="8" t="s">
        <v>3662</v>
      </c>
      <c r="G16" s="8" t="s">
        <v>2135</v>
      </c>
      <c r="H16" s="8" t="s">
        <v>2135</v>
      </c>
      <c r="I16" s="8" t="s">
        <v>203</v>
      </c>
      <c r="J16" s="8" t="s">
        <v>3663</v>
      </c>
      <c r="K16" s="8" t="s">
        <v>2135</v>
      </c>
      <c r="L16" s="8" t="s">
        <v>2135</v>
      </c>
      <c r="M16" s="8" t="s">
        <v>3332</v>
      </c>
      <c r="N16" s="8" t="s">
        <v>3333</v>
      </c>
      <c r="O16" s="8" t="s">
        <v>2135</v>
      </c>
      <c r="P16" s="8" t="s">
        <v>2135</v>
      </c>
      <c r="Q16" s="8" t="s">
        <v>2135</v>
      </c>
      <c r="R16" s="8" t="s">
        <v>2135</v>
      </c>
      <c r="S16" s="8" t="s">
        <v>2135</v>
      </c>
      <c r="T16" s="8" t="s">
        <v>3664</v>
      </c>
      <c r="U16" s="8" t="s">
        <v>3665</v>
      </c>
      <c r="V16" s="8" t="s">
        <v>3666</v>
      </c>
      <c r="W16" s="8" t="s">
        <v>3667</v>
      </c>
      <c r="X16" s="8" t="s">
        <v>3668</v>
      </c>
      <c r="Y16" s="8" t="s">
        <v>3669</v>
      </c>
      <c r="Z16" s="8" t="s">
        <v>3670</v>
      </c>
      <c r="AA16" s="8" t="s">
        <v>3671</v>
      </c>
      <c r="AB16" s="8" t="s">
        <v>3672</v>
      </c>
      <c r="AC16" s="8" t="s">
        <v>3673</v>
      </c>
      <c r="AD16" s="8" t="s">
        <v>3674</v>
      </c>
      <c r="AE16" s="8" t="s">
        <v>3675</v>
      </c>
      <c r="AF16" s="8" t="s">
        <v>2135</v>
      </c>
      <c r="AG16" s="8">
        <v>52.0</v>
      </c>
      <c r="AH16" s="8">
        <v>4.0</v>
      </c>
      <c r="AI16" s="8">
        <v>4.0</v>
      </c>
      <c r="AJ16" s="8">
        <v>1.0</v>
      </c>
      <c r="AK16" s="8">
        <v>26.0</v>
      </c>
      <c r="AL16" s="8" t="s">
        <v>3342</v>
      </c>
      <c r="AM16" s="8" t="s">
        <v>3343</v>
      </c>
      <c r="AN16" s="8" t="s">
        <v>3344</v>
      </c>
      <c r="AO16" s="8" t="s">
        <v>3676</v>
      </c>
      <c r="AP16" s="8" t="s">
        <v>3677</v>
      </c>
      <c r="AQ16" s="8" t="s">
        <v>2135</v>
      </c>
      <c r="AR16" s="8" t="s">
        <v>3678</v>
      </c>
      <c r="AS16" s="8" t="s">
        <v>3679</v>
      </c>
      <c r="AT16" s="8" t="s">
        <v>3440</v>
      </c>
      <c r="AU16" s="8">
        <v>2017.0</v>
      </c>
      <c r="AV16" s="8">
        <v>32.0</v>
      </c>
      <c r="AW16" s="8">
        <v>6.0</v>
      </c>
      <c r="AX16" s="8" t="s">
        <v>2135</v>
      </c>
      <c r="AY16" s="8" t="s">
        <v>2135</v>
      </c>
      <c r="AZ16" s="8" t="s">
        <v>2135</v>
      </c>
      <c r="BA16" s="8" t="s">
        <v>2135</v>
      </c>
      <c r="BB16" s="8">
        <v>899.0</v>
      </c>
      <c r="BC16" s="8">
        <v>908.0</v>
      </c>
      <c r="BD16" s="8" t="s">
        <v>2135</v>
      </c>
      <c r="BE16" s="8" t="s">
        <v>3680</v>
      </c>
      <c r="BF16" s="13" t="str">
        <f>HYPERLINK("http://dx.doi.org/10.1007/s11284-017-1496-6","http://dx.doi.org/10.1007/s11284-017-1496-6")</f>
        <v>http://dx.doi.org/10.1007/s11284-017-1496-6</v>
      </c>
      <c r="BG16" s="8" t="s">
        <v>2135</v>
      </c>
      <c r="BH16" s="8" t="s">
        <v>2135</v>
      </c>
      <c r="BI16" s="8">
        <v>10.0</v>
      </c>
      <c r="BJ16" s="8" t="s">
        <v>3681</v>
      </c>
      <c r="BK16" s="8" t="s">
        <v>3352</v>
      </c>
      <c r="BL16" s="8" t="s">
        <v>3632</v>
      </c>
      <c r="BM16" s="8" t="s">
        <v>3682</v>
      </c>
      <c r="BN16" s="8" t="s">
        <v>2135</v>
      </c>
      <c r="BO16" s="8" t="s">
        <v>3425</v>
      </c>
      <c r="BP16" s="8" t="s">
        <v>2135</v>
      </c>
      <c r="BQ16" s="8" t="s">
        <v>2135</v>
      </c>
      <c r="BR16" s="8" t="s">
        <v>3355</v>
      </c>
      <c r="BS16" s="8" t="s">
        <v>3683</v>
      </c>
      <c r="BT16" s="8" t="s">
        <v>2365</v>
      </c>
      <c r="BU16" s="8" t="s">
        <v>2283</v>
      </c>
      <c r="BW16" s="8" t="s">
        <v>2358</v>
      </c>
      <c r="BX16" s="8" t="s">
        <v>2964</v>
      </c>
      <c r="BY16" s="8" t="s">
        <v>2965</v>
      </c>
      <c r="BZ16" s="8" t="str">
        <f>HYPERLINK("https%3A%2F%2Fwww.webofscience.com%2Fwos%2Fwoscc%2Ffull-record%2FWOS:000415248500015","View Full Record in Web of Science")</f>
        <v>View Full Record in Web of Science</v>
      </c>
    </row>
    <row r="17" ht="12.75" customHeight="1">
      <c r="A17" s="8" t="s">
        <v>3329</v>
      </c>
      <c r="B17" s="8" t="s">
        <v>3684</v>
      </c>
      <c r="C17" s="8" t="s">
        <v>2135</v>
      </c>
      <c r="D17" s="8" t="s">
        <v>2135</v>
      </c>
      <c r="E17" s="8" t="s">
        <v>2135</v>
      </c>
      <c r="F17" s="8" t="s">
        <v>3685</v>
      </c>
      <c r="G17" s="8" t="s">
        <v>2135</v>
      </c>
      <c r="H17" s="8" t="s">
        <v>2135</v>
      </c>
      <c r="I17" s="8" t="s">
        <v>200</v>
      </c>
      <c r="J17" s="8" t="s">
        <v>3518</v>
      </c>
      <c r="K17" s="8" t="s">
        <v>2135</v>
      </c>
      <c r="L17" s="8" t="s">
        <v>2135</v>
      </c>
      <c r="M17" s="8" t="s">
        <v>3332</v>
      </c>
      <c r="N17" s="8" t="s">
        <v>3333</v>
      </c>
      <c r="O17" s="8" t="s">
        <v>2135</v>
      </c>
      <c r="P17" s="8" t="s">
        <v>2135</v>
      </c>
      <c r="Q17" s="8" t="s">
        <v>2135</v>
      </c>
      <c r="R17" s="8" t="s">
        <v>2135</v>
      </c>
      <c r="S17" s="8" t="s">
        <v>2135</v>
      </c>
      <c r="T17" s="8" t="s">
        <v>3686</v>
      </c>
      <c r="U17" s="8" t="s">
        <v>3687</v>
      </c>
      <c r="V17" s="8" t="s">
        <v>3688</v>
      </c>
      <c r="W17" s="8" t="s">
        <v>3689</v>
      </c>
      <c r="X17" s="8" t="s">
        <v>3690</v>
      </c>
      <c r="Y17" s="8" t="s">
        <v>3691</v>
      </c>
      <c r="Z17" s="8" t="s">
        <v>3692</v>
      </c>
      <c r="AA17" s="8" t="s">
        <v>3693</v>
      </c>
      <c r="AB17" s="8" t="s">
        <v>3694</v>
      </c>
      <c r="AC17" s="8" t="s">
        <v>2135</v>
      </c>
      <c r="AD17" s="8" t="s">
        <v>2135</v>
      </c>
      <c r="AE17" s="8" t="s">
        <v>2135</v>
      </c>
      <c r="AF17" s="8" t="s">
        <v>2135</v>
      </c>
      <c r="AG17" s="8">
        <v>117.0</v>
      </c>
      <c r="AH17" s="8">
        <v>18.0</v>
      </c>
      <c r="AI17" s="8">
        <v>19.0</v>
      </c>
      <c r="AJ17" s="8">
        <v>2.0</v>
      </c>
      <c r="AK17" s="8">
        <v>17.0</v>
      </c>
      <c r="AL17" s="8" t="s">
        <v>3695</v>
      </c>
      <c r="AM17" s="8" t="s">
        <v>3696</v>
      </c>
      <c r="AN17" s="8" t="s">
        <v>3697</v>
      </c>
      <c r="AO17" s="8" t="s">
        <v>3530</v>
      </c>
      <c r="AP17" s="8" t="s">
        <v>3698</v>
      </c>
      <c r="AQ17" s="8" t="s">
        <v>2135</v>
      </c>
      <c r="AR17" s="8" t="s">
        <v>3531</v>
      </c>
      <c r="AS17" s="8" t="s">
        <v>3532</v>
      </c>
      <c r="AT17" s="8" t="s">
        <v>2135</v>
      </c>
      <c r="AU17" s="8">
        <v>2017.0</v>
      </c>
      <c r="AV17" s="8">
        <v>28.0</v>
      </c>
      <c r="AW17" s="8">
        <v>2.0</v>
      </c>
      <c r="AX17" s="8" t="s">
        <v>2135</v>
      </c>
      <c r="AY17" s="8" t="s">
        <v>2135</v>
      </c>
      <c r="AZ17" s="8" t="s">
        <v>2135</v>
      </c>
      <c r="BA17" s="8" t="s">
        <v>2135</v>
      </c>
      <c r="BB17" s="8">
        <v>247.0</v>
      </c>
      <c r="BC17" s="8">
        <v>252.0</v>
      </c>
      <c r="BD17" s="8" t="s">
        <v>2135</v>
      </c>
      <c r="BE17" s="8" t="s">
        <v>3699</v>
      </c>
      <c r="BF17" s="13" t="str">
        <f>HYPERLINK("http://dx.doi.org/10.4404/hystrix-00005-2017","http://dx.doi.org/10.4404/hystrix-00005-2017")</f>
        <v>http://dx.doi.org/10.4404/hystrix-00005-2017</v>
      </c>
      <c r="BG17" s="8" t="s">
        <v>2135</v>
      </c>
      <c r="BH17" s="8" t="s">
        <v>2135</v>
      </c>
      <c r="BI17" s="8">
        <v>6.0</v>
      </c>
      <c r="BJ17" s="8" t="s">
        <v>3397</v>
      </c>
      <c r="BK17" s="8" t="s">
        <v>3352</v>
      </c>
      <c r="BL17" s="8" t="s">
        <v>3397</v>
      </c>
      <c r="BM17" s="8" t="s">
        <v>3700</v>
      </c>
      <c r="BN17" s="8" t="s">
        <v>2135</v>
      </c>
      <c r="BO17" s="8" t="s">
        <v>2135</v>
      </c>
      <c r="BP17" s="8" t="s">
        <v>2135</v>
      </c>
      <c r="BQ17" s="8" t="s">
        <v>2135</v>
      </c>
      <c r="BR17" s="8" t="s">
        <v>3355</v>
      </c>
      <c r="BS17" s="8" t="s">
        <v>3701</v>
      </c>
      <c r="BT17" s="8" t="s">
        <v>2379</v>
      </c>
      <c r="BU17" s="8" t="s">
        <v>2142</v>
      </c>
      <c r="BW17" s="8" t="s">
        <v>2311</v>
      </c>
      <c r="BX17" s="8" t="s">
        <v>3147</v>
      </c>
      <c r="BY17" s="8" t="s">
        <v>2965</v>
      </c>
      <c r="BZ17" s="8" t="str">
        <f>HYPERLINK("https%3A%2F%2Fwww.webofscience.com%2Fwos%2Fwoscc%2Ffull-record%2FWOS:000450046400009","View Full Record in Web of Science")</f>
        <v>View Full Record in Web of Science</v>
      </c>
    </row>
    <row r="18" ht="12.75" customHeight="1">
      <c r="A18" s="8" t="s">
        <v>3329</v>
      </c>
      <c r="B18" s="8" t="s">
        <v>3702</v>
      </c>
      <c r="C18" s="8" t="s">
        <v>2135</v>
      </c>
      <c r="D18" s="8" t="s">
        <v>2135</v>
      </c>
      <c r="E18" s="8" t="s">
        <v>2135</v>
      </c>
      <c r="F18" s="8" t="s">
        <v>3703</v>
      </c>
      <c r="G18" s="8" t="s">
        <v>2135</v>
      </c>
      <c r="H18" s="8" t="s">
        <v>2135</v>
      </c>
      <c r="I18" s="8" t="s">
        <v>198</v>
      </c>
      <c r="J18" s="8" t="s">
        <v>3704</v>
      </c>
      <c r="K18" s="8" t="s">
        <v>2135</v>
      </c>
      <c r="L18" s="8" t="s">
        <v>2135</v>
      </c>
      <c r="M18" s="8" t="s">
        <v>3332</v>
      </c>
      <c r="N18" s="8" t="s">
        <v>3333</v>
      </c>
      <c r="O18" s="8" t="s">
        <v>2135</v>
      </c>
      <c r="P18" s="8" t="s">
        <v>2135</v>
      </c>
      <c r="Q18" s="8" t="s">
        <v>2135</v>
      </c>
      <c r="R18" s="8" t="s">
        <v>2135</v>
      </c>
      <c r="S18" s="8" t="s">
        <v>2135</v>
      </c>
      <c r="T18" s="8" t="s">
        <v>3705</v>
      </c>
      <c r="U18" s="8" t="s">
        <v>3706</v>
      </c>
      <c r="V18" s="8" t="s">
        <v>3707</v>
      </c>
      <c r="W18" s="8" t="s">
        <v>3708</v>
      </c>
      <c r="X18" s="8" t="s">
        <v>3709</v>
      </c>
      <c r="Y18" s="8" t="s">
        <v>3710</v>
      </c>
      <c r="Z18" s="8" t="s">
        <v>3711</v>
      </c>
      <c r="AA18" s="8" t="s">
        <v>3712</v>
      </c>
      <c r="AB18" s="8" t="s">
        <v>3713</v>
      </c>
      <c r="AC18" s="8" t="s">
        <v>3714</v>
      </c>
      <c r="AD18" s="8" t="s">
        <v>3715</v>
      </c>
      <c r="AE18" s="8" t="s">
        <v>3716</v>
      </c>
      <c r="AF18" s="8" t="s">
        <v>2135</v>
      </c>
      <c r="AG18" s="8">
        <v>45.0</v>
      </c>
      <c r="AH18" s="8">
        <v>10.0</v>
      </c>
      <c r="AI18" s="8">
        <v>13.0</v>
      </c>
      <c r="AJ18" s="8">
        <v>0.0</v>
      </c>
      <c r="AK18" s="8">
        <v>38.0</v>
      </c>
      <c r="AL18" s="8" t="s">
        <v>3505</v>
      </c>
      <c r="AM18" s="8" t="s">
        <v>3506</v>
      </c>
      <c r="AN18" s="8" t="s">
        <v>3507</v>
      </c>
      <c r="AO18" s="8" t="s">
        <v>3717</v>
      </c>
      <c r="AP18" s="8" t="s">
        <v>3718</v>
      </c>
      <c r="AQ18" s="8" t="s">
        <v>2135</v>
      </c>
      <c r="AR18" s="8" t="s">
        <v>3719</v>
      </c>
      <c r="AS18" s="8" t="s">
        <v>3720</v>
      </c>
      <c r="AT18" s="8" t="s">
        <v>3721</v>
      </c>
      <c r="AU18" s="8">
        <v>2016.0</v>
      </c>
      <c r="AV18" s="8">
        <v>81.0</v>
      </c>
      <c r="AW18" s="8">
        <v>2.0</v>
      </c>
      <c r="AX18" s="8" t="s">
        <v>2135</v>
      </c>
      <c r="AY18" s="8" t="s">
        <v>2135</v>
      </c>
      <c r="AZ18" s="8" t="s">
        <v>2135</v>
      </c>
      <c r="BA18" s="8" t="s">
        <v>2135</v>
      </c>
      <c r="BB18" s="8">
        <v>194.0</v>
      </c>
      <c r="BC18" s="8">
        <v>200.0</v>
      </c>
      <c r="BD18" s="8" t="s">
        <v>2135</v>
      </c>
      <c r="BE18" s="8" t="s">
        <v>3722</v>
      </c>
      <c r="BF18" s="13" t="str">
        <f>HYPERLINK("http://dx.doi.org/10.1016/j.mambio.2015.11.005","http://dx.doi.org/10.1016/j.mambio.2015.11.005")</f>
        <v>http://dx.doi.org/10.1016/j.mambio.2015.11.005</v>
      </c>
      <c r="BG18" s="8" t="s">
        <v>2135</v>
      </c>
      <c r="BH18" s="8" t="s">
        <v>2135</v>
      </c>
      <c r="BI18" s="8">
        <v>7.0</v>
      </c>
      <c r="BJ18" s="8" t="s">
        <v>3397</v>
      </c>
      <c r="BK18" s="8" t="s">
        <v>3352</v>
      </c>
      <c r="BL18" s="8" t="s">
        <v>3397</v>
      </c>
      <c r="BM18" s="8" t="s">
        <v>3723</v>
      </c>
      <c r="BN18" s="8" t="s">
        <v>2135</v>
      </c>
      <c r="BO18" s="8" t="s">
        <v>2135</v>
      </c>
      <c r="BP18" s="8" t="s">
        <v>2135</v>
      </c>
      <c r="BQ18" s="8" t="s">
        <v>2135</v>
      </c>
      <c r="BR18" s="8" t="s">
        <v>3355</v>
      </c>
      <c r="BS18" s="8" t="s">
        <v>3724</v>
      </c>
      <c r="BT18" s="8" t="s">
        <v>2471</v>
      </c>
      <c r="BU18" s="8" t="s">
        <v>2142</v>
      </c>
      <c r="BW18" s="8" t="s">
        <v>2311</v>
      </c>
      <c r="BX18" s="8" t="s">
        <v>3132</v>
      </c>
      <c r="BY18" s="8" t="s">
        <v>2965</v>
      </c>
      <c r="BZ18" s="8" t="str">
        <f>HYPERLINK("https%3A%2F%2Fwww.webofscience.com%2Fwos%2Fwoscc%2Ffull-record%2FWOS:000372379500011","View Full Record in Web of Science")</f>
        <v>View Full Record in Web of Science</v>
      </c>
    </row>
    <row r="19" ht="12.75" customHeight="1">
      <c r="A19" s="8" t="s">
        <v>3329</v>
      </c>
      <c r="B19" s="8" t="s">
        <v>3725</v>
      </c>
      <c r="C19" s="8" t="s">
        <v>2135</v>
      </c>
      <c r="D19" s="8" t="s">
        <v>2135</v>
      </c>
      <c r="E19" s="8" t="s">
        <v>2135</v>
      </c>
      <c r="F19" s="8" t="s">
        <v>3726</v>
      </c>
      <c r="G19" s="8" t="s">
        <v>2135</v>
      </c>
      <c r="H19" s="8" t="s">
        <v>2135</v>
      </c>
      <c r="I19" s="8" t="s">
        <v>196</v>
      </c>
      <c r="J19" s="8" t="s">
        <v>3467</v>
      </c>
      <c r="K19" s="8" t="s">
        <v>2135</v>
      </c>
      <c r="L19" s="8" t="s">
        <v>2135</v>
      </c>
      <c r="M19" s="8" t="s">
        <v>3332</v>
      </c>
      <c r="N19" s="8" t="s">
        <v>3333</v>
      </c>
      <c r="O19" s="8" t="s">
        <v>2135</v>
      </c>
      <c r="P19" s="8" t="s">
        <v>2135</v>
      </c>
      <c r="Q19" s="8" t="s">
        <v>2135</v>
      </c>
      <c r="R19" s="8" t="s">
        <v>2135</v>
      </c>
      <c r="S19" s="8" t="s">
        <v>2135</v>
      </c>
      <c r="T19" s="8" t="s">
        <v>3727</v>
      </c>
      <c r="U19" s="8" t="s">
        <v>3728</v>
      </c>
      <c r="V19" s="8" t="s">
        <v>3729</v>
      </c>
      <c r="W19" s="8" t="s">
        <v>3730</v>
      </c>
      <c r="X19" s="8" t="s">
        <v>3731</v>
      </c>
      <c r="Y19" s="8" t="s">
        <v>3732</v>
      </c>
      <c r="Z19" s="8" t="s">
        <v>3733</v>
      </c>
      <c r="AA19" s="8" t="s">
        <v>3734</v>
      </c>
      <c r="AB19" s="8" t="s">
        <v>3735</v>
      </c>
      <c r="AC19" s="8" t="s">
        <v>3736</v>
      </c>
      <c r="AD19" s="8" t="s">
        <v>3737</v>
      </c>
      <c r="AE19" s="8" t="s">
        <v>3738</v>
      </c>
      <c r="AF19" s="8" t="s">
        <v>2135</v>
      </c>
      <c r="AG19" s="8">
        <v>84.0</v>
      </c>
      <c r="AH19" s="8">
        <v>24.0</v>
      </c>
      <c r="AI19" s="8">
        <v>24.0</v>
      </c>
      <c r="AJ19" s="8">
        <v>1.0</v>
      </c>
      <c r="AK19" s="8">
        <v>84.0</v>
      </c>
      <c r="AL19" s="8" t="s">
        <v>3479</v>
      </c>
      <c r="AM19" s="8" t="s">
        <v>3480</v>
      </c>
      <c r="AN19" s="8" t="s">
        <v>3739</v>
      </c>
      <c r="AO19" s="8" t="s">
        <v>3482</v>
      </c>
      <c r="AP19" s="8" t="s">
        <v>3740</v>
      </c>
      <c r="AQ19" s="8" t="s">
        <v>2135</v>
      </c>
      <c r="AR19" s="8" t="s">
        <v>3483</v>
      </c>
      <c r="AS19" s="8" t="s">
        <v>3484</v>
      </c>
      <c r="AT19" s="8" t="s">
        <v>3741</v>
      </c>
      <c r="AU19" s="8">
        <v>2012.0</v>
      </c>
      <c r="AV19" s="8">
        <v>58.0</v>
      </c>
      <c r="AW19" s="8">
        <v>6.0</v>
      </c>
      <c r="AX19" s="8" t="s">
        <v>2135</v>
      </c>
      <c r="AY19" s="8" t="s">
        <v>2135</v>
      </c>
      <c r="AZ19" s="8" t="s">
        <v>2135</v>
      </c>
      <c r="BA19" s="8" t="s">
        <v>2135</v>
      </c>
      <c r="BB19" s="8">
        <v>909.0</v>
      </c>
      <c r="BC19" s="8">
        <v>922.0</v>
      </c>
      <c r="BD19" s="8" t="s">
        <v>2135</v>
      </c>
      <c r="BE19" s="8" t="s">
        <v>3742</v>
      </c>
      <c r="BF19" s="13" t="str">
        <f>HYPERLINK("http://dx.doi.org/10.1007/s10344-012-0634-2","http://dx.doi.org/10.1007/s10344-012-0634-2")</f>
        <v>http://dx.doi.org/10.1007/s10344-012-0634-2</v>
      </c>
      <c r="BG19" s="8" t="s">
        <v>2135</v>
      </c>
      <c r="BH19" s="8" t="s">
        <v>2135</v>
      </c>
      <c r="BI19" s="8">
        <v>14.0</v>
      </c>
      <c r="BJ19" s="8" t="s">
        <v>3442</v>
      </c>
      <c r="BK19" s="8" t="s">
        <v>3352</v>
      </c>
      <c r="BL19" s="8" t="s">
        <v>3443</v>
      </c>
      <c r="BM19" s="8" t="s">
        <v>3743</v>
      </c>
      <c r="BN19" s="8" t="s">
        <v>2135</v>
      </c>
      <c r="BO19" s="8" t="s">
        <v>2135</v>
      </c>
      <c r="BP19" s="8" t="s">
        <v>2135</v>
      </c>
      <c r="BQ19" s="8" t="s">
        <v>2135</v>
      </c>
      <c r="BR19" s="8" t="s">
        <v>3355</v>
      </c>
      <c r="BS19" s="8" t="s">
        <v>3744</v>
      </c>
      <c r="BT19" s="8" t="s">
        <v>2325</v>
      </c>
      <c r="BU19" s="8" t="s">
        <v>2142</v>
      </c>
      <c r="BW19" s="8" t="s">
        <v>2166</v>
      </c>
      <c r="BX19" s="8" t="s">
        <v>3132</v>
      </c>
      <c r="BY19" s="8" t="s">
        <v>2965</v>
      </c>
      <c r="BZ19" s="8" t="str">
        <f>HYPERLINK("https%3A%2F%2Fwww.webofscience.com%2Fwos%2Fwoscc%2Ffull-record%2FWOS:000311498000003","View Full Record in Web of Science")</f>
        <v>View Full Record in Web of Science</v>
      </c>
    </row>
    <row r="20" ht="12.75" customHeight="1">
      <c r="A20" s="8" t="s">
        <v>3329</v>
      </c>
      <c r="B20" s="8" t="s">
        <v>3745</v>
      </c>
      <c r="C20" s="8" t="s">
        <v>2135</v>
      </c>
      <c r="D20" s="8" t="s">
        <v>2135</v>
      </c>
      <c r="E20" s="8" t="s">
        <v>2135</v>
      </c>
      <c r="F20" s="8" t="s">
        <v>3746</v>
      </c>
      <c r="G20" s="8" t="s">
        <v>2135</v>
      </c>
      <c r="H20" s="8" t="s">
        <v>2135</v>
      </c>
      <c r="I20" s="8" t="s">
        <v>1437</v>
      </c>
      <c r="J20" s="8" t="s">
        <v>3747</v>
      </c>
      <c r="K20" s="8" t="s">
        <v>2135</v>
      </c>
      <c r="L20" s="8" t="s">
        <v>2135</v>
      </c>
      <c r="M20" s="8" t="s">
        <v>3332</v>
      </c>
      <c r="N20" s="8" t="s">
        <v>3333</v>
      </c>
      <c r="O20" s="8" t="s">
        <v>2135</v>
      </c>
      <c r="P20" s="8" t="s">
        <v>2135</v>
      </c>
      <c r="Q20" s="8" t="s">
        <v>2135</v>
      </c>
      <c r="R20" s="8" t="s">
        <v>2135</v>
      </c>
      <c r="S20" s="8" t="s">
        <v>2135</v>
      </c>
      <c r="T20" s="8" t="s">
        <v>3748</v>
      </c>
      <c r="U20" s="8" t="s">
        <v>3749</v>
      </c>
      <c r="V20" s="8" t="s">
        <v>3750</v>
      </c>
      <c r="W20" s="8" t="s">
        <v>3751</v>
      </c>
      <c r="X20" s="8" t="s">
        <v>3752</v>
      </c>
      <c r="Y20" s="8" t="s">
        <v>3753</v>
      </c>
      <c r="Z20" s="8" t="s">
        <v>3754</v>
      </c>
      <c r="AA20" s="8" t="s">
        <v>2135</v>
      </c>
      <c r="AB20" s="8" t="s">
        <v>3755</v>
      </c>
      <c r="AC20" s="8" t="s">
        <v>3756</v>
      </c>
      <c r="AD20" s="8" t="s">
        <v>3756</v>
      </c>
      <c r="AE20" s="8" t="s">
        <v>3757</v>
      </c>
      <c r="AF20" s="8" t="s">
        <v>2135</v>
      </c>
      <c r="AG20" s="8">
        <v>86.0</v>
      </c>
      <c r="AH20" s="8">
        <v>42.0</v>
      </c>
      <c r="AI20" s="8">
        <v>57.0</v>
      </c>
      <c r="AJ20" s="8">
        <v>2.0</v>
      </c>
      <c r="AK20" s="8">
        <v>193.0</v>
      </c>
      <c r="AL20" s="8" t="s">
        <v>3758</v>
      </c>
      <c r="AM20" s="8" t="s">
        <v>3759</v>
      </c>
      <c r="AN20" s="8" t="s">
        <v>3760</v>
      </c>
      <c r="AO20" s="8" t="s">
        <v>3761</v>
      </c>
      <c r="AP20" s="8" t="s">
        <v>3762</v>
      </c>
      <c r="AQ20" s="8" t="s">
        <v>2135</v>
      </c>
      <c r="AR20" s="8" t="s">
        <v>3763</v>
      </c>
      <c r="AS20" s="8" t="s">
        <v>3764</v>
      </c>
      <c r="AT20" s="8" t="s">
        <v>3765</v>
      </c>
      <c r="AU20" s="8">
        <v>2011.0</v>
      </c>
      <c r="AV20" s="8">
        <v>144.0</v>
      </c>
      <c r="AW20" s="8">
        <v>5.0</v>
      </c>
      <c r="AX20" s="8" t="s">
        <v>2135</v>
      </c>
      <c r="AY20" s="8" t="s">
        <v>2135</v>
      </c>
      <c r="AZ20" s="8" t="s">
        <v>2135</v>
      </c>
      <c r="BA20" s="8" t="s">
        <v>2135</v>
      </c>
      <c r="BB20" s="8">
        <v>1560.0</v>
      </c>
      <c r="BC20" s="8">
        <v>1566.0</v>
      </c>
      <c r="BD20" s="8" t="s">
        <v>2135</v>
      </c>
      <c r="BE20" s="8" t="s">
        <v>3766</v>
      </c>
      <c r="BF20" s="13" t="str">
        <f>HYPERLINK("http://dx.doi.org/10.1016/j.biocon.2011.01.025","http://dx.doi.org/10.1016/j.biocon.2011.01.025")</f>
        <v>http://dx.doi.org/10.1016/j.biocon.2011.01.025</v>
      </c>
      <c r="BG20" s="8" t="s">
        <v>2135</v>
      </c>
      <c r="BH20" s="8" t="s">
        <v>2135</v>
      </c>
      <c r="BI20" s="8">
        <v>7.0</v>
      </c>
      <c r="BJ20" s="8" t="s">
        <v>3351</v>
      </c>
      <c r="BK20" s="8" t="s">
        <v>3352</v>
      </c>
      <c r="BL20" s="8" t="s">
        <v>3353</v>
      </c>
      <c r="BM20" s="8" t="s">
        <v>3767</v>
      </c>
      <c r="BN20" s="8" t="s">
        <v>2135</v>
      </c>
      <c r="BO20" s="8" t="s">
        <v>2135</v>
      </c>
      <c r="BP20" s="8" t="s">
        <v>2135</v>
      </c>
      <c r="BQ20" s="8" t="s">
        <v>2135</v>
      </c>
      <c r="BR20" s="8" t="s">
        <v>3355</v>
      </c>
      <c r="BS20" s="8" t="s">
        <v>3768</v>
      </c>
      <c r="BT20" s="8" t="s">
        <v>2600</v>
      </c>
      <c r="BU20" s="8" t="s">
        <v>2147</v>
      </c>
      <c r="BV20" s="8" t="s">
        <v>2217</v>
      </c>
      <c r="BW20" s="8" t="s">
        <v>2601</v>
      </c>
      <c r="BY20" s="8" t="s">
        <v>2965</v>
      </c>
      <c r="BZ20" s="8" t="str">
        <f>HYPERLINK("https%3A%2F%2Fwww.webofscience.com%2Fwos%2Fwoscc%2Ffull-record%2FWOS:000292668200038","View Full Record in Web of Science")</f>
        <v>View Full Record in Web of Science</v>
      </c>
    </row>
    <row r="21" ht="12.75" customHeight="1">
      <c r="A21" s="8" t="s">
        <v>3329</v>
      </c>
      <c r="B21" s="8" t="s">
        <v>3769</v>
      </c>
      <c r="C21" s="8" t="s">
        <v>2135</v>
      </c>
      <c r="D21" s="8" t="s">
        <v>2135</v>
      </c>
      <c r="E21" s="8" t="s">
        <v>2135</v>
      </c>
      <c r="F21" s="8" t="s">
        <v>3770</v>
      </c>
      <c r="G21" s="8" t="s">
        <v>2135</v>
      </c>
      <c r="H21" s="8" t="s">
        <v>2135</v>
      </c>
      <c r="I21" s="8" t="s">
        <v>194</v>
      </c>
      <c r="J21" s="8" t="s">
        <v>3771</v>
      </c>
      <c r="K21" s="8" t="s">
        <v>2135</v>
      </c>
      <c r="L21" s="8" t="s">
        <v>2135</v>
      </c>
      <c r="M21" s="8" t="s">
        <v>3332</v>
      </c>
      <c r="N21" s="8" t="s">
        <v>3333</v>
      </c>
      <c r="O21" s="8" t="s">
        <v>2135</v>
      </c>
      <c r="P21" s="8" t="s">
        <v>2135</v>
      </c>
      <c r="Q21" s="8" t="s">
        <v>2135</v>
      </c>
      <c r="R21" s="8" t="s">
        <v>2135</v>
      </c>
      <c r="S21" s="8" t="s">
        <v>2135</v>
      </c>
      <c r="T21" s="8" t="s">
        <v>3772</v>
      </c>
      <c r="U21" s="8" t="s">
        <v>3773</v>
      </c>
      <c r="V21" s="8" t="s">
        <v>3774</v>
      </c>
      <c r="W21" s="8" t="s">
        <v>3775</v>
      </c>
      <c r="X21" s="8" t="s">
        <v>3776</v>
      </c>
      <c r="Y21" s="8" t="s">
        <v>3777</v>
      </c>
      <c r="Z21" s="8" t="s">
        <v>3778</v>
      </c>
      <c r="AA21" s="8" t="s">
        <v>3779</v>
      </c>
      <c r="AB21" s="8" t="s">
        <v>3780</v>
      </c>
      <c r="AC21" s="8" t="s">
        <v>3781</v>
      </c>
      <c r="AD21" s="8" t="s">
        <v>3782</v>
      </c>
      <c r="AE21" s="8" t="s">
        <v>3783</v>
      </c>
      <c r="AF21" s="8" t="s">
        <v>2135</v>
      </c>
      <c r="AG21" s="8">
        <v>37.0</v>
      </c>
      <c r="AH21" s="8">
        <v>30.0</v>
      </c>
      <c r="AI21" s="8">
        <v>36.0</v>
      </c>
      <c r="AJ21" s="8">
        <v>2.0</v>
      </c>
      <c r="AK21" s="8">
        <v>116.0</v>
      </c>
      <c r="AL21" s="8" t="s">
        <v>3784</v>
      </c>
      <c r="AM21" s="8" t="s">
        <v>3785</v>
      </c>
      <c r="AN21" s="8" t="s">
        <v>3786</v>
      </c>
      <c r="AO21" s="8" t="s">
        <v>3787</v>
      </c>
      <c r="AP21" s="8" t="s">
        <v>3788</v>
      </c>
      <c r="AQ21" s="8" t="s">
        <v>2135</v>
      </c>
      <c r="AR21" s="8" t="s">
        <v>3789</v>
      </c>
      <c r="AS21" s="8" t="s">
        <v>3790</v>
      </c>
      <c r="AT21" s="8" t="s">
        <v>3765</v>
      </c>
      <c r="AU21" s="8">
        <v>2011.0</v>
      </c>
      <c r="AV21" s="8">
        <v>19.0</v>
      </c>
      <c r="AW21" s="8">
        <v>2.0</v>
      </c>
      <c r="AX21" s="8" t="s">
        <v>2135</v>
      </c>
      <c r="AY21" s="8" t="s">
        <v>2135</v>
      </c>
      <c r="AZ21" s="8" t="s">
        <v>2135</v>
      </c>
      <c r="BA21" s="8" t="s">
        <v>2135</v>
      </c>
      <c r="BB21" s="8">
        <v>95.0</v>
      </c>
      <c r="BC21" s="8">
        <v>102.0</v>
      </c>
      <c r="BD21" s="8" t="s">
        <v>2135</v>
      </c>
      <c r="BE21" s="8" t="s">
        <v>3791</v>
      </c>
      <c r="BF21" s="13" t="str">
        <f>HYPERLINK("http://dx.doi.org/10.1016/j.jnc.2010.07.001","http://dx.doi.org/10.1016/j.jnc.2010.07.001")</f>
        <v>http://dx.doi.org/10.1016/j.jnc.2010.07.001</v>
      </c>
      <c r="BG21" s="8" t="s">
        <v>2135</v>
      </c>
      <c r="BH21" s="8" t="s">
        <v>2135</v>
      </c>
      <c r="BI21" s="8">
        <v>8.0</v>
      </c>
      <c r="BJ21" s="8" t="s">
        <v>3558</v>
      </c>
      <c r="BK21" s="8" t="s">
        <v>3352</v>
      </c>
      <c r="BL21" s="8" t="s">
        <v>3353</v>
      </c>
      <c r="BM21" s="8" t="s">
        <v>3792</v>
      </c>
      <c r="BN21" s="8" t="s">
        <v>2135</v>
      </c>
      <c r="BO21" s="8" t="s">
        <v>2135</v>
      </c>
      <c r="BP21" s="8" t="s">
        <v>2135</v>
      </c>
      <c r="BQ21" s="8" t="s">
        <v>2135</v>
      </c>
      <c r="BR21" s="8" t="s">
        <v>3355</v>
      </c>
      <c r="BS21" s="8" t="s">
        <v>3793</v>
      </c>
      <c r="BT21" s="8" t="s">
        <v>2304</v>
      </c>
      <c r="BU21" s="8" t="s">
        <v>2142</v>
      </c>
      <c r="BW21" s="8" t="s">
        <v>2143</v>
      </c>
      <c r="BX21" s="8" t="s">
        <v>2964</v>
      </c>
      <c r="BY21" s="8" t="s">
        <v>2965</v>
      </c>
      <c r="BZ21" s="8" t="str">
        <f>HYPERLINK("https%3A%2F%2Fwww.webofscience.com%2Fwos%2Fwoscc%2Ffull-record%2FWOS:000288156700005","View Full Record in Web of Science")</f>
        <v>View Full Record in Web of Science</v>
      </c>
    </row>
    <row r="22" ht="12.75" customHeight="1">
      <c r="A22" s="8" t="s">
        <v>3329</v>
      </c>
      <c r="B22" s="8" t="s">
        <v>3794</v>
      </c>
      <c r="C22" s="8" t="s">
        <v>2135</v>
      </c>
      <c r="D22" s="8" t="s">
        <v>2135</v>
      </c>
      <c r="E22" s="8" t="s">
        <v>2135</v>
      </c>
      <c r="F22" s="8" t="s">
        <v>3795</v>
      </c>
      <c r="G22" s="8" t="s">
        <v>2135</v>
      </c>
      <c r="H22" s="8" t="s">
        <v>2135</v>
      </c>
      <c r="I22" s="8" t="s">
        <v>191</v>
      </c>
      <c r="J22" s="8" t="s">
        <v>3796</v>
      </c>
      <c r="K22" s="8" t="s">
        <v>2135</v>
      </c>
      <c r="L22" s="8" t="s">
        <v>2135</v>
      </c>
      <c r="M22" s="8" t="s">
        <v>3332</v>
      </c>
      <c r="N22" s="8" t="s">
        <v>3492</v>
      </c>
      <c r="O22" s="8" t="s">
        <v>2135</v>
      </c>
      <c r="P22" s="8" t="s">
        <v>2135</v>
      </c>
      <c r="Q22" s="8" t="s">
        <v>2135</v>
      </c>
      <c r="R22" s="8" t="s">
        <v>2135</v>
      </c>
      <c r="S22" s="8" t="s">
        <v>2135</v>
      </c>
      <c r="T22" s="8" t="s">
        <v>3797</v>
      </c>
      <c r="U22" s="8" t="s">
        <v>3798</v>
      </c>
      <c r="V22" s="8" t="s">
        <v>3799</v>
      </c>
      <c r="W22" s="8" t="s">
        <v>3800</v>
      </c>
      <c r="X22" s="8" t="s">
        <v>3801</v>
      </c>
      <c r="Y22" s="8" t="s">
        <v>3802</v>
      </c>
      <c r="Z22" s="8" t="s">
        <v>3803</v>
      </c>
      <c r="AA22" s="8" t="s">
        <v>3804</v>
      </c>
      <c r="AB22" s="8" t="s">
        <v>3805</v>
      </c>
      <c r="AC22" s="8" t="s">
        <v>3806</v>
      </c>
      <c r="AD22" s="8" t="s">
        <v>3806</v>
      </c>
      <c r="AE22" s="8" t="s">
        <v>3807</v>
      </c>
      <c r="AF22" s="8" t="s">
        <v>2135</v>
      </c>
      <c r="AG22" s="8">
        <v>167.0</v>
      </c>
      <c r="AH22" s="8">
        <v>64.0</v>
      </c>
      <c r="AI22" s="8">
        <v>67.0</v>
      </c>
      <c r="AJ22" s="8">
        <v>0.0</v>
      </c>
      <c r="AK22" s="8">
        <v>71.0</v>
      </c>
      <c r="AL22" s="8" t="s">
        <v>3342</v>
      </c>
      <c r="AM22" s="8" t="s">
        <v>3343</v>
      </c>
      <c r="AN22" s="8" t="s">
        <v>3344</v>
      </c>
      <c r="AO22" s="8" t="s">
        <v>3808</v>
      </c>
      <c r="AP22" s="8" t="s">
        <v>3809</v>
      </c>
      <c r="AQ22" s="8" t="s">
        <v>2135</v>
      </c>
      <c r="AR22" s="8" t="s">
        <v>3810</v>
      </c>
      <c r="AS22" s="8" t="s">
        <v>3811</v>
      </c>
      <c r="AT22" s="8" t="s">
        <v>3556</v>
      </c>
      <c r="AU22" s="8">
        <v>2010.0</v>
      </c>
      <c r="AV22" s="8">
        <v>40.0</v>
      </c>
      <c r="AW22" s="8">
        <v>2.0</v>
      </c>
      <c r="AX22" s="8" t="s">
        <v>2135</v>
      </c>
      <c r="AY22" s="8" t="s">
        <v>2135</v>
      </c>
      <c r="AZ22" s="8" t="s">
        <v>2135</v>
      </c>
      <c r="BA22" s="8" t="s">
        <v>2135</v>
      </c>
      <c r="BB22" s="8">
        <v>125.0</v>
      </c>
      <c r="BC22" s="8">
        <v>154.0</v>
      </c>
      <c r="BD22" s="8" t="s">
        <v>2135</v>
      </c>
      <c r="BE22" s="8" t="s">
        <v>3812</v>
      </c>
      <c r="BF22" s="13" t="str">
        <f>HYPERLINK("http://dx.doi.org/10.1111/j.1365-2907.2009.00157.x","http://dx.doi.org/10.1111/j.1365-2907.2009.00157.x")</f>
        <v>http://dx.doi.org/10.1111/j.1365-2907.2009.00157.x</v>
      </c>
      <c r="BG22" s="8" t="s">
        <v>2135</v>
      </c>
      <c r="BH22" s="8" t="s">
        <v>2135</v>
      </c>
      <c r="BI22" s="8">
        <v>30.0</v>
      </c>
      <c r="BJ22" s="8" t="s">
        <v>3442</v>
      </c>
      <c r="BK22" s="8" t="s">
        <v>3352</v>
      </c>
      <c r="BL22" s="8" t="s">
        <v>3443</v>
      </c>
      <c r="BM22" s="8" t="s">
        <v>3813</v>
      </c>
      <c r="BN22" s="8" t="s">
        <v>2135</v>
      </c>
      <c r="BO22" s="8" t="s">
        <v>2135</v>
      </c>
      <c r="BP22" s="8" t="s">
        <v>2135</v>
      </c>
      <c r="BQ22" s="8" t="s">
        <v>2135</v>
      </c>
      <c r="BR22" s="8" t="s">
        <v>3355</v>
      </c>
      <c r="BS22" s="8" t="s">
        <v>3814</v>
      </c>
      <c r="BU22" s="8" t="s">
        <v>2142</v>
      </c>
      <c r="BW22" s="8" t="s">
        <v>2890</v>
      </c>
      <c r="BX22" s="8" t="s">
        <v>3132</v>
      </c>
      <c r="BY22" s="8" t="s">
        <v>2965</v>
      </c>
      <c r="BZ22" s="8" t="str">
        <f>HYPERLINK("https%3A%2F%2Fwww.webofscience.com%2Fwos%2Fwoscc%2Ffull-record%2FWOS:000275762100002","View Full Record in Web of Science")</f>
        <v>View Full Record in Web of Science</v>
      </c>
    </row>
    <row r="23" ht="12.75" customHeight="1">
      <c r="A23" s="8" t="s">
        <v>3329</v>
      </c>
      <c r="B23" s="8" t="s">
        <v>3815</v>
      </c>
      <c r="C23" s="8" t="s">
        <v>2135</v>
      </c>
      <c r="D23" s="8" t="s">
        <v>2135</v>
      </c>
      <c r="E23" s="8" t="s">
        <v>2135</v>
      </c>
      <c r="F23" s="8" t="s">
        <v>3816</v>
      </c>
      <c r="G23" s="8" t="s">
        <v>2135</v>
      </c>
      <c r="H23" s="8" t="s">
        <v>2135</v>
      </c>
      <c r="I23" s="8" t="s">
        <v>189</v>
      </c>
      <c r="J23" s="8" t="s">
        <v>3467</v>
      </c>
      <c r="K23" s="8" t="s">
        <v>2135</v>
      </c>
      <c r="L23" s="8" t="s">
        <v>2135</v>
      </c>
      <c r="M23" s="8" t="s">
        <v>3332</v>
      </c>
      <c r="N23" s="8" t="s">
        <v>3333</v>
      </c>
      <c r="O23" s="8" t="s">
        <v>2135</v>
      </c>
      <c r="P23" s="8" t="s">
        <v>2135</v>
      </c>
      <c r="Q23" s="8" t="s">
        <v>2135</v>
      </c>
      <c r="R23" s="8" t="s">
        <v>2135</v>
      </c>
      <c r="S23" s="8" t="s">
        <v>2135</v>
      </c>
      <c r="T23" s="8" t="s">
        <v>3817</v>
      </c>
      <c r="U23" s="8" t="s">
        <v>3818</v>
      </c>
      <c r="V23" s="8" t="s">
        <v>3819</v>
      </c>
      <c r="W23" s="8" t="s">
        <v>3820</v>
      </c>
      <c r="X23" s="8" t="s">
        <v>3821</v>
      </c>
      <c r="Y23" s="8" t="s">
        <v>3822</v>
      </c>
      <c r="Z23" s="8" t="s">
        <v>3823</v>
      </c>
      <c r="AA23" s="8" t="s">
        <v>3824</v>
      </c>
      <c r="AB23" s="8" t="s">
        <v>3825</v>
      </c>
      <c r="AC23" s="8" t="s">
        <v>2135</v>
      </c>
      <c r="AD23" s="8" t="s">
        <v>2135</v>
      </c>
      <c r="AE23" s="8" t="s">
        <v>2135</v>
      </c>
      <c r="AF23" s="8" t="s">
        <v>2135</v>
      </c>
      <c r="AG23" s="8">
        <v>47.0</v>
      </c>
      <c r="AH23" s="8">
        <v>13.0</v>
      </c>
      <c r="AI23" s="8">
        <v>19.0</v>
      </c>
      <c r="AJ23" s="8">
        <v>1.0</v>
      </c>
      <c r="AK23" s="8">
        <v>35.0</v>
      </c>
      <c r="AL23" s="8" t="s">
        <v>3479</v>
      </c>
      <c r="AM23" s="8" t="s">
        <v>3480</v>
      </c>
      <c r="AN23" s="8" t="s">
        <v>3739</v>
      </c>
      <c r="AO23" s="8" t="s">
        <v>3482</v>
      </c>
      <c r="AP23" s="8" t="s">
        <v>3740</v>
      </c>
      <c r="AQ23" s="8" t="s">
        <v>2135</v>
      </c>
      <c r="AR23" s="8" t="s">
        <v>3483</v>
      </c>
      <c r="AS23" s="8" t="s">
        <v>3484</v>
      </c>
      <c r="AT23" s="8" t="s">
        <v>3395</v>
      </c>
      <c r="AU23" s="8">
        <v>2009.0</v>
      </c>
      <c r="AV23" s="8">
        <v>55.0</v>
      </c>
      <c r="AW23" s="8">
        <v>4.0</v>
      </c>
      <c r="AX23" s="8" t="s">
        <v>2135</v>
      </c>
      <c r="AY23" s="8" t="s">
        <v>2135</v>
      </c>
      <c r="AZ23" s="8" t="s">
        <v>2135</v>
      </c>
      <c r="BA23" s="8" t="s">
        <v>2135</v>
      </c>
      <c r="BB23" s="8">
        <v>345.0</v>
      </c>
      <c r="BC23" s="8">
        <v>355.0</v>
      </c>
      <c r="BD23" s="8" t="s">
        <v>2135</v>
      </c>
      <c r="BE23" s="8" t="s">
        <v>3826</v>
      </c>
      <c r="BF23" s="13" t="str">
        <f>HYPERLINK("http://dx.doi.org/10.1007/s10344-009-0250-y","http://dx.doi.org/10.1007/s10344-009-0250-y")</f>
        <v>http://dx.doi.org/10.1007/s10344-009-0250-y</v>
      </c>
      <c r="BG23" s="8" t="s">
        <v>2135</v>
      </c>
      <c r="BH23" s="8" t="s">
        <v>2135</v>
      </c>
      <c r="BI23" s="8">
        <v>11.0</v>
      </c>
      <c r="BJ23" s="8" t="s">
        <v>3442</v>
      </c>
      <c r="BK23" s="8" t="s">
        <v>3352</v>
      </c>
      <c r="BL23" s="8" t="s">
        <v>3443</v>
      </c>
      <c r="BM23" s="8" t="s">
        <v>3827</v>
      </c>
      <c r="BN23" s="8" t="s">
        <v>2135</v>
      </c>
      <c r="BO23" s="8" t="s">
        <v>2135</v>
      </c>
      <c r="BP23" s="8" t="s">
        <v>2135</v>
      </c>
      <c r="BQ23" s="8" t="s">
        <v>2135</v>
      </c>
      <c r="BR23" s="8" t="s">
        <v>3355</v>
      </c>
      <c r="BS23" s="8" t="s">
        <v>3828</v>
      </c>
      <c r="BT23" s="8" t="s">
        <v>2471</v>
      </c>
      <c r="BU23" s="8" t="s">
        <v>2142</v>
      </c>
      <c r="BW23" s="8" t="s">
        <v>2143</v>
      </c>
      <c r="BX23" s="8" t="s">
        <v>2964</v>
      </c>
      <c r="BY23" s="8" t="s">
        <v>2965</v>
      </c>
      <c r="BZ23" s="8" t="str">
        <f>HYPERLINK("https%3A%2F%2Fwww.webofscience.com%2Fwos%2Fwoscc%2Ffull-record%2FWOS:000268309900004","View Full Record in Web of Science")</f>
        <v>View Full Record in Web of Science</v>
      </c>
    </row>
    <row r="24" ht="12.75" customHeight="1">
      <c r="A24" s="8" t="s">
        <v>3329</v>
      </c>
      <c r="B24" s="8" t="s">
        <v>3829</v>
      </c>
      <c r="C24" s="8" t="s">
        <v>2135</v>
      </c>
      <c r="D24" s="8" t="s">
        <v>2135</v>
      </c>
      <c r="E24" s="8" t="s">
        <v>2135</v>
      </c>
      <c r="F24" s="8" t="s">
        <v>3830</v>
      </c>
      <c r="G24" s="8" t="s">
        <v>2135</v>
      </c>
      <c r="H24" s="8" t="s">
        <v>2135</v>
      </c>
      <c r="I24" s="8" t="s">
        <v>186</v>
      </c>
      <c r="J24" s="8" t="s">
        <v>3831</v>
      </c>
      <c r="K24" s="8" t="s">
        <v>2135</v>
      </c>
      <c r="L24" s="8" t="s">
        <v>2135</v>
      </c>
      <c r="M24" s="8" t="s">
        <v>3332</v>
      </c>
      <c r="N24" s="8" t="s">
        <v>3333</v>
      </c>
      <c r="O24" s="8" t="s">
        <v>2135</v>
      </c>
      <c r="P24" s="8" t="s">
        <v>2135</v>
      </c>
      <c r="Q24" s="8" t="s">
        <v>2135</v>
      </c>
      <c r="R24" s="8" t="s">
        <v>2135</v>
      </c>
      <c r="S24" s="8" t="s">
        <v>2135</v>
      </c>
      <c r="T24" s="8" t="s">
        <v>2135</v>
      </c>
      <c r="U24" s="8" t="s">
        <v>3832</v>
      </c>
      <c r="V24" s="8" t="s">
        <v>3833</v>
      </c>
      <c r="W24" s="8" t="s">
        <v>3834</v>
      </c>
      <c r="X24" s="8" t="s">
        <v>3835</v>
      </c>
      <c r="Y24" s="8" t="s">
        <v>3836</v>
      </c>
      <c r="Z24" s="8" t="s">
        <v>3837</v>
      </c>
      <c r="AA24" s="8" t="s">
        <v>3838</v>
      </c>
      <c r="AB24" s="8" t="s">
        <v>3839</v>
      </c>
      <c r="AC24" s="8" t="s">
        <v>3840</v>
      </c>
      <c r="AD24" s="8" t="s">
        <v>3841</v>
      </c>
      <c r="AE24" s="8" t="s">
        <v>3842</v>
      </c>
      <c r="AF24" s="8" t="s">
        <v>2135</v>
      </c>
      <c r="AG24" s="8">
        <v>69.0</v>
      </c>
      <c r="AH24" s="8">
        <v>73.0</v>
      </c>
      <c r="AI24" s="8">
        <v>79.0</v>
      </c>
      <c r="AJ24" s="8">
        <v>0.0</v>
      </c>
      <c r="AK24" s="8">
        <v>76.0</v>
      </c>
      <c r="AL24" s="8" t="s">
        <v>3843</v>
      </c>
      <c r="AM24" s="8" t="s">
        <v>3844</v>
      </c>
      <c r="AN24" s="8" t="s">
        <v>3845</v>
      </c>
      <c r="AO24" s="8" t="s">
        <v>3846</v>
      </c>
      <c r="AP24" s="8" t="s">
        <v>3847</v>
      </c>
      <c r="AQ24" s="8" t="s">
        <v>2135</v>
      </c>
      <c r="AR24" s="8" t="s">
        <v>3848</v>
      </c>
      <c r="AS24" s="8" t="s">
        <v>3849</v>
      </c>
      <c r="AT24" s="8" t="s">
        <v>3462</v>
      </c>
      <c r="AU24" s="8">
        <v>2008.0</v>
      </c>
      <c r="AV24" s="8">
        <v>86.0</v>
      </c>
      <c r="AW24" s="8">
        <v>9.0</v>
      </c>
      <c r="AX24" s="8" t="s">
        <v>2135</v>
      </c>
      <c r="AY24" s="8" t="s">
        <v>2135</v>
      </c>
      <c r="AZ24" s="8" t="s">
        <v>2135</v>
      </c>
      <c r="BA24" s="8" t="s">
        <v>2135</v>
      </c>
      <c r="BB24" s="8">
        <v>983.0</v>
      </c>
      <c r="BC24" s="8">
        <v>991.0</v>
      </c>
      <c r="BD24" s="8" t="s">
        <v>2135</v>
      </c>
      <c r="BE24" s="8" t="s">
        <v>3850</v>
      </c>
      <c r="BF24" s="13" t="str">
        <f>HYPERLINK("http://dx.doi.org/10.1139/Z08-076","http://dx.doi.org/10.1139/Z08-076")</f>
        <v>http://dx.doi.org/10.1139/Z08-076</v>
      </c>
      <c r="BG24" s="8" t="s">
        <v>2135</v>
      </c>
      <c r="BH24" s="8" t="s">
        <v>2135</v>
      </c>
      <c r="BI24" s="8">
        <v>9.0</v>
      </c>
      <c r="BJ24" s="8" t="s">
        <v>3397</v>
      </c>
      <c r="BK24" s="8" t="s">
        <v>3352</v>
      </c>
      <c r="BL24" s="8" t="s">
        <v>3397</v>
      </c>
      <c r="BM24" s="8" t="s">
        <v>3851</v>
      </c>
      <c r="BN24" s="8" t="s">
        <v>2135</v>
      </c>
      <c r="BO24" s="8" t="s">
        <v>2135</v>
      </c>
      <c r="BP24" s="8" t="s">
        <v>2135</v>
      </c>
      <c r="BQ24" s="8" t="s">
        <v>2135</v>
      </c>
      <c r="BR24" s="8" t="s">
        <v>3355</v>
      </c>
      <c r="BS24" s="8" t="s">
        <v>3852</v>
      </c>
      <c r="BT24" s="8" t="s">
        <v>2325</v>
      </c>
      <c r="BU24" s="8" t="s">
        <v>2142</v>
      </c>
      <c r="BW24" s="8" t="s">
        <v>2166</v>
      </c>
      <c r="BX24" s="8" t="s">
        <v>3132</v>
      </c>
      <c r="BY24" s="8" t="s">
        <v>2965</v>
      </c>
      <c r="BZ24" s="8" t="str">
        <f>HYPERLINK("https%3A%2F%2Fwww.webofscience.com%2Fwos%2Fwoscc%2Ffull-record%2FWOS:000259833500006","View Full Record in Web of Science")</f>
        <v>View Full Record in Web of Science</v>
      </c>
    </row>
    <row r="25" ht="12.75" customHeight="1">
      <c r="A25" s="8" t="s">
        <v>3329</v>
      </c>
      <c r="B25" s="8" t="s">
        <v>3853</v>
      </c>
      <c r="C25" s="8" t="s">
        <v>2135</v>
      </c>
      <c r="D25" s="8" t="s">
        <v>2135</v>
      </c>
      <c r="E25" s="8" t="s">
        <v>2135</v>
      </c>
      <c r="F25" s="8" t="s">
        <v>3854</v>
      </c>
      <c r="G25" s="8" t="s">
        <v>2135</v>
      </c>
      <c r="H25" s="8" t="s">
        <v>2135</v>
      </c>
      <c r="I25" s="8" t="s">
        <v>183</v>
      </c>
      <c r="J25" s="8" t="s">
        <v>3855</v>
      </c>
      <c r="K25" s="8" t="s">
        <v>2135</v>
      </c>
      <c r="L25" s="8" t="s">
        <v>2135</v>
      </c>
      <c r="M25" s="8" t="s">
        <v>3332</v>
      </c>
      <c r="N25" s="8" t="s">
        <v>3333</v>
      </c>
      <c r="O25" s="8" t="s">
        <v>2135</v>
      </c>
      <c r="P25" s="8" t="s">
        <v>2135</v>
      </c>
      <c r="Q25" s="8" t="s">
        <v>2135</v>
      </c>
      <c r="R25" s="8" t="s">
        <v>2135</v>
      </c>
      <c r="S25" s="8" t="s">
        <v>2135</v>
      </c>
      <c r="T25" s="8" t="s">
        <v>3856</v>
      </c>
      <c r="U25" s="8" t="s">
        <v>3857</v>
      </c>
      <c r="V25" s="8" t="s">
        <v>3858</v>
      </c>
      <c r="W25" s="8" t="s">
        <v>3859</v>
      </c>
      <c r="X25" s="8" t="s">
        <v>3860</v>
      </c>
      <c r="Y25" s="8" t="s">
        <v>3861</v>
      </c>
      <c r="Z25" s="8" t="s">
        <v>3862</v>
      </c>
      <c r="AA25" s="8" t="s">
        <v>3863</v>
      </c>
      <c r="AB25" s="8" t="s">
        <v>3864</v>
      </c>
      <c r="AC25" s="8" t="s">
        <v>2135</v>
      </c>
      <c r="AD25" s="8" t="s">
        <v>2135</v>
      </c>
      <c r="AE25" s="8" t="s">
        <v>2135</v>
      </c>
      <c r="AF25" s="8" t="s">
        <v>2135</v>
      </c>
      <c r="AG25" s="8">
        <v>50.0</v>
      </c>
      <c r="AH25" s="8">
        <v>20.0</v>
      </c>
      <c r="AI25" s="8">
        <v>20.0</v>
      </c>
      <c r="AJ25" s="8">
        <v>2.0</v>
      </c>
      <c r="AK25" s="8">
        <v>19.0</v>
      </c>
      <c r="AL25" s="8" t="s">
        <v>3865</v>
      </c>
      <c r="AM25" s="8" t="s">
        <v>3759</v>
      </c>
      <c r="AN25" s="8" t="s">
        <v>3866</v>
      </c>
      <c r="AO25" s="8" t="s">
        <v>3867</v>
      </c>
      <c r="AP25" s="8" t="s">
        <v>3868</v>
      </c>
      <c r="AQ25" s="8" t="s">
        <v>2135</v>
      </c>
      <c r="AR25" s="8" t="s">
        <v>3869</v>
      </c>
      <c r="AS25" s="8" t="s">
        <v>3870</v>
      </c>
      <c r="AT25" s="8" t="s">
        <v>3721</v>
      </c>
      <c r="AU25" s="8">
        <v>2008.0</v>
      </c>
      <c r="AV25" s="8">
        <v>93.0</v>
      </c>
      <c r="AW25" s="8">
        <v>3.0</v>
      </c>
      <c r="AX25" s="8" t="s">
        <v>2135</v>
      </c>
      <c r="AY25" s="8" t="s">
        <v>2135</v>
      </c>
      <c r="AZ25" s="8" t="s">
        <v>2135</v>
      </c>
      <c r="BA25" s="8" t="s">
        <v>2135</v>
      </c>
      <c r="BB25" s="8">
        <v>457.0</v>
      </c>
      <c r="BC25" s="8">
        <v>464.0</v>
      </c>
      <c r="BD25" s="8" t="s">
        <v>2135</v>
      </c>
      <c r="BE25" s="8" t="s">
        <v>3871</v>
      </c>
      <c r="BF25" s="13" t="str">
        <f>HYPERLINK("http://dx.doi.org/10.1111/j.1095-8312.2007.00892.x","http://dx.doi.org/10.1111/j.1095-8312.2007.00892.x")</f>
        <v>http://dx.doi.org/10.1111/j.1095-8312.2007.00892.x</v>
      </c>
      <c r="BG25" s="8" t="s">
        <v>2135</v>
      </c>
      <c r="BH25" s="8" t="s">
        <v>2135</v>
      </c>
      <c r="BI25" s="8">
        <v>8.0</v>
      </c>
      <c r="BJ25" s="8" t="s">
        <v>3872</v>
      </c>
      <c r="BK25" s="8" t="s">
        <v>3352</v>
      </c>
      <c r="BL25" s="8" t="s">
        <v>3872</v>
      </c>
      <c r="BM25" s="8" t="s">
        <v>3873</v>
      </c>
      <c r="BN25" s="8" t="s">
        <v>2135</v>
      </c>
      <c r="BO25" s="8" t="s">
        <v>3560</v>
      </c>
      <c r="BP25" s="8" t="s">
        <v>2135</v>
      </c>
      <c r="BQ25" s="8" t="s">
        <v>2135</v>
      </c>
      <c r="BR25" s="8" t="s">
        <v>3355</v>
      </c>
      <c r="BS25" s="8" t="s">
        <v>3874</v>
      </c>
      <c r="BT25" s="8" t="s">
        <v>2307</v>
      </c>
      <c r="BU25" s="8" t="s">
        <v>2142</v>
      </c>
      <c r="BW25" s="8" t="s">
        <v>2166</v>
      </c>
      <c r="BX25" s="8" t="s">
        <v>2973</v>
      </c>
      <c r="BY25" s="8" t="s">
        <v>2965</v>
      </c>
      <c r="BZ25" s="8" t="str">
        <f>HYPERLINK("https%3A%2F%2Fwww.webofscience.com%2Fwos%2Fwoscc%2Ffull-record%2FWOS:000252928500003","View Full Record in Web of Science")</f>
        <v>View Full Record in Web of Science</v>
      </c>
    </row>
    <row r="26" ht="12.75" customHeight="1">
      <c r="A26" s="8" t="s">
        <v>3329</v>
      </c>
      <c r="B26" s="8" t="s">
        <v>3875</v>
      </c>
      <c r="C26" s="8" t="s">
        <v>2135</v>
      </c>
      <c r="D26" s="8" t="s">
        <v>2135</v>
      </c>
      <c r="E26" s="8" t="s">
        <v>2135</v>
      </c>
      <c r="F26" s="8" t="s">
        <v>3875</v>
      </c>
      <c r="G26" s="8" t="s">
        <v>2135</v>
      </c>
      <c r="H26" s="8" t="s">
        <v>2135</v>
      </c>
      <c r="I26" s="8" t="s">
        <v>181</v>
      </c>
      <c r="J26" s="8" t="s">
        <v>3380</v>
      </c>
      <c r="K26" s="8" t="s">
        <v>2135</v>
      </c>
      <c r="L26" s="8" t="s">
        <v>2135</v>
      </c>
      <c r="M26" s="8" t="s">
        <v>3332</v>
      </c>
      <c r="N26" s="8" t="s">
        <v>3333</v>
      </c>
      <c r="O26" s="8" t="s">
        <v>2135</v>
      </c>
      <c r="P26" s="8" t="s">
        <v>2135</v>
      </c>
      <c r="Q26" s="8" t="s">
        <v>2135</v>
      </c>
      <c r="R26" s="8" t="s">
        <v>2135</v>
      </c>
      <c r="S26" s="8" t="s">
        <v>2135</v>
      </c>
      <c r="T26" s="8" t="s">
        <v>3876</v>
      </c>
      <c r="U26" s="8" t="s">
        <v>3877</v>
      </c>
      <c r="V26" s="8" t="s">
        <v>3878</v>
      </c>
      <c r="W26" s="8" t="s">
        <v>3879</v>
      </c>
      <c r="X26" s="8" t="s">
        <v>3880</v>
      </c>
      <c r="Y26" s="8" t="s">
        <v>3881</v>
      </c>
      <c r="Z26" s="8" t="s">
        <v>3882</v>
      </c>
      <c r="AA26" s="8" t="s">
        <v>3883</v>
      </c>
      <c r="AB26" s="8" t="s">
        <v>2135</v>
      </c>
      <c r="AC26" s="8" t="s">
        <v>2135</v>
      </c>
      <c r="AD26" s="8" t="s">
        <v>2135</v>
      </c>
      <c r="AE26" s="8" t="s">
        <v>2135</v>
      </c>
      <c r="AF26" s="8" t="s">
        <v>2135</v>
      </c>
      <c r="AG26" s="8">
        <v>54.0</v>
      </c>
      <c r="AH26" s="8">
        <v>59.0</v>
      </c>
      <c r="AI26" s="8">
        <v>80.0</v>
      </c>
      <c r="AJ26" s="8">
        <v>0.0</v>
      </c>
      <c r="AK26" s="8">
        <v>62.0</v>
      </c>
      <c r="AL26" s="8" t="s">
        <v>3389</v>
      </c>
      <c r="AM26" s="8" t="s">
        <v>3390</v>
      </c>
      <c r="AN26" s="8" t="s">
        <v>3391</v>
      </c>
      <c r="AO26" s="8" t="s">
        <v>3392</v>
      </c>
      <c r="AP26" s="8" t="s">
        <v>2135</v>
      </c>
      <c r="AQ26" s="8" t="s">
        <v>2135</v>
      </c>
      <c r="AR26" s="8" t="s">
        <v>3393</v>
      </c>
      <c r="AS26" s="8" t="s">
        <v>3394</v>
      </c>
      <c r="AT26" s="8" t="s">
        <v>3485</v>
      </c>
      <c r="AU26" s="8">
        <v>2004.0</v>
      </c>
      <c r="AV26" s="8">
        <v>85.0</v>
      </c>
      <c r="AW26" s="8">
        <v>1.0</v>
      </c>
      <c r="AX26" s="8" t="s">
        <v>2135</v>
      </c>
      <c r="AY26" s="8" t="s">
        <v>2135</v>
      </c>
      <c r="AZ26" s="8" t="s">
        <v>2135</v>
      </c>
      <c r="BA26" s="8" t="s">
        <v>2135</v>
      </c>
      <c r="BB26" s="8">
        <v>79.0</v>
      </c>
      <c r="BC26" s="8">
        <v>86.0</v>
      </c>
      <c r="BD26" s="8" t="s">
        <v>2135</v>
      </c>
      <c r="BE26" s="8" t="s">
        <v>3884</v>
      </c>
      <c r="BF26" s="13" t="str">
        <f>HYPERLINK("http://dx.doi.org/10.1644/1545-1542(2004)085&lt;0079:HRAMOL&gt;2.0.CO;2","http://dx.doi.org/10.1644/1545-1542(2004)085&lt;0079:HRAMOL&gt;2.0.CO;2")</f>
        <v>http://dx.doi.org/10.1644/1545-1542(2004)085&lt;0079:HRAMOL&gt;2.0.CO;2</v>
      </c>
      <c r="BG26" s="8" t="s">
        <v>2135</v>
      </c>
      <c r="BH26" s="8" t="s">
        <v>2135</v>
      </c>
      <c r="BI26" s="8">
        <v>8.0</v>
      </c>
      <c r="BJ26" s="8" t="s">
        <v>3397</v>
      </c>
      <c r="BK26" s="8" t="s">
        <v>3352</v>
      </c>
      <c r="BL26" s="8" t="s">
        <v>3397</v>
      </c>
      <c r="BM26" s="8" t="s">
        <v>3885</v>
      </c>
      <c r="BN26" s="8" t="s">
        <v>2135</v>
      </c>
      <c r="BO26" s="8" t="s">
        <v>2135</v>
      </c>
      <c r="BP26" s="8" t="s">
        <v>2135</v>
      </c>
      <c r="BQ26" s="8" t="s">
        <v>2135</v>
      </c>
      <c r="BR26" s="8" t="s">
        <v>3355</v>
      </c>
      <c r="BS26" s="8" t="s">
        <v>3886</v>
      </c>
      <c r="BT26" s="8" t="s">
        <v>2600</v>
      </c>
      <c r="BU26" s="8" t="s">
        <v>2147</v>
      </c>
      <c r="BV26" s="8" t="s">
        <v>2217</v>
      </c>
      <c r="BW26" s="8" t="s">
        <v>2433</v>
      </c>
      <c r="BX26" s="8" t="s">
        <v>3132</v>
      </c>
      <c r="BY26" s="8" t="s">
        <v>2965</v>
      </c>
      <c r="BZ26" s="8" t="str">
        <f>HYPERLINK("https%3A%2F%2Fwww.webofscience.com%2Fwos%2Fwoscc%2Ffull-record%2FWOS:000220140300014","View Full Record in Web of Science")</f>
        <v>View Full Record in Web of Science</v>
      </c>
    </row>
    <row r="27" ht="12.75" customHeight="1">
      <c r="A27" s="8" t="s">
        <v>3329</v>
      </c>
      <c r="B27" s="8" t="s">
        <v>3875</v>
      </c>
      <c r="C27" s="8" t="s">
        <v>2135</v>
      </c>
      <c r="D27" s="8" t="s">
        <v>2135</v>
      </c>
      <c r="E27" s="8" t="s">
        <v>2135</v>
      </c>
      <c r="F27" s="8" t="s">
        <v>3875</v>
      </c>
      <c r="G27" s="8" t="s">
        <v>2135</v>
      </c>
      <c r="H27" s="8" t="s">
        <v>2135</v>
      </c>
      <c r="I27" s="8" t="s">
        <v>179</v>
      </c>
      <c r="J27" s="8" t="s">
        <v>3747</v>
      </c>
      <c r="K27" s="8" t="s">
        <v>2135</v>
      </c>
      <c r="L27" s="8" t="s">
        <v>2135</v>
      </c>
      <c r="M27" s="8" t="s">
        <v>3332</v>
      </c>
      <c r="N27" s="8" t="s">
        <v>3333</v>
      </c>
      <c r="O27" s="8" t="s">
        <v>2135</v>
      </c>
      <c r="P27" s="8" t="s">
        <v>2135</v>
      </c>
      <c r="Q27" s="8" t="s">
        <v>2135</v>
      </c>
      <c r="R27" s="8" t="s">
        <v>2135</v>
      </c>
      <c r="S27" s="8" t="s">
        <v>2135</v>
      </c>
      <c r="T27" s="8" t="s">
        <v>3887</v>
      </c>
      <c r="U27" s="8" t="s">
        <v>3888</v>
      </c>
      <c r="V27" s="8" t="s">
        <v>3889</v>
      </c>
      <c r="W27" s="8" t="s">
        <v>3890</v>
      </c>
      <c r="X27" s="8" t="s">
        <v>3891</v>
      </c>
      <c r="Y27" s="8" t="s">
        <v>3881</v>
      </c>
      <c r="Z27" s="8" t="s">
        <v>3892</v>
      </c>
      <c r="AA27" s="8" t="s">
        <v>3883</v>
      </c>
      <c r="AB27" s="8" t="s">
        <v>2135</v>
      </c>
      <c r="AC27" s="8" t="s">
        <v>2135</v>
      </c>
      <c r="AD27" s="8" t="s">
        <v>2135</v>
      </c>
      <c r="AE27" s="8" t="s">
        <v>2135</v>
      </c>
      <c r="AF27" s="8" t="s">
        <v>2135</v>
      </c>
      <c r="AG27" s="8">
        <v>76.0</v>
      </c>
      <c r="AH27" s="8">
        <v>243.0</v>
      </c>
      <c r="AI27" s="8">
        <v>331.0</v>
      </c>
      <c r="AJ27" s="8">
        <v>1.0</v>
      </c>
      <c r="AK27" s="8">
        <v>188.0</v>
      </c>
      <c r="AL27" s="8" t="s">
        <v>3758</v>
      </c>
      <c r="AM27" s="8" t="s">
        <v>3893</v>
      </c>
      <c r="AN27" s="8" t="s">
        <v>3894</v>
      </c>
      <c r="AO27" s="8" t="s">
        <v>3761</v>
      </c>
      <c r="AP27" s="8" t="s">
        <v>3762</v>
      </c>
      <c r="AQ27" s="8" t="s">
        <v>2135</v>
      </c>
      <c r="AR27" s="8" t="s">
        <v>3763</v>
      </c>
      <c r="AS27" s="8" t="s">
        <v>3764</v>
      </c>
      <c r="AT27" s="8" t="s">
        <v>3485</v>
      </c>
      <c r="AU27" s="8">
        <v>2003.0</v>
      </c>
      <c r="AV27" s="8">
        <v>109.0</v>
      </c>
      <c r="AW27" s="8">
        <v>2.0</v>
      </c>
      <c r="AX27" s="8" t="s">
        <v>2135</v>
      </c>
      <c r="AY27" s="8" t="s">
        <v>2135</v>
      </c>
      <c r="AZ27" s="8" t="s">
        <v>2135</v>
      </c>
      <c r="BA27" s="8" t="s">
        <v>2135</v>
      </c>
      <c r="BB27" s="8">
        <v>283.0</v>
      </c>
      <c r="BC27" s="8">
        <v>295.0</v>
      </c>
      <c r="BD27" s="8" t="s">
        <v>3895</v>
      </c>
      <c r="BE27" s="8" t="s">
        <v>3896</v>
      </c>
      <c r="BF27" s="13" t="str">
        <f>HYPERLINK("http://dx.doi.org/10.1016/S0006-3207(02)00156-8","http://dx.doi.org/10.1016/S0006-3207(02)00156-8")</f>
        <v>http://dx.doi.org/10.1016/S0006-3207(02)00156-8</v>
      </c>
      <c r="BG27" s="8" t="s">
        <v>2135</v>
      </c>
      <c r="BH27" s="8" t="s">
        <v>2135</v>
      </c>
      <c r="BI27" s="8">
        <v>13.0</v>
      </c>
      <c r="BJ27" s="8" t="s">
        <v>3351</v>
      </c>
      <c r="BK27" s="8" t="s">
        <v>3352</v>
      </c>
      <c r="BL27" s="8" t="s">
        <v>3353</v>
      </c>
      <c r="BM27" s="8" t="s">
        <v>3897</v>
      </c>
      <c r="BN27" s="8" t="s">
        <v>2135</v>
      </c>
      <c r="BO27" s="8" t="s">
        <v>2135</v>
      </c>
      <c r="BP27" s="8" t="s">
        <v>2135</v>
      </c>
      <c r="BQ27" s="8" t="s">
        <v>2135</v>
      </c>
      <c r="BR27" s="8" t="s">
        <v>3355</v>
      </c>
      <c r="BS27" s="8" t="s">
        <v>3898</v>
      </c>
      <c r="BT27" s="8" t="s">
        <v>2600</v>
      </c>
      <c r="BU27" s="8" t="s">
        <v>2147</v>
      </c>
      <c r="BV27" s="8" t="s">
        <v>2217</v>
      </c>
      <c r="BW27" s="8" t="s">
        <v>2433</v>
      </c>
      <c r="BX27" s="8" t="s">
        <v>3132</v>
      </c>
      <c r="BY27" s="8" t="s">
        <v>2965</v>
      </c>
      <c r="BZ27" s="8" t="str">
        <f>HYPERLINK("https%3A%2F%2Fwww.webofscience.com%2Fwos%2Fwoscc%2Ffull-record%2FWOS:000179101100013","View Full Record in Web of Science")</f>
        <v>View Full Record in Web of Science</v>
      </c>
    </row>
    <row r="28" ht="12.75" customHeight="1">
      <c r="A28" s="8" t="s">
        <v>3329</v>
      </c>
      <c r="B28" s="8" t="s">
        <v>3899</v>
      </c>
      <c r="C28" s="8" t="s">
        <v>2135</v>
      </c>
      <c r="D28" s="8" t="s">
        <v>2135</v>
      </c>
      <c r="E28" s="8" t="s">
        <v>2135</v>
      </c>
      <c r="F28" s="8" t="s">
        <v>3899</v>
      </c>
      <c r="G28" s="8" t="s">
        <v>2135</v>
      </c>
      <c r="H28" s="8" t="s">
        <v>2135</v>
      </c>
      <c r="I28" s="8" t="s">
        <v>175</v>
      </c>
      <c r="J28" s="8" t="s">
        <v>3747</v>
      </c>
      <c r="K28" s="8" t="s">
        <v>2135</v>
      </c>
      <c r="L28" s="8" t="s">
        <v>2135</v>
      </c>
      <c r="M28" s="8" t="s">
        <v>3332</v>
      </c>
      <c r="N28" s="8" t="s">
        <v>3333</v>
      </c>
      <c r="O28" s="8" t="s">
        <v>2135</v>
      </c>
      <c r="P28" s="8" t="s">
        <v>2135</v>
      </c>
      <c r="Q28" s="8" t="s">
        <v>2135</v>
      </c>
      <c r="R28" s="8" t="s">
        <v>2135</v>
      </c>
      <c r="S28" s="8" t="s">
        <v>2135</v>
      </c>
      <c r="T28" s="8" t="s">
        <v>3900</v>
      </c>
      <c r="U28" s="8" t="s">
        <v>3901</v>
      </c>
      <c r="V28" s="8" t="s">
        <v>3902</v>
      </c>
      <c r="W28" s="8" t="s">
        <v>3903</v>
      </c>
      <c r="X28" s="8" t="s">
        <v>3904</v>
      </c>
      <c r="Y28" s="8" t="s">
        <v>3905</v>
      </c>
      <c r="Z28" s="8" t="s">
        <v>3906</v>
      </c>
      <c r="AA28" s="8" t="s">
        <v>3907</v>
      </c>
      <c r="AB28" s="8" t="s">
        <v>3908</v>
      </c>
      <c r="AC28" s="8" t="s">
        <v>2135</v>
      </c>
      <c r="AD28" s="8" t="s">
        <v>2135</v>
      </c>
      <c r="AE28" s="8" t="s">
        <v>2135</v>
      </c>
      <c r="AF28" s="8" t="s">
        <v>2135</v>
      </c>
      <c r="AG28" s="8">
        <v>63.0</v>
      </c>
      <c r="AH28" s="8">
        <v>49.0</v>
      </c>
      <c r="AI28" s="8">
        <v>56.0</v>
      </c>
      <c r="AJ28" s="8">
        <v>0.0</v>
      </c>
      <c r="AK28" s="8">
        <v>16.0</v>
      </c>
      <c r="AL28" s="8" t="s">
        <v>3758</v>
      </c>
      <c r="AM28" s="8" t="s">
        <v>3759</v>
      </c>
      <c r="AN28" s="8" t="s">
        <v>3760</v>
      </c>
      <c r="AO28" s="8" t="s">
        <v>3761</v>
      </c>
      <c r="AP28" s="8" t="s">
        <v>2135</v>
      </c>
      <c r="AQ28" s="8" t="s">
        <v>2135</v>
      </c>
      <c r="AR28" s="8" t="s">
        <v>3763</v>
      </c>
      <c r="AS28" s="8" t="s">
        <v>3764</v>
      </c>
      <c r="AT28" s="8" t="s">
        <v>3580</v>
      </c>
      <c r="AU28" s="8">
        <v>2000.0</v>
      </c>
      <c r="AV28" s="8">
        <v>95.0</v>
      </c>
      <c r="AW28" s="8">
        <v>3.0</v>
      </c>
      <c r="AX28" s="8" t="s">
        <v>2135</v>
      </c>
      <c r="AY28" s="8" t="s">
        <v>2135</v>
      </c>
      <c r="AZ28" s="8" t="s">
        <v>2135</v>
      </c>
      <c r="BA28" s="8" t="s">
        <v>2135</v>
      </c>
      <c r="BB28" s="8">
        <v>269.0</v>
      </c>
      <c r="BC28" s="8">
        <v>277.0</v>
      </c>
      <c r="BD28" s="8" t="s">
        <v>2135</v>
      </c>
      <c r="BE28" s="8" t="s">
        <v>3909</v>
      </c>
      <c r="BF28" s="13" t="str">
        <f>HYPERLINK("http://dx.doi.org/10.1016/S0006-3207(00)00043-4","http://dx.doi.org/10.1016/S0006-3207(00)00043-4")</f>
        <v>http://dx.doi.org/10.1016/S0006-3207(00)00043-4</v>
      </c>
      <c r="BG28" s="8" t="s">
        <v>2135</v>
      </c>
      <c r="BH28" s="8" t="s">
        <v>2135</v>
      </c>
      <c r="BI28" s="8">
        <v>9.0</v>
      </c>
      <c r="BJ28" s="8" t="s">
        <v>3351</v>
      </c>
      <c r="BK28" s="8" t="s">
        <v>3352</v>
      </c>
      <c r="BL28" s="8" t="s">
        <v>3353</v>
      </c>
      <c r="BM28" s="8" t="s">
        <v>3910</v>
      </c>
      <c r="BN28" s="8" t="s">
        <v>2135</v>
      </c>
      <c r="BO28" s="8" t="s">
        <v>2135</v>
      </c>
      <c r="BP28" s="8" t="s">
        <v>2135</v>
      </c>
      <c r="BQ28" s="8" t="s">
        <v>2135</v>
      </c>
      <c r="BR28" s="8" t="s">
        <v>3355</v>
      </c>
      <c r="BS28" s="8" t="s">
        <v>3911</v>
      </c>
      <c r="BT28" s="8" t="s">
        <v>2497</v>
      </c>
      <c r="BU28" s="8" t="s">
        <v>2142</v>
      </c>
      <c r="BW28" s="8" t="s">
        <v>2311</v>
      </c>
      <c r="BX28" s="8" t="s">
        <v>3132</v>
      </c>
      <c r="BY28" s="8" t="s">
        <v>2965</v>
      </c>
      <c r="BZ28" s="8" t="str">
        <f>HYPERLINK("https%3A%2F%2Fwww.webofscience.com%2Fwos%2Fwoscc%2Ffull-record%2FWOS:000088235500005","View Full Record in Web of Science")</f>
        <v>View Full Record in Web of Science</v>
      </c>
    </row>
    <row r="29" ht="12.75" customHeight="1">
      <c r="A29" s="8" t="s">
        <v>3329</v>
      </c>
      <c r="B29" s="8" t="s">
        <v>3912</v>
      </c>
      <c r="C29" s="8" t="s">
        <v>2135</v>
      </c>
      <c r="D29" s="8" t="s">
        <v>2135</v>
      </c>
      <c r="E29" s="8" t="s">
        <v>2135</v>
      </c>
      <c r="F29" s="8" t="s">
        <v>3912</v>
      </c>
      <c r="G29" s="8" t="s">
        <v>2135</v>
      </c>
      <c r="H29" s="8" t="s">
        <v>2135</v>
      </c>
      <c r="I29" s="8" t="s">
        <v>1435</v>
      </c>
      <c r="J29" s="8" t="s">
        <v>3913</v>
      </c>
      <c r="K29" s="8" t="s">
        <v>2135</v>
      </c>
      <c r="L29" s="8" t="s">
        <v>2135</v>
      </c>
      <c r="M29" s="8" t="s">
        <v>3332</v>
      </c>
      <c r="N29" s="8" t="s">
        <v>3333</v>
      </c>
      <c r="O29" s="8" t="s">
        <v>2135</v>
      </c>
      <c r="P29" s="8" t="s">
        <v>2135</v>
      </c>
      <c r="Q29" s="8" t="s">
        <v>2135</v>
      </c>
      <c r="R29" s="8" t="s">
        <v>2135</v>
      </c>
      <c r="S29" s="8" t="s">
        <v>2135</v>
      </c>
      <c r="T29" s="8" t="s">
        <v>3914</v>
      </c>
      <c r="U29" s="8" t="s">
        <v>3915</v>
      </c>
      <c r="V29" s="8" t="s">
        <v>3916</v>
      </c>
      <c r="W29" s="8" t="s">
        <v>3917</v>
      </c>
      <c r="X29" s="8" t="s">
        <v>3918</v>
      </c>
      <c r="Y29" s="8" t="s">
        <v>3919</v>
      </c>
      <c r="Z29" s="8" t="s">
        <v>3920</v>
      </c>
      <c r="AA29" s="8" t="s">
        <v>2135</v>
      </c>
      <c r="AB29" s="8" t="s">
        <v>2135</v>
      </c>
      <c r="AC29" s="8" t="s">
        <v>2135</v>
      </c>
      <c r="AD29" s="8" t="s">
        <v>2135</v>
      </c>
      <c r="AE29" s="8" t="s">
        <v>2135</v>
      </c>
      <c r="AF29" s="8" t="s">
        <v>2135</v>
      </c>
      <c r="AG29" s="8">
        <v>63.0</v>
      </c>
      <c r="AH29" s="8">
        <v>74.0</v>
      </c>
      <c r="AI29" s="8">
        <v>85.0</v>
      </c>
      <c r="AJ29" s="8">
        <v>2.0</v>
      </c>
      <c r="AK29" s="8">
        <v>33.0</v>
      </c>
      <c r="AL29" s="8" t="s">
        <v>3921</v>
      </c>
      <c r="AM29" s="8" t="s">
        <v>3922</v>
      </c>
      <c r="AN29" s="8" t="s">
        <v>3923</v>
      </c>
      <c r="AO29" s="8" t="s">
        <v>3924</v>
      </c>
      <c r="AP29" s="8" t="s">
        <v>3925</v>
      </c>
      <c r="AQ29" s="8" t="s">
        <v>2135</v>
      </c>
      <c r="AR29" s="8" t="s">
        <v>3926</v>
      </c>
      <c r="AS29" s="8" t="s">
        <v>3927</v>
      </c>
      <c r="AT29" s="8" t="s">
        <v>3512</v>
      </c>
      <c r="AU29" s="8">
        <v>2000.0</v>
      </c>
      <c r="AV29" s="8">
        <v>63.0</v>
      </c>
      <c r="AW29" s="8">
        <v>1.0</v>
      </c>
      <c r="AX29" s="8" t="s">
        <v>2135</v>
      </c>
      <c r="AY29" s="8" t="s">
        <v>2135</v>
      </c>
      <c r="AZ29" s="8" t="s">
        <v>2135</v>
      </c>
      <c r="BA29" s="8" t="s">
        <v>2135</v>
      </c>
      <c r="BB29" s="8">
        <v>179.0</v>
      </c>
      <c r="BC29" s="8">
        <v>187.0</v>
      </c>
      <c r="BD29" s="8" t="s">
        <v>2135</v>
      </c>
      <c r="BE29" s="8" t="s">
        <v>3928</v>
      </c>
      <c r="BF29" s="13" t="str">
        <f>HYPERLINK("http://dx.doi.org/10.1095/biolreprod63.1.179","http://dx.doi.org/10.1095/biolreprod63.1.179")</f>
        <v>http://dx.doi.org/10.1095/biolreprod63.1.179</v>
      </c>
      <c r="BG29" s="8" t="s">
        <v>2135</v>
      </c>
      <c r="BH29" s="8" t="s">
        <v>2135</v>
      </c>
      <c r="BI29" s="8">
        <v>9.0</v>
      </c>
      <c r="BJ29" s="8" t="s">
        <v>3929</v>
      </c>
      <c r="BK29" s="8" t="s">
        <v>3352</v>
      </c>
      <c r="BL29" s="8" t="s">
        <v>3929</v>
      </c>
      <c r="BM29" s="8" t="s">
        <v>3930</v>
      </c>
      <c r="BN29" s="8">
        <v>1.0859258E7</v>
      </c>
      <c r="BO29" s="8" t="s">
        <v>3445</v>
      </c>
      <c r="BP29" s="8" t="s">
        <v>2135</v>
      </c>
      <c r="BQ29" s="8" t="s">
        <v>2135</v>
      </c>
      <c r="BR29" s="8" t="s">
        <v>3355</v>
      </c>
      <c r="BS29" s="8" t="s">
        <v>3931</v>
      </c>
      <c r="BT29" s="8" t="s">
        <v>2600</v>
      </c>
      <c r="BU29" s="8" t="s">
        <v>2147</v>
      </c>
      <c r="BV29" s="8" t="s">
        <v>2217</v>
      </c>
      <c r="BW29" s="8" t="s">
        <v>2601</v>
      </c>
      <c r="BY29" s="8" t="s">
        <v>2965</v>
      </c>
      <c r="BZ29" s="8" t="str">
        <f>HYPERLINK("https%3A%2F%2Fwww.webofscience.com%2Fwos%2Fwoscc%2Ffull-record%2FWOS:000087812400026","View Full Record in Web of Science")</f>
        <v>View Full Record in Web of Science</v>
      </c>
    </row>
    <row r="30" ht="12.75" customHeight="1">
      <c r="A30" s="8" t="s">
        <v>3329</v>
      </c>
      <c r="B30" s="8" t="s">
        <v>3932</v>
      </c>
      <c r="C30" s="8" t="s">
        <v>2135</v>
      </c>
      <c r="D30" s="8" t="s">
        <v>2135</v>
      </c>
      <c r="E30" s="8" t="s">
        <v>2135</v>
      </c>
      <c r="F30" s="8" t="s">
        <v>3932</v>
      </c>
      <c r="G30" s="8" t="s">
        <v>2135</v>
      </c>
      <c r="H30" s="8" t="s">
        <v>2135</v>
      </c>
      <c r="I30" s="8" t="s">
        <v>171</v>
      </c>
      <c r="J30" s="8" t="s">
        <v>3747</v>
      </c>
      <c r="K30" s="8" t="s">
        <v>2135</v>
      </c>
      <c r="L30" s="8" t="s">
        <v>2135</v>
      </c>
      <c r="M30" s="8" t="s">
        <v>3332</v>
      </c>
      <c r="N30" s="8" t="s">
        <v>3333</v>
      </c>
      <c r="O30" s="8" t="s">
        <v>2135</v>
      </c>
      <c r="P30" s="8" t="s">
        <v>2135</v>
      </c>
      <c r="Q30" s="8" t="s">
        <v>2135</v>
      </c>
      <c r="R30" s="8" t="s">
        <v>2135</v>
      </c>
      <c r="S30" s="8" t="s">
        <v>2135</v>
      </c>
      <c r="T30" s="8" t="s">
        <v>2135</v>
      </c>
      <c r="U30" s="8" t="s">
        <v>2135</v>
      </c>
      <c r="V30" s="8" t="s">
        <v>3933</v>
      </c>
      <c r="W30" s="8" t="s">
        <v>3934</v>
      </c>
      <c r="X30" s="8" t="s">
        <v>3935</v>
      </c>
      <c r="Y30" s="8" t="s">
        <v>2135</v>
      </c>
      <c r="Z30" s="8" t="s">
        <v>2135</v>
      </c>
      <c r="AA30" s="8" t="s">
        <v>2135</v>
      </c>
      <c r="AB30" s="8" t="s">
        <v>2135</v>
      </c>
      <c r="AC30" s="8" t="s">
        <v>2135</v>
      </c>
      <c r="AD30" s="8" t="s">
        <v>2135</v>
      </c>
      <c r="AE30" s="8" t="s">
        <v>2135</v>
      </c>
      <c r="AF30" s="8" t="s">
        <v>2135</v>
      </c>
      <c r="AG30" s="8">
        <v>8.0</v>
      </c>
      <c r="AH30" s="8">
        <v>8.0</v>
      </c>
      <c r="AI30" s="8">
        <v>8.0</v>
      </c>
      <c r="AJ30" s="8">
        <v>0.0</v>
      </c>
      <c r="AK30" s="8">
        <v>8.0</v>
      </c>
      <c r="AL30" s="8" t="s">
        <v>3758</v>
      </c>
      <c r="AM30" s="8" t="s">
        <v>3893</v>
      </c>
      <c r="AN30" s="8" t="s">
        <v>3894</v>
      </c>
      <c r="AO30" s="8" t="s">
        <v>3761</v>
      </c>
      <c r="AP30" s="8" t="s">
        <v>3762</v>
      </c>
      <c r="AQ30" s="8" t="s">
        <v>2135</v>
      </c>
      <c r="AR30" s="8" t="s">
        <v>3763</v>
      </c>
      <c r="AS30" s="8" t="s">
        <v>3764</v>
      </c>
      <c r="AT30" s="8" t="s">
        <v>2135</v>
      </c>
      <c r="AU30" s="8">
        <v>1985.0</v>
      </c>
      <c r="AV30" s="8">
        <v>32.0</v>
      </c>
      <c r="AW30" s="8">
        <v>4.0</v>
      </c>
      <c r="AX30" s="8" t="s">
        <v>2135</v>
      </c>
      <c r="AY30" s="8" t="s">
        <v>2135</v>
      </c>
      <c r="AZ30" s="8" t="s">
        <v>2135</v>
      </c>
      <c r="BA30" s="8" t="s">
        <v>2135</v>
      </c>
      <c r="BB30" s="8">
        <v>375.0</v>
      </c>
      <c r="BC30" s="8">
        <v>382.0</v>
      </c>
      <c r="BD30" s="8" t="s">
        <v>2135</v>
      </c>
      <c r="BE30" s="8" t="s">
        <v>3936</v>
      </c>
      <c r="BF30" s="13" t="str">
        <f>HYPERLINK("http://dx.doi.org/10.1016/0006-3207(85)90024-2","http://dx.doi.org/10.1016/0006-3207(85)90024-2")</f>
        <v>http://dx.doi.org/10.1016/0006-3207(85)90024-2</v>
      </c>
      <c r="BG30" s="8" t="s">
        <v>2135</v>
      </c>
      <c r="BH30" s="8" t="s">
        <v>2135</v>
      </c>
      <c r="BI30" s="8">
        <v>8.0</v>
      </c>
      <c r="BJ30" s="8" t="s">
        <v>3351</v>
      </c>
      <c r="BK30" s="8" t="s">
        <v>3352</v>
      </c>
      <c r="BL30" s="8" t="s">
        <v>3353</v>
      </c>
      <c r="BM30" s="8" t="s">
        <v>3937</v>
      </c>
      <c r="BN30" s="8" t="s">
        <v>2135</v>
      </c>
      <c r="BO30" s="8" t="s">
        <v>2135</v>
      </c>
      <c r="BP30" s="8" t="s">
        <v>2135</v>
      </c>
      <c r="BQ30" s="8" t="s">
        <v>2135</v>
      </c>
      <c r="BR30" s="8" t="s">
        <v>3355</v>
      </c>
      <c r="BS30" s="8" t="s">
        <v>3938</v>
      </c>
      <c r="BU30" s="8" t="s">
        <v>2136</v>
      </c>
      <c r="BW30" s="8" t="s">
        <v>2183</v>
      </c>
      <c r="BX30" s="8" t="s">
        <v>2973</v>
      </c>
      <c r="BY30" s="8" t="s">
        <v>2965</v>
      </c>
      <c r="BZ30" s="8" t="str">
        <f>HYPERLINK("https%3A%2F%2Fwww.webofscience.com%2Fwos%2Fwoscc%2Ffull-record%2FWOS:A1985AKR1900006","View Full Record in Web of Science")</f>
        <v>View Full Record in Web of Science</v>
      </c>
    </row>
    <row r="31" ht="12.75" customHeight="1">
      <c r="A31" s="8" t="s">
        <v>3329</v>
      </c>
      <c r="B31" s="8" t="s">
        <v>3939</v>
      </c>
      <c r="C31" s="8" t="s">
        <v>2135</v>
      </c>
      <c r="D31" s="8" t="s">
        <v>2135</v>
      </c>
      <c r="E31" s="8" t="s">
        <v>2135</v>
      </c>
      <c r="F31" s="8" t="s">
        <v>3940</v>
      </c>
      <c r="G31" s="8" t="s">
        <v>2135</v>
      </c>
      <c r="H31" s="8" t="s">
        <v>2135</v>
      </c>
      <c r="I31" s="8" t="s">
        <v>237</v>
      </c>
      <c r="J31" s="8" t="s">
        <v>3941</v>
      </c>
      <c r="K31" s="8" t="s">
        <v>2135</v>
      </c>
      <c r="L31" s="8" t="s">
        <v>2135</v>
      </c>
      <c r="M31" s="8" t="s">
        <v>3332</v>
      </c>
      <c r="N31" s="8" t="s">
        <v>3333</v>
      </c>
      <c r="O31" s="8" t="s">
        <v>2135</v>
      </c>
      <c r="P31" s="8" t="s">
        <v>2135</v>
      </c>
      <c r="Q31" s="8" t="s">
        <v>2135</v>
      </c>
      <c r="R31" s="8" t="s">
        <v>2135</v>
      </c>
      <c r="S31" s="8" t="s">
        <v>2135</v>
      </c>
      <c r="T31" s="8" t="s">
        <v>3942</v>
      </c>
      <c r="U31" s="8" t="s">
        <v>3943</v>
      </c>
      <c r="V31" s="8" t="s">
        <v>3944</v>
      </c>
      <c r="W31" s="8" t="s">
        <v>3945</v>
      </c>
      <c r="X31" s="8" t="s">
        <v>3946</v>
      </c>
      <c r="Y31" s="8" t="s">
        <v>3947</v>
      </c>
      <c r="Z31" s="8" t="s">
        <v>3948</v>
      </c>
      <c r="AA31" s="8" t="s">
        <v>3949</v>
      </c>
      <c r="AB31" s="8" t="s">
        <v>3950</v>
      </c>
      <c r="AC31" s="8" t="s">
        <v>3951</v>
      </c>
      <c r="AD31" s="8" t="s">
        <v>3951</v>
      </c>
      <c r="AE31" s="8" t="s">
        <v>3952</v>
      </c>
      <c r="AF31" s="8" t="s">
        <v>2135</v>
      </c>
      <c r="AG31" s="8">
        <v>45.0</v>
      </c>
      <c r="AH31" s="8">
        <v>8.0</v>
      </c>
      <c r="AI31" s="8">
        <v>12.0</v>
      </c>
      <c r="AJ31" s="8">
        <v>1.0</v>
      </c>
      <c r="AK31" s="8">
        <v>86.0</v>
      </c>
      <c r="AL31" s="8" t="s">
        <v>3921</v>
      </c>
      <c r="AM31" s="8" t="s">
        <v>3922</v>
      </c>
      <c r="AN31" s="8" t="s">
        <v>3923</v>
      </c>
      <c r="AO31" s="8" t="s">
        <v>3953</v>
      </c>
      <c r="AP31" s="8" t="s">
        <v>3954</v>
      </c>
      <c r="AQ31" s="8" t="s">
        <v>2135</v>
      </c>
      <c r="AR31" s="8" t="s">
        <v>3955</v>
      </c>
      <c r="AS31" s="8" t="s">
        <v>3956</v>
      </c>
      <c r="AT31" s="8" t="s">
        <v>3462</v>
      </c>
      <c r="AU31" s="8">
        <v>2015.0</v>
      </c>
      <c r="AV31" s="8">
        <v>106.0</v>
      </c>
      <c r="AW31" s="8" t="s">
        <v>2135</v>
      </c>
      <c r="AX31" s="8" t="s">
        <v>2135</v>
      </c>
      <c r="AY31" s="8">
        <v>1.0</v>
      </c>
      <c r="AZ31" s="8" t="s">
        <v>3421</v>
      </c>
      <c r="BA31" s="8" t="s">
        <v>2135</v>
      </c>
      <c r="BB31" s="8">
        <v>469.0</v>
      </c>
      <c r="BC31" s="8">
        <v>477.0</v>
      </c>
      <c r="BD31" s="8" t="s">
        <v>2135</v>
      </c>
      <c r="BE31" s="8" t="s">
        <v>3957</v>
      </c>
      <c r="BF31" s="13" t="str">
        <f>HYPERLINK("http://dx.doi.org/10.1093/jhered/esv049","http://dx.doi.org/10.1093/jhered/esv049")</f>
        <v>http://dx.doi.org/10.1093/jhered/esv049</v>
      </c>
      <c r="BG31" s="8" t="s">
        <v>2135</v>
      </c>
      <c r="BH31" s="8" t="s">
        <v>2135</v>
      </c>
      <c r="BI31" s="8">
        <v>9.0</v>
      </c>
      <c r="BJ31" s="8" t="s">
        <v>3958</v>
      </c>
      <c r="BK31" s="8" t="s">
        <v>3352</v>
      </c>
      <c r="BL31" s="8" t="s">
        <v>3958</v>
      </c>
      <c r="BM31" s="8" t="s">
        <v>3959</v>
      </c>
      <c r="BN31" s="8">
        <v>2.6245782E7</v>
      </c>
      <c r="BO31" s="8" t="s">
        <v>3445</v>
      </c>
      <c r="BP31" s="8" t="s">
        <v>2135</v>
      </c>
      <c r="BQ31" s="8" t="s">
        <v>2135</v>
      </c>
      <c r="BR31" s="8" t="s">
        <v>3355</v>
      </c>
      <c r="BS31" s="8" t="s">
        <v>3960</v>
      </c>
      <c r="BT31" s="8" t="s">
        <v>2299</v>
      </c>
      <c r="BU31" s="8" t="s">
        <v>2147</v>
      </c>
      <c r="BW31" s="8" t="s">
        <v>2186</v>
      </c>
      <c r="BX31" s="8" t="s">
        <v>3208</v>
      </c>
      <c r="BY31" s="8" t="s">
        <v>3209</v>
      </c>
      <c r="BZ31" s="8" t="str">
        <f>HYPERLINK("https%3A%2F%2Fwww.webofscience.com%2Fwos%2Fwoscc%2Ffull-record%2FWOS:000359730800006","View Full Record in Web of Science")</f>
        <v>View Full Record in Web of Science</v>
      </c>
    </row>
    <row r="32" ht="12.75" customHeight="1">
      <c r="A32" s="8" t="s">
        <v>3329</v>
      </c>
      <c r="B32" s="8" t="s">
        <v>3961</v>
      </c>
      <c r="C32" s="8" t="s">
        <v>2135</v>
      </c>
      <c r="D32" s="8" t="s">
        <v>2135</v>
      </c>
      <c r="E32" s="8" t="s">
        <v>2135</v>
      </c>
      <c r="F32" s="8" t="s">
        <v>3961</v>
      </c>
      <c r="G32" s="8" t="s">
        <v>2135</v>
      </c>
      <c r="H32" s="8" t="s">
        <v>2135</v>
      </c>
      <c r="I32" s="8" t="s">
        <v>241</v>
      </c>
      <c r="J32" s="8" t="s">
        <v>3962</v>
      </c>
      <c r="K32" s="8" t="s">
        <v>2135</v>
      </c>
      <c r="L32" s="8" t="s">
        <v>2135</v>
      </c>
      <c r="M32" s="8" t="s">
        <v>3332</v>
      </c>
      <c r="N32" s="8" t="s">
        <v>3963</v>
      </c>
      <c r="O32" s="8" t="s">
        <v>3964</v>
      </c>
      <c r="P32" s="8" t="s">
        <v>3965</v>
      </c>
      <c r="Q32" s="8" t="s">
        <v>3966</v>
      </c>
      <c r="R32" s="8" t="s">
        <v>2135</v>
      </c>
      <c r="S32" s="8" t="s">
        <v>2135</v>
      </c>
      <c r="T32" s="8" t="s">
        <v>3967</v>
      </c>
      <c r="U32" s="8" t="s">
        <v>3968</v>
      </c>
      <c r="V32" s="8" t="s">
        <v>3969</v>
      </c>
      <c r="W32" s="8" t="s">
        <v>3970</v>
      </c>
      <c r="X32" s="8" t="s">
        <v>3971</v>
      </c>
      <c r="Y32" s="8" t="s">
        <v>3972</v>
      </c>
      <c r="Z32" s="8" t="s">
        <v>2135</v>
      </c>
      <c r="AA32" s="8" t="s">
        <v>2135</v>
      </c>
      <c r="AB32" s="8" t="s">
        <v>2135</v>
      </c>
      <c r="AC32" s="8" t="s">
        <v>2135</v>
      </c>
      <c r="AD32" s="8" t="s">
        <v>2135</v>
      </c>
      <c r="AE32" s="8" t="s">
        <v>2135</v>
      </c>
      <c r="AF32" s="8" t="s">
        <v>2135</v>
      </c>
      <c r="AG32" s="8">
        <v>47.0</v>
      </c>
      <c r="AH32" s="8">
        <v>18.0</v>
      </c>
      <c r="AI32" s="8">
        <v>22.0</v>
      </c>
      <c r="AJ32" s="8">
        <v>4.0</v>
      </c>
      <c r="AK32" s="8">
        <v>65.0</v>
      </c>
      <c r="AL32" s="8" t="s">
        <v>3973</v>
      </c>
      <c r="AM32" s="8" t="s">
        <v>3974</v>
      </c>
      <c r="AN32" s="8" t="s">
        <v>3975</v>
      </c>
      <c r="AO32" s="8" t="s">
        <v>3976</v>
      </c>
      <c r="AP32" s="8" t="s">
        <v>2135</v>
      </c>
      <c r="AQ32" s="8" t="s">
        <v>2135</v>
      </c>
      <c r="AR32" s="8" t="s">
        <v>3977</v>
      </c>
      <c r="AS32" s="8" t="s">
        <v>3978</v>
      </c>
      <c r="AT32" s="8" t="s">
        <v>3395</v>
      </c>
      <c r="AU32" s="8">
        <v>2003.0</v>
      </c>
      <c r="AV32" s="8">
        <v>326.0</v>
      </c>
      <c r="AW32" s="8" t="s">
        <v>2135</v>
      </c>
      <c r="AX32" s="8" t="s">
        <v>2135</v>
      </c>
      <c r="AY32" s="8">
        <v>1.0</v>
      </c>
      <c r="AZ32" s="8" t="s">
        <v>2135</v>
      </c>
      <c r="BA32" s="8" t="s">
        <v>2135</v>
      </c>
      <c r="BB32" s="8" t="s">
        <v>3979</v>
      </c>
      <c r="BC32" s="8" t="s">
        <v>3980</v>
      </c>
      <c r="BD32" s="8" t="s">
        <v>2135</v>
      </c>
      <c r="BE32" s="8" t="s">
        <v>3981</v>
      </c>
      <c r="BF32" s="13" t="str">
        <f>HYPERLINK("http://dx.doi.org/10.1016/S1631-0691(03)00046-5","http://dx.doi.org/10.1016/S1631-0691(03)00046-5")</f>
        <v>http://dx.doi.org/10.1016/S1631-0691(03)00046-5</v>
      </c>
      <c r="BG32" s="8" t="s">
        <v>2135</v>
      </c>
      <c r="BH32" s="8" t="s">
        <v>2135</v>
      </c>
      <c r="BI32" s="8">
        <v>8.0</v>
      </c>
      <c r="BJ32" s="8" t="s">
        <v>3982</v>
      </c>
      <c r="BK32" s="8" t="s">
        <v>3983</v>
      </c>
      <c r="BL32" s="8" t="s">
        <v>3984</v>
      </c>
      <c r="BM32" s="8" t="s">
        <v>3985</v>
      </c>
      <c r="BN32" s="8">
        <v>1.4558458E7</v>
      </c>
      <c r="BO32" s="8" t="s">
        <v>2135</v>
      </c>
      <c r="BP32" s="8" t="s">
        <v>2135</v>
      </c>
      <c r="BQ32" s="8" t="s">
        <v>2135</v>
      </c>
      <c r="BR32" s="8" t="s">
        <v>3355</v>
      </c>
      <c r="BS32" s="8" t="s">
        <v>3986</v>
      </c>
      <c r="BT32" s="8" t="s">
        <v>2600</v>
      </c>
      <c r="BU32" s="8" t="s">
        <v>2147</v>
      </c>
      <c r="BV32" s="8" t="s">
        <v>2217</v>
      </c>
      <c r="BW32" s="8" t="s">
        <v>2601</v>
      </c>
      <c r="BX32" s="8" t="s">
        <v>3179</v>
      </c>
      <c r="BY32" s="8" t="s">
        <v>3180</v>
      </c>
      <c r="BZ32" s="8" t="str">
        <f>HYPERLINK("https%3A%2F%2Fwww.webofscience.com%2Fwos%2Fwoscc%2Ffull-record%2FWOS:000185745900018","View Full Record in Web of Science")</f>
        <v>View Full Record in Web of Science</v>
      </c>
    </row>
    <row r="33" ht="12.75" customHeight="1">
      <c r="A33" s="8" t="s">
        <v>3329</v>
      </c>
      <c r="B33" s="8" t="s">
        <v>3987</v>
      </c>
      <c r="C33" s="8" t="s">
        <v>2135</v>
      </c>
      <c r="D33" s="8" t="s">
        <v>2135</v>
      </c>
      <c r="E33" s="8" t="s">
        <v>2135</v>
      </c>
      <c r="F33" s="8" t="s">
        <v>3988</v>
      </c>
      <c r="G33" s="8" t="s">
        <v>2135</v>
      </c>
      <c r="H33" s="8" t="s">
        <v>2135</v>
      </c>
      <c r="I33" s="8" t="s">
        <v>246</v>
      </c>
      <c r="J33" s="8" t="s">
        <v>3989</v>
      </c>
      <c r="K33" s="8" t="s">
        <v>2135</v>
      </c>
      <c r="L33" s="8" t="s">
        <v>2135</v>
      </c>
      <c r="M33" s="8" t="s">
        <v>3332</v>
      </c>
      <c r="N33" s="8" t="s">
        <v>3333</v>
      </c>
      <c r="O33" s="8" t="s">
        <v>2135</v>
      </c>
      <c r="P33" s="8" t="s">
        <v>2135</v>
      </c>
      <c r="Q33" s="8" t="s">
        <v>2135</v>
      </c>
      <c r="R33" s="8" t="s">
        <v>2135</v>
      </c>
      <c r="S33" s="8" t="s">
        <v>2135</v>
      </c>
      <c r="T33" s="8" t="s">
        <v>3990</v>
      </c>
      <c r="U33" s="8" t="s">
        <v>3991</v>
      </c>
      <c r="V33" s="8" t="s">
        <v>3992</v>
      </c>
      <c r="W33" s="8" t="s">
        <v>3993</v>
      </c>
      <c r="X33" s="8" t="s">
        <v>3994</v>
      </c>
      <c r="Y33" s="8" t="s">
        <v>3995</v>
      </c>
      <c r="Z33" s="8" t="s">
        <v>3996</v>
      </c>
      <c r="AA33" s="8" t="s">
        <v>2135</v>
      </c>
      <c r="AB33" s="8" t="s">
        <v>2135</v>
      </c>
      <c r="AC33" s="8" t="s">
        <v>3997</v>
      </c>
      <c r="AD33" s="8" t="s">
        <v>3997</v>
      </c>
      <c r="AE33" s="8" t="s">
        <v>3998</v>
      </c>
      <c r="AF33" s="8" t="s">
        <v>2135</v>
      </c>
      <c r="AG33" s="8">
        <v>62.0</v>
      </c>
      <c r="AH33" s="8">
        <v>12.0</v>
      </c>
      <c r="AI33" s="8">
        <v>19.0</v>
      </c>
      <c r="AJ33" s="8">
        <v>0.0</v>
      </c>
      <c r="AK33" s="8">
        <v>41.0</v>
      </c>
      <c r="AL33" s="8" t="s">
        <v>3342</v>
      </c>
      <c r="AM33" s="8" t="s">
        <v>3343</v>
      </c>
      <c r="AN33" s="8" t="s">
        <v>3344</v>
      </c>
      <c r="AO33" s="8" t="s">
        <v>3999</v>
      </c>
      <c r="AP33" s="8" t="s">
        <v>4000</v>
      </c>
      <c r="AQ33" s="8" t="s">
        <v>2135</v>
      </c>
      <c r="AR33" s="8" t="s">
        <v>4001</v>
      </c>
      <c r="AS33" s="8" t="s">
        <v>4002</v>
      </c>
      <c r="AT33" s="8" t="s">
        <v>3512</v>
      </c>
      <c r="AU33" s="8">
        <v>2012.0</v>
      </c>
      <c r="AV33" s="8">
        <v>22.0</v>
      </c>
      <c r="AW33" s="8">
        <v>5.0</v>
      </c>
      <c r="AX33" s="8" t="s">
        <v>2135</v>
      </c>
      <c r="AY33" s="8" t="s">
        <v>2135</v>
      </c>
      <c r="AZ33" s="8" t="s">
        <v>2135</v>
      </c>
      <c r="BA33" s="8" t="s">
        <v>2135</v>
      </c>
      <c r="BB33" s="8">
        <v>616.0</v>
      </c>
      <c r="BC33" s="8">
        <v>625.0</v>
      </c>
      <c r="BD33" s="8" t="s">
        <v>2135</v>
      </c>
      <c r="BE33" s="8" t="s">
        <v>4003</v>
      </c>
      <c r="BF33" s="13" t="str">
        <f>HYPERLINK("http://dx.doi.org/10.1002/aqc.2253","http://dx.doi.org/10.1002/aqc.2253")</f>
        <v>http://dx.doi.org/10.1002/aqc.2253</v>
      </c>
      <c r="BG33" s="8" t="s">
        <v>2135</v>
      </c>
      <c r="BH33" s="8" t="s">
        <v>2135</v>
      </c>
      <c r="BI33" s="8">
        <v>10.0</v>
      </c>
      <c r="BJ33" s="8" t="s">
        <v>4004</v>
      </c>
      <c r="BK33" s="8" t="s">
        <v>3352</v>
      </c>
      <c r="BL33" s="8" t="s">
        <v>4005</v>
      </c>
      <c r="BM33" s="8" t="s">
        <v>4006</v>
      </c>
      <c r="BN33" s="8" t="s">
        <v>2135</v>
      </c>
      <c r="BO33" s="8" t="s">
        <v>2135</v>
      </c>
      <c r="BP33" s="8" t="s">
        <v>2135</v>
      </c>
      <c r="BQ33" s="8" t="s">
        <v>2135</v>
      </c>
      <c r="BR33" s="8" t="s">
        <v>3355</v>
      </c>
      <c r="BS33" s="8" t="s">
        <v>4007</v>
      </c>
      <c r="BT33" s="8" t="s">
        <v>2356</v>
      </c>
      <c r="BU33" s="8" t="s">
        <v>2283</v>
      </c>
      <c r="BV33" s="8" t="s">
        <v>2357</v>
      </c>
      <c r="BW33" s="8" t="s">
        <v>2361</v>
      </c>
      <c r="BX33" s="8" t="s">
        <v>3113</v>
      </c>
      <c r="BY33" s="8" t="s">
        <v>3114</v>
      </c>
      <c r="BZ33" s="8" t="str">
        <f>HYPERLINK("https%3A%2F%2Fwww.webofscience.com%2Fwos%2Fwoscc%2Ffull-record%2FWOS:000309715800007","View Full Record in Web of Science")</f>
        <v>View Full Record in Web of Science</v>
      </c>
    </row>
    <row r="34" ht="12.75" customHeight="1">
      <c r="A34" s="8" t="s">
        <v>3329</v>
      </c>
      <c r="B34" s="8" t="s">
        <v>4008</v>
      </c>
      <c r="C34" s="8" t="s">
        <v>2135</v>
      </c>
      <c r="D34" s="8" t="s">
        <v>2135</v>
      </c>
      <c r="E34" s="8" t="s">
        <v>2135</v>
      </c>
      <c r="F34" s="8" t="s">
        <v>4009</v>
      </c>
      <c r="G34" s="8" t="s">
        <v>2135</v>
      </c>
      <c r="H34" s="8" t="s">
        <v>2135</v>
      </c>
      <c r="I34" s="8" t="s">
        <v>274</v>
      </c>
      <c r="J34" s="8" t="s">
        <v>3380</v>
      </c>
      <c r="K34" s="8" t="s">
        <v>2135</v>
      </c>
      <c r="L34" s="8" t="s">
        <v>2135</v>
      </c>
      <c r="M34" s="8" t="s">
        <v>3332</v>
      </c>
      <c r="N34" s="8" t="s">
        <v>3333</v>
      </c>
      <c r="O34" s="8" t="s">
        <v>2135</v>
      </c>
      <c r="P34" s="8" t="s">
        <v>2135</v>
      </c>
      <c r="Q34" s="8" t="s">
        <v>2135</v>
      </c>
      <c r="R34" s="8" t="s">
        <v>2135</v>
      </c>
      <c r="S34" s="8" t="s">
        <v>2135</v>
      </c>
      <c r="T34" s="8" t="s">
        <v>4010</v>
      </c>
      <c r="U34" s="8" t="s">
        <v>4011</v>
      </c>
      <c r="V34" s="8" t="s">
        <v>4012</v>
      </c>
      <c r="W34" s="8" t="s">
        <v>4013</v>
      </c>
      <c r="X34" s="8" t="s">
        <v>4014</v>
      </c>
      <c r="Y34" s="8" t="s">
        <v>4015</v>
      </c>
      <c r="Z34" s="8" t="s">
        <v>4016</v>
      </c>
      <c r="AA34" s="8" t="s">
        <v>4017</v>
      </c>
      <c r="AB34" s="8" t="s">
        <v>4018</v>
      </c>
      <c r="AC34" s="8" t="s">
        <v>4019</v>
      </c>
      <c r="AD34" s="8" t="s">
        <v>4020</v>
      </c>
      <c r="AE34" s="8" t="s">
        <v>4021</v>
      </c>
      <c r="AF34" s="8" t="s">
        <v>2135</v>
      </c>
      <c r="AG34" s="8">
        <v>59.0</v>
      </c>
      <c r="AH34" s="8">
        <v>50.0</v>
      </c>
      <c r="AI34" s="8">
        <v>56.0</v>
      </c>
      <c r="AJ34" s="8">
        <v>0.0</v>
      </c>
      <c r="AK34" s="8">
        <v>51.0</v>
      </c>
      <c r="AL34" s="8" t="s">
        <v>3921</v>
      </c>
      <c r="AM34" s="8" t="s">
        <v>3922</v>
      </c>
      <c r="AN34" s="8" t="s">
        <v>3923</v>
      </c>
      <c r="AO34" s="8" t="s">
        <v>3392</v>
      </c>
      <c r="AP34" s="8" t="s">
        <v>4022</v>
      </c>
      <c r="AQ34" s="8" t="s">
        <v>2135</v>
      </c>
      <c r="AR34" s="8" t="s">
        <v>3393</v>
      </c>
      <c r="AS34" s="8" t="s">
        <v>3394</v>
      </c>
      <c r="AT34" s="8" t="s">
        <v>4023</v>
      </c>
      <c r="AU34" s="8">
        <v>2017.0</v>
      </c>
      <c r="AV34" s="8">
        <v>98.0</v>
      </c>
      <c r="AW34" s="8">
        <v>6.0</v>
      </c>
      <c r="AX34" s="8" t="s">
        <v>2135</v>
      </c>
      <c r="AY34" s="8" t="s">
        <v>2135</v>
      </c>
      <c r="AZ34" s="8" t="s">
        <v>2135</v>
      </c>
      <c r="BA34" s="8" t="s">
        <v>2135</v>
      </c>
      <c r="BB34" s="8">
        <v>1721.0</v>
      </c>
      <c r="BC34" s="8">
        <v>1731.0</v>
      </c>
      <c r="BD34" s="8" t="s">
        <v>2135</v>
      </c>
      <c r="BE34" s="8" t="s">
        <v>4024</v>
      </c>
      <c r="BF34" s="13" t="str">
        <f>HYPERLINK("http://dx.doi.org/10.1093/jmammal/gyx103","http://dx.doi.org/10.1093/jmammal/gyx103")</f>
        <v>http://dx.doi.org/10.1093/jmammal/gyx103</v>
      </c>
      <c r="BG34" s="8" t="s">
        <v>2135</v>
      </c>
      <c r="BH34" s="8" t="s">
        <v>2135</v>
      </c>
      <c r="BI34" s="8">
        <v>11.0</v>
      </c>
      <c r="BJ34" s="8" t="s">
        <v>3397</v>
      </c>
      <c r="BK34" s="8" t="s">
        <v>3352</v>
      </c>
      <c r="BL34" s="8" t="s">
        <v>3397</v>
      </c>
      <c r="BM34" s="8" t="s">
        <v>4025</v>
      </c>
      <c r="BN34" s="8" t="s">
        <v>2135</v>
      </c>
      <c r="BO34" s="8" t="s">
        <v>3560</v>
      </c>
      <c r="BP34" s="8" t="s">
        <v>2135</v>
      </c>
      <c r="BQ34" s="8" t="s">
        <v>2135</v>
      </c>
      <c r="BR34" s="8" t="s">
        <v>3355</v>
      </c>
      <c r="BS34" s="8" t="s">
        <v>4026</v>
      </c>
      <c r="BT34" s="8" t="s">
        <v>2185</v>
      </c>
      <c r="BU34" s="8" t="s">
        <v>2147</v>
      </c>
      <c r="BW34" s="8" t="s">
        <v>2192</v>
      </c>
      <c r="BX34" s="8" t="s">
        <v>2971</v>
      </c>
      <c r="BY34" s="8" t="s">
        <v>2972</v>
      </c>
      <c r="BZ34" s="8" t="str">
        <f>HYPERLINK("https%3A%2F%2Fwww.webofscience.com%2Fwos%2Fwoscc%2Ffull-record%2FWOS:000417241500021","View Full Record in Web of Science")</f>
        <v>View Full Record in Web of Science</v>
      </c>
    </row>
    <row r="35" ht="12.75" customHeight="1">
      <c r="A35" s="8" t="s">
        <v>3329</v>
      </c>
      <c r="B35" s="8" t="s">
        <v>4027</v>
      </c>
      <c r="C35" s="8" t="s">
        <v>2135</v>
      </c>
      <c r="D35" s="8" t="s">
        <v>2135</v>
      </c>
      <c r="E35" s="8" t="s">
        <v>2135</v>
      </c>
      <c r="F35" s="8" t="s">
        <v>4027</v>
      </c>
      <c r="G35" s="8" t="s">
        <v>2135</v>
      </c>
      <c r="H35" s="8" t="s">
        <v>2135</v>
      </c>
      <c r="I35" s="8" t="s">
        <v>272</v>
      </c>
      <c r="J35" s="8" t="s">
        <v>3796</v>
      </c>
      <c r="K35" s="8" t="s">
        <v>2135</v>
      </c>
      <c r="L35" s="8" t="s">
        <v>2135</v>
      </c>
      <c r="M35" s="8" t="s">
        <v>3332</v>
      </c>
      <c r="N35" s="8" t="s">
        <v>3492</v>
      </c>
      <c r="O35" s="8" t="s">
        <v>2135</v>
      </c>
      <c r="P35" s="8" t="s">
        <v>2135</v>
      </c>
      <c r="Q35" s="8" t="s">
        <v>2135</v>
      </c>
      <c r="R35" s="8" t="s">
        <v>2135</v>
      </c>
      <c r="S35" s="8" t="s">
        <v>2135</v>
      </c>
      <c r="T35" s="8" t="s">
        <v>2135</v>
      </c>
      <c r="U35" s="8" t="s">
        <v>4028</v>
      </c>
      <c r="V35" s="8" t="s">
        <v>4029</v>
      </c>
      <c r="W35" s="8" t="s">
        <v>2135</v>
      </c>
      <c r="X35" s="8" t="s">
        <v>2135</v>
      </c>
      <c r="Y35" s="8" t="s">
        <v>4030</v>
      </c>
      <c r="Z35" s="8" t="s">
        <v>2135</v>
      </c>
      <c r="AA35" s="8" t="s">
        <v>4031</v>
      </c>
      <c r="AB35" s="8" t="s">
        <v>4032</v>
      </c>
      <c r="AC35" s="8" t="s">
        <v>2135</v>
      </c>
      <c r="AD35" s="8" t="s">
        <v>2135</v>
      </c>
      <c r="AE35" s="8" t="s">
        <v>2135</v>
      </c>
      <c r="AF35" s="8" t="s">
        <v>2135</v>
      </c>
      <c r="AG35" s="8">
        <v>240.0</v>
      </c>
      <c r="AH35" s="8">
        <v>212.0</v>
      </c>
      <c r="AI35" s="8">
        <v>235.0</v>
      </c>
      <c r="AJ35" s="8">
        <v>0.0</v>
      </c>
      <c r="AK35" s="8">
        <v>173.0</v>
      </c>
      <c r="AL35" s="8" t="s">
        <v>4033</v>
      </c>
      <c r="AM35" s="8" t="s">
        <v>3343</v>
      </c>
      <c r="AN35" s="8" t="s">
        <v>3344</v>
      </c>
      <c r="AO35" s="8" t="s">
        <v>3808</v>
      </c>
      <c r="AP35" s="8" t="s">
        <v>3809</v>
      </c>
      <c r="AQ35" s="8" t="s">
        <v>2135</v>
      </c>
      <c r="AR35" s="8" t="s">
        <v>3810</v>
      </c>
      <c r="AS35" s="8" t="s">
        <v>3811</v>
      </c>
      <c r="AT35" s="8" t="s">
        <v>4034</v>
      </c>
      <c r="AU35" s="8">
        <v>1996.0</v>
      </c>
      <c r="AV35" s="8">
        <v>26.0</v>
      </c>
      <c r="AW35" s="8" t="s">
        <v>4035</v>
      </c>
      <c r="AX35" s="8" t="s">
        <v>2135</v>
      </c>
      <c r="AY35" s="8" t="s">
        <v>2135</v>
      </c>
      <c r="AZ35" s="8" t="s">
        <v>2135</v>
      </c>
      <c r="BA35" s="8" t="s">
        <v>2135</v>
      </c>
      <c r="BB35" s="8">
        <v>127.0</v>
      </c>
      <c r="BC35" s="8">
        <v>155.0</v>
      </c>
      <c r="BD35" s="8" t="s">
        <v>2135</v>
      </c>
      <c r="BE35" s="8" t="s">
        <v>4036</v>
      </c>
      <c r="BF35" s="13" t="str">
        <f>HYPERLINK("http://dx.doi.org/10.1111/j.1365-2907.1996.tb00150.x","http://dx.doi.org/10.1111/j.1365-2907.1996.tb00150.x")</f>
        <v>http://dx.doi.org/10.1111/j.1365-2907.1996.tb00150.x</v>
      </c>
      <c r="BG35" s="8" t="s">
        <v>2135</v>
      </c>
      <c r="BH35" s="8" t="s">
        <v>2135</v>
      </c>
      <c r="BI35" s="8">
        <v>29.0</v>
      </c>
      <c r="BJ35" s="8" t="s">
        <v>3442</v>
      </c>
      <c r="BK35" s="8" t="s">
        <v>3352</v>
      </c>
      <c r="BL35" s="8" t="s">
        <v>3443</v>
      </c>
      <c r="BM35" s="8" t="s">
        <v>4037</v>
      </c>
      <c r="BN35" s="8" t="s">
        <v>2135</v>
      </c>
      <c r="BO35" s="8" t="s">
        <v>2135</v>
      </c>
      <c r="BP35" s="8" t="s">
        <v>2135</v>
      </c>
      <c r="BQ35" s="8" t="s">
        <v>2135</v>
      </c>
      <c r="BR35" s="8" t="s">
        <v>3355</v>
      </c>
      <c r="BS35" s="8" t="s">
        <v>4038</v>
      </c>
      <c r="BU35" s="8" t="s">
        <v>2142</v>
      </c>
      <c r="BW35" s="8" t="s">
        <v>2879</v>
      </c>
      <c r="BX35" s="8" t="s">
        <v>3007</v>
      </c>
      <c r="BY35" s="8" t="s">
        <v>2972</v>
      </c>
      <c r="BZ35" s="8" t="str">
        <f>HYPERLINK("https%3A%2F%2Fwww.webofscience.com%2Fwos%2Fwoscc%2Ffull-record%2FWOS:A1996VA21800004","View Full Record in Web of Science")</f>
        <v>View Full Record in Web of Science</v>
      </c>
    </row>
    <row r="36" ht="12.75" customHeight="1">
      <c r="A36" s="8" t="s">
        <v>3329</v>
      </c>
      <c r="B36" s="8" t="s">
        <v>4039</v>
      </c>
      <c r="C36" s="8" t="s">
        <v>2135</v>
      </c>
      <c r="D36" s="8" t="s">
        <v>2135</v>
      </c>
      <c r="E36" s="8" t="s">
        <v>2135</v>
      </c>
      <c r="F36" s="8" t="s">
        <v>4039</v>
      </c>
      <c r="G36" s="8" t="s">
        <v>2135</v>
      </c>
      <c r="H36" s="8" t="s">
        <v>2135</v>
      </c>
      <c r="I36" s="8" t="s">
        <v>277</v>
      </c>
      <c r="J36" s="8" t="s">
        <v>3796</v>
      </c>
      <c r="K36" s="8" t="s">
        <v>2135</v>
      </c>
      <c r="L36" s="8" t="s">
        <v>2135</v>
      </c>
      <c r="M36" s="8" t="s">
        <v>3332</v>
      </c>
      <c r="N36" s="8" t="s">
        <v>3333</v>
      </c>
      <c r="O36" s="8" t="s">
        <v>2135</v>
      </c>
      <c r="P36" s="8" t="s">
        <v>2135</v>
      </c>
      <c r="Q36" s="8" t="s">
        <v>2135</v>
      </c>
      <c r="R36" s="8" t="s">
        <v>2135</v>
      </c>
      <c r="S36" s="8" t="s">
        <v>2135</v>
      </c>
      <c r="T36" s="8" t="s">
        <v>2135</v>
      </c>
      <c r="U36" s="8" t="s">
        <v>4040</v>
      </c>
      <c r="V36" s="8" t="s">
        <v>4041</v>
      </c>
      <c r="W36" s="8" t="s">
        <v>4042</v>
      </c>
      <c r="X36" s="8" t="s">
        <v>4043</v>
      </c>
      <c r="Y36" s="8" t="s">
        <v>2135</v>
      </c>
      <c r="Z36" s="8" t="s">
        <v>2135</v>
      </c>
      <c r="AA36" s="8" t="s">
        <v>2135</v>
      </c>
      <c r="AB36" s="8" t="s">
        <v>2135</v>
      </c>
      <c r="AC36" s="8" t="s">
        <v>2135</v>
      </c>
      <c r="AD36" s="8" t="s">
        <v>2135</v>
      </c>
      <c r="AE36" s="8" t="s">
        <v>2135</v>
      </c>
      <c r="AF36" s="8" t="s">
        <v>2135</v>
      </c>
      <c r="AG36" s="8">
        <v>36.0</v>
      </c>
      <c r="AH36" s="8">
        <v>21.0</v>
      </c>
      <c r="AI36" s="8">
        <v>23.0</v>
      </c>
      <c r="AJ36" s="8">
        <v>0.0</v>
      </c>
      <c r="AK36" s="8">
        <v>4.0</v>
      </c>
      <c r="AL36" s="8" t="s">
        <v>4044</v>
      </c>
      <c r="AM36" s="8" t="s">
        <v>3759</v>
      </c>
      <c r="AN36" s="8" t="s">
        <v>4045</v>
      </c>
      <c r="AO36" s="8" t="s">
        <v>3808</v>
      </c>
      <c r="AP36" s="8" t="s">
        <v>2135</v>
      </c>
      <c r="AQ36" s="8" t="s">
        <v>2135</v>
      </c>
      <c r="AR36" s="8" t="s">
        <v>3810</v>
      </c>
      <c r="AS36" s="8" t="s">
        <v>3811</v>
      </c>
      <c r="AT36" s="8" t="s">
        <v>3349</v>
      </c>
      <c r="AU36" s="8">
        <v>1991.0</v>
      </c>
      <c r="AV36" s="8">
        <v>21.0</v>
      </c>
      <c r="AW36" s="8">
        <v>2.0</v>
      </c>
      <c r="AX36" s="8" t="s">
        <v>2135</v>
      </c>
      <c r="AY36" s="8" t="s">
        <v>2135</v>
      </c>
      <c r="AZ36" s="8" t="s">
        <v>2135</v>
      </c>
      <c r="BA36" s="8" t="s">
        <v>2135</v>
      </c>
      <c r="BB36" s="8">
        <v>67.0</v>
      </c>
      <c r="BC36" s="8">
        <v>80.0</v>
      </c>
      <c r="BD36" s="8" t="s">
        <v>2135</v>
      </c>
      <c r="BE36" s="8" t="s">
        <v>4046</v>
      </c>
      <c r="BF36" s="13" t="str">
        <f>HYPERLINK("http://dx.doi.org/10.1111/j.1365-2907.1991.tb00289.x","http://dx.doi.org/10.1111/j.1365-2907.1991.tb00289.x")</f>
        <v>http://dx.doi.org/10.1111/j.1365-2907.1991.tb00289.x</v>
      </c>
      <c r="BG36" s="8" t="s">
        <v>2135</v>
      </c>
      <c r="BH36" s="8" t="s">
        <v>2135</v>
      </c>
      <c r="BI36" s="8">
        <v>14.0</v>
      </c>
      <c r="BJ36" s="8" t="s">
        <v>3442</v>
      </c>
      <c r="BK36" s="8" t="s">
        <v>3352</v>
      </c>
      <c r="BL36" s="8" t="s">
        <v>3443</v>
      </c>
      <c r="BM36" s="8" t="s">
        <v>4047</v>
      </c>
      <c r="BN36" s="8" t="s">
        <v>2135</v>
      </c>
      <c r="BO36" s="8" t="s">
        <v>2135</v>
      </c>
      <c r="BP36" s="8" t="s">
        <v>2135</v>
      </c>
      <c r="BQ36" s="8" t="s">
        <v>2135</v>
      </c>
      <c r="BR36" s="8" t="s">
        <v>3355</v>
      </c>
      <c r="BS36" s="8" t="s">
        <v>4048</v>
      </c>
      <c r="BT36" s="8" t="s">
        <v>2553</v>
      </c>
      <c r="BU36" s="8" t="s">
        <v>2142</v>
      </c>
      <c r="BW36" s="8" t="s">
        <v>2311</v>
      </c>
      <c r="BX36" s="8" t="s">
        <v>3148</v>
      </c>
      <c r="BY36" s="8" t="s">
        <v>3149</v>
      </c>
      <c r="BZ36" s="8" t="str">
        <f>HYPERLINK("https%3A%2F%2Fwww.webofscience.com%2Fwos%2Fwoscc%2Ffull-record%2FWOS:A1991FR87200002","View Full Record in Web of Science")</f>
        <v>View Full Record in Web of Science</v>
      </c>
    </row>
    <row r="37" ht="12.75" customHeight="1">
      <c r="A37" s="8" t="s">
        <v>3329</v>
      </c>
      <c r="B37" s="8" t="s">
        <v>4049</v>
      </c>
      <c r="C37" s="8" t="s">
        <v>2135</v>
      </c>
      <c r="D37" s="8" t="s">
        <v>2135</v>
      </c>
      <c r="E37" s="8" t="s">
        <v>2135</v>
      </c>
      <c r="F37" s="8" t="s">
        <v>4050</v>
      </c>
      <c r="G37" s="8" t="s">
        <v>2135</v>
      </c>
      <c r="H37" s="8" t="s">
        <v>2135</v>
      </c>
      <c r="I37" s="8" t="s">
        <v>304</v>
      </c>
      <c r="J37" s="8" t="s">
        <v>3771</v>
      </c>
      <c r="K37" s="8" t="s">
        <v>2135</v>
      </c>
      <c r="L37" s="8" t="s">
        <v>2135</v>
      </c>
      <c r="M37" s="8" t="s">
        <v>3332</v>
      </c>
      <c r="N37" s="8" t="s">
        <v>3333</v>
      </c>
      <c r="O37" s="8" t="s">
        <v>2135</v>
      </c>
      <c r="P37" s="8" t="s">
        <v>2135</v>
      </c>
      <c r="Q37" s="8" t="s">
        <v>2135</v>
      </c>
      <c r="R37" s="8" t="s">
        <v>2135</v>
      </c>
      <c r="S37" s="8" t="s">
        <v>2135</v>
      </c>
      <c r="T37" s="8" t="s">
        <v>4051</v>
      </c>
      <c r="U37" s="8" t="s">
        <v>4052</v>
      </c>
      <c r="V37" s="8" t="s">
        <v>4053</v>
      </c>
      <c r="W37" s="8" t="s">
        <v>4054</v>
      </c>
      <c r="X37" s="8" t="s">
        <v>4055</v>
      </c>
      <c r="Y37" s="8" t="s">
        <v>4056</v>
      </c>
      <c r="Z37" s="8" t="s">
        <v>4057</v>
      </c>
      <c r="AA37" s="8" t="s">
        <v>4058</v>
      </c>
      <c r="AB37" s="8" t="s">
        <v>2135</v>
      </c>
      <c r="AC37" s="8" t="s">
        <v>2135</v>
      </c>
      <c r="AD37" s="8" t="s">
        <v>2135</v>
      </c>
      <c r="AE37" s="8" t="s">
        <v>2135</v>
      </c>
      <c r="AF37" s="8" t="s">
        <v>2135</v>
      </c>
      <c r="AG37" s="8">
        <v>100.0</v>
      </c>
      <c r="AH37" s="8">
        <v>3.0</v>
      </c>
      <c r="AI37" s="8">
        <v>3.0</v>
      </c>
      <c r="AJ37" s="8">
        <v>2.0</v>
      </c>
      <c r="AK37" s="8">
        <v>32.0</v>
      </c>
      <c r="AL37" s="8" t="s">
        <v>3784</v>
      </c>
      <c r="AM37" s="8" t="s">
        <v>3785</v>
      </c>
      <c r="AN37" s="8" t="s">
        <v>3786</v>
      </c>
      <c r="AO37" s="8" t="s">
        <v>3787</v>
      </c>
      <c r="AP37" s="8" t="s">
        <v>3788</v>
      </c>
      <c r="AQ37" s="8" t="s">
        <v>2135</v>
      </c>
      <c r="AR37" s="8" t="s">
        <v>3789</v>
      </c>
      <c r="AS37" s="8" t="s">
        <v>3790</v>
      </c>
      <c r="AT37" s="8" t="s">
        <v>3512</v>
      </c>
      <c r="AU37" s="8">
        <v>2018.0</v>
      </c>
      <c r="AV37" s="8">
        <v>44.0</v>
      </c>
      <c r="AW37" s="8" t="s">
        <v>2135</v>
      </c>
      <c r="AX37" s="8" t="s">
        <v>2135</v>
      </c>
      <c r="AY37" s="8" t="s">
        <v>2135</v>
      </c>
      <c r="AZ37" s="8" t="s">
        <v>2135</v>
      </c>
      <c r="BA37" s="8" t="s">
        <v>2135</v>
      </c>
      <c r="BB37" s="8">
        <v>21.0</v>
      </c>
      <c r="BC37" s="8">
        <v>32.0</v>
      </c>
      <c r="BD37" s="8" t="s">
        <v>2135</v>
      </c>
      <c r="BE37" s="8" t="s">
        <v>4059</v>
      </c>
      <c r="BF37" s="13" t="str">
        <f>HYPERLINK("http://dx.doi.org/10.1016/j.jnc.2018.06.002","http://dx.doi.org/10.1016/j.jnc.2018.06.002")</f>
        <v>http://dx.doi.org/10.1016/j.jnc.2018.06.002</v>
      </c>
      <c r="BG37" s="8" t="s">
        <v>2135</v>
      </c>
      <c r="BH37" s="8" t="s">
        <v>2135</v>
      </c>
      <c r="BI37" s="8">
        <v>12.0</v>
      </c>
      <c r="BJ37" s="8" t="s">
        <v>3558</v>
      </c>
      <c r="BK37" s="8" t="s">
        <v>4060</v>
      </c>
      <c r="BL37" s="8" t="s">
        <v>3353</v>
      </c>
      <c r="BM37" s="8" t="s">
        <v>4061</v>
      </c>
      <c r="BN37" s="8" t="s">
        <v>2135</v>
      </c>
      <c r="BO37" s="8" t="s">
        <v>2135</v>
      </c>
      <c r="BP37" s="8" t="s">
        <v>2135</v>
      </c>
      <c r="BQ37" s="8" t="s">
        <v>2135</v>
      </c>
      <c r="BR37" s="8" t="s">
        <v>3355</v>
      </c>
      <c r="BS37" s="8" t="s">
        <v>4062</v>
      </c>
      <c r="BT37" s="8" t="s">
        <v>2495</v>
      </c>
      <c r="BU37" s="8" t="s">
        <v>2142</v>
      </c>
      <c r="BW37" s="8" t="s">
        <v>2143</v>
      </c>
      <c r="BX37" s="8" t="s">
        <v>3058</v>
      </c>
      <c r="BY37" s="8" t="s">
        <v>2970</v>
      </c>
      <c r="BZ37" s="8" t="str">
        <f>HYPERLINK("https%3A%2F%2Fwww.webofscience.com%2Fwos%2Fwoscc%2Ffull-record%2FWOS:000438771100003","View Full Record in Web of Science")</f>
        <v>View Full Record in Web of Science</v>
      </c>
    </row>
    <row r="38" ht="12.75" customHeight="1">
      <c r="A38" s="8" t="s">
        <v>3329</v>
      </c>
      <c r="B38" s="8" t="s">
        <v>4063</v>
      </c>
      <c r="C38" s="8" t="s">
        <v>2135</v>
      </c>
      <c r="D38" s="8" t="s">
        <v>2135</v>
      </c>
      <c r="E38" s="8" t="s">
        <v>2135</v>
      </c>
      <c r="F38" s="8" t="s">
        <v>4064</v>
      </c>
      <c r="G38" s="8" t="s">
        <v>2135</v>
      </c>
      <c r="H38" s="8" t="s">
        <v>2135</v>
      </c>
      <c r="I38" s="8" t="s">
        <v>297</v>
      </c>
      <c r="J38" s="8" t="s">
        <v>4065</v>
      </c>
      <c r="K38" s="8" t="s">
        <v>2135</v>
      </c>
      <c r="L38" s="8" t="s">
        <v>2135</v>
      </c>
      <c r="M38" s="8" t="s">
        <v>3332</v>
      </c>
      <c r="N38" s="8" t="s">
        <v>3333</v>
      </c>
      <c r="O38" s="8" t="s">
        <v>2135</v>
      </c>
      <c r="P38" s="8" t="s">
        <v>2135</v>
      </c>
      <c r="Q38" s="8" t="s">
        <v>2135</v>
      </c>
      <c r="R38" s="8" t="s">
        <v>2135</v>
      </c>
      <c r="S38" s="8" t="s">
        <v>2135</v>
      </c>
      <c r="T38" s="8" t="s">
        <v>4066</v>
      </c>
      <c r="U38" s="8" t="s">
        <v>2135</v>
      </c>
      <c r="V38" s="8" t="s">
        <v>4067</v>
      </c>
      <c r="W38" s="8" t="s">
        <v>4068</v>
      </c>
      <c r="X38" s="8" t="s">
        <v>4069</v>
      </c>
      <c r="Y38" s="8" t="s">
        <v>4070</v>
      </c>
      <c r="Z38" s="8" t="s">
        <v>4071</v>
      </c>
      <c r="AA38" s="8" t="s">
        <v>4072</v>
      </c>
      <c r="AB38" s="8" t="s">
        <v>4073</v>
      </c>
      <c r="AC38" s="8" t="s">
        <v>2135</v>
      </c>
      <c r="AD38" s="8" t="s">
        <v>2135</v>
      </c>
      <c r="AE38" s="8" t="s">
        <v>2135</v>
      </c>
      <c r="AF38" s="8" t="s">
        <v>2135</v>
      </c>
      <c r="AG38" s="8">
        <v>16.0</v>
      </c>
      <c r="AH38" s="8">
        <v>7.0</v>
      </c>
      <c r="AI38" s="8">
        <v>8.0</v>
      </c>
      <c r="AJ38" s="8">
        <v>0.0</v>
      </c>
      <c r="AK38" s="8">
        <v>6.0</v>
      </c>
      <c r="AL38" s="8" t="s">
        <v>4074</v>
      </c>
      <c r="AM38" s="8" t="s">
        <v>4075</v>
      </c>
      <c r="AN38" s="8" t="s">
        <v>4076</v>
      </c>
      <c r="AO38" s="8" t="s">
        <v>4077</v>
      </c>
      <c r="AP38" s="8" t="s">
        <v>2135</v>
      </c>
      <c r="AQ38" s="8" t="s">
        <v>2135</v>
      </c>
      <c r="AR38" s="8" t="s">
        <v>4078</v>
      </c>
      <c r="AS38" s="8" t="s">
        <v>4079</v>
      </c>
      <c r="AT38" s="8" t="s">
        <v>4080</v>
      </c>
      <c r="AU38" s="8">
        <v>2016.0</v>
      </c>
      <c r="AV38" s="8" t="s">
        <v>2135</v>
      </c>
      <c r="AW38" s="8" t="s">
        <v>2135</v>
      </c>
      <c r="AX38" s="8" t="s">
        <v>2135</v>
      </c>
      <c r="AY38" s="8">
        <v>33.0</v>
      </c>
      <c r="AZ38" s="8" t="s">
        <v>2135</v>
      </c>
      <c r="BA38" s="8" t="s">
        <v>2135</v>
      </c>
      <c r="BB38" s="8">
        <v>55.0</v>
      </c>
      <c r="BC38" s="8">
        <v>60.0</v>
      </c>
      <c r="BD38" s="8" t="s">
        <v>2135</v>
      </c>
      <c r="BE38" s="8" t="s">
        <v>2135</v>
      </c>
      <c r="BF38" s="8" t="s">
        <v>2135</v>
      </c>
      <c r="BG38" s="8" t="s">
        <v>2135</v>
      </c>
      <c r="BH38" s="8" t="s">
        <v>2135</v>
      </c>
      <c r="BI38" s="8">
        <v>6.0</v>
      </c>
      <c r="BJ38" s="8" t="s">
        <v>3397</v>
      </c>
      <c r="BK38" s="8" t="s">
        <v>3352</v>
      </c>
      <c r="BL38" s="8" t="s">
        <v>3397</v>
      </c>
      <c r="BM38" s="8" t="s">
        <v>4081</v>
      </c>
      <c r="BN38" s="8" t="s">
        <v>2135</v>
      </c>
      <c r="BO38" s="8" t="s">
        <v>2135</v>
      </c>
      <c r="BP38" s="8" t="s">
        <v>2135</v>
      </c>
      <c r="BQ38" s="8" t="s">
        <v>2135</v>
      </c>
      <c r="BR38" s="8" t="s">
        <v>3355</v>
      </c>
      <c r="BS38" s="8" t="s">
        <v>4082</v>
      </c>
      <c r="BT38" s="8" t="s">
        <v>2420</v>
      </c>
      <c r="BU38" s="8" t="s">
        <v>2283</v>
      </c>
      <c r="BW38" s="8" t="s">
        <v>2424</v>
      </c>
      <c r="BX38" s="8" t="s">
        <v>3157</v>
      </c>
      <c r="BY38" s="8" t="s">
        <v>2970</v>
      </c>
      <c r="BZ38" s="8" t="str">
        <f>HYPERLINK("https%3A%2F%2Fwww.webofscience.com%2Fwos%2Fwoscc%2Ffull-record%2FWOS:000393214300006","View Full Record in Web of Science")</f>
        <v>View Full Record in Web of Science</v>
      </c>
    </row>
    <row r="39" ht="12.75" customHeight="1">
      <c r="A39" s="8" t="s">
        <v>3329</v>
      </c>
      <c r="B39" s="8" t="s">
        <v>4083</v>
      </c>
      <c r="C39" s="8" t="s">
        <v>2135</v>
      </c>
      <c r="D39" s="8" t="s">
        <v>2135</v>
      </c>
      <c r="E39" s="8" t="s">
        <v>2135</v>
      </c>
      <c r="F39" s="8" t="s">
        <v>4084</v>
      </c>
      <c r="G39" s="8" t="s">
        <v>2135</v>
      </c>
      <c r="H39" s="8" t="s">
        <v>2135</v>
      </c>
      <c r="I39" s="8" t="s">
        <v>294</v>
      </c>
      <c r="J39" s="8" t="s">
        <v>3467</v>
      </c>
      <c r="K39" s="8" t="s">
        <v>2135</v>
      </c>
      <c r="L39" s="8" t="s">
        <v>2135</v>
      </c>
      <c r="M39" s="8" t="s">
        <v>3332</v>
      </c>
      <c r="N39" s="8" t="s">
        <v>3333</v>
      </c>
      <c r="O39" s="8" t="s">
        <v>2135</v>
      </c>
      <c r="P39" s="8" t="s">
        <v>2135</v>
      </c>
      <c r="Q39" s="8" t="s">
        <v>2135</v>
      </c>
      <c r="R39" s="8" t="s">
        <v>2135</v>
      </c>
      <c r="S39" s="8" t="s">
        <v>2135</v>
      </c>
      <c r="T39" s="8" t="s">
        <v>4085</v>
      </c>
      <c r="U39" s="8" t="s">
        <v>4086</v>
      </c>
      <c r="V39" s="8" t="s">
        <v>4087</v>
      </c>
      <c r="W39" s="8" t="s">
        <v>4088</v>
      </c>
      <c r="X39" s="8" t="s">
        <v>4089</v>
      </c>
      <c r="Y39" s="8" t="s">
        <v>4090</v>
      </c>
      <c r="Z39" s="8" t="s">
        <v>4091</v>
      </c>
      <c r="AA39" s="8" t="s">
        <v>4092</v>
      </c>
      <c r="AB39" s="8" t="s">
        <v>4093</v>
      </c>
      <c r="AC39" s="8" t="s">
        <v>2135</v>
      </c>
      <c r="AD39" s="8" t="s">
        <v>2135</v>
      </c>
      <c r="AE39" s="8" t="s">
        <v>2135</v>
      </c>
      <c r="AF39" s="8" t="s">
        <v>2135</v>
      </c>
      <c r="AG39" s="8">
        <v>51.0</v>
      </c>
      <c r="AH39" s="8">
        <v>49.0</v>
      </c>
      <c r="AI39" s="8">
        <v>54.0</v>
      </c>
      <c r="AJ39" s="8">
        <v>4.0</v>
      </c>
      <c r="AK39" s="8">
        <v>126.0</v>
      </c>
      <c r="AL39" s="8" t="s">
        <v>3479</v>
      </c>
      <c r="AM39" s="8" t="s">
        <v>3480</v>
      </c>
      <c r="AN39" s="8" t="s">
        <v>3481</v>
      </c>
      <c r="AO39" s="8" t="s">
        <v>3482</v>
      </c>
      <c r="AP39" s="8" t="s">
        <v>3740</v>
      </c>
      <c r="AQ39" s="8" t="s">
        <v>2135</v>
      </c>
      <c r="AR39" s="8" t="s">
        <v>3483</v>
      </c>
      <c r="AS39" s="8" t="s">
        <v>3484</v>
      </c>
      <c r="AT39" s="8" t="s">
        <v>3556</v>
      </c>
      <c r="AU39" s="8">
        <v>2011.0</v>
      </c>
      <c r="AV39" s="8">
        <v>57.0</v>
      </c>
      <c r="AW39" s="8">
        <v>2.0</v>
      </c>
      <c r="AX39" s="8" t="s">
        <v>2135</v>
      </c>
      <c r="AY39" s="8" t="s">
        <v>2135</v>
      </c>
      <c r="AZ39" s="8" t="s">
        <v>2135</v>
      </c>
      <c r="BA39" s="8" t="s">
        <v>2135</v>
      </c>
      <c r="BB39" s="8">
        <v>295.0</v>
      </c>
      <c r="BC39" s="8">
        <v>304.0</v>
      </c>
      <c r="BD39" s="8" t="s">
        <v>2135</v>
      </c>
      <c r="BE39" s="8" t="s">
        <v>4094</v>
      </c>
      <c r="BF39" s="13" t="str">
        <f>HYPERLINK("http://dx.doi.org/10.1007/s10344-010-0426-5","http://dx.doi.org/10.1007/s10344-010-0426-5")</f>
        <v>http://dx.doi.org/10.1007/s10344-010-0426-5</v>
      </c>
      <c r="BG39" s="8" t="s">
        <v>2135</v>
      </c>
      <c r="BH39" s="8" t="s">
        <v>2135</v>
      </c>
      <c r="BI39" s="8">
        <v>10.0</v>
      </c>
      <c r="BJ39" s="8" t="s">
        <v>3442</v>
      </c>
      <c r="BK39" s="8" t="s">
        <v>3352</v>
      </c>
      <c r="BL39" s="8" t="s">
        <v>3443</v>
      </c>
      <c r="BM39" s="8" t="s">
        <v>4095</v>
      </c>
      <c r="BN39" s="8" t="s">
        <v>2135</v>
      </c>
      <c r="BO39" s="8" t="s">
        <v>3583</v>
      </c>
      <c r="BP39" s="8" t="s">
        <v>2135</v>
      </c>
      <c r="BQ39" s="8" t="s">
        <v>2135</v>
      </c>
      <c r="BR39" s="8" t="s">
        <v>3355</v>
      </c>
      <c r="BS39" s="8" t="s">
        <v>4096</v>
      </c>
      <c r="BT39" s="8" t="s">
        <v>2467</v>
      </c>
      <c r="BU39" s="8" t="s">
        <v>2142</v>
      </c>
      <c r="BW39" s="8" t="s">
        <v>2143</v>
      </c>
      <c r="BX39" s="8" t="s">
        <v>3057</v>
      </c>
      <c r="BY39" s="8" t="s">
        <v>2970</v>
      </c>
      <c r="BZ39" s="8" t="str">
        <f>HYPERLINK("https%3A%2F%2Fwww.webofscience.com%2Fwos%2Fwoscc%2Ffull-record%2FWOS:000288553600012","View Full Record in Web of Science")</f>
        <v>View Full Record in Web of Science</v>
      </c>
    </row>
    <row r="40" ht="12.75" customHeight="1">
      <c r="A40" s="8" t="s">
        <v>3329</v>
      </c>
      <c r="B40" s="8" t="s">
        <v>4097</v>
      </c>
      <c r="C40" s="8" t="s">
        <v>2135</v>
      </c>
      <c r="D40" s="8" t="s">
        <v>2135</v>
      </c>
      <c r="E40" s="8" t="s">
        <v>2135</v>
      </c>
      <c r="F40" s="8" t="s">
        <v>4098</v>
      </c>
      <c r="G40" s="8" t="s">
        <v>2135</v>
      </c>
      <c r="H40" s="8" t="s">
        <v>2135</v>
      </c>
      <c r="I40" s="8" t="s">
        <v>292</v>
      </c>
      <c r="J40" s="8" t="s">
        <v>3796</v>
      </c>
      <c r="K40" s="8" t="s">
        <v>2135</v>
      </c>
      <c r="L40" s="8" t="s">
        <v>2135</v>
      </c>
      <c r="M40" s="8" t="s">
        <v>3332</v>
      </c>
      <c r="N40" s="8" t="s">
        <v>3492</v>
      </c>
      <c r="O40" s="8" t="s">
        <v>2135</v>
      </c>
      <c r="P40" s="8" t="s">
        <v>2135</v>
      </c>
      <c r="Q40" s="8" t="s">
        <v>2135</v>
      </c>
      <c r="R40" s="8" t="s">
        <v>2135</v>
      </c>
      <c r="S40" s="8" t="s">
        <v>2135</v>
      </c>
      <c r="T40" s="8" t="s">
        <v>4099</v>
      </c>
      <c r="U40" s="8" t="s">
        <v>4100</v>
      </c>
      <c r="V40" s="8" t="s">
        <v>4101</v>
      </c>
      <c r="W40" s="8" t="s">
        <v>4102</v>
      </c>
      <c r="X40" s="8" t="s">
        <v>4103</v>
      </c>
      <c r="Y40" s="8" t="s">
        <v>4104</v>
      </c>
      <c r="Z40" s="8" t="s">
        <v>4105</v>
      </c>
      <c r="AA40" s="8" t="s">
        <v>2135</v>
      </c>
      <c r="AB40" s="8" t="s">
        <v>2135</v>
      </c>
      <c r="AC40" s="8" t="s">
        <v>4106</v>
      </c>
      <c r="AD40" s="8" t="s">
        <v>4106</v>
      </c>
      <c r="AE40" s="8" t="s">
        <v>4107</v>
      </c>
      <c r="AF40" s="8" t="s">
        <v>2135</v>
      </c>
      <c r="AG40" s="8">
        <v>144.0</v>
      </c>
      <c r="AH40" s="8">
        <v>60.0</v>
      </c>
      <c r="AI40" s="8">
        <v>88.0</v>
      </c>
      <c r="AJ40" s="8">
        <v>6.0</v>
      </c>
      <c r="AK40" s="8">
        <v>227.0</v>
      </c>
      <c r="AL40" s="8" t="s">
        <v>3342</v>
      </c>
      <c r="AM40" s="8" t="s">
        <v>3343</v>
      </c>
      <c r="AN40" s="8" t="s">
        <v>3344</v>
      </c>
      <c r="AO40" s="8" t="s">
        <v>3808</v>
      </c>
      <c r="AP40" s="8" t="s">
        <v>3809</v>
      </c>
      <c r="AQ40" s="8" t="s">
        <v>2135</v>
      </c>
      <c r="AR40" s="8" t="s">
        <v>3810</v>
      </c>
      <c r="AS40" s="8" t="s">
        <v>3811</v>
      </c>
      <c r="AT40" s="8" t="s">
        <v>4108</v>
      </c>
      <c r="AU40" s="8">
        <v>2010.0</v>
      </c>
      <c r="AV40" s="8">
        <v>40.0</v>
      </c>
      <c r="AW40" s="8">
        <v>4.0</v>
      </c>
      <c r="AX40" s="8" t="s">
        <v>2135</v>
      </c>
      <c r="AY40" s="8" t="s">
        <v>2135</v>
      </c>
      <c r="AZ40" s="8" t="s">
        <v>2135</v>
      </c>
      <c r="BA40" s="8" t="s">
        <v>2135</v>
      </c>
      <c r="BB40" s="8">
        <v>247.0</v>
      </c>
      <c r="BC40" s="8">
        <v>292.0</v>
      </c>
      <c r="BD40" s="8" t="s">
        <v>2135</v>
      </c>
      <c r="BE40" s="8" t="s">
        <v>4109</v>
      </c>
      <c r="BF40" s="13" t="str">
        <f>HYPERLINK("http://dx.doi.org/10.1111/j.1365-2907.2010.00163.x","http://dx.doi.org/10.1111/j.1365-2907.2010.00163.x")</f>
        <v>http://dx.doi.org/10.1111/j.1365-2907.2010.00163.x</v>
      </c>
      <c r="BG40" s="8" t="s">
        <v>2135</v>
      </c>
      <c r="BH40" s="8" t="s">
        <v>2135</v>
      </c>
      <c r="BI40" s="8">
        <v>46.0</v>
      </c>
      <c r="BJ40" s="8" t="s">
        <v>3442</v>
      </c>
      <c r="BK40" s="8" t="s">
        <v>3352</v>
      </c>
      <c r="BL40" s="8" t="s">
        <v>3443</v>
      </c>
      <c r="BM40" s="8" t="s">
        <v>4110</v>
      </c>
      <c r="BN40" s="8" t="s">
        <v>2135</v>
      </c>
      <c r="BO40" s="8" t="s">
        <v>2135</v>
      </c>
      <c r="BP40" s="8" t="s">
        <v>2135</v>
      </c>
      <c r="BQ40" s="8" t="s">
        <v>2135</v>
      </c>
      <c r="BR40" s="8" t="s">
        <v>3355</v>
      </c>
      <c r="BS40" s="8" t="s">
        <v>4111</v>
      </c>
      <c r="BT40" s="8" t="s">
        <v>2282</v>
      </c>
      <c r="BU40" s="8" t="s">
        <v>2283</v>
      </c>
      <c r="BW40" s="8" t="s">
        <v>2287</v>
      </c>
      <c r="BX40" s="8" t="s">
        <v>3140</v>
      </c>
      <c r="BY40" s="8" t="s">
        <v>2970</v>
      </c>
      <c r="BZ40" s="8" t="str">
        <f>HYPERLINK("https%3A%2F%2Fwww.webofscience.com%2Fwos%2Fwoscc%2Ffull-record%2FWOS:000282373700001","View Full Record in Web of Science")</f>
        <v>View Full Record in Web of Science</v>
      </c>
    </row>
    <row r="41" ht="12.75" customHeight="1">
      <c r="A41" s="8" t="s">
        <v>3329</v>
      </c>
      <c r="B41" s="8" t="s">
        <v>4112</v>
      </c>
      <c r="C41" s="8" t="s">
        <v>2135</v>
      </c>
      <c r="D41" s="8" t="s">
        <v>2135</v>
      </c>
      <c r="E41" s="8" t="s">
        <v>2135</v>
      </c>
      <c r="F41" s="8" t="s">
        <v>4112</v>
      </c>
      <c r="G41" s="8" t="s">
        <v>2135</v>
      </c>
      <c r="H41" s="8" t="s">
        <v>2135</v>
      </c>
      <c r="I41" s="8" t="s">
        <v>256</v>
      </c>
      <c r="J41" s="8" t="s">
        <v>3796</v>
      </c>
      <c r="K41" s="8" t="s">
        <v>2135</v>
      </c>
      <c r="L41" s="8" t="s">
        <v>2135</v>
      </c>
      <c r="M41" s="8" t="s">
        <v>3332</v>
      </c>
      <c r="N41" s="8" t="s">
        <v>3492</v>
      </c>
      <c r="O41" s="8" t="s">
        <v>2135</v>
      </c>
      <c r="P41" s="8" t="s">
        <v>2135</v>
      </c>
      <c r="Q41" s="8" t="s">
        <v>2135</v>
      </c>
      <c r="R41" s="8" t="s">
        <v>2135</v>
      </c>
      <c r="S41" s="8" t="s">
        <v>2135</v>
      </c>
      <c r="T41" s="8" t="s">
        <v>2135</v>
      </c>
      <c r="U41" s="8" t="s">
        <v>4040</v>
      </c>
      <c r="V41" s="8" t="s">
        <v>4113</v>
      </c>
      <c r="W41" s="8" t="s">
        <v>4114</v>
      </c>
      <c r="X41" s="8" t="s">
        <v>2135</v>
      </c>
      <c r="Y41" s="8" t="s">
        <v>4115</v>
      </c>
      <c r="Z41" s="8" t="s">
        <v>2135</v>
      </c>
      <c r="AA41" s="8" t="s">
        <v>4116</v>
      </c>
      <c r="AB41" s="8" t="s">
        <v>2135</v>
      </c>
      <c r="AC41" s="8" t="s">
        <v>2135</v>
      </c>
      <c r="AD41" s="8" t="s">
        <v>2135</v>
      </c>
      <c r="AE41" s="8" t="s">
        <v>2135</v>
      </c>
      <c r="AF41" s="8" t="s">
        <v>2135</v>
      </c>
      <c r="AG41" s="8">
        <v>63.0</v>
      </c>
      <c r="AH41" s="8">
        <v>22.0</v>
      </c>
      <c r="AI41" s="8">
        <v>24.0</v>
      </c>
      <c r="AJ41" s="8">
        <v>3.0</v>
      </c>
      <c r="AK41" s="8">
        <v>26.0</v>
      </c>
      <c r="AL41" s="8" t="s">
        <v>4044</v>
      </c>
      <c r="AM41" s="8" t="s">
        <v>3759</v>
      </c>
      <c r="AN41" s="8" t="s">
        <v>4117</v>
      </c>
      <c r="AO41" s="8" t="s">
        <v>3808</v>
      </c>
      <c r="AP41" s="8" t="s">
        <v>2135</v>
      </c>
      <c r="AQ41" s="8" t="s">
        <v>2135</v>
      </c>
      <c r="AR41" s="8" t="s">
        <v>3810</v>
      </c>
      <c r="AS41" s="8" t="s">
        <v>3811</v>
      </c>
      <c r="AT41" s="8" t="s">
        <v>3721</v>
      </c>
      <c r="AU41" s="8">
        <v>2001.0</v>
      </c>
      <c r="AV41" s="8">
        <v>31.0</v>
      </c>
      <c r="AW41" s="8">
        <v>1.0</v>
      </c>
      <c r="AX41" s="8" t="s">
        <v>2135</v>
      </c>
      <c r="AY41" s="8" t="s">
        <v>2135</v>
      </c>
      <c r="AZ41" s="8" t="s">
        <v>2135</v>
      </c>
      <c r="BA41" s="8" t="s">
        <v>2135</v>
      </c>
      <c r="BB41" s="8">
        <v>17.0</v>
      </c>
      <c r="BC41" s="8">
        <v>31.0</v>
      </c>
      <c r="BD41" s="8" t="s">
        <v>2135</v>
      </c>
      <c r="BE41" s="8" t="s">
        <v>4118</v>
      </c>
      <c r="BF41" s="13" t="str">
        <f>HYPERLINK("http://dx.doi.org/10.1046/j.1365-2907.2001.00070.x","http://dx.doi.org/10.1046/j.1365-2907.2001.00070.x")</f>
        <v>http://dx.doi.org/10.1046/j.1365-2907.2001.00070.x</v>
      </c>
      <c r="BG41" s="8" t="s">
        <v>2135</v>
      </c>
      <c r="BH41" s="8" t="s">
        <v>2135</v>
      </c>
      <c r="BI41" s="8">
        <v>15.0</v>
      </c>
      <c r="BJ41" s="8" t="s">
        <v>3442</v>
      </c>
      <c r="BK41" s="8" t="s">
        <v>3352</v>
      </c>
      <c r="BL41" s="8" t="s">
        <v>3443</v>
      </c>
      <c r="BM41" s="8" t="s">
        <v>4119</v>
      </c>
      <c r="BN41" s="8" t="s">
        <v>2135</v>
      </c>
      <c r="BO41" s="8" t="s">
        <v>2135</v>
      </c>
      <c r="BP41" s="8" t="s">
        <v>2135</v>
      </c>
      <c r="BQ41" s="8" t="s">
        <v>2135</v>
      </c>
      <c r="BR41" s="8" t="s">
        <v>3355</v>
      </c>
      <c r="BS41" s="8" t="s">
        <v>4120</v>
      </c>
      <c r="BT41" s="8" t="s">
        <v>2553</v>
      </c>
      <c r="BU41" s="8" t="s">
        <v>2142</v>
      </c>
      <c r="BW41" s="8" t="s">
        <v>2166</v>
      </c>
      <c r="BX41" s="8" t="s">
        <v>3133</v>
      </c>
      <c r="BY41" s="8" t="s">
        <v>2970</v>
      </c>
      <c r="BZ41" s="8" t="str">
        <f>HYPERLINK("https%3A%2F%2Fwww.webofscience.com%2Fwos%2Fwoscc%2Ffull-record%2FWOS:000168690700002","View Full Record in Web of Science")</f>
        <v>View Full Record in Web of Science</v>
      </c>
    </row>
    <row r="42" ht="12.75" customHeight="1">
      <c r="A42" s="8" t="s">
        <v>3329</v>
      </c>
      <c r="B42" s="8" t="s">
        <v>4121</v>
      </c>
      <c r="C42" s="8" t="s">
        <v>2135</v>
      </c>
      <c r="D42" s="8" t="s">
        <v>2135</v>
      </c>
      <c r="E42" s="8" t="s">
        <v>2135</v>
      </c>
      <c r="F42" s="8" t="s">
        <v>4122</v>
      </c>
      <c r="G42" s="8" t="s">
        <v>2135</v>
      </c>
      <c r="H42" s="8" t="s">
        <v>2135</v>
      </c>
      <c r="I42" s="8" t="s">
        <v>252</v>
      </c>
      <c r="J42" s="8" t="s">
        <v>4123</v>
      </c>
      <c r="K42" s="8" t="s">
        <v>2135</v>
      </c>
      <c r="L42" s="8" t="s">
        <v>2135</v>
      </c>
      <c r="M42" s="8" t="s">
        <v>3332</v>
      </c>
      <c r="N42" s="8" t="s">
        <v>3333</v>
      </c>
      <c r="O42" s="8" t="s">
        <v>2135</v>
      </c>
      <c r="P42" s="8" t="s">
        <v>2135</v>
      </c>
      <c r="Q42" s="8" t="s">
        <v>2135</v>
      </c>
      <c r="R42" s="8" t="s">
        <v>2135</v>
      </c>
      <c r="S42" s="8" t="s">
        <v>2135</v>
      </c>
      <c r="T42" s="8" t="s">
        <v>4124</v>
      </c>
      <c r="U42" s="8" t="s">
        <v>2135</v>
      </c>
      <c r="V42" s="8" t="s">
        <v>4125</v>
      </c>
      <c r="W42" s="8" t="s">
        <v>4126</v>
      </c>
      <c r="X42" s="8" t="s">
        <v>4127</v>
      </c>
      <c r="Y42" s="8" t="s">
        <v>4128</v>
      </c>
      <c r="Z42" s="8" t="s">
        <v>2135</v>
      </c>
      <c r="AA42" s="8" t="s">
        <v>4129</v>
      </c>
      <c r="AB42" s="8" t="s">
        <v>4130</v>
      </c>
      <c r="AC42" s="8" t="s">
        <v>2135</v>
      </c>
      <c r="AD42" s="8" t="s">
        <v>2135</v>
      </c>
      <c r="AE42" s="8" t="s">
        <v>2135</v>
      </c>
      <c r="AF42" s="8" t="s">
        <v>2135</v>
      </c>
      <c r="AG42" s="8">
        <v>56.0</v>
      </c>
      <c r="AH42" s="8">
        <v>25.0</v>
      </c>
      <c r="AI42" s="8">
        <v>27.0</v>
      </c>
      <c r="AJ42" s="8">
        <v>0.0</v>
      </c>
      <c r="AK42" s="8">
        <v>21.0</v>
      </c>
      <c r="AL42" s="8" t="s">
        <v>4123</v>
      </c>
      <c r="AM42" s="8" t="s">
        <v>4131</v>
      </c>
      <c r="AN42" s="8" t="s">
        <v>4132</v>
      </c>
      <c r="AO42" s="8" t="s">
        <v>4133</v>
      </c>
      <c r="AP42" s="8" t="s">
        <v>2135</v>
      </c>
      <c r="AQ42" s="8" t="s">
        <v>2135</v>
      </c>
      <c r="AR42" s="8" t="s">
        <v>4134</v>
      </c>
      <c r="AS42" s="8" t="s">
        <v>4135</v>
      </c>
      <c r="AT42" s="8" t="s">
        <v>2135</v>
      </c>
      <c r="AU42" s="8">
        <v>1995.0</v>
      </c>
      <c r="AV42" s="8">
        <v>1.0</v>
      </c>
      <c r="AW42" s="8">
        <v>3.0</v>
      </c>
      <c r="AX42" s="8" t="s">
        <v>2135</v>
      </c>
      <c r="AY42" s="8" t="s">
        <v>2135</v>
      </c>
      <c r="AZ42" s="8" t="s">
        <v>2135</v>
      </c>
      <c r="BA42" s="8" t="s">
        <v>2135</v>
      </c>
      <c r="BB42" s="8">
        <v>165.0</v>
      </c>
      <c r="BC42" s="8">
        <v>175.0</v>
      </c>
      <c r="BD42" s="8" t="s">
        <v>2135</v>
      </c>
      <c r="BE42" s="8" t="s">
        <v>4136</v>
      </c>
      <c r="BF42" s="13" t="str">
        <f>HYPERLINK("http://dx.doi.org/10.2981/wlb.1995.021","http://dx.doi.org/10.2981/wlb.1995.021")</f>
        <v>http://dx.doi.org/10.2981/wlb.1995.021</v>
      </c>
      <c r="BG42" s="8" t="s">
        <v>2135</v>
      </c>
      <c r="BH42" s="8" t="s">
        <v>2135</v>
      </c>
      <c r="BI42" s="8">
        <v>11.0</v>
      </c>
      <c r="BJ42" s="8" t="s">
        <v>3442</v>
      </c>
      <c r="BK42" s="8" t="s">
        <v>3352</v>
      </c>
      <c r="BL42" s="8" t="s">
        <v>3443</v>
      </c>
      <c r="BM42" s="8" t="s">
        <v>4137</v>
      </c>
      <c r="BN42" s="8" t="s">
        <v>2135</v>
      </c>
      <c r="BO42" s="8" t="s">
        <v>3445</v>
      </c>
      <c r="BP42" s="8" t="s">
        <v>2135</v>
      </c>
      <c r="BQ42" s="8" t="s">
        <v>2135</v>
      </c>
      <c r="BR42" s="8" t="s">
        <v>3355</v>
      </c>
      <c r="BS42" s="8" t="s">
        <v>4138</v>
      </c>
      <c r="BU42" s="8" t="s">
        <v>2142</v>
      </c>
      <c r="BW42" s="8" t="s">
        <v>2218</v>
      </c>
      <c r="BX42" s="8" t="s">
        <v>2953</v>
      </c>
      <c r="BY42" s="8" t="s">
        <v>2970</v>
      </c>
      <c r="BZ42" s="8" t="str">
        <f>HYPERLINK("https%3A%2F%2Fwww.webofscience.com%2Fwos%2Fwoscc%2Ffull-record%2FWOS:000208609800004","View Full Record in Web of Science")</f>
        <v>View Full Record in Web of Science</v>
      </c>
    </row>
    <row r="43" ht="12.75" customHeight="1">
      <c r="A43" s="8" t="s">
        <v>3329</v>
      </c>
      <c r="B43" s="8" t="s">
        <v>4139</v>
      </c>
      <c r="C43" s="8" t="s">
        <v>2135</v>
      </c>
      <c r="D43" s="8" t="s">
        <v>2135</v>
      </c>
      <c r="E43" s="8" t="s">
        <v>2135</v>
      </c>
      <c r="F43" s="8" t="s">
        <v>4139</v>
      </c>
      <c r="G43" s="8" t="s">
        <v>2135</v>
      </c>
      <c r="H43" s="8" t="s">
        <v>2135</v>
      </c>
      <c r="I43" s="8" t="s">
        <v>283</v>
      </c>
      <c r="J43" s="8" t="s">
        <v>4140</v>
      </c>
      <c r="K43" s="8" t="s">
        <v>2135</v>
      </c>
      <c r="L43" s="8" t="s">
        <v>2135</v>
      </c>
      <c r="M43" s="8" t="s">
        <v>3332</v>
      </c>
      <c r="N43" s="8" t="s">
        <v>3963</v>
      </c>
      <c r="O43" s="8" t="s">
        <v>4141</v>
      </c>
      <c r="P43" s="8" t="s">
        <v>4142</v>
      </c>
      <c r="Q43" s="8" t="s">
        <v>4143</v>
      </c>
      <c r="R43" s="8" t="s">
        <v>2135</v>
      </c>
      <c r="S43" s="8" t="s">
        <v>2135</v>
      </c>
      <c r="T43" s="8" t="s">
        <v>2135</v>
      </c>
      <c r="U43" s="8" t="s">
        <v>2135</v>
      </c>
      <c r="V43" s="8" t="s">
        <v>4144</v>
      </c>
      <c r="W43" s="8" t="s">
        <v>2135</v>
      </c>
      <c r="X43" s="8" t="s">
        <v>2135</v>
      </c>
      <c r="Y43" s="8" t="s">
        <v>4145</v>
      </c>
      <c r="Z43" s="8" t="s">
        <v>2135</v>
      </c>
      <c r="AA43" s="8" t="s">
        <v>2135</v>
      </c>
      <c r="AB43" s="8" t="s">
        <v>2135</v>
      </c>
      <c r="AC43" s="8" t="s">
        <v>2135</v>
      </c>
      <c r="AD43" s="8" t="s">
        <v>2135</v>
      </c>
      <c r="AE43" s="8" t="s">
        <v>2135</v>
      </c>
      <c r="AF43" s="8" t="s">
        <v>2135</v>
      </c>
      <c r="AG43" s="8">
        <v>32.0</v>
      </c>
      <c r="AH43" s="8">
        <v>17.0</v>
      </c>
      <c r="AI43" s="8">
        <v>20.0</v>
      </c>
      <c r="AJ43" s="8">
        <v>0.0</v>
      </c>
      <c r="AK43" s="8">
        <v>8.0</v>
      </c>
      <c r="AL43" s="8" t="s">
        <v>4146</v>
      </c>
      <c r="AM43" s="8" t="s">
        <v>4147</v>
      </c>
      <c r="AN43" s="8" t="s">
        <v>4148</v>
      </c>
      <c r="AO43" s="8" t="s">
        <v>4149</v>
      </c>
      <c r="AP43" s="8" t="s">
        <v>2135</v>
      </c>
      <c r="AQ43" s="8" t="s">
        <v>2135</v>
      </c>
      <c r="AR43" s="8" t="s">
        <v>4150</v>
      </c>
      <c r="AS43" s="8" t="s">
        <v>4151</v>
      </c>
      <c r="AT43" s="8" t="s">
        <v>2135</v>
      </c>
      <c r="AU43" s="8">
        <v>1995.0</v>
      </c>
      <c r="AV43" s="8">
        <v>32.0</v>
      </c>
      <c r="AW43" s="8">
        <v>1.0</v>
      </c>
      <c r="AX43" s="8" t="s">
        <v>2135</v>
      </c>
      <c r="AY43" s="8" t="s">
        <v>2135</v>
      </c>
      <c r="AZ43" s="8" t="s">
        <v>2135</v>
      </c>
      <c r="BA43" s="8" t="s">
        <v>2135</v>
      </c>
      <c r="BB43" s="8">
        <v>21.0</v>
      </c>
      <c r="BC43" s="8">
        <v>29.0</v>
      </c>
      <c r="BD43" s="8" t="s">
        <v>2135</v>
      </c>
      <c r="BE43" s="8" t="s">
        <v>2135</v>
      </c>
      <c r="BF43" s="8" t="s">
        <v>2135</v>
      </c>
      <c r="BG43" s="8" t="s">
        <v>2135</v>
      </c>
      <c r="BH43" s="8" t="s">
        <v>2135</v>
      </c>
      <c r="BI43" s="8">
        <v>9.0</v>
      </c>
      <c r="BJ43" s="8" t="s">
        <v>3442</v>
      </c>
      <c r="BK43" s="8" t="s">
        <v>3983</v>
      </c>
      <c r="BL43" s="8" t="s">
        <v>3443</v>
      </c>
      <c r="BM43" s="8" t="s">
        <v>4152</v>
      </c>
      <c r="BN43" s="8" t="s">
        <v>2135</v>
      </c>
      <c r="BO43" s="8" t="s">
        <v>2135</v>
      </c>
      <c r="BP43" s="8" t="s">
        <v>2135</v>
      </c>
      <c r="BQ43" s="8" t="s">
        <v>2135</v>
      </c>
      <c r="BR43" s="8" t="s">
        <v>3355</v>
      </c>
      <c r="BS43" s="8" t="s">
        <v>4153</v>
      </c>
      <c r="BT43" s="8" t="s">
        <v>2414</v>
      </c>
      <c r="BU43" s="8" t="s">
        <v>2142</v>
      </c>
      <c r="BW43" s="8" t="s">
        <v>2415</v>
      </c>
      <c r="BX43" s="8" t="s">
        <v>2953</v>
      </c>
      <c r="BY43" s="8" t="s">
        <v>2970</v>
      </c>
      <c r="BZ43" s="8" t="str">
        <f>HYPERLINK("https%3A%2F%2Fwww.webofscience.com%2Fwos%2Fwoscc%2Ffull-record%2FWOS:A1995RB12100005","View Full Record in Web of Science")</f>
        <v>View Full Record in Web of Science</v>
      </c>
    </row>
    <row r="44" ht="12.75" customHeight="1">
      <c r="A44" s="8" t="s">
        <v>3329</v>
      </c>
      <c r="B44" s="8" t="s">
        <v>4154</v>
      </c>
      <c r="C44" s="8" t="s">
        <v>2135</v>
      </c>
      <c r="D44" s="8" t="s">
        <v>2135</v>
      </c>
      <c r="E44" s="8" t="s">
        <v>2135</v>
      </c>
      <c r="F44" s="8" t="s">
        <v>4154</v>
      </c>
      <c r="G44" s="8" t="s">
        <v>2135</v>
      </c>
      <c r="H44" s="8" t="s">
        <v>2135</v>
      </c>
      <c r="I44" s="8" t="s">
        <v>281</v>
      </c>
      <c r="J44" s="8" t="s">
        <v>3796</v>
      </c>
      <c r="K44" s="8" t="s">
        <v>2135</v>
      </c>
      <c r="L44" s="8" t="s">
        <v>2135</v>
      </c>
      <c r="M44" s="8" t="s">
        <v>3332</v>
      </c>
      <c r="N44" s="8" t="s">
        <v>3333</v>
      </c>
      <c r="O44" s="8" t="s">
        <v>2135</v>
      </c>
      <c r="P44" s="8" t="s">
        <v>2135</v>
      </c>
      <c r="Q44" s="8" t="s">
        <v>2135</v>
      </c>
      <c r="R44" s="8" t="s">
        <v>2135</v>
      </c>
      <c r="S44" s="8" t="s">
        <v>2135</v>
      </c>
      <c r="T44" s="8" t="s">
        <v>2135</v>
      </c>
      <c r="U44" s="8" t="s">
        <v>4155</v>
      </c>
      <c r="V44" s="8" t="s">
        <v>4156</v>
      </c>
      <c r="W44" s="8" t="s">
        <v>4042</v>
      </c>
      <c r="X44" s="8" t="s">
        <v>4043</v>
      </c>
      <c r="Y44" s="8" t="s">
        <v>2135</v>
      </c>
      <c r="Z44" s="8" t="s">
        <v>2135</v>
      </c>
      <c r="AA44" s="8" t="s">
        <v>2135</v>
      </c>
      <c r="AB44" s="8" t="s">
        <v>2135</v>
      </c>
      <c r="AC44" s="8" t="s">
        <v>2135</v>
      </c>
      <c r="AD44" s="8" t="s">
        <v>2135</v>
      </c>
      <c r="AE44" s="8" t="s">
        <v>2135</v>
      </c>
      <c r="AF44" s="8" t="s">
        <v>2135</v>
      </c>
      <c r="AG44" s="8">
        <v>40.0</v>
      </c>
      <c r="AH44" s="8">
        <v>33.0</v>
      </c>
      <c r="AI44" s="8">
        <v>34.0</v>
      </c>
      <c r="AJ44" s="8">
        <v>0.0</v>
      </c>
      <c r="AK44" s="8">
        <v>17.0</v>
      </c>
      <c r="AL44" s="8" t="s">
        <v>4044</v>
      </c>
      <c r="AM44" s="8" t="s">
        <v>3759</v>
      </c>
      <c r="AN44" s="8" t="s">
        <v>4045</v>
      </c>
      <c r="AO44" s="8" t="s">
        <v>3808</v>
      </c>
      <c r="AP44" s="8" t="s">
        <v>2135</v>
      </c>
      <c r="AQ44" s="8" t="s">
        <v>2135</v>
      </c>
      <c r="AR44" s="8" t="s">
        <v>3810</v>
      </c>
      <c r="AS44" s="8" t="s">
        <v>3811</v>
      </c>
      <c r="AT44" s="8" t="s">
        <v>3721</v>
      </c>
      <c r="AU44" s="8">
        <v>1993.0</v>
      </c>
      <c r="AV44" s="8">
        <v>23.0</v>
      </c>
      <c r="AW44" s="8">
        <v>1.0</v>
      </c>
      <c r="AX44" s="8" t="s">
        <v>2135</v>
      </c>
      <c r="AY44" s="8" t="s">
        <v>2135</v>
      </c>
      <c r="AZ44" s="8" t="s">
        <v>2135</v>
      </c>
      <c r="BA44" s="8" t="s">
        <v>2135</v>
      </c>
      <c r="BB44" s="8">
        <v>1.0</v>
      </c>
      <c r="BC44" s="8">
        <v>15.0</v>
      </c>
      <c r="BD44" s="8" t="s">
        <v>2135</v>
      </c>
      <c r="BE44" s="8" t="s">
        <v>4157</v>
      </c>
      <c r="BF44" s="13" t="str">
        <f>HYPERLINK("http://dx.doi.org/10.1111/j.1365-2907.1993.tb00413.x","http://dx.doi.org/10.1111/j.1365-2907.1993.tb00413.x")</f>
        <v>http://dx.doi.org/10.1111/j.1365-2907.1993.tb00413.x</v>
      </c>
      <c r="BG44" s="8" t="s">
        <v>2135</v>
      </c>
      <c r="BH44" s="8" t="s">
        <v>2135</v>
      </c>
      <c r="BI44" s="8">
        <v>15.0</v>
      </c>
      <c r="BJ44" s="8" t="s">
        <v>3442</v>
      </c>
      <c r="BK44" s="8" t="s">
        <v>3352</v>
      </c>
      <c r="BL44" s="8" t="s">
        <v>3443</v>
      </c>
      <c r="BM44" s="8" t="s">
        <v>4158</v>
      </c>
      <c r="BN44" s="8" t="s">
        <v>2135</v>
      </c>
      <c r="BO44" s="8" t="s">
        <v>2135</v>
      </c>
      <c r="BP44" s="8" t="s">
        <v>2135</v>
      </c>
      <c r="BQ44" s="8" t="s">
        <v>2135</v>
      </c>
      <c r="BR44" s="8" t="s">
        <v>3355</v>
      </c>
      <c r="BS44" s="8" t="s">
        <v>4159</v>
      </c>
      <c r="BT44" s="8" t="s">
        <v>2553</v>
      </c>
      <c r="BU44" s="8" t="s">
        <v>2142</v>
      </c>
      <c r="BW44" s="8" t="s">
        <v>2311</v>
      </c>
      <c r="BX44" s="8" t="s">
        <v>3150</v>
      </c>
      <c r="BY44" s="8" t="s">
        <v>2970</v>
      </c>
      <c r="BZ44" s="8" t="str">
        <f>HYPERLINK("https%3A%2F%2Fwww.webofscience.com%2Fwos%2Fwoscc%2Ffull-record%2FWOS:A1993KZ75400001","View Full Record in Web of Science")</f>
        <v>View Full Record in Web of Science</v>
      </c>
    </row>
    <row r="45" ht="12.75" customHeight="1">
      <c r="A45" s="8" t="s">
        <v>3329</v>
      </c>
      <c r="B45" s="8" t="s">
        <v>4160</v>
      </c>
      <c r="C45" s="8" t="s">
        <v>2135</v>
      </c>
      <c r="D45" s="8" t="s">
        <v>2135</v>
      </c>
      <c r="E45" s="8" t="s">
        <v>2135</v>
      </c>
      <c r="F45" s="8" t="s">
        <v>4161</v>
      </c>
      <c r="G45" s="8" t="s">
        <v>2135</v>
      </c>
      <c r="H45" s="8" t="s">
        <v>2135</v>
      </c>
      <c r="I45" s="8" t="s">
        <v>316</v>
      </c>
      <c r="J45" s="8" t="s">
        <v>4162</v>
      </c>
      <c r="K45" s="8" t="s">
        <v>2135</v>
      </c>
      <c r="L45" s="8" t="s">
        <v>2135</v>
      </c>
      <c r="M45" s="8" t="s">
        <v>3332</v>
      </c>
      <c r="N45" s="8" t="s">
        <v>3333</v>
      </c>
      <c r="O45" s="8" t="s">
        <v>2135</v>
      </c>
      <c r="P45" s="8" t="s">
        <v>2135</v>
      </c>
      <c r="Q45" s="8" t="s">
        <v>2135</v>
      </c>
      <c r="R45" s="8" t="s">
        <v>2135</v>
      </c>
      <c r="S45" s="8" t="s">
        <v>2135</v>
      </c>
      <c r="T45" s="8" t="s">
        <v>4163</v>
      </c>
      <c r="U45" s="8" t="s">
        <v>4164</v>
      </c>
      <c r="V45" s="8" t="s">
        <v>4165</v>
      </c>
      <c r="W45" s="8" t="s">
        <v>4166</v>
      </c>
      <c r="X45" s="8" t="s">
        <v>4167</v>
      </c>
      <c r="Y45" s="8" t="s">
        <v>4168</v>
      </c>
      <c r="Z45" s="8" t="s">
        <v>4169</v>
      </c>
      <c r="AA45" s="8" t="s">
        <v>4170</v>
      </c>
      <c r="AB45" s="8" t="s">
        <v>4171</v>
      </c>
      <c r="AC45" s="8" t="s">
        <v>4172</v>
      </c>
      <c r="AD45" s="8" t="s">
        <v>4173</v>
      </c>
      <c r="AE45" s="8" t="s">
        <v>4174</v>
      </c>
      <c r="AF45" s="8" t="s">
        <v>2135</v>
      </c>
      <c r="AG45" s="8">
        <v>111.0</v>
      </c>
      <c r="AH45" s="8">
        <v>13.0</v>
      </c>
      <c r="AI45" s="8">
        <v>16.0</v>
      </c>
      <c r="AJ45" s="8">
        <v>0.0</v>
      </c>
      <c r="AK45" s="8">
        <v>102.0</v>
      </c>
      <c r="AL45" s="8" t="s">
        <v>3342</v>
      </c>
      <c r="AM45" s="8" t="s">
        <v>3343</v>
      </c>
      <c r="AN45" s="8" t="s">
        <v>3344</v>
      </c>
      <c r="AO45" s="8" t="s">
        <v>4175</v>
      </c>
      <c r="AP45" s="8" t="s">
        <v>4176</v>
      </c>
      <c r="AQ45" s="8" t="s">
        <v>2135</v>
      </c>
      <c r="AR45" s="8" t="s">
        <v>4177</v>
      </c>
      <c r="AS45" s="8" t="s">
        <v>4178</v>
      </c>
      <c r="AT45" s="8" t="s">
        <v>3485</v>
      </c>
      <c r="AU45" s="8">
        <v>2020.0</v>
      </c>
      <c r="AV45" s="8">
        <v>84.0</v>
      </c>
      <c r="AW45" s="8">
        <v>2.0</v>
      </c>
      <c r="AX45" s="8" t="s">
        <v>2135</v>
      </c>
      <c r="AY45" s="8" t="s">
        <v>2135</v>
      </c>
      <c r="AZ45" s="8" t="s">
        <v>2135</v>
      </c>
      <c r="BA45" s="8" t="s">
        <v>2135</v>
      </c>
      <c r="BB45" s="8">
        <v>277.0</v>
      </c>
      <c r="BC45" s="8">
        <v>292.0</v>
      </c>
      <c r="BD45" s="8" t="s">
        <v>2135</v>
      </c>
      <c r="BE45" s="8" t="s">
        <v>4179</v>
      </c>
      <c r="BF45" s="13" t="str">
        <f>HYPERLINK("http://dx.doi.org/10.1002/jwmg.21795","http://dx.doi.org/10.1002/jwmg.21795")</f>
        <v>http://dx.doi.org/10.1002/jwmg.21795</v>
      </c>
      <c r="BG45" s="8" t="s">
        <v>2135</v>
      </c>
      <c r="BH45" s="8" t="s">
        <v>4180</v>
      </c>
      <c r="BI45" s="8">
        <v>16.0</v>
      </c>
      <c r="BJ45" s="8" t="s">
        <v>3442</v>
      </c>
      <c r="BK45" s="8" t="s">
        <v>3352</v>
      </c>
      <c r="BL45" s="8" t="s">
        <v>3443</v>
      </c>
      <c r="BM45" s="8" t="s">
        <v>4181</v>
      </c>
      <c r="BN45" s="8" t="s">
        <v>2135</v>
      </c>
      <c r="BO45" s="8" t="s">
        <v>2135</v>
      </c>
      <c r="BP45" s="8" t="s">
        <v>2135</v>
      </c>
      <c r="BQ45" s="8" t="s">
        <v>2135</v>
      </c>
      <c r="BR45" s="8" t="s">
        <v>3355</v>
      </c>
      <c r="BS45" s="8" t="s">
        <v>4182</v>
      </c>
      <c r="BU45" s="8" t="s">
        <v>2147</v>
      </c>
      <c r="BV45" s="8" t="s">
        <v>2217</v>
      </c>
      <c r="BW45" s="8" t="s">
        <v>2260</v>
      </c>
      <c r="BX45" s="8" t="s">
        <v>3194</v>
      </c>
      <c r="BY45" s="8" t="s">
        <v>3195</v>
      </c>
      <c r="BZ45" s="8" t="str">
        <f>HYPERLINK("https%3A%2F%2Fwww.webofscience.com%2Fwos%2Fwoscc%2Ffull-record%2FWOS:000498724500001","View Full Record in Web of Science")</f>
        <v>View Full Record in Web of Science</v>
      </c>
    </row>
    <row r="46" ht="12.75" customHeight="1">
      <c r="A46" s="8" t="s">
        <v>3329</v>
      </c>
      <c r="B46" s="8" t="s">
        <v>4183</v>
      </c>
      <c r="C46" s="8" t="s">
        <v>2135</v>
      </c>
      <c r="D46" s="8" t="s">
        <v>2135</v>
      </c>
      <c r="E46" s="8" t="s">
        <v>2135</v>
      </c>
      <c r="F46" s="8" t="s">
        <v>4184</v>
      </c>
      <c r="G46" s="8" t="s">
        <v>2135</v>
      </c>
      <c r="H46" s="8" t="s">
        <v>2135</v>
      </c>
      <c r="I46" s="8" t="s">
        <v>325</v>
      </c>
      <c r="J46" s="8" t="s">
        <v>4185</v>
      </c>
      <c r="K46" s="8" t="s">
        <v>2135</v>
      </c>
      <c r="L46" s="8" t="s">
        <v>2135</v>
      </c>
      <c r="M46" s="8" t="s">
        <v>3332</v>
      </c>
      <c r="N46" s="8" t="s">
        <v>3333</v>
      </c>
      <c r="O46" s="8" t="s">
        <v>2135</v>
      </c>
      <c r="P46" s="8" t="s">
        <v>2135</v>
      </c>
      <c r="Q46" s="8" t="s">
        <v>2135</v>
      </c>
      <c r="R46" s="8" t="s">
        <v>2135</v>
      </c>
      <c r="S46" s="8" t="s">
        <v>2135</v>
      </c>
      <c r="T46" s="8" t="s">
        <v>4186</v>
      </c>
      <c r="U46" s="8" t="s">
        <v>4187</v>
      </c>
      <c r="V46" s="8" t="s">
        <v>4188</v>
      </c>
      <c r="W46" s="8" t="s">
        <v>4189</v>
      </c>
      <c r="X46" s="8" t="s">
        <v>4190</v>
      </c>
      <c r="Y46" s="8" t="s">
        <v>4191</v>
      </c>
      <c r="Z46" s="8" t="s">
        <v>4192</v>
      </c>
      <c r="AA46" s="8" t="s">
        <v>4193</v>
      </c>
      <c r="AB46" s="8" t="s">
        <v>4194</v>
      </c>
      <c r="AC46" s="8" t="s">
        <v>4195</v>
      </c>
      <c r="AD46" s="8" t="s">
        <v>4196</v>
      </c>
      <c r="AE46" s="8" t="s">
        <v>4197</v>
      </c>
      <c r="AF46" s="8" t="s">
        <v>2135</v>
      </c>
      <c r="AG46" s="8">
        <v>45.0</v>
      </c>
      <c r="AH46" s="8">
        <v>14.0</v>
      </c>
      <c r="AI46" s="8">
        <v>18.0</v>
      </c>
      <c r="AJ46" s="8">
        <v>0.0</v>
      </c>
      <c r="AK46" s="8">
        <v>45.0</v>
      </c>
      <c r="AL46" s="8" t="s">
        <v>3342</v>
      </c>
      <c r="AM46" s="8" t="s">
        <v>3343</v>
      </c>
      <c r="AN46" s="8" t="s">
        <v>3344</v>
      </c>
      <c r="AO46" s="8" t="s">
        <v>4198</v>
      </c>
      <c r="AP46" s="8" t="s">
        <v>2135</v>
      </c>
      <c r="AQ46" s="8" t="s">
        <v>2135</v>
      </c>
      <c r="AR46" s="8" t="s">
        <v>4199</v>
      </c>
      <c r="AS46" s="8" t="s">
        <v>4200</v>
      </c>
      <c r="AT46" s="8" t="s">
        <v>3349</v>
      </c>
      <c r="AU46" s="8">
        <v>2017.0</v>
      </c>
      <c r="AV46" s="8">
        <v>7.0</v>
      </c>
      <c r="AW46" s="8">
        <v>11.0</v>
      </c>
      <c r="AX46" s="8" t="s">
        <v>2135</v>
      </c>
      <c r="AY46" s="8" t="s">
        <v>2135</v>
      </c>
      <c r="AZ46" s="8" t="s">
        <v>2135</v>
      </c>
      <c r="BA46" s="8" t="s">
        <v>2135</v>
      </c>
      <c r="BB46" s="8">
        <v>4016.0</v>
      </c>
      <c r="BC46" s="8">
        <v>4023.0</v>
      </c>
      <c r="BD46" s="8" t="s">
        <v>2135</v>
      </c>
      <c r="BE46" s="8" t="s">
        <v>4201</v>
      </c>
      <c r="BF46" s="13" t="str">
        <f>HYPERLINK("http://dx.doi.org/10.1002/ece3.2983","http://dx.doi.org/10.1002/ece3.2983")</f>
        <v>http://dx.doi.org/10.1002/ece3.2983</v>
      </c>
      <c r="BG46" s="8" t="s">
        <v>2135</v>
      </c>
      <c r="BH46" s="8" t="s">
        <v>2135</v>
      </c>
      <c r="BI46" s="8">
        <v>8.0</v>
      </c>
      <c r="BJ46" s="8" t="s">
        <v>4202</v>
      </c>
      <c r="BK46" s="8" t="s">
        <v>3352</v>
      </c>
      <c r="BL46" s="8" t="s">
        <v>4203</v>
      </c>
      <c r="BM46" s="8" t="s">
        <v>4204</v>
      </c>
      <c r="BN46" s="8">
        <v>2.8616196E7</v>
      </c>
      <c r="BO46" s="8" t="s">
        <v>3659</v>
      </c>
      <c r="BP46" s="8" t="s">
        <v>2135</v>
      </c>
      <c r="BQ46" s="8" t="s">
        <v>2135</v>
      </c>
      <c r="BR46" s="8" t="s">
        <v>3355</v>
      </c>
      <c r="BS46" s="8" t="s">
        <v>4205</v>
      </c>
      <c r="BT46" s="8" t="s">
        <v>2282</v>
      </c>
      <c r="BU46" s="8" t="s">
        <v>2283</v>
      </c>
      <c r="BW46" s="8" t="s">
        <v>2284</v>
      </c>
      <c r="BX46" s="8" t="s">
        <v>3137</v>
      </c>
      <c r="BY46" s="8" t="s">
        <v>3138</v>
      </c>
      <c r="BZ46" s="8" t="str">
        <f>HYPERLINK("https%3A%2F%2Fwww.webofscience.com%2Fwos%2Fwoscc%2Ffull-record%2FWOS:000403273000037","View Full Record in Web of Science")</f>
        <v>View Full Record in Web of Science</v>
      </c>
    </row>
    <row r="47" ht="12.75" customHeight="1">
      <c r="A47" s="8" t="s">
        <v>3329</v>
      </c>
      <c r="B47" s="8" t="s">
        <v>4206</v>
      </c>
      <c r="C47" s="8" t="s">
        <v>2135</v>
      </c>
      <c r="D47" s="8" t="s">
        <v>2135</v>
      </c>
      <c r="E47" s="8" t="s">
        <v>2135</v>
      </c>
      <c r="F47" s="8" t="s">
        <v>4207</v>
      </c>
      <c r="G47" s="8" t="s">
        <v>2135</v>
      </c>
      <c r="H47" s="8" t="s">
        <v>2135</v>
      </c>
      <c r="I47" s="8" t="s">
        <v>338</v>
      </c>
      <c r="J47" s="8" t="s">
        <v>3747</v>
      </c>
      <c r="K47" s="8" t="s">
        <v>2135</v>
      </c>
      <c r="L47" s="8" t="s">
        <v>2135</v>
      </c>
      <c r="M47" s="8" t="s">
        <v>3332</v>
      </c>
      <c r="N47" s="8" t="s">
        <v>3333</v>
      </c>
      <c r="O47" s="8" t="s">
        <v>2135</v>
      </c>
      <c r="P47" s="8" t="s">
        <v>2135</v>
      </c>
      <c r="Q47" s="8" t="s">
        <v>2135</v>
      </c>
      <c r="R47" s="8" t="s">
        <v>2135</v>
      </c>
      <c r="S47" s="8" t="s">
        <v>2135</v>
      </c>
      <c r="T47" s="8" t="s">
        <v>4208</v>
      </c>
      <c r="U47" s="8" t="s">
        <v>4209</v>
      </c>
      <c r="V47" s="8" t="s">
        <v>4210</v>
      </c>
      <c r="W47" s="8" t="s">
        <v>4211</v>
      </c>
      <c r="X47" s="8" t="s">
        <v>4212</v>
      </c>
      <c r="Y47" s="8" t="s">
        <v>4213</v>
      </c>
      <c r="Z47" s="8" t="s">
        <v>4214</v>
      </c>
      <c r="AA47" s="8" t="s">
        <v>4215</v>
      </c>
      <c r="AB47" s="8" t="s">
        <v>2135</v>
      </c>
      <c r="AC47" s="8" t="s">
        <v>4216</v>
      </c>
      <c r="AD47" s="8" t="s">
        <v>4217</v>
      </c>
      <c r="AE47" s="8" t="s">
        <v>4218</v>
      </c>
      <c r="AF47" s="8" t="s">
        <v>2135</v>
      </c>
      <c r="AG47" s="8">
        <v>69.0</v>
      </c>
      <c r="AH47" s="8">
        <v>9.0</v>
      </c>
      <c r="AI47" s="8">
        <v>9.0</v>
      </c>
      <c r="AJ47" s="8">
        <v>0.0</v>
      </c>
      <c r="AK47" s="8">
        <v>46.0</v>
      </c>
      <c r="AL47" s="8" t="s">
        <v>3758</v>
      </c>
      <c r="AM47" s="8" t="s">
        <v>3759</v>
      </c>
      <c r="AN47" s="8" t="s">
        <v>3760</v>
      </c>
      <c r="AO47" s="8" t="s">
        <v>3761</v>
      </c>
      <c r="AP47" s="8" t="s">
        <v>3762</v>
      </c>
      <c r="AQ47" s="8" t="s">
        <v>2135</v>
      </c>
      <c r="AR47" s="8" t="s">
        <v>3763</v>
      </c>
      <c r="AS47" s="8" t="s">
        <v>3764</v>
      </c>
      <c r="AT47" s="8" t="s">
        <v>3765</v>
      </c>
      <c r="AU47" s="8">
        <v>2019.0</v>
      </c>
      <c r="AV47" s="8">
        <v>233.0</v>
      </c>
      <c r="AW47" s="8" t="s">
        <v>2135</v>
      </c>
      <c r="AX47" s="8" t="s">
        <v>2135</v>
      </c>
      <c r="AY47" s="8" t="s">
        <v>2135</v>
      </c>
      <c r="AZ47" s="8" t="s">
        <v>2135</v>
      </c>
      <c r="BA47" s="8" t="s">
        <v>2135</v>
      </c>
      <c r="BB47" s="8">
        <v>336.0</v>
      </c>
      <c r="BC47" s="8">
        <v>345.0</v>
      </c>
      <c r="BD47" s="8" t="s">
        <v>2135</v>
      </c>
      <c r="BE47" s="8" t="s">
        <v>4219</v>
      </c>
      <c r="BF47" s="13" t="str">
        <f>HYPERLINK("http://dx.doi.org/10.1016/j.biocon.2019.02.020","http://dx.doi.org/10.1016/j.biocon.2019.02.020")</f>
        <v>http://dx.doi.org/10.1016/j.biocon.2019.02.020</v>
      </c>
      <c r="BG47" s="8" t="s">
        <v>2135</v>
      </c>
      <c r="BH47" s="8" t="s">
        <v>2135</v>
      </c>
      <c r="BI47" s="8">
        <v>10.0</v>
      </c>
      <c r="BJ47" s="8" t="s">
        <v>3351</v>
      </c>
      <c r="BK47" s="8" t="s">
        <v>3352</v>
      </c>
      <c r="BL47" s="8" t="s">
        <v>3353</v>
      </c>
      <c r="BM47" s="8" t="s">
        <v>4220</v>
      </c>
      <c r="BN47" s="8" t="s">
        <v>2135</v>
      </c>
      <c r="BO47" s="8" t="s">
        <v>2135</v>
      </c>
      <c r="BP47" s="8" t="s">
        <v>2135</v>
      </c>
      <c r="BQ47" s="8" t="s">
        <v>2135</v>
      </c>
      <c r="BR47" s="8" t="s">
        <v>3355</v>
      </c>
      <c r="BS47" s="8" t="s">
        <v>4221</v>
      </c>
      <c r="BT47" s="8" t="s">
        <v>2600</v>
      </c>
      <c r="BU47" s="8" t="s">
        <v>2147</v>
      </c>
      <c r="BV47" s="8" t="s">
        <v>2217</v>
      </c>
      <c r="BW47" s="8" t="s">
        <v>2221</v>
      </c>
      <c r="BX47" s="8" t="s">
        <v>3122</v>
      </c>
      <c r="BY47" s="8" t="s">
        <v>3012</v>
      </c>
      <c r="BZ47" s="8" t="str">
        <f>HYPERLINK("https%3A%2F%2Fwww.webofscience.com%2Fwos%2Fwoscc%2Ffull-record%2FWOS:000467513500038","View Full Record in Web of Science")</f>
        <v>View Full Record in Web of Science</v>
      </c>
    </row>
    <row r="48" ht="12.75" customHeight="1">
      <c r="A48" s="8" t="s">
        <v>3329</v>
      </c>
      <c r="B48" s="8" t="s">
        <v>4222</v>
      </c>
      <c r="C48" s="8" t="s">
        <v>2135</v>
      </c>
      <c r="D48" s="8" t="s">
        <v>2135</v>
      </c>
      <c r="E48" s="8" t="s">
        <v>2135</v>
      </c>
      <c r="F48" s="8" t="s">
        <v>4223</v>
      </c>
      <c r="G48" s="8" t="s">
        <v>2135</v>
      </c>
      <c r="H48" s="8" t="s">
        <v>2135</v>
      </c>
      <c r="I48" s="8" t="s">
        <v>336</v>
      </c>
      <c r="J48" s="8" t="s">
        <v>4224</v>
      </c>
      <c r="K48" s="8" t="s">
        <v>2135</v>
      </c>
      <c r="L48" s="8" t="s">
        <v>2135</v>
      </c>
      <c r="M48" s="8" t="s">
        <v>3332</v>
      </c>
      <c r="N48" s="8" t="s">
        <v>3333</v>
      </c>
      <c r="O48" s="8" t="s">
        <v>2135</v>
      </c>
      <c r="P48" s="8" t="s">
        <v>2135</v>
      </c>
      <c r="Q48" s="8" t="s">
        <v>2135</v>
      </c>
      <c r="R48" s="8" t="s">
        <v>2135</v>
      </c>
      <c r="S48" s="8" t="s">
        <v>2135</v>
      </c>
      <c r="T48" s="8" t="s">
        <v>4225</v>
      </c>
      <c r="U48" s="8" t="s">
        <v>4226</v>
      </c>
      <c r="V48" s="8" t="s">
        <v>4227</v>
      </c>
      <c r="W48" s="8" t="s">
        <v>4228</v>
      </c>
      <c r="X48" s="8" t="s">
        <v>4229</v>
      </c>
      <c r="Y48" s="8" t="s">
        <v>4230</v>
      </c>
      <c r="Z48" s="8" t="s">
        <v>4231</v>
      </c>
      <c r="AA48" s="8" t="s">
        <v>4232</v>
      </c>
      <c r="AB48" s="8" t="s">
        <v>4233</v>
      </c>
      <c r="AC48" s="8" t="s">
        <v>4234</v>
      </c>
      <c r="AD48" s="8" t="s">
        <v>4235</v>
      </c>
      <c r="AE48" s="8" t="s">
        <v>4236</v>
      </c>
      <c r="AF48" s="8" t="s">
        <v>2135</v>
      </c>
      <c r="AG48" s="8">
        <v>130.0</v>
      </c>
      <c r="AH48" s="8">
        <v>10.0</v>
      </c>
      <c r="AI48" s="8">
        <v>13.0</v>
      </c>
      <c r="AJ48" s="8">
        <v>2.0</v>
      </c>
      <c r="AK48" s="8">
        <v>82.0</v>
      </c>
      <c r="AL48" s="8" t="s">
        <v>4237</v>
      </c>
      <c r="AM48" s="8" t="s">
        <v>4238</v>
      </c>
      <c r="AN48" s="8" t="s">
        <v>4239</v>
      </c>
      <c r="AO48" s="8" t="s">
        <v>4240</v>
      </c>
      <c r="AP48" s="8" t="s">
        <v>2135</v>
      </c>
      <c r="AQ48" s="8" t="s">
        <v>2135</v>
      </c>
      <c r="AR48" s="8" t="s">
        <v>4241</v>
      </c>
      <c r="AS48" s="8" t="s">
        <v>4242</v>
      </c>
      <c r="AT48" s="8" t="s">
        <v>3349</v>
      </c>
      <c r="AU48" s="8">
        <v>2013.0</v>
      </c>
      <c r="AV48" s="8">
        <v>4.0</v>
      </c>
      <c r="AW48" s="8">
        <v>1.0</v>
      </c>
      <c r="AX48" s="8" t="s">
        <v>2135</v>
      </c>
      <c r="AY48" s="8" t="s">
        <v>2135</v>
      </c>
      <c r="AZ48" s="8" t="s">
        <v>2135</v>
      </c>
      <c r="BA48" s="8" t="s">
        <v>2135</v>
      </c>
      <c r="BB48" s="8">
        <v>220.0</v>
      </c>
      <c r="BC48" s="8">
        <v>241.0</v>
      </c>
      <c r="BD48" s="8" t="s">
        <v>2135</v>
      </c>
      <c r="BE48" s="8" t="s">
        <v>4243</v>
      </c>
      <c r="BF48" s="13" t="str">
        <f>HYPERLINK("http://dx.doi.org/10.3996/062012-JFWM-055","http://dx.doi.org/10.3996/062012-JFWM-055")</f>
        <v>http://dx.doi.org/10.3996/062012-JFWM-055</v>
      </c>
      <c r="BG48" s="8" t="s">
        <v>2135</v>
      </c>
      <c r="BH48" s="8" t="s">
        <v>2135</v>
      </c>
      <c r="BI48" s="8">
        <v>22.0</v>
      </c>
      <c r="BJ48" s="8" t="s">
        <v>3558</v>
      </c>
      <c r="BK48" s="8" t="s">
        <v>3352</v>
      </c>
      <c r="BL48" s="8" t="s">
        <v>3353</v>
      </c>
      <c r="BM48" s="8" t="s">
        <v>4244</v>
      </c>
      <c r="BN48" s="8" t="s">
        <v>2135</v>
      </c>
      <c r="BO48" s="8" t="s">
        <v>3445</v>
      </c>
      <c r="BP48" s="8" t="s">
        <v>2135</v>
      </c>
      <c r="BQ48" s="8" t="s">
        <v>2135</v>
      </c>
      <c r="BR48" s="8" t="s">
        <v>3355</v>
      </c>
      <c r="BS48" s="8" t="s">
        <v>4245</v>
      </c>
      <c r="BT48" s="8" t="s">
        <v>2600</v>
      </c>
      <c r="BU48" s="8" t="s">
        <v>2147</v>
      </c>
      <c r="BV48" s="8" t="s">
        <v>2217</v>
      </c>
      <c r="BW48" s="8" t="s">
        <v>2221</v>
      </c>
      <c r="BX48" s="8" t="s">
        <v>3122</v>
      </c>
      <c r="BY48" s="8" t="s">
        <v>3012</v>
      </c>
      <c r="BZ48" s="8" t="str">
        <f>HYPERLINK("https%3A%2F%2Fwww.webofscience.com%2Fwos%2Fwoscc%2Ffull-record%2FWOS:000320306700022","View Full Record in Web of Science")</f>
        <v>View Full Record in Web of Science</v>
      </c>
    </row>
    <row r="49" ht="12.75" customHeight="1">
      <c r="A49" s="8" t="s">
        <v>3329</v>
      </c>
      <c r="B49" s="8" t="s">
        <v>4246</v>
      </c>
      <c r="C49" s="8" t="s">
        <v>2135</v>
      </c>
      <c r="D49" s="8" t="s">
        <v>2135</v>
      </c>
      <c r="E49" s="8" t="s">
        <v>2135</v>
      </c>
      <c r="F49" s="8" t="s">
        <v>4247</v>
      </c>
      <c r="G49" s="8" t="s">
        <v>2135</v>
      </c>
      <c r="H49" s="8" t="s">
        <v>2135</v>
      </c>
      <c r="I49" s="8" t="s">
        <v>319</v>
      </c>
      <c r="J49" s="8" t="s">
        <v>4248</v>
      </c>
      <c r="K49" s="8" t="s">
        <v>2135</v>
      </c>
      <c r="L49" s="8" t="s">
        <v>2135</v>
      </c>
      <c r="M49" s="8" t="s">
        <v>3332</v>
      </c>
      <c r="N49" s="8" t="s">
        <v>3333</v>
      </c>
      <c r="O49" s="8" t="s">
        <v>2135</v>
      </c>
      <c r="P49" s="8" t="s">
        <v>2135</v>
      </c>
      <c r="Q49" s="8" t="s">
        <v>2135</v>
      </c>
      <c r="R49" s="8" t="s">
        <v>2135</v>
      </c>
      <c r="S49" s="8" t="s">
        <v>2135</v>
      </c>
      <c r="T49" s="8" t="s">
        <v>4249</v>
      </c>
      <c r="U49" s="8" t="s">
        <v>4250</v>
      </c>
      <c r="V49" s="8" t="s">
        <v>4251</v>
      </c>
      <c r="W49" s="8" t="s">
        <v>4252</v>
      </c>
      <c r="X49" s="8" t="s">
        <v>4253</v>
      </c>
      <c r="Y49" s="8" t="s">
        <v>4254</v>
      </c>
      <c r="Z49" s="8" t="s">
        <v>2135</v>
      </c>
      <c r="AA49" s="8" t="s">
        <v>2135</v>
      </c>
      <c r="AB49" s="8" t="s">
        <v>2135</v>
      </c>
      <c r="AC49" s="8" t="s">
        <v>4255</v>
      </c>
      <c r="AD49" s="8" t="s">
        <v>4255</v>
      </c>
      <c r="AE49" s="8" t="s">
        <v>4256</v>
      </c>
      <c r="AF49" s="8" t="s">
        <v>2135</v>
      </c>
      <c r="AG49" s="8">
        <v>27.0</v>
      </c>
      <c r="AH49" s="8">
        <v>7.0</v>
      </c>
      <c r="AI49" s="8">
        <v>8.0</v>
      </c>
      <c r="AJ49" s="8">
        <v>0.0</v>
      </c>
      <c r="AK49" s="8">
        <v>22.0</v>
      </c>
      <c r="AL49" s="8" t="s">
        <v>4257</v>
      </c>
      <c r="AM49" s="8" t="s">
        <v>3844</v>
      </c>
      <c r="AN49" s="8" t="s">
        <v>4258</v>
      </c>
      <c r="AO49" s="8" t="s">
        <v>4259</v>
      </c>
      <c r="AP49" s="8" t="s">
        <v>2135</v>
      </c>
      <c r="AQ49" s="8" t="s">
        <v>2135</v>
      </c>
      <c r="AR49" s="8" t="s">
        <v>4260</v>
      </c>
      <c r="AS49" s="8" t="s">
        <v>4261</v>
      </c>
      <c r="AT49" s="8" t="s">
        <v>4262</v>
      </c>
      <c r="AU49" s="8">
        <v>2009.0</v>
      </c>
      <c r="AV49" s="8">
        <v>123.0</v>
      </c>
      <c r="AW49" s="8">
        <v>1.0</v>
      </c>
      <c r="AX49" s="8" t="s">
        <v>2135</v>
      </c>
      <c r="AY49" s="8" t="s">
        <v>2135</v>
      </c>
      <c r="AZ49" s="8" t="s">
        <v>2135</v>
      </c>
      <c r="BA49" s="8" t="s">
        <v>2135</v>
      </c>
      <c r="BB49" s="8">
        <v>1.0</v>
      </c>
      <c r="BC49" s="8">
        <v>6.0</v>
      </c>
      <c r="BD49" s="8" t="s">
        <v>2135</v>
      </c>
      <c r="BE49" s="8" t="s">
        <v>2135</v>
      </c>
      <c r="BF49" s="8" t="s">
        <v>2135</v>
      </c>
      <c r="BG49" s="8" t="s">
        <v>2135</v>
      </c>
      <c r="BH49" s="8" t="s">
        <v>2135</v>
      </c>
      <c r="BI49" s="8">
        <v>6.0</v>
      </c>
      <c r="BJ49" s="8" t="s">
        <v>3558</v>
      </c>
      <c r="BK49" s="8" t="s">
        <v>3352</v>
      </c>
      <c r="BL49" s="8" t="s">
        <v>3353</v>
      </c>
      <c r="BM49" s="8" t="s">
        <v>4263</v>
      </c>
      <c r="BN49" s="8" t="s">
        <v>2135</v>
      </c>
      <c r="BO49" s="8" t="s">
        <v>2135</v>
      </c>
      <c r="BP49" s="8" t="s">
        <v>2135</v>
      </c>
      <c r="BQ49" s="8" t="s">
        <v>2135</v>
      </c>
      <c r="BR49" s="8" t="s">
        <v>3355</v>
      </c>
      <c r="BS49" s="8" t="s">
        <v>4264</v>
      </c>
      <c r="BT49" s="8" t="s">
        <v>2600</v>
      </c>
      <c r="BU49" s="8" t="s">
        <v>2147</v>
      </c>
      <c r="BV49" s="8" t="s">
        <v>2217</v>
      </c>
      <c r="BW49" s="8" t="s">
        <v>2221</v>
      </c>
      <c r="BX49" s="8" t="s">
        <v>3121</v>
      </c>
      <c r="BY49" s="8" t="s">
        <v>3012</v>
      </c>
      <c r="BZ49" s="8" t="str">
        <f>HYPERLINK("https%3A%2F%2Fwww.webofscience.com%2Fwos%2Fwoscc%2Ffull-record%2FWOS:000279296000001","View Full Record in Web of Science")</f>
        <v>View Full Record in Web of Science</v>
      </c>
    </row>
    <row r="50" ht="12.75" customHeight="1">
      <c r="A50" s="8" t="s">
        <v>3329</v>
      </c>
      <c r="B50" s="8" t="s">
        <v>4265</v>
      </c>
      <c r="C50" s="8" t="s">
        <v>2135</v>
      </c>
      <c r="D50" s="8" t="s">
        <v>2135</v>
      </c>
      <c r="E50" s="8" t="s">
        <v>2135</v>
      </c>
      <c r="F50" s="8" t="s">
        <v>4266</v>
      </c>
      <c r="G50" s="8" t="s">
        <v>2135</v>
      </c>
      <c r="H50" s="8" t="s">
        <v>2135</v>
      </c>
      <c r="I50" s="8" t="s">
        <v>334</v>
      </c>
      <c r="J50" s="8" t="s">
        <v>4162</v>
      </c>
      <c r="K50" s="8" t="s">
        <v>2135</v>
      </c>
      <c r="L50" s="8" t="s">
        <v>2135</v>
      </c>
      <c r="M50" s="8" t="s">
        <v>3332</v>
      </c>
      <c r="N50" s="8" t="s">
        <v>3333</v>
      </c>
      <c r="O50" s="8" t="s">
        <v>2135</v>
      </c>
      <c r="P50" s="8" t="s">
        <v>2135</v>
      </c>
      <c r="Q50" s="8" t="s">
        <v>2135</v>
      </c>
      <c r="R50" s="8" t="s">
        <v>2135</v>
      </c>
      <c r="S50" s="8" t="s">
        <v>2135</v>
      </c>
      <c r="T50" s="8" t="s">
        <v>4267</v>
      </c>
      <c r="U50" s="8" t="s">
        <v>4268</v>
      </c>
      <c r="V50" s="8" t="s">
        <v>4269</v>
      </c>
      <c r="W50" s="8" t="s">
        <v>4270</v>
      </c>
      <c r="X50" s="8" t="s">
        <v>4271</v>
      </c>
      <c r="Y50" s="8" t="s">
        <v>4272</v>
      </c>
      <c r="Z50" s="8" t="s">
        <v>4273</v>
      </c>
      <c r="AA50" s="8" t="s">
        <v>4274</v>
      </c>
      <c r="AB50" s="8" t="s">
        <v>4275</v>
      </c>
      <c r="AC50" s="8" t="s">
        <v>2135</v>
      </c>
      <c r="AD50" s="8" t="s">
        <v>2135</v>
      </c>
      <c r="AE50" s="8" t="s">
        <v>2135</v>
      </c>
      <c r="AF50" s="8" t="s">
        <v>2135</v>
      </c>
      <c r="AG50" s="8">
        <v>63.0</v>
      </c>
      <c r="AH50" s="8">
        <v>37.0</v>
      </c>
      <c r="AI50" s="8">
        <v>41.0</v>
      </c>
      <c r="AJ50" s="8">
        <v>0.0</v>
      </c>
      <c r="AK50" s="8">
        <v>25.0</v>
      </c>
      <c r="AL50" s="8" t="s">
        <v>4276</v>
      </c>
      <c r="AM50" s="8" t="s">
        <v>4277</v>
      </c>
      <c r="AN50" s="8" t="s">
        <v>4278</v>
      </c>
      <c r="AO50" s="8" t="s">
        <v>4175</v>
      </c>
      <c r="AP50" s="8" t="s">
        <v>2135</v>
      </c>
      <c r="AQ50" s="8" t="s">
        <v>2135</v>
      </c>
      <c r="AR50" s="8" t="s">
        <v>4177</v>
      </c>
      <c r="AS50" s="8" t="s">
        <v>4178</v>
      </c>
      <c r="AT50" s="8" t="s">
        <v>3462</v>
      </c>
      <c r="AU50" s="8">
        <v>2007.0</v>
      </c>
      <c r="AV50" s="8">
        <v>71.0</v>
      </c>
      <c r="AW50" s="8">
        <v>7.0</v>
      </c>
      <c r="AX50" s="8" t="s">
        <v>2135</v>
      </c>
      <c r="AY50" s="8" t="s">
        <v>2135</v>
      </c>
      <c r="AZ50" s="8" t="s">
        <v>2135</v>
      </c>
      <c r="BA50" s="8" t="s">
        <v>2135</v>
      </c>
      <c r="BB50" s="8">
        <v>2170.0</v>
      </c>
      <c r="BC50" s="8">
        <v>2179.0</v>
      </c>
      <c r="BD50" s="8" t="s">
        <v>2135</v>
      </c>
      <c r="BE50" s="8" t="s">
        <v>4279</v>
      </c>
      <c r="BF50" s="13" t="str">
        <f>HYPERLINK("http://dx.doi.org/10.2193/2007-026","http://dx.doi.org/10.2193/2007-026")</f>
        <v>http://dx.doi.org/10.2193/2007-026</v>
      </c>
      <c r="BG50" s="8" t="s">
        <v>2135</v>
      </c>
      <c r="BH50" s="8" t="s">
        <v>2135</v>
      </c>
      <c r="BI50" s="8">
        <v>10.0</v>
      </c>
      <c r="BJ50" s="8" t="s">
        <v>3442</v>
      </c>
      <c r="BK50" s="8" t="s">
        <v>3352</v>
      </c>
      <c r="BL50" s="8" t="s">
        <v>3443</v>
      </c>
      <c r="BM50" s="8" t="s">
        <v>4280</v>
      </c>
      <c r="BN50" s="8" t="s">
        <v>2135</v>
      </c>
      <c r="BO50" s="8" t="s">
        <v>2135</v>
      </c>
      <c r="BP50" s="8" t="s">
        <v>2135</v>
      </c>
      <c r="BQ50" s="8" t="s">
        <v>2135</v>
      </c>
      <c r="BR50" s="8" t="s">
        <v>3355</v>
      </c>
      <c r="BS50" s="8" t="s">
        <v>4281</v>
      </c>
      <c r="BT50" s="8" t="s">
        <v>2600</v>
      </c>
      <c r="BU50" s="8" t="s">
        <v>2147</v>
      </c>
      <c r="BV50" s="8" t="s">
        <v>2217</v>
      </c>
      <c r="BW50" s="8" t="s">
        <v>2218</v>
      </c>
      <c r="BX50" s="8" t="s">
        <v>3011</v>
      </c>
      <c r="BY50" s="8" t="s">
        <v>3012</v>
      </c>
      <c r="BZ50" s="8" t="str">
        <f>HYPERLINK("https%3A%2F%2Fwww.webofscience.com%2Fwos%2Fwoscc%2Ffull-record%2FWOS:000249351100010","View Full Record in Web of Science")</f>
        <v>View Full Record in Web of Science</v>
      </c>
    </row>
    <row r="51" ht="12.75" customHeight="1">
      <c r="A51" s="8" t="s">
        <v>3329</v>
      </c>
      <c r="B51" s="8" t="s">
        <v>4282</v>
      </c>
      <c r="C51" s="8" t="s">
        <v>2135</v>
      </c>
      <c r="D51" s="8" t="s">
        <v>2135</v>
      </c>
      <c r="E51" s="8" t="s">
        <v>2135</v>
      </c>
      <c r="F51" s="8" t="s">
        <v>4283</v>
      </c>
      <c r="G51" s="8" t="s">
        <v>2135</v>
      </c>
      <c r="H51" s="8" t="s">
        <v>2135</v>
      </c>
      <c r="I51" s="8" t="s">
        <v>331</v>
      </c>
      <c r="J51" s="8" t="s">
        <v>3331</v>
      </c>
      <c r="K51" s="8" t="s">
        <v>2135</v>
      </c>
      <c r="L51" s="8" t="s">
        <v>2135</v>
      </c>
      <c r="M51" s="8" t="s">
        <v>3332</v>
      </c>
      <c r="N51" s="8" t="s">
        <v>3333</v>
      </c>
      <c r="O51" s="8" t="s">
        <v>2135</v>
      </c>
      <c r="P51" s="8" t="s">
        <v>2135</v>
      </c>
      <c r="Q51" s="8" t="s">
        <v>2135</v>
      </c>
      <c r="R51" s="8" t="s">
        <v>2135</v>
      </c>
      <c r="S51" s="8" t="s">
        <v>2135</v>
      </c>
      <c r="T51" s="8" t="s">
        <v>4284</v>
      </c>
      <c r="U51" s="8" t="s">
        <v>4285</v>
      </c>
      <c r="V51" s="8" t="s">
        <v>4286</v>
      </c>
      <c r="W51" s="8" t="s">
        <v>4287</v>
      </c>
      <c r="X51" s="8" t="s">
        <v>2135</v>
      </c>
      <c r="Y51" s="8" t="s">
        <v>4288</v>
      </c>
      <c r="Z51" s="8" t="s">
        <v>4289</v>
      </c>
      <c r="AA51" s="8" t="s">
        <v>2135</v>
      </c>
      <c r="AB51" s="8" t="s">
        <v>2135</v>
      </c>
      <c r="AC51" s="8" t="s">
        <v>2135</v>
      </c>
      <c r="AD51" s="8" t="s">
        <v>2135</v>
      </c>
      <c r="AE51" s="8" t="s">
        <v>2135</v>
      </c>
      <c r="AF51" s="8" t="s">
        <v>2135</v>
      </c>
      <c r="AG51" s="8">
        <v>41.0</v>
      </c>
      <c r="AH51" s="8">
        <v>105.0</v>
      </c>
      <c r="AI51" s="8">
        <v>130.0</v>
      </c>
      <c r="AJ51" s="8">
        <v>1.0</v>
      </c>
      <c r="AK51" s="8">
        <v>144.0</v>
      </c>
      <c r="AL51" s="8" t="s">
        <v>3342</v>
      </c>
      <c r="AM51" s="8" t="s">
        <v>3343</v>
      </c>
      <c r="AN51" s="8" t="s">
        <v>3344</v>
      </c>
      <c r="AO51" s="8" t="s">
        <v>3345</v>
      </c>
      <c r="AP51" s="8" t="s">
        <v>3346</v>
      </c>
      <c r="AQ51" s="8" t="s">
        <v>2135</v>
      </c>
      <c r="AR51" s="8" t="s">
        <v>3347</v>
      </c>
      <c r="AS51" s="8" t="s">
        <v>3348</v>
      </c>
      <c r="AT51" s="8" t="s">
        <v>3395</v>
      </c>
      <c r="AU51" s="8">
        <v>2007.0</v>
      </c>
      <c r="AV51" s="8">
        <v>21.0</v>
      </c>
      <c r="AW51" s="8">
        <v>4.0</v>
      </c>
      <c r="AX51" s="8" t="s">
        <v>2135</v>
      </c>
      <c r="AY51" s="8" t="s">
        <v>2135</v>
      </c>
      <c r="AZ51" s="8" t="s">
        <v>2135</v>
      </c>
      <c r="BA51" s="8" t="s">
        <v>2135</v>
      </c>
      <c r="BB51" s="8">
        <v>1092.0</v>
      </c>
      <c r="BC51" s="8">
        <v>1104.0</v>
      </c>
      <c r="BD51" s="8" t="s">
        <v>2135</v>
      </c>
      <c r="BE51" s="8" t="s">
        <v>4290</v>
      </c>
      <c r="BF51" s="13" t="str">
        <f>HYPERLINK("http://dx.doi.org/10.1111/j.1523-1739.2007.00719.x","http://dx.doi.org/10.1111/j.1523-1739.2007.00719.x")</f>
        <v>http://dx.doi.org/10.1111/j.1523-1739.2007.00719.x</v>
      </c>
      <c r="BG51" s="8" t="s">
        <v>2135</v>
      </c>
      <c r="BH51" s="8" t="s">
        <v>2135</v>
      </c>
      <c r="BI51" s="8">
        <v>13.0</v>
      </c>
      <c r="BJ51" s="8" t="s">
        <v>3351</v>
      </c>
      <c r="BK51" s="8" t="s">
        <v>3352</v>
      </c>
      <c r="BL51" s="8" t="s">
        <v>3353</v>
      </c>
      <c r="BM51" s="8" t="s">
        <v>4291</v>
      </c>
      <c r="BN51" s="8">
        <v>1.7650258E7</v>
      </c>
      <c r="BO51" s="8" t="s">
        <v>2135</v>
      </c>
      <c r="BP51" s="8" t="s">
        <v>2135</v>
      </c>
      <c r="BQ51" s="8" t="s">
        <v>2135</v>
      </c>
      <c r="BR51" s="8" t="s">
        <v>3355</v>
      </c>
      <c r="BS51" s="8" t="s">
        <v>4292</v>
      </c>
      <c r="BU51" s="8" t="s">
        <v>2147</v>
      </c>
      <c r="BV51" s="8" t="s">
        <v>2217</v>
      </c>
      <c r="BW51" s="8" t="s">
        <v>2221</v>
      </c>
      <c r="BX51" s="8" t="s">
        <v>2953</v>
      </c>
      <c r="BY51" s="8" t="s">
        <v>3012</v>
      </c>
      <c r="BZ51" s="8" t="str">
        <f>HYPERLINK("https%3A%2F%2Fwww.webofscience.com%2Fwos%2Fwoscc%2Ffull-record%2FWOS:000248401200029","View Full Record in Web of Science")</f>
        <v>View Full Record in Web of Science</v>
      </c>
    </row>
    <row r="52" ht="12.75" customHeight="1">
      <c r="A52" s="8" t="s">
        <v>3329</v>
      </c>
      <c r="B52" s="8" t="s">
        <v>4293</v>
      </c>
      <c r="C52" s="8" t="s">
        <v>2135</v>
      </c>
      <c r="D52" s="8" t="s">
        <v>2135</v>
      </c>
      <c r="E52" s="8" t="s">
        <v>2135</v>
      </c>
      <c r="F52" s="8" t="s">
        <v>4294</v>
      </c>
      <c r="G52" s="8" t="s">
        <v>2135</v>
      </c>
      <c r="H52" s="8" t="s">
        <v>2135</v>
      </c>
      <c r="I52" s="8" t="s">
        <v>340</v>
      </c>
      <c r="J52" s="8" t="s">
        <v>3637</v>
      </c>
      <c r="K52" s="8" t="s">
        <v>2135</v>
      </c>
      <c r="L52" s="8" t="s">
        <v>2135</v>
      </c>
      <c r="M52" s="8" t="s">
        <v>3332</v>
      </c>
      <c r="N52" s="8" t="s">
        <v>3333</v>
      </c>
      <c r="O52" s="8" t="s">
        <v>2135</v>
      </c>
      <c r="P52" s="8" t="s">
        <v>2135</v>
      </c>
      <c r="Q52" s="8" t="s">
        <v>2135</v>
      </c>
      <c r="R52" s="8" t="s">
        <v>2135</v>
      </c>
      <c r="S52" s="8" t="s">
        <v>2135</v>
      </c>
      <c r="T52" s="8" t="s">
        <v>2135</v>
      </c>
      <c r="U52" s="8" t="s">
        <v>4295</v>
      </c>
      <c r="V52" s="8" t="s">
        <v>4296</v>
      </c>
      <c r="W52" s="8" t="s">
        <v>4297</v>
      </c>
      <c r="X52" s="8" t="s">
        <v>4298</v>
      </c>
      <c r="Y52" s="8" t="s">
        <v>4299</v>
      </c>
      <c r="Z52" s="8" t="s">
        <v>4300</v>
      </c>
      <c r="AA52" s="8" t="s">
        <v>2135</v>
      </c>
      <c r="AB52" s="8" t="s">
        <v>4301</v>
      </c>
      <c r="AC52" s="8" t="s">
        <v>4302</v>
      </c>
      <c r="AD52" s="8" t="s">
        <v>4302</v>
      </c>
      <c r="AE52" s="8" t="s">
        <v>4303</v>
      </c>
      <c r="AF52" s="8" t="s">
        <v>2135</v>
      </c>
      <c r="AG52" s="8">
        <v>45.0</v>
      </c>
      <c r="AH52" s="8">
        <v>29.0</v>
      </c>
      <c r="AI52" s="8">
        <v>34.0</v>
      </c>
      <c r="AJ52" s="8">
        <v>2.0</v>
      </c>
      <c r="AK52" s="8">
        <v>86.0</v>
      </c>
      <c r="AL52" s="8" t="s">
        <v>3648</v>
      </c>
      <c r="AM52" s="8" t="s">
        <v>3649</v>
      </c>
      <c r="AN52" s="8" t="s">
        <v>3650</v>
      </c>
      <c r="AO52" s="8" t="s">
        <v>3651</v>
      </c>
      <c r="AP52" s="8" t="s">
        <v>2135</v>
      </c>
      <c r="AQ52" s="8" t="s">
        <v>2135</v>
      </c>
      <c r="AR52" s="8" t="s">
        <v>3637</v>
      </c>
      <c r="AS52" s="8" t="s">
        <v>3652</v>
      </c>
      <c r="AT52" s="8" t="s">
        <v>4304</v>
      </c>
      <c r="AU52" s="8">
        <v>2014.0</v>
      </c>
      <c r="AV52" s="8">
        <v>9.0</v>
      </c>
      <c r="AW52" s="8">
        <v>8.0</v>
      </c>
      <c r="AX52" s="8" t="s">
        <v>2135</v>
      </c>
      <c r="AY52" s="8" t="s">
        <v>2135</v>
      </c>
      <c r="AZ52" s="8" t="s">
        <v>2135</v>
      </c>
      <c r="BA52" s="8" t="s">
        <v>2135</v>
      </c>
      <c r="BB52" s="8" t="s">
        <v>2135</v>
      </c>
      <c r="BC52" s="8" t="s">
        <v>2135</v>
      </c>
      <c r="BD52" s="8" t="s">
        <v>4305</v>
      </c>
      <c r="BE52" s="8" t="s">
        <v>4306</v>
      </c>
      <c r="BF52" s="13" t="str">
        <f>HYPERLINK("http://dx.doi.org/10.1371/journal.pone.0106202","http://dx.doi.org/10.1371/journal.pone.0106202")</f>
        <v>http://dx.doi.org/10.1371/journal.pone.0106202</v>
      </c>
      <c r="BG52" s="8" t="s">
        <v>2135</v>
      </c>
      <c r="BH52" s="8" t="s">
        <v>2135</v>
      </c>
      <c r="BI52" s="8">
        <v>15.0</v>
      </c>
      <c r="BJ52" s="8" t="s">
        <v>3656</v>
      </c>
      <c r="BK52" s="8" t="s">
        <v>3352</v>
      </c>
      <c r="BL52" s="8" t="s">
        <v>3657</v>
      </c>
      <c r="BM52" s="8" t="s">
        <v>4307</v>
      </c>
      <c r="BN52" s="8">
        <v>2.5162684E7</v>
      </c>
      <c r="BO52" s="8" t="s">
        <v>3659</v>
      </c>
      <c r="BP52" s="8" t="s">
        <v>2135</v>
      </c>
      <c r="BQ52" s="8" t="s">
        <v>2135</v>
      </c>
      <c r="BR52" s="8" t="s">
        <v>3355</v>
      </c>
      <c r="BS52" s="8" t="s">
        <v>4308</v>
      </c>
      <c r="BT52" s="8" t="s">
        <v>2462</v>
      </c>
      <c r="BU52" s="8" t="s">
        <v>2147</v>
      </c>
      <c r="BW52" s="8" t="s">
        <v>2186</v>
      </c>
      <c r="BX52" s="8" t="s">
        <v>3210</v>
      </c>
      <c r="BY52" s="8" t="s">
        <v>3211</v>
      </c>
      <c r="BZ52" s="8" t="str">
        <f>HYPERLINK("https%3A%2F%2Fwww.webofscience.com%2Fwos%2Fwoscc%2Ffull-record%2FWOS:000340880900096","View Full Record in Web of Science")</f>
        <v>View Full Record in Web of Science</v>
      </c>
    </row>
    <row r="53" ht="12.75" customHeight="1">
      <c r="A53" s="8" t="s">
        <v>3329</v>
      </c>
      <c r="B53" s="8" t="s">
        <v>4309</v>
      </c>
      <c r="C53" s="8" t="s">
        <v>2135</v>
      </c>
      <c r="D53" s="8" t="s">
        <v>2135</v>
      </c>
      <c r="E53" s="8" t="s">
        <v>2135</v>
      </c>
      <c r="F53" s="8" t="s">
        <v>4310</v>
      </c>
      <c r="G53" s="8" t="s">
        <v>2135</v>
      </c>
      <c r="H53" s="8" t="s">
        <v>2135</v>
      </c>
      <c r="I53" s="8" t="s">
        <v>343</v>
      </c>
      <c r="J53" s="8" t="s">
        <v>4311</v>
      </c>
      <c r="K53" s="8" t="s">
        <v>2135</v>
      </c>
      <c r="L53" s="8" t="s">
        <v>2135</v>
      </c>
      <c r="M53" s="8" t="s">
        <v>3332</v>
      </c>
      <c r="N53" s="8" t="s">
        <v>3333</v>
      </c>
      <c r="O53" s="8" t="s">
        <v>2135</v>
      </c>
      <c r="P53" s="8" t="s">
        <v>2135</v>
      </c>
      <c r="Q53" s="8" t="s">
        <v>2135</v>
      </c>
      <c r="R53" s="8" t="s">
        <v>2135</v>
      </c>
      <c r="S53" s="8" t="s">
        <v>2135</v>
      </c>
      <c r="T53" s="8" t="s">
        <v>4312</v>
      </c>
      <c r="U53" s="8" t="s">
        <v>4313</v>
      </c>
      <c r="V53" s="8" t="s">
        <v>4314</v>
      </c>
      <c r="W53" s="8" t="s">
        <v>4315</v>
      </c>
      <c r="X53" s="8" t="s">
        <v>4316</v>
      </c>
      <c r="Y53" s="8" t="s">
        <v>4317</v>
      </c>
      <c r="Z53" s="8" t="s">
        <v>4318</v>
      </c>
      <c r="AA53" s="8" t="s">
        <v>4319</v>
      </c>
      <c r="AB53" s="8" t="s">
        <v>4320</v>
      </c>
      <c r="AC53" s="8" t="s">
        <v>4321</v>
      </c>
      <c r="AD53" s="8" t="s">
        <v>4322</v>
      </c>
      <c r="AE53" s="8" t="s">
        <v>4323</v>
      </c>
      <c r="AF53" s="8" t="s">
        <v>2135</v>
      </c>
      <c r="AG53" s="8">
        <v>56.0</v>
      </c>
      <c r="AH53" s="8">
        <v>16.0</v>
      </c>
      <c r="AI53" s="8">
        <v>29.0</v>
      </c>
      <c r="AJ53" s="8">
        <v>3.0</v>
      </c>
      <c r="AK53" s="8">
        <v>57.0</v>
      </c>
      <c r="AL53" s="8" t="s">
        <v>4324</v>
      </c>
      <c r="AM53" s="8" t="s">
        <v>4325</v>
      </c>
      <c r="AN53" s="8" t="s">
        <v>4326</v>
      </c>
      <c r="AO53" s="8" t="s">
        <v>4327</v>
      </c>
      <c r="AP53" s="8" t="s">
        <v>2135</v>
      </c>
      <c r="AQ53" s="8" t="s">
        <v>2135</v>
      </c>
      <c r="AR53" s="8" t="s">
        <v>4328</v>
      </c>
      <c r="AS53" s="8" t="s">
        <v>4329</v>
      </c>
      <c r="AT53" s="8" t="s">
        <v>2135</v>
      </c>
      <c r="AU53" s="8">
        <v>2012.0</v>
      </c>
      <c r="AV53" s="8">
        <v>5.0</v>
      </c>
      <c r="AW53" s="8">
        <v>1.0</v>
      </c>
      <c r="AX53" s="8" t="s">
        <v>2135</v>
      </c>
      <c r="AY53" s="8" t="s">
        <v>2135</v>
      </c>
      <c r="AZ53" s="8" t="s">
        <v>2135</v>
      </c>
      <c r="BA53" s="8" t="s">
        <v>2135</v>
      </c>
      <c r="BB53" s="8">
        <v>67.0</v>
      </c>
      <c r="BC53" s="8">
        <v>78.0</v>
      </c>
      <c r="BD53" s="8" t="s">
        <v>2135</v>
      </c>
      <c r="BE53" s="8" t="s">
        <v>4330</v>
      </c>
      <c r="BF53" s="13" t="str">
        <f>HYPERLINK("http://dx.doi.org/10.1177/194008291200500107","http://dx.doi.org/10.1177/194008291200500107")</f>
        <v>http://dx.doi.org/10.1177/194008291200500107</v>
      </c>
      <c r="BG53" s="8" t="s">
        <v>2135</v>
      </c>
      <c r="BH53" s="8" t="s">
        <v>2135</v>
      </c>
      <c r="BI53" s="8">
        <v>12.0</v>
      </c>
      <c r="BJ53" s="8" t="s">
        <v>3604</v>
      </c>
      <c r="BK53" s="8" t="s">
        <v>3352</v>
      </c>
      <c r="BL53" s="8" t="s">
        <v>3605</v>
      </c>
      <c r="BM53" s="8" t="s">
        <v>4331</v>
      </c>
      <c r="BN53" s="8" t="s">
        <v>2135</v>
      </c>
      <c r="BO53" s="8" t="s">
        <v>4332</v>
      </c>
      <c r="BP53" s="8" t="s">
        <v>2135</v>
      </c>
      <c r="BQ53" s="8" t="s">
        <v>2135</v>
      </c>
      <c r="BR53" s="8" t="s">
        <v>3355</v>
      </c>
      <c r="BS53" s="8" t="s">
        <v>4333</v>
      </c>
      <c r="BT53" s="8" t="s">
        <v>2356</v>
      </c>
      <c r="BU53" s="8" t="s">
        <v>2283</v>
      </c>
      <c r="BV53" s="8" t="s">
        <v>2357</v>
      </c>
      <c r="BW53" s="8" t="s">
        <v>2358</v>
      </c>
      <c r="BX53" s="8" t="s">
        <v>2966</v>
      </c>
      <c r="BY53" s="8" t="s">
        <v>2967</v>
      </c>
      <c r="BZ53" s="8" t="str">
        <f>HYPERLINK("https%3A%2F%2Fwww.webofscience.com%2Fwos%2Fwoscc%2Ffull-record%2FWOS:000303355700007","View Full Record in Web of Science")</f>
        <v>View Full Record in Web of Science</v>
      </c>
    </row>
    <row r="54" ht="12.75" customHeight="1">
      <c r="A54" s="8" t="s">
        <v>3329</v>
      </c>
      <c r="B54" s="8" t="s">
        <v>4334</v>
      </c>
      <c r="C54" s="8" t="s">
        <v>2135</v>
      </c>
      <c r="D54" s="8" t="s">
        <v>2135</v>
      </c>
      <c r="E54" s="8" t="s">
        <v>2135</v>
      </c>
      <c r="F54" s="8" t="s">
        <v>4335</v>
      </c>
      <c r="G54" s="8" t="s">
        <v>2135</v>
      </c>
      <c r="H54" s="8" t="s">
        <v>2135</v>
      </c>
      <c r="I54" s="8" t="s">
        <v>348</v>
      </c>
      <c r="J54" s="8" t="s">
        <v>4336</v>
      </c>
      <c r="K54" s="8" t="s">
        <v>2135</v>
      </c>
      <c r="L54" s="8" t="s">
        <v>2135</v>
      </c>
      <c r="M54" s="8" t="s">
        <v>3332</v>
      </c>
      <c r="N54" s="8" t="s">
        <v>3333</v>
      </c>
      <c r="O54" s="8" t="s">
        <v>2135</v>
      </c>
      <c r="P54" s="8" t="s">
        <v>2135</v>
      </c>
      <c r="Q54" s="8" t="s">
        <v>2135</v>
      </c>
      <c r="R54" s="8" t="s">
        <v>2135</v>
      </c>
      <c r="S54" s="8" t="s">
        <v>2135</v>
      </c>
      <c r="T54" s="8" t="s">
        <v>4337</v>
      </c>
      <c r="U54" s="8" t="s">
        <v>4338</v>
      </c>
      <c r="V54" s="8" t="s">
        <v>4339</v>
      </c>
      <c r="W54" s="8" t="s">
        <v>4340</v>
      </c>
      <c r="X54" s="8" t="s">
        <v>4341</v>
      </c>
      <c r="Y54" s="8" t="s">
        <v>4342</v>
      </c>
      <c r="Z54" s="8" t="s">
        <v>4343</v>
      </c>
      <c r="AA54" s="8" t="s">
        <v>4344</v>
      </c>
      <c r="AB54" s="8" t="s">
        <v>4345</v>
      </c>
      <c r="AC54" s="8" t="s">
        <v>2135</v>
      </c>
      <c r="AD54" s="8" t="s">
        <v>2135</v>
      </c>
      <c r="AE54" s="8" t="s">
        <v>2135</v>
      </c>
      <c r="AF54" s="8" t="s">
        <v>2135</v>
      </c>
      <c r="AG54" s="8">
        <v>23.0</v>
      </c>
      <c r="AH54" s="8">
        <v>3.0</v>
      </c>
      <c r="AI54" s="8">
        <v>5.0</v>
      </c>
      <c r="AJ54" s="8">
        <v>0.0</v>
      </c>
      <c r="AK54" s="8">
        <v>17.0</v>
      </c>
      <c r="AL54" s="8" t="s">
        <v>4346</v>
      </c>
      <c r="AM54" s="8" t="s">
        <v>4347</v>
      </c>
      <c r="AN54" s="8" t="s">
        <v>4348</v>
      </c>
      <c r="AO54" s="8" t="s">
        <v>4349</v>
      </c>
      <c r="AP54" s="8" t="s">
        <v>4350</v>
      </c>
      <c r="AQ54" s="8" t="s">
        <v>2135</v>
      </c>
      <c r="AR54" s="8" t="s">
        <v>4351</v>
      </c>
      <c r="AS54" s="8" t="s">
        <v>4352</v>
      </c>
      <c r="AT54" s="8" t="s">
        <v>3349</v>
      </c>
      <c r="AU54" s="8">
        <v>2012.0</v>
      </c>
      <c r="AV54" s="8">
        <v>61.0</v>
      </c>
      <c r="AW54" s="8">
        <v>2.0</v>
      </c>
      <c r="AX54" s="8" t="s">
        <v>2135</v>
      </c>
      <c r="AY54" s="8" t="s">
        <v>2135</v>
      </c>
      <c r="AZ54" s="8" t="s">
        <v>2135</v>
      </c>
      <c r="BA54" s="8" t="s">
        <v>2135</v>
      </c>
      <c r="BB54" s="8">
        <v>172.0</v>
      </c>
      <c r="BC54" s="8">
        <v>176.0</v>
      </c>
      <c r="BD54" s="8" t="s">
        <v>2135</v>
      </c>
      <c r="BE54" s="8" t="s">
        <v>4353</v>
      </c>
      <c r="BF54" s="13" t="str">
        <f>HYPERLINK("http://dx.doi.org/10.25225/fozo.v61.i2.a10.2012","http://dx.doi.org/10.25225/fozo.v61.i2.a10.2012")</f>
        <v>http://dx.doi.org/10.25225/fozo.v61.i2.a10.2012</v>
      </c>
      <c r="BG54" s="8" t="s">
        <v>2135</v>
      </c>
      <c r="BH54" s="8" t="s">
        <v>2135</v>
      </c>
      <c r="BI54" s="8">
        <v>5.0</v>
      </c>
      <c r="BJ54" s="8" t="s">
        <v>3397</v>
      </c>
      <c r="BK54" s="8" t="s">
        <v>3352</v>
      </c>
      <c r="BL54" s="8" t="s">
        <v>3397</v>
      </c>
      <c r="BM54" s="8" t="s">
        <v>4354</v>
      </c>
      <c r="BN54" s="8" t="s">
        <v>2135</v>
      </c>
      <c r="BO54" s="8" t="s">
        <v>3445</v>
      </c>
      <c r="BP54" s="8" t="s">
        <v>2135</v>
      </c>
      <c r="BQ54" s="8" t="s">
        <v>2135</v>
      </c>
      <c r="BR54" s="8" t="s">
        <v>3355</v>
      </c>
      <c r="BS54" s="8" t="s">
        <v>4355</v>
      </c>
      <c r="BT54" s="8" t="s">
        <v>2371</v>
      </c>
      <c r="BW54" s="8" t="s">
        <v>2361</v>
      </c>
      <c r="BX54" s="8" t="s">
        <v>3115</v>
      </c>
      <c r="BY54" s="8" t="s">
        <v>3116</v>
      </c>
      <c r="BZ54" s="8" t="str">
        <f>HYPERLINK("https%3A%2F%2Fwww.webofscience.com%2Fwos%2Fwoscc%2Ffull-record%2FWOS:000306090900009","View Full Record in Web of Science")</f>
        <v>View Full Record in Web of Science</v>
      </c>
    </row>
    <row r="55" ht="12.75" customHeight="1">
      <c r="A55" s="8" t="s">
        <v>3329</v>
      </c>
      <c r="B55" s="8" t="s">
        <v>4356</v>
      </c>
      <c r="C55" s="8" t="s">
        <v>2135</v>
      </c>
      <c r="D55" s="8" t="s">
        <v>2135</v>
      </c>
      <c r="E55" s="8" t="s">
        <v>2135</v>
      </c>
      <c r="F55" s="8" t="s">
        <v>4357</v>
      </c>
      <c r="G55" s="8" t="s">
        <v>2135</v>
      </c>
      <c r="H55" s="8" t="s">
        <v>2135</v>
      </c>
      <c r="I55" s="8" t="s">
        <v>355</v>
      </c>
      <c r="J55" s="8" t="s">
        <v>4123</v>
      </c>
      <c r="K55" s="8" t="s">
        <v>2135</v>
      </c>
      <c r="L55" s="8" t="s">
        <v>2135</v>
      </c>
      <c r="M55" s="8" t="s">
        <v>3332</v>
      </c>
      <c r="N55" s="8" t="s">
        <v>3963</v>
      </c>
      <c r="O55" s="8" t="s">
        <v>4358</v>
      </c>
      <c r="P55" s="8" t="s">
        <v>4359</v>
      </c>
      <c r="Q55" s="8" t="s">
        <v>4360</v>
      </c>
      <c r="R55" s="8" t="s">
        <v>2135</v>
      </c>
      <c r="S55" s="8" t="s">
        <v>2135</v>
      </c>
      <c r="T55" s="8" t="s">
        <v>4361</v>
      </c>
      <c r="U55" s="8" t="s">
        <v>4362</v>
      </c>
      <c r="V55" s="8" t="s">
        <v>4363</v>
      </c>
      <c r="W55" s="8" t="s">
        <v>2135</v>
      </c>
      <c r="X55" s="8" t="s">
        <v>2135</v>
      </c>
      <c r="Y55" s="8" t="s">
        <v>4364</v>
      </c>
      <c r="Z55" s="8" t="s">
        <v>4365</v>
      </c>
      <c r="AA55" s="8" t="s">
        <v>2135</v>
      </c>
      <c r="AB55" s="8" t="s">
        <v>2135</v>
      </c>
      <c r="AC55" s="8" t="s">
        <v>2135</v>
      </c>
      <c r="AD55" s="8" t="s">
        <v>2135</v>
      </c>
      <c r="AE55" s="8" t="s">
        <v>2135</v>
      </c>
      <c r="AF55" s="8" t="s">
        <v>2135</v>
      </c>
      <c r="AG55" s="8">
        <v>28.0</v>
      </c>
      <c r="AH55" s="8">
        <v>27.0</v>
      </c>
      <c r="AI55" s="8">
        <v>31.0</v>
      </c>
      <c r="AJ55" s="8">
        <v>2.0</v>
      </c>
      <c r="AK55" s="8">
        <v>97.0</v>
      </c>
      <c r="AL55" s="8" t="s">
        <v>4123</v>
      </c>
      <c r="AM55" s="8" t="s">
        <v>4131</v>
      </c>
      <c r="AN55" s="8" t="s">
        <v>4132</v>
      </c>
      <c r="AO55" s="8" t="s">
        <v>4133</v>
      </c>
      <c r="AP55" s="8" t="s">
        <v>2135</v>
      </c>
      <c r="AQ55" s="8" t="s">
        <v>2135</v>
      </c>
      <c r="AR55" s="8" t="s">
        <v>4134</v>
      </c>
      <c r="AS55" s="8" t="s">
        <v>4135</v>
      </c>
      <c r="AT55" s="8" t="s">
        <v>2135</v>
      </c>
      <c r="AU55" s="8">
        <v>2007.0</v>
      </c>
      <c r="AV55" s="8">
        <v>13.0</v>
      </c>
      <c r="AW55" s="8" t="s">
        <v>2135</v>
      </c>
      <c r="AX55" s="8" t="s">
        <v>2135</v>
      </c>
      <c r="AY55" s="8">
        <v>2.0</v>
      </c>
      <c r="AZ55" s="8" t="s">
        <v>2135</v>
      </c>
      <c r="BA55" s="8" t="s">
        <v>2135</v>
      </c>
      <c r="BB55" s="8">
        <v>76.0</v>
      </c>
      <c r="BC55" s="8">
        <v>82.0</v>
      </c>
      <c r="BD55" s="8" t="s">
        <v>2135</v>
      </c>
      <c r="BE55" s="8" t="s">
        <v>4366</v>
      </c>
      <c r="BF55" s="13" t="str">
        <f>HYPERLINK("http://dx.doi.org/10.2981/0909-6396(2007)13[76:SOTWGG]2.0.CO;2","http://dx.doi.org/10.2981/0909-6396(2007)13[76:SOTWGG]2.0.CO;2")</f>
        <v>http://dx.doi.org/10.2981/0909-6396(2007)13[76:SOTWGG]2.0.CO;2</v>
      </c>
      <c r="BG55" s="8" t="s">
        <v>2135</v>
      </c>
      <c r="BH55" s="8" t="s">
        <v>2135</v>
      </c>
      <c r="BI55" s="8">
        <v>7.0</v>
      </c>
      <c r="BJ55" s="8" t="s">
        <v>3442</v>
      </c>
      <c r="BK55" s="8" t="s">
        <v>3983</v>
      </c>
      <c r="BL55" s="8" t="s">
        <v>3443</v>
      </c>
      <c r="BM55" s="8" t="s">
        <v>4367</v>
      </c>
      <c r="BN55" s="8" t="s">
        <v>2135</v>
      </c>
      <c r="BO55" s="8" t="s">
        <v>3445</v>
      </c>
      <c r="BP55" s="8" t="s">
        <v>2135</v>
      </c>
      <c r="BQ55" s="8" t="s">
        <v>2135</v>
      </c>
      <c r="BR55" s="8" t="s">
        <v>3355</v>
      </c>
      <c r="BS55" s="8" t="s">
        <v>4368</v>
      </c>
      <c r="BT55" s="8" t="s">
        <v>2216</v>
      </c>
      <c r="BU55" s="8" t="s">
        <v>2147</v>
      </c>
      <c r="BV55" s="8" t="s">
        <v>2217</v>
      </c>
      <c r="BW55" s="8" t="s">
        <v>2218</v>
      </c>
      <c r="BX55" s="8" t="s">
        <v>3013</v>
      </c>
      <c r="BY55" s="8" t="s">
        <v>3014</v>
      </c>
      <c r="BZ55" s="8" t="str">
        <f>HYPERLINK("https%3A%2F%2Fwww.webofscience.com%2Fwos%2Fwoscc%2Ffull-record%2FWOS:000250588600009","View Full Record in Web of Science")</f>
        <v>View Full Record in Web of Science</v>
      </c>
    </row>
    <row r="56" ht="12.75" customHeight="1">
      <c r="A56" s="8" t="s">
        <v>3329</v>
      </c>
      <c r="B56" s="8" t="s">
        <v>4369</v>
      </c>
      <c r="C56" s="8" t="s">
        <v>2135</v>
      </c>
      <c r="D56" s="8" t="s">
        <v>2135</v>
      </c>
      <c r="E56" s="8" t="s">
        <v>2135</v>
      </c>
      <c r="F56" s="8" t="s">
        <v>4369</v>
      </c>
      <c r="G56" s="8" t="s">
        <v>2135</v>
      </c>
      <c r="H56" s="8" t="s">
        <v>2135</v>
      </c>
      <c r="I56" s="8" t="s">
        <v>364</v>
      </c>
      <c r="J56" s="8" t="s">
        <v>3331</v>
      </c>
      <c r="K56" s="8" t="s">
        <v>2135</v>
      </c>
      <c r="L56" s="8" t="s">
        <v>2135</v>
      </c>
      <c r="M56" s="8" t="s">
        <v>3332</v>
      </c>
      <c r="N56" s="8" t="s">
        <v>3333</v>
      </c>
      <c r="O56" s="8" t="s">
        <v>2135</v>
      </c>
      <c r="P56" s="8" t="s">
        <v>2135</v>
      </c>
      <c r="Q56" s="8" t="s">
        <v>2135</v>
      </c>
      <c r="R56" s="8" t="s">
        <v>2135</v>
      </c>
      <c r="S56" s="8" t="s">
        <v>2135</v>
      </c>
      <c r="T56" s="8" t="s">
        <v>2135</v>
      </c>
      <c r="U56" s="8" t="s">
        <v>4370</v>
      </c>
      <c r="V56" s="8" t="s">
        <v>4371</v>
      </c>
      <c r="W56" s="8" t="s">
        <v>4372</v>
      </c>
      <c r="X56" s="8" t="s">
        <v>4373</v>
      </c>
      <c r="Y56" s="8" t="s">
        <v>2135</v>
      </c>
      <c r="Z56" s="8" t="s">
        <v>2135</v>
      </c>
      <c r="AA56" s="8" t="s">
        <v>2135</v>
      </c>
      <c r="AB56" s="8" t="s">
        <v>2135</v>
      </c>
      <c r="AC56" s="8" t="s">
        <v>2135</v>
      </c>
      <c r="AD56" s="8" t="s">
        <v>2135</v>
      </c>
      <c r="AE56" s="8" t="s">
        <v>2135</v>
      </c>
      <c r="AF56" s="8" t="s">
        <v>2135</v>
      </c>
      <c r="AG56" s="8">
        <v>53.0</v>
      </c>
      <c r="AH56" s="8">
        <v>37.0</v>
      </c>
      <c r="AI56" s="8">
        <v>48.0</v>
      </c>
      <c r="AJ56" s="8">
        <v>0.0</v>
      </c>
      <c r="AK56" s="8">
        <v>24.0</v>
      </c>
      <c r="AL56" s="8" t="s">
        <v>4374</v>
      </c>
      <c r="AM56" s="8" t="s">
        <v>3551</v>
      </c>
      <c r="AN56" s="8" t="s">
        <v>4375</v>
      </c>
      <c r="AO56" s="8" t="s">
        <v>3345</v>
      </c>
      <c r="AP56" s="8" t="s">
        <v>2135</v>
      </c>
      <c r="AQ56" s="8" t="s">
        <v>2135</v>
      </c>
      <c r="AR56" s="8" t="s">
        <v>3347</v>
      </c>
      <c r="AS56" s="8" t="s">
        <v>3348</v>
      </c>
      <c r="AT56" s="8" t="s">
        <v>3395</v>
      </c>
      <c r="AU56" s="8">
        <v>1996.0</v>
      </c>
      <c r="AV56" s="8">
        <v>10.0</v>
      </c>
      <c r="AW56" s="8">
        <v>4.0</v>
      </c>
      <c r="AX56" s="8" t="s">
        <v>2135</v>
      </c>
      <c r="AY56" s="8" t="s">
        <v>2135</v>
      </c>
      <c r="AZ56" s="8" t="s">
        <v>2135</v>
      </c>
      <c r="BA56" s="8" t="s">
        <v>2135</v>
      </c>
      <c r="BB56" s="8">
        <v>1036.0</v>
      </c>
      <c r="BC56" s="8">
        <v>1045.0</v>
      </c>
      <c r="BD56" s="8" t="s">
        <v>2135</v>
      </c>
      <c r="BE56" s="8" t="s">
        <v>4376</v>
      </c>
      <c r="BF56" s="13" t="str">
        <f>HYPERLINK("http://dx.doi.org/10.1046/j.1523-1739.1996.10041036.x","http://dx.doi.org/10.1046/j.1523-1739.1996.10041036.x")</f>
        <v>http://dx.doi.org/10.1046/j.1523-1739.1996.10041036.x</v>
      </c>
      <c r="BG56" s="8" t="s">
        <v>2135</v>
      </c>
      <c r="BH56" s="8" t="s">
        <v>2135</v>
      </c>
      <c r="BI56" s="8">
        <v>10.0</v>
      </c>
      <c r="BJ56" s="8" t="s">
        <v>3351</v>
      </c>
      <c r="BK56" s="8" t="s">
        <v>4060</v>
      </c>
      <c r="BL56" s="8" t="s">
        <v>3353</v>
      </c>
      <c r="BM56" s="8" t="s">
        <v>4377</v>
      </c>
      <c r="BN56" s="8" t="s">
        <v>2135</v>
      </c>
      <c r="BO56" s="8" t="s">
        <v>2135</v>
      </c>
      <c r="BP56" s="8" t="s">
        <v>2135</v>
      </c>
      <c r="BQ56" s="8" t="s">
        <v>2135</v>
      </c>
      <c r="BR56" s="8" t="s">
        <v>3355</v>
      </c>
      <c r="BS56" s="8" t="s">
        <v>4378</v>
      </c>
      <c r="BU56" s="8" t="s">
        <v>2147</v>
      </c>
      <c r="BV56" s="8" t="s">
        <v>2217</v>
      </c>
      <c r="BW56" s="8" t="s">
        <v>2218</v>
      </c>
      <c r="BX56" s="8" t="s">
        <v>3015</v>
      </c>
      <c r="BY56" s="8" t="s">
        <v>3016</v>
      </c>
      <c r="BZ56" s="8" t="str">
        <f>HYPERLINK("https%3A%2F%2Fwww.webofscience.com%2Fwos%2Fwoscc%2Ffull-record%2FWOS:A1996VC10300020","View Full Record in Web of Science")</f>
        <v>View Full Record in Web of Science</v>
      </c>
    </row>
    <row r="57" ht="12.75" customHeight="1">
      <c r="A57" s="8" t="s">
        <v>3329</v>
      </c>
      <c r="B57" s="8" t="s">
        <v>4379</v>
      </c>
      <c r="C57" s="8" t="s">
        <v>2135</v>
      </c>
      <c r="D57" s="8" t="s">
        <v>2135</v>
      </c>
      <c r="E57" s="8" t="s">
        <v>2135</v>
      </c>
      <c r="F57" s="8" t="s">
        <v>4380</v>
      </c>
      <c r="G57" s="8" t="s">
        <v>2135</v>
      </c>
      <c r="H57" s="8" t="s">
        <v>2135</v>
      </c>
      <c r="I57" s="8" t="s">
        <v>371</v>
      </c>
      <c r="J57" s="8" t="s">
        <v>4381</v>
      </c>
      <c r="K57" s="8" t="s">
        <v>2135</v>
      </c>
      <c r="L57" s="8" t="s">
        <v>2135</v>
      </c>
      <c r="M57" s="8" t="s">
        <v>3332</v>
      </c>
      <c r="N57" s="8" t="s">
        <v>3333</v>
      </c>
      <c r="O57" s="8" t="s">
        <v>2135</v>
      </c>
      <c r="P57" s="8" t="s">
        <v>2135</v>
      </c>
      <c r="Q57" s="8" t="s">
        <v>2135</v>
      </c>
      <c r="R57" s="8" t="s">
        <v>2135</v>
      </c>
      <c r="S57" s="8" t="s">
        <v>2135</v>
      </c>
      <c r="T57" s="8" t="s">
        <v>4382</v>
      </c>
      <c r="U57" s="8" t="s">
        <v>4383</v>
      </c>
      <c r="V57" s="8" t="s">
        <v>4384</v>
      </c>
      <c r="W57" s="8" t="s">
        <v>4385</v>
      </c>
      <c r="X57" s="8" t="s">
        <v>4386</v>
      </c>
      <c r="Y57" s="8" t="s">
        <v>4387</v>
      </c>
      <c r="Z57" s="8" t="s">
        <v>4388</v>
      </c>
      <c r="AA57" s="8" t="s">
        <v>4389</v>
      </c>
      <c r="AB57" s="8" t="s">
        <v>4390</v>
      </c>
      <c r="AC57" s="8" t="s">
        <v>4391</v>
      </c>
      <c r="AD57" s="8" t="s">
        <v>4392</v>
      </c>
      <c r="AE57" s="8" t="s">
        <v>4393</v>
      </c>
      <c r="AF57" s="8" t="s">
        <v>2135</v>
      </c>
      <c r="AG57" s="8">
        <v>65.0</v>
      </c>
      <c r="AH57" s="8">
        <v>17.0</v>
      </c>
      <c r="AI57" s="8">
        <v>22.0</v>
      </c>
      <c r="AJ57" s="8">
        <v>1.0</v>
      </c>
      <c r="AK57" s="8">
        <v>39.0</v>
      </c>
      <c r="AL57" s="8" t="s">
        <v>4394</v>
      </c>
      <c r="AM57" s="8" t="s">
        <v>3367</v>
      </c>
      <c r="AN57" s="8" t="s">
        <v>4395</v>
      </c>
      <c r="AO57" s="8" t="s">
        <v>4396</v>
      </c>
      <c r="AP57" s="8" t="s">
        <v>4397</v>
      </c>
      <c r="AQ57" s="8" t="s">
        <v>2135</v>
      </c>
      <c r="AR57" s="8" t="s">
        <v>4398</v>
      </c>
      <c r="AS57" s="8" t="s">
        <v>4399</v>
      </c>
      <c r="AT57" s="8" t="s">
        <v>3765</v>
      </c>
      <c r="AU57" s="8">
        <v>2018.0</v>
      </c>
      <c r="AV57" s="8">
        <v>88.0</v>
      </c>
      <c r="AW57" s="8" t="s">
        <v>2135</v>
      </c>
      <c r="AX57" s="8" t="s">
        <v>2135</v>
      </c>
      <c r="AY57" s="8" t="s">
        <v>2135</v>
      </c>
      <c r="AZ57" s="8" t="s">
        <v>2135</v>
      </c>
      <c r="BA57" s="8" t="s">
        <v>2135</v>
      </c>
      <c r="BB57" s="8">
        <v>241.0</v>
      </c>
      <c r="BC57" s="8">
        <v>249.0</v>
      </c>
      <c r="BD57" s="8" t="s">
        <v>2135</v>
      </c>
      <c r="BE57" s="8" t="s">
        <v>4400</v>
      </c>
      <c r="BF57" s="13" t="str">
        <f>HYPERLINK("http://dx.doi.org/10.1016/j.ecolind.2018.01.004","http://dx.doi.org/10.1016/j.ecolind.2018.01.004")</f>
        <v>http://dx.doi.org/10.1016/j.ecolind.2018.01.004</v>
      </c>
      <c r="BG57" s="8" t="s">
        <v>2135</v>
      </c>
      <c r="BH57" s="8" t="s">
        <v>2135</v>
      </c>
      <c r="BI57" s="8">
        <v>9.0</v>
      </c>
      <c r="BJ57" s="8" t="s">
        <v>4401</v>
      </c>
      <c r="BK57" s="8" t="s">
        <v>3352</v>
      </c>
      <c r="BL57" s="8" t="s">
        <v>3353</v>
      </c>
      <c r="BM57" s="8" t="s">
        <v>4402</v>
      </c>
      <c r="BN57" s="8" t="s">
        <v>2135</v>
      </c>
      <c r="BO57" s="8" t="s">
        <v>2135</v>
      </c>
      <c r="BP57" s="8" t="s">
        <v>2135</v>
      </c>
      <c r="BQ57" s="8" t="s">
        <v>2135</v>
      </c>
      <c r="BR57" s="8" t="s">
        <v>3355</v>
      </c>
      <c r="BS57" s="8" t="s">
        <v>4403</v>
      </c>
      <c r="BT57" s="8" t="s">
        <v>2396</v>
      </c>
      <c r="BU57" s="8" t="s">
        <v>2283</v>
      </c>
      <c r="BW57" s="8" t="s">
        <v>2143</v>
      </c>
      <c r="BX57" s="8" t="s">
        <v>2953</v>
      </c>
      <c r="BY57" s="8" t="s">
        <v>3059</v>
      </c>
      <c r="BZ57" s="8" t="str">
        <f>HYPERLINK("https%3A%2F%2Fwww.webofscience.com%2Fwos%2Fwoscc%2Ffull-record%2FWOS:000430760800026","View Full Record in Web of Science")</f>
        <v>View Full Record in Web of Science</v>
      </c>
    </row>
    <row r="58" ht="12.75" customHeight="1">
      <c r="A58" s="8" t="s">
        <v>3329</v>
      </c>
      <c r="B58" s="8" t="s">
        <v>4404</v>
      </c>
      <c r="C58" s="8" t="s">
        <v>2135</v>
      </c>
      <c r="D58" s="8" t="s">
        <v>2135</v>
      </c>
      <c r="E58" s="8" t="s">
        <v>2135</v>
      </c>
      <c r="F58" s="8" t="s">
        <v>4405</v>
      </c>
      <c r="G58" s="8" t="s">
        <v>2135</v>
      </c>
      <c r="H58" s="8" t="s">
        <v>2135</v>
      </c>
      <c r="I58" s="8" t="s">
        <v>381</v>
      </c>
      <c r="J58" s="8" t="s">
        <v>4336</v>
      </c>
      <c r="K58" s="8" t="s">
        <v>2135</v>
      </c>
      <c r="L58" s="8" t="s">
        <v>2135</v>
      </c>
      <c r="M58" s="8" t="s">
        <v>3332</v>
      </c>
      <c r="N58" s="8" t="s">
        <v>3963</v>
      </c>
      <c r="O58" s="8" t="s">
        <v>4406</v>
      </c>
      <c r="P58" s="8" t="s">
        <v>4407</v>
      </c>
      <c r="Q58" s="8" t="s">
        <v>4408</v>
      </c>
      <c r="R58" s="8" t="s">
        <v>2135</v>
      </c>
      <c r="S58" s="8" t="s">
        <v>2135</v>
      </c>
      <c r="T58" s="8" t="s">
        <v>4409</v>
      </c>
      <c r="U58" s="8" t="s">
        <v>4410</v>
      </c>
      <c r="V58" s="8" t="s">
        <v>4411</v>
      </c>
      <c r="W58" s="8" t="s">
        <v>4412</v>
      </c>
      <c r="X58" s="8" t="s">
        <v>4413</v>
      </c>
      <c r="Y58" s="8" t="s">
        <v>4414</v>
      </c>
      <c r="Z58" s="8" t="s">
        <v>4415</v>
      </c>
      <c r="AA58" s="8" t="s">
        <v>4416</v>
      </c>
      <c r="AB58" s="8" t="s">
        <v>4417</v>
      </c>
      <c r="AC58" s="8" t="s">
        <v>2135</v>
      </c>
      <c r="AD58" s="8" t="s">
        <v>2135</v>
      </c>
      <c r="AE58" s="8" t="s">
        <v>2135</v>
      </c>
      <c r="AF58" s="8" t="s">
        <v>2135</v>
      </c>
      <c r="AG58" s="8">
        <v>80.0</v>
      </c>
      <c r="AH58" s="8">
        <v>26.0</v>
      </c>
      <c r="AI58" s="8">
        <v>33.0</v>
      </c>
      <c r="AJ58" s="8">
        <v>0.0</v>
      </c>
      <c r="AK58" s="8">
        <v>40.0</v>
      </c>
      <c r="AL58" s="8" t="s">
        <v>4346</v>
      </c>
      <c r="AM58" s="8" t="s">
        <v>4347</v>
      </c>
      <c r="AN58" s="8" t="s">
        <v>4348</v>
      </c>
      <c r="AO58" s="8" t="s">
        <v>4349</v>
      </c>
      <c r="AP58" s="8" t="s">
        <v>4350</v>
      </c>
      <c r="AQ58" s="8" t="s">
        <v>2135</v>
      </c>
      <c r="AR58" s="8" t="s">
        <v>4351</v>
      </c>
      <c r="AS58" s="8" t="s">
        <v>4352</v>
      </c>
      <c r="AT58" s="8" t="s">
        <v>2135</v>
      </c>
      <c r="AU58" s="8">
        <v>2009.0</v>
      </c>
      <c r="AV58" s="8">
        <v>58.0</v>
      </c>
      <c r="AW58" s="8">
        <v>3.0</v>
      </c>
      <c r="AX58" s="8" t="s">
        <v>2135</v>
      </c>
      <c r="AY58" s="8" t="s">
        <v>2135</v>
      </c>
      <c r="AZ58" s="8" t="s">
        <v>2135</v>
      </c>
      <c r="BA58" s="8" t="s">
        <v>2135</v>
      </c>
      <c r="BB58" s="8">
        <v>309.0</v>
      </c>
      <c r="BC58" s="8">
        <v>326.0</v>
      </c>
      <c r="BD58" s="8" t="s">
        <v>2135</v>
      </c>
      <c r="BE58" s="8" t="s">
        <v>2135</v>
      </c>
      <c r="BF58" s="8" t="s">
        <v>2135</v>
      </c>
      <c r="BG58" s="8" t="s">
        <v>2135</v>
      </c>
      <c r="BH58" s="8" t="s">
        <v>2135</v>
      </c>
      <c r="BI58" s="8">
        <v>18.0</v>
      </c>
      <c r="BJ58" s="8" t="s">
        <v>3397</v>
      </c>
      <c r="BK58" s="8" t="s">
        <v>4418</v>
      </c>
      <c r="BL58" s="8" t="s">
        <v>3397</v>
      </c>
      <c r="BM58" s="8" t="s">
        <v>4419</v>
      </c>
      <c r="BN58" s="8" t="s">
        <v>2135</v>
      </c>
      <c r="BO58" s="8" t="s">
        <v>2135</v>
      </c>
      <c r="BP58" s="8" t="s">
        <v>2135</v>
      </c>
      <c r="BQ58" s="8" t="s">
        <v>2135</v>
      </c>
      <c r="BR58" s="8" t="s">
        <v>3355</v>
      </c>
      <c r="BS58" s="8" t="s">
        <v>4420</v>
      </c>
      <c r="BT58" s="8" t="s">
        <v>2379</v>
      </c>
      <c r="BU58" s="8" t="s">
        <v>2142</v>
      </c>
      <c r="BW58" s="8" t="s">
        <v>2143</v>
      </c>
      <c r="BX58" s="8" t="s">
        <v>2953</v>
      </c>
      <c r="BY58" s="8" t="s">
        <v>3017</v>
      </c>
      <c r="BZ58" s="8" t="str">
        <f>HYPERLINK("https%3A%2F%2Fwww.webofscience.com%2Fwos%2Fwoscc%2Ffull-record%2FWOS:000271968300007","View Full Record in Web of Science")</f>
        <v>View Full Record in Web of Science</v>
      </c>
    </row>
    <row r="59" ht="12.75" customHeight="1">
      <c r="A59" s="8" t="s">
        <v>3329</v>
      </c>
      <c r="B59" s="8" t="s">
        <v>4421</v>
      </c>
      <c r="C59" s="8" t="s">
        <v>2135</v>
      </c>
      <c r="D59" s="8" t="s">
        <v>2135</v>
      </c>
      <c r="E59" s="8" t="s">
        <v>2135</v>
      </c>
      <c r="F59" s="8" t="s">
        <v>4421</v>
      </c>
      <c r="G59" s="8" t="s">
        <v>2135</v>
      </c>
      <c r="H59" s="8" t="s">
        <v>2135</v>
      </c>
      <c r="I59" s="8" t="s">
        <v>379</v>
      </c>
      <c r="J59" s="8" t="s">
        <v>4422</v>
      </c>
      <c r="K59" s="8" t="s">
        <v>2135</v>
      </c>
      <c r="L59" s="8" t="s">
        <v>2135</v>
      </c>
      <c r="M59" s="8" t="s">
        <v>3332</v>
      </c>
      <c r="N59" s="8" t="s">
        <v>3333</v>
      </c>
      <c r="O59" s="8" t="s">
        <v>2135</v>
      </c>
      <c r="P59" s="8" t="s">
        <v>2135</v>
      </c>
      <c r="Q59" s="8" t="s">
        <v>2135</v>
      </c>
      <c r="R59" s="8" t="s">
        <v>2135</v>
      </c>
      <c r="S59" s="8" t="s">
        <v>2135</v>
      </c>
      <c r="T59" s="8" t="s">
        <v>4423</v>
      </c>
      <c r="U59" s="8" t="s">
        <v>4424</v>
      </c>
      <c r="V59" s="8" t="s">
        <v>4425</v>
      </c>
      <c r="W59" s="8" t="s">
        <v>4426</v>
      </c>
      <c r="X59" s="8" t="s">
        <v>3385</v>
      </c>
      <c r="Y59" s="8" t="s">
        <v>3386</v>
      </c>
      <c r="Z59" s="8" t="s">
        <v>2135</v>
      </c>
      <c r="AA59" s="8" t="s">
        <v>4427</v>
      </c>
      <c r="AB59" s="8" t="s">
        <v>4428</v>
      </c>
      <c r="AC59" s="8" t="s">
        <v>2135</v>
      </c>
      <c r="AD59" s="8" t="s">
        <v>2135</v>
      </c>
      <c r="AE59" s="8" t="s">
        <v>2135</v>
      </c>
      <c r="AF59" s="8" t="s">
        <v>2135</v>
      </c>
      <c r="AG59" s="8">
        <v>42.0</v>
      </c>
      <c r="AH59" s="8">
        <v>92.0</v>
      </c>
      <c r="AI59" s="8">
        <v>105.0</v>
      </c>
      <c r="AJ59" s="8">
        <v>0.0</v>
      </c>
      <c r="AK59" s="8">
        <v>80.0</v>
      </c>
      <c r="AL59" s="8" t="s">
        <v>4044</v>
      </c>
      <c r="AM59" s="8" t="s">
        <v>3759</v>
      </c>
      <c r="AN59" s="8" t="s">
        <v>4117</v>
      </c>
      <c r="AO59" s="8" t="s">
        <v>4429</v>
      </c>
      <c r="AP59" s="8" t="s">
        <v>2135</v>
      </c>
      <c r="AQ59" s="8" t="s">
        <v>2135</v>
      </c>
      <c r="AR59" s="8" t="s">
        <v>4430</v>
      </c>
      <c r="AS59" s="8" t="s">
        <v>4431</v>
      </c>
      <c r="AT59" s="8" t="s">
        <v>3485</v>
      </c>
      <c r="AU59" s="8">
        <v>2001.0</v>
      </c>
      <c r="AV59" s="8">
        <v>10.0</v>
      </c>
      <c r="AW59" s="8">
        <v>2.0</v>
      </c>
      <c r="AX59" s="8" t="s">
        <v>2135</v>
      </c>
      <c r="AY59" s="8" t="s">
        <v>2135</v>
      </c>
      <c r="AZ59" s="8" t="s">
        <v>2135</v>
      </c>
      <c r="BA59" s="8" t="s">
        <v>2135</v>
      </c>
      <c r="BB59" s="8">
        <v>337.0</v>
      </c>
      <c r="BC59" s="8">
        <v>347.0</v>
      </c>
      <c r="BD59" s="8" t="s">
        <v>2135</v>
      </c>
      <c r="BE59" s="8" t="s">
        <v>4432</v>
      </c>
      <c r="BF59" s="13" t="str">
        <f>HYPERLINK("http://dx.doi.org/10.1046/j.1365-294x.2001.01222.x","http://dx.doi.org/10.1046/j.1365-294x.2001.01222.x")</f>
        <v>http://dx.doi.org/10.1046/j.1365-294x.2001.01222.x</v>
      </c>
      <c r="BG59" s="8" t="s">
        <v>2135</v>
      </c>
      <c r="BH59" s="8" t="s">
        <v>2135</v>
      </c>
      <c r="BI59" s="8">
        <v>11.0</v>
      </c>
      <c r="BJ59" s="8" t="s">
        <v>4433</v>
      </c>
      <c r="BK59" s="8" t="s">
        <v>3352</v>
      </c>
      <c r="BL59" s="8" t="s">
        <v>4434</v>
      </c>
      <c r="BM59" s="8" t="s">
        <v>4435</v>
      </c>
      <c r="BN59" s="8">
        <v>1.1298949E7</v>
      </c>
      <c r="BO59" s="8" t="s">
        <v>2135</v>
      </c>
      <c r="BP59" s="8" t="s">
        <v>2135</v>
      </c>
      <c r="BQ59" s="8" t="s">
        <v>2135</v>
      </c>
      <c r="BR59" s="8" t="s">
        <v>3355</v>
      </c>
      <c r="BS59" s="8" t="s">
        <v>4436</v>
      </c>
      <c r="BU59" s="8" t="s">
        <v>2147</v>
      </c>
      <c r="BV59" s="8" t="s">
        <v>2217</v>
      </c>
      <c r="BW59" s="8" t="s">
        <v>2218</v>
      </c>
      <c r="BX59" s="8" t="s">
        <v>2953</v>
      </c>
      <c r="BY59" s="8" t="s">
        <v>3017</v>
      </c>
      <c r="BZ59" s="8" t="str">
        <f>HYPERLINK("https%3A%2F%2Fwww.webofscience.com%2Fwos%2Fwoscc%2Ffull-record%2FWOS:000167779400006","View Full Record in Web of Science")</f>
        <v>View Full Record in Web of Science</v>
      </c>
    </row>
    <row r="60" ht="12.75" customHeight="1">
      <c r="A60" s="8" t="s">
        <v>3329</v>
      </c>
      <c r="B60" s="8" t="s">
        <v>4437</v>
      </c>
      <c r="C60" s="8" t="s">
        <v>2135</v>
      </c>
      <c r="D60" s="8" t="s">
        <v>2135</v>
      </c>
      <c r="E60" s="8" t="s">
        <v>2135</v>
      </c>
      <c r="F60" s="8" t="s">
        <v>4437</v>
      </c>
      <c r="G60" s="8" t="s">
        <v>2135</v>
      </c>
      <c r="H60" s="8" t="s">
        <v>2135</v>
      </c>
      <c r="I60" s="8" t="s">
        <v>366</v>
      </c>
      <c r="J60" s="8" t="s">
        <v>3747</v>
      </c>
      <c r="K60" s="8" t="s">
        <v>2135</v>
      </c>
      <c r="L60" s="8" t="s">
        <v>2135</v>
      </c>
      <c r="M60" s="8" t="s">
        <v>3332</v>
      </c>
      <c r="N60" s="8" t="s">
        <v>3333</v>
      </c>
      <c r="O60" s="8" t="s">
        <v>2135</v>
      </c>
      <c r="P60" s="8" t="s">
        <v>2135</v>
      </c>
      <c r="Q60" s="8" t="s">
        <v>2135</v>
      </c>
      <c r="R60" s="8" t="s">
        <v>2135</v>
      </c>
      <c r="S60" s="8" t="s">
        <v>2135</v>
      </c>
      <c r="T60" s="8" t="s">
        <v>2135</v>
      </c>
      <c r="U60" s="8" t="s">
        <v>2135</v>
      </c>
      <c r="V60" s="8" t="s">
        <v>4438</v>
      </c>
      <c r="W60" s="8" t="s">
        <v>2135</v>
      </c>
      <c r="X60" s="8" t="s">
        <v>2135</v>
      </c>
      <c r="Y60" s="8" t="s">
        <v>2135</v>
      </c>
      <c r="Z60" s="8" t="s">
        <v>2135</v>
      </c>
      <c r="AA60" s="8" t="s">
        <v>2135</v>
      </c>
      <c r="AB60" s="8" t="s">
        <v>2135</v>
      </c>
      <c r="AC60" s="8" t="s">
        <v>2135</v>
      </c>
      <c r="AD60" s="8" t="s">
        <v>2135</v>
      </c>
      <c r="AE60" s="8" t="s">
        <v>2135</v>
      </c>
      <c r="AF60" s="8" t="s">
        <v>2135</v>
      </c>
      <c r="AG60" s="8">
        <v>9.0</v>
      </c>
      <c r="AH60" s="8">
        <v>16.0</v>
      </c>
      <c r="AI60" s="8">
        <v>17.0</v>
      </c>
      <c r="AJ60" s="8">
        <v>0.0</v>
      </c>
      <c r="AK60" s="8">
        <v>5.0</v>
      </c>
      <c r="AL60" s="8" t="s">
        <v>3758</v>
      </c>
      <c r="AM60" s="8" t="s">
        <v>3893</v>
      </c>
      <c r="AN60" s="8" t="s">
        <v>3894</v>
      </c>
      <c r="AO60" s="8" t="s">
        <v>3761</v>
      </c>
      <c r="AP60" s="8" t="s">
        <v>3762</v>
      </c>
      <c r="AQ60" s="8" t="s">
        <v>2135</v>
      </c>
      <c r="AR60" s="8" t="s">
        <v>3763</v>
      </c>
      <c r="AS60" s="8" t="s">
        <v>3764</v>
      </c>
      <c r="AT60" s="8" t="s">
        <v>2135</v>
      </c>
      <c r="AU60" s="8">
        <v>1987.0</v>
      </c>
      <c r="AV60" s="8">
        <v>41.0</v>
      </c>
      <c r="AW60" s="8">
        <v>3.0</v>
      </c>
      <c r="AX60" s="8" t="s">
        <v>2135</v>
      </c>
      <c r="AY60" s="8" t="s">
        <v>2135</v>
      </c>
      <c r="AZ60" s="8" t="s">
        <v>2135</v>
      </c>
      <c r="BA60" s="8" t="s">
        <v>2135</v>
      </c>
      <c r="BB60" s="8">
        <v>159.0</v>
      </c>
      <c r="BC60" s="8">
        <v>165.0</v>
      </c>
      <c r="BD60" s="8" t="s">
        <v>2135</v>
      </c>
      <c r="BE60" s="8" t="s">
        <v>4439</v>
      </c>
      <c r="BF60" s="13" t="str">
        <f>HYPERLINK("http://dx.doi.org/10.1016/0006-3207(87)90099-1","http://dx.doi.org/10.1016/0006-3207(87)90099-1")</f>
        <v>http://dx.doi.org/10.1016/0006-3207(87)90099-1</v>
      </c>
      <c r="BG60" s="8" t="s">
        <v>2135</v>
      </c>
      <c r="BH60" s="8" t="s">
        <v>2135</v>
      </c>
      <c r="BI60" s="8">
        <v>7.0</v>
      </c>
      <c r="BJ60" s="8" t="s">
        <v>3351</v>
      </c>
      <c r="BK60" s="8" t="s">
        <v>3352</v>
      </c>
      <c r="BL60" s="8" t="s">
        <v>3353</v>
      </c>
      <c r="BM60" s="8" t="s">
        <v>4440</v>
      </c>
      <c r="BN60" s="8" t="s">
        <v>2135</v>
      </c>
      <c r="BO60" s="8" t="s">
        <v>2135</v>
      </c>
      <c r="BP60" s="8" t="s">
        <v>2135</v>
      </c>
      <c r="BQ60" s="8" t="s">
        <v>2135</v>
      </c>
      <c r="BR60" s="8" t="s">
        <v>3355</v>
      </c>
      <c r="BS60" s="8" t="s">
        <v>4441</v>
      </c>
      <c r="BT60" s="8" t="s">
        <v>2440</v>
      </c>
      <c r="BU60" s="8" t="s">
        <v>2142</v>
      </c>
      <c r="BW60" s="8" t="s">
        <v>2311</v>
      </c>
      <c r="BX60" s="8" t="s">
        <v>3151</v>
      </c>
      <c r="BY60" s="8" t="s">
        <v>3017</v>
      </c>
      <c r="BZ60" s="8" t="str">
        <f>HYPERLINK("https%3A%2F%2Fwww.webofscience.com%2Fwos%2Fwoscc%2Ffull-record%2FWOS:A1987J602100001","View Full Record in Web of Science")</f>
        <v>View Full Record in Web of Science</v>
      </c>
    </row>
    <row r="61" ht="12.75" customHeight="1">
      <c r="A61" s="8" t="s">
        <v>3329</v>
      </c>
      <c r="B61" s="8" t="s">
        <v>4442</v>
      </c>
      <c r="C61" s="8" t="s">
        <v>2135</v>
      </c>
      <c r="D61" s="8" t="s">
        <v>2135</v>
      </c>
      <c r="E61" s="8" t="s">
        <v>2135</v>
      </c>
      <c r="F61" s="8" t="s">
        <v>4442</v>
      </c>
      <c r="G61" s="8" t="s">
        <v>2135</v>
      </c>
      <c r="H61" s="8" t="s">
        <v>2135</v>
      </c>
      <c r="I61" s="8" t="s">
        <v>383</v>
      </c>
      <c r="J61" s="8" t="s">
        <v>4443</v>
      </c>
      <c r="K61" s="8" t="s">
        <v>2135</v>
      </c>
      <c r="L61" s="8" t="s">
        <v>2135</v>
      </c>
      <c r="M61" s="8" t="s">
        <v>3332</v>
      </c>
      <c r="N61" s="8" t="s">
        <v>3333</v>
      </c>
      <c r="O61" s="8" t="s">
        <v>2135</v>
      </c>
      <c r="P61" s="8" t="s">
        <v>2135</v>
      </c>
      <c r="Q61" s="8" t="s">
        <v>2135</v>
      </c>
      <c r="R61" s="8" t="s">
        <v>2135</v>
      </c>
      <c r="S61" s="8" t="s">
        <v>2135</v>
      </c>
      <c r="T61" s="8" t="s">
        <v>4444</v>
      </c>
      <c r="U61" s="8" t="s">
        <v>4445</v>
      </c>
      <c r="V61" s="8" t="s">
        <v>4446</v>
      </c>
      <c r="W61" s="8" t="s">
        <v>4447</v>
      </c>
      <c r="X61" s="8" t="s">
        <v>4448</v>
      </c>
      <c r="Y61" s="8" t="s">
        <v>4449</v>
      </c>
      <c r="Z61" s="8" t="s">
        <v>4450</v>
      </c>
      <c r="AA61" s="8" t="s">
        <v>4451</v>
      </c>
      <c r="AB61" s="8" t="s">
        <v>4452</v>
      </c>
      <c r="AC61" s="8" t="s">
        <v>2135</v>
      </c>
      <c r="AD61" s="8" t="s">
        <v>2135</v>
      </c>
      <c r="AE61" s="8" t="s">
        <v>2135</v>
      </c>
      <c r="AF61" s="8" t="s">
        <v>2135</v>
      </c>
      <c r="AG61" s="8">
        <v>44.0</v>
      </c>
      <c r="AH61" s="8">
        <v>35.0</v>
      </c>
      <c r="AI61" s="8">
        <v>41.0</v>
      </c>
      <c r="AJ61" s="8">
        <v>0.0</v>
      </c>
      <c r="AK61" s="8">
        <v>74.0</v>
      </c>
      <c r="AL61" s="8" t="s">
        <v>3342</v>
      </c>
      <c r="AM61" s="8" t="s">
        <v>3343</v>
      </c>
      <c r="AN61" s="8" t="s">
        <v>3344</v>
      </c>
      <c r="AO61" s="8" t="s">
        <v>4453</v>
      </c>
      <c r="AP61" s="8" t="s">
        <v>4454</v>
      </c>
      <c r="AQ61" s="8" t="s">
        <v>2135</v>
      </c>
      <c r="AR61" s="8" t="s">
        <v>4455</v>
      </c>
      <c r="AS61" s="8" t="s">
        <v>4456</v>
      </c>
      <c r="AT61" s="8" t="s">
        <v>3580</v>
      </c>
      <c r="AU61" s="8">
        <v>2004.0</v>
      </c>
      <c r="AV61" s="8">
        <v>14.0</v>
      </c>
      <c r="AW61" s="8">
        <v>5.0</v>
      </c>
      <c r="AX61" s="8" t="s">
        <v>2135</v>
      </c>
      <c r="AY61" s="8" t="s">
        <v>2135</v>
      </c>
      <c r="AZ61" s="8" t="s">
        <v>2135</v>
      </c>
      <c r="BA61" s="8" t="s">
        <v>2135</v>
      </c>
      <c r="BB61" s="8">
        <v>1554.0</v>
      </c>
      <c r="BC61" s="8">
        <v>1565.0</v>
      </c>
      <c r="BD61" s="8" t="s">
        <v>2135</v>
      </c>
      <c r="BE61" s="8" t="s">
        <v>4457</v>
      </c>
      <c r="BF61" s="13" t="str">
        <f>HYPERLINK("http://dx.doi.org/10.1890/03-5006","http://dx.doi.org/10.1890/03-5006")</f>
        <v>http://dx.doi.org/10.1890/03-5006</v>
      </c>
      <c r="BG61" s="8" t="s">
        <v>2135</v>
      </c>
      <c r="BH61" s="8" t="s">
        <v>2135</v>
      </c>
      <c r="BI61" s="8">
        <v>12.0</v>
      </c>
      <c r="BJ61" s="8" t="s">
        <v>3631</v>
      </c>
      <c r="BK61" s="8" t="s">
        <v>3352</v>
      </c>
      <c r="BL61" s="8" t="s">
        <v>3632</v>
      </c>
      <c r="BM61" s="8" t="s">
        <v>4458</v>
      </c>
      <c r="BN61" s="8" t="s">
        <v>2135</v>
      </c>
      <c r="BO61" s="8" t="s">
        <v>2135</v>
      </c>
      <c r="BP61" s="8" t="s">
        <v>2135</v>
      </c>
      <c r="BQ61" s="8" t="s">
        <v>2135</v>
      </c>
      <c r="BR61" s="8" t="s">
        <v>3355</v>
      </c>
      <c r="BS61" s="8" t="s">
        <v>4459</v>
      </c>
      <c r="BT61" s="8" t="s">
        <v>2600</v>
      </c>
      <c r="BU61" s="8" t="s">
        <v>2147</v>
      </c>
      <c r="BV61" s="8" t="s">
        <v>2217</v>
      </c>
      <c r="BW61" s="8" t="s">
        <v>2237</v>
      </c>
      <c r="BX61" s="8" t="s">
        <v>2977</v>
      </c>
      <c r="BY61" s="8" t="s">
        <v>2978</v>
      </c>
      <c r="BZ61" s="8" t="str">
        <f>HYPERLINK("https%3A%2F%2Fwww.webofscience.com%2Fwos%2Fwoscc%2Ffull-record%2FWOS:000224568800020","View Full Record in Web of Science")</f>
        <v>View Full Record in Web of Science</v>
      </c>
    </row>
    <row r="62" ht="12.75" customHeight="1">
      <c r="A62" s="8" t="s">
        <v>3329</v>
      </c>
      <c r="B62" s="8" t="s">
        <v>4460</v>
      </c>
      <c r="C62" s="8" t="s">
        <v>2135</v>
      </c>
      <c r="D62" s="8" t="s">
        <v>2135</v>
      </c>
      <c r="E62" s="8" t="s">
        <v>2135</v>
      </c>
      <c r="F62" s="8" t="s">
        <v>4461</v>
      </c>
      <c r="G62" s="8" t="s">
        <v>2135</v>
      </c>
      <c r="H62" s="8" t="s">
        <v>2135</v>
      </c>
      <c r="I62" s="8" t="s">
        <v>387</v>
      </c>
      <c r="J62" s="8" t="s">
        <v>3796</v>
      </c>
      <c r="K62" s="8" t="s">
        <v>2135</v>
      </c>
      <c r="L62" s="8" t="s">
        <v>2135</v>
      </c>
      <c r="M62" s="8" t="s">
        <v>3332</v>
      </c>
      <c r="N62" s="8" t="s">
        <v>3492</v>
      </c>
      <c r="O62" s="8" t="s">
        <v>2135</v>
      </c>
      <c r="P62" s="8" t="s">
        <v>2135</v>
      </c>
      <c r="Q62" s="8" t="s">
        <v>2135</v>
      </c>
      <c r="R62" s="8" t="s">
        <v>2135</v>
      </c>
      <c r="S62" s="8" t="s">
        <v>2135</v>
      </c>
      <c r="T62" s="8" t="s">
        <v>4462</v>
      </c>
      <c r="U62" s="8" t="s">
        <v>4463</v>
      </c>
      <c r="V62" s="8" t="s">
        <v>4464</v>
      </c>
      <c r="W62" s="8" t="s">
        <v>4465</v>
      </c>
      <c r="X62" s="8" t="s">
        <v>4466</v>
      </c>
      <c r="Y62" s="8" t="s">
        <v>4467</v>
      </c>
      <c r="Z62" s="8" t="s">
        <v>4468</v>
      </c>
      <c r="AA62" s="8" t="s">
        <v>4469</v>
      </c>
      <c r="AB62" s="8" t="s">
        <v>4470</v>
      </c>
      <c r="AC62" s="8" t="s">
        <v>4471</v>
      </c>
      <c r="AD62" s="8" t="s">
        <v>4471</v>
      </c>
      <c r="AE62" s="8" t="s">
        <v>4472</v>
      </c>
      <c r="AF62" s="8" t="s">
        <v>2135</v>
      </c>
      <c r="AG62" s="8">
        <v>131.0</v>
      </c>
      <c r="AH62" s="8">
        <v>53.0</v>
      </c>
      <c r="AI62" s="8">
        <v>61.0</v>
      </c>
      <c r="AJ62" s="8">
        <v>7.0</v>
      </c>
      <c r="AK62" s="8">
        <v>119.0</v>
      </c>
      <c r="AL62" s="8" t="s">
        <v>3342</v>
      </c>
      <c r="AM62" s="8" t="s">
        <v>3343</v>
      </c>
      <c r="AN62" s="8" t="s">
        <v>3344</v>
      </c>
      <c r="AO62" s="8" t="s">
        <v>3808</v>
      </c>
      <c r="AP62" s="8" t="s">
        <v>3809</v>
      </c>
      <c r="AQ62" s="8" t="s">
        <v>2135</v>
      </c>
      <c r="AR62" s="8" t="s">
        <v>3810</v>
      </c>
      <c r="AS62" s="8" t="s">
        <v>3811</v>
      </c>
      <c r="AT62" s="8" t="s">
        <v>3556</v>
      </c>
      <c r="AU62" s="8">
        <v>2019.0</v>
      </c>
      <c r="AV62" s="8">
        <v>49.0</v>
      </c>
      <c r="AW62" s="8">
        <v>2.0</v>
      </c>
      <c r="AX62" s="8" t="s">
        <v>2135</v>
      </c>
      <c r="AY62" s="8" t="s">
        <v>2135</v>
      </c>
      <c r="AZ62" s="8" t="s">
        <v>2135</v>
      </c>
      <c r="BA62" s="8" t="s">
        <v>2135</v>
      </c>
      <c r="BB62" s="8">
        <v>171.0</v>
      </c>
      <c r="BC62" s="8">
        <v>188.0</v>
      </c>
      <c r="BD62" s="8" t="s">
        <v>2135</v>
      </c>
      <c r="BE62" s="8" t="s">
        <v>4473</v>
      </c>
      <c r="BF62" s="13" t="str">
        <f>HYPERLINK("http://dx.doi.org/10.1111/mam.12150","http://dx.doi.org/10.1111/mam.12150")</f>
        <v>http://dx.doi.org/10.1111/mam.12150</v>
      </c>
      <c r="BG62" s="8" t="s">
        <v>2135</v>
      </c>
      <c r="BH62" s="8" t="s">
        <v>2135</v>
      </c>
      <c r="BI62" s="8">
        <v>18.0</v>
      </c>
      <c r="BJ62" s="8" t="s">
        <v>3442</v>
      </c>
      <c r="BK62" s="8" t="s">
        <v>3352</v>
      </c>
      <c r="BL62" s="8" t="s">
        <v>3443</v>
      </c>
      <c r="BM62" s="8" t="s">
        <v>4474</v>
      </c>
      <c r="BN62" s="8" t="s">
        <v>2135</v>
      </c>
      <c r="BO62" s="8" t="s">
        <v>4475</v>
      </c>
      <c r="BP62" s="8" t="s">
        <v>2135</v>
      </c>
      <c r="BQ62" s="8" t="s">
        <v>2135</v>
      </c>
      <c r="BR62" s="8" t="s">
        <v>3355</v>
      </c>
      <c r="BS62" s="8" t="s">
        <v>4476</v>
      </c>
      <c r="BT62" s="8" t="s">
        <v>2553</v>
      </c>
      <c r="BU62" s="8" t="s">
        <v>2142</v>
      </c>
      <c r="BW62" s="8" t="s">
        <v>2557</v>
      </c>
      <c r="BX62" s="8" t="s">
        <v>3050</v>
      </c>
      <c r="BY62" s="8" t="s">
        <v>3051</v>
      </c>
      <c r="BZ62" s="8" t="str">
        <f>HYPERLINK("https%3A%2F%2Fwww.webofscience.com%2Fwos%2Fwoscc%2Ffull-record%2FWOS:000460945200006","View Full Record in Web of Science")</f>
        <v>View Full Record in Web of Science</v>
      </c>
    </row>
    <row r="63" ht="12.75" customHeight="1">
      <c r="A63" s="8" t="s">
        <v>3329</v>
      </c>
      <c r="B63" s="8" t="s">
        <v>4477</v>
      </c>
      <c r="C63" s="8" t="s">
        <v>2135</v>
      </c>
      <c r="D63" s="8" t="s">
        <v>2135</v>
      </c>
      <c r="E63" s="8" t="s">
        <v>2135</v>
      </c>
      <c r="F63" s="8" t="s">
        <v>4477</v>
      </c>
      <c r="G63" s="8" t="s">
        <v>2135</v>
      </c>
      <c r="H63" s="8" t="s">
        <v>2135</v>
      </c>
      <c r="I63" s="8" t="s">
        <v>390</v>
      </c>
      <c r="J63" s="8" t="s">
        <v>3491</v>
      </c>
      <c r="K63" s="8" t="s">
        <v>2135</v>
      </c>
      <c r="L63" s="8" t="s">
        <v>2135</v>
      </c>
      <c r="M63" s="8" t="s">
        <v>3332</v>
      </c>
      <c r="N63" s="8" t="s">
        <v>3333</v>
      </c>
      <c r="O63" s="8" t="s">
        <v>2135</v>
      </c>
      <c r="P63" s="8" t="s">
        <v>2135</v>
      </c>
      <c r="Q63" s="8" t="s">
        <v>2135</v>
      </c>
      <c r="R63" s="8" t="s">
        <v>2135</v>
      </c>
      <c r="S63" s="8" t="s">
        <v>2135</v>
      </c>
      <c r="T63" s="8" t="s">
        <v>4478</v>
      </c>
      <c r="U63" s="8" t="s">
        <v>4479</v>
      </c>
      <c r="V63" s="8" t="s">
        <v>4480</v>
      </c>
      <c r="W63" s="8" t="s">
        <v>2135</v>
      </c>
      <c r="X63" s="8" t="s">
        <v>2135</v>
      </c>
      <c r="Y63" s="8" t="s">
        <v>4481</v>
      </c>
      <c r="Z63" s="8" t="s">
        <v>2135</v>
      </c>
      <c r="AA63" s="8" t="s">
        <v>2135</v>
      </c>
      <c r="AB63" s="8" t="s">
        <v>2135</v>
      </c>
      <c r="AC63" s="8" t="s">
        <v>2135</v>
      </c>
      <c r="AD63" s="8" t="s">
        <v>2135</v>
      </c>
      <c r="AE63" s="8" t="s">
        <v>2135</v>
      </c>
      <c r="AF63" s="8" t="s">
        <v>2135</v>
      </c>
      <c r="AG63" s="8">
        <v>27.0</v>
      </c>
      <c r="AH63" s="8">
        <v>26.0</v>
      </c>
      <c r="AI63" s="8">
        <v>28.0</v>
      </c>
      <c r="AJ63" s="8">
        <v>0.0</v>
      </c>
      <c r="AK63" s="8">
        <v>9.0</v>
      </c>
      <c r="AL63" s="8" t="s">
        <v>3505</v>
      </c>
      <c r="AM63" s="8" t="s">
        <v>3506</v>
      </c>
      <c r="AN63" s="8" t="s">
        <v>3507</v>
      </c>
      <c r="AO63" s="8" t="s">
        <v>3508</v>
      </c>
      <c r="AP63" s="8" t="s">
        <v>3509</v>
      </c>
      <c r="AQ63" s="8" t="s">
        <v>2135</v>
      </c>
      <c r="AR63" s="8" t="s">
        <v>3510</v>
      </c>
      <c r="AS63" s="8" t="s">
        <v>3511</v>
      </c>
      <c r="AT63" s="8" t="s">
        <v>2135</v>
      </c>
      <c r="AU63" s="8">
        <v>1991.0</v>
      </c>
      <c r="AV63" s="8">
        <v>36.0</v>
      </c>
      <c r="AW63" s="8" t="s">
        <v>4482</v>
      </c>
      <c r="AX63" s="8" t="s">
        <v>2135</v>
      </c>
      <c r="AY63" s="8" t="s">
        <v>2135</v>
      </c>
      <c r="AZ63" s="8" t="s">
        <v>2135</v>
      </c>
      <c r="BA63" s="8" t="s">
        <v>2135</v>
      </c>
      <c r="BB63" s="8">
        <v>153.0</v>
      </c>
      <c r="BC63" s="8">
        <v>161.0</v>
      </c>
      <c r="BD63" s="8" t="s">
        <v>2135</v>
      </c>
      <c r="BE63" s="8" t="s">
        <v>4483</v>
      </c>
      <c r="BF63" s="13" t="str">
        <f>HYPERLINK("http://dx.doi.org/10.4098/AT.arch.91-12","http://dx.doi.org/10.4098/AT.arch.91-12")</f>
        <v>http://dx.doi.org/10.4098/AT.arch.91-12</v>
      </c>
      <c r="BG63" s="8" t="s">
        <v>2135</v>
      </c>
      <c r="BH63" s="8" t="s">
        <v>2135</v>
      </c>
      <c r="BI63" s="8">
        <v>9.0</v>
      </c>
      <c r="BJ63" s="8" t="s">
        <v>3397</v>
      </c>
      <c r="BK63" s="8" t="s">
        <v>3352</v>
      </c>
      <c r="BL63" s="8" t="s">
        <v>3397</v>
      </c>
      <c r="BM63" s="8" t="s">
        <v>4484</v>
      </c>
      <c r="BN63" s="8" t="s">
        <v>2135</v>
      </c>
      <c r="BO63" s="8" t="s">
        <v>3560</v>
      </c>
      <c r="BP63" s="8" t="s">
        <v>2135</v>
      </c>
      <c r="BQ63" s="8" t="s">
        <v>2135</v>
      </c>
      <c r="BR63" s="8" t="s">
        <v>3355</v>
      </c>
      <c r="BS63" s="8" t="s">
        <v>4485</v>
      </c>
      <c r="BT63" s="8" t="s">
        <v>2163</v>
      </c>
      <c r="BU63" s="8" t="s">
        <v>2142</v>
      </c>
      <c r="BW63" s="8" t="s">
        <v>2143</v>
      </c>
      <c r="BX63" s="8" t="s">
        <v>3060</v>
      </c>
      <c r="BY63" s="8" t="s">
        <v>3061</v>
      </c>
      <c r="BZ63" s="8" t="str">
        <f>HYPERLINK("https%3A%2F%2Fwww.webofscience.com%2Fwos%2Fwoscc%2Ffull-record%2FWOS:A1991HD03300011","View Full Record in Web of Science")</f>
        <v>View Full Record in Web of Science</v>
      </c>
    </row>
    <row r="64" ht="12.75" customHeight="1">
      <c r="A64" s="8" t="s">
        <v>3329</v>
      </c>
      <c r="B64" s="8" t="s">
        <v>4486</v>
      </c>
      <c r="C64" s="8" t="s">
        <v>2135</v>
      </c>
      <c r="D64" s="8" t="s">
        <v>2135</v>
      </c>
      <c r="E64" s="8" t="s">
        <v>2135</v>
      </c>
      <c r="F64" s="8" t="s">
        <v>4487</v>
      </c>
      <c r="G64" s="8" t="s">
        <v>2135</v>
      </c>
      <c r="H64" s="8" t="s">
        <v>2135</v>
      </c>
      <c r="I64" s="8" t="s">
        <v>407</v>
      </c>
      <c r="J64" s="8" t="s">
        <v>4488</v>
      </c>
      <c r="K64" s="8" t="s">
        <v>2135</v>
      </c>
      <c r="L64" s="8" t="s">
        <v>2135</v>
      </c>
      <c r="M64" s="8" t="s">
        <v>3332</v>
      </c>
      <c r="N64" s="8" t="s">
        <v>3333</v>
      </c>
      <c r="O64" s="8" t="s">
        <v>2135</v>
      </c>
      <c r="P64" s="8" t="s">
        <v>2135</v>
      </c>
      <c r="Q64" s="8" t="s">
        <v>2135</v>
      </c>
      <c r="R64" s="8" t="s">
        <v>2135</v>
      </c>
      <c r="S64" s="8" t="s">
        <v>2135</v>
      </c>
      <c r="T64" s="8" t="s">
        <v>4489</v>
      </c>
      <c r="U64" s="8" t="s">
        <v>4490</v>
      </c>
      <c r="V64" s="8" t="s">
        <v>4491</v>
      </c>
      <c r="W64" s="8" t="s">
        <v>4492</v>
      </c>
      <c r="X64" s="8" t="s">
        <v>4493</v>
      </c>
      <c r="Y64" s="8" t="s">
        <v>4494</v>
      </c>
      <c r="Z64" s="8" t="s">
        <v>4495</v>
      </c>
      <c r="AA64" s="8" t="s">
        <v>4496</v>
      </c>
      <c r="AB64" s="8" t="s">
        <v>4497</v>
      </c>
      <c r="AC64" s="8" t="s">
        <v>4498</v>
      </c>
      <c r="AD64" s="8" t="s">
        <v>4498</v>
      </c>
      <c r="AE64" s="8" t="s">
        <v>4499</v>
      </c>
      <c r="AF64" s="8" t="s">
        <v>2135</v>
      </c>
      <c r="AG64" s="8">
        <v>60.0</v>
      </c>
      <c r="AH64" s="8">
        <v>11.0</v>
      </c>
      <c r="AI64" s="8">
        <v>15.0</v>
      </c>
      <c r="AJ64" s="8">
        <v>2.0</v>
      </c>
      <c r="AK64" s="8">
        <v>110.0</v>
      </c>
      <c r="AL64" s="8" t="s">
        <v>3479</v>
      </c>
      <c r="AM64" s="8" t="s">
        <v>4500</v>
      </c>
      <c r="AN64" s="8" t="s">
        <v>4501</v>
      </c>
      <c r="AO64" s="8" t="s">
        <v>4502</v>
      </c>
      <c r="AP64" s="8" t="s">
        <v>4503</v>
      </c>
      <c r="AQ64" s="8" t="s">
        <v>2135</v>
      </c>
      <c r="AR64" s="8" t="s">
        <v>4504</v>
      </c>
      <c r="AS64" s="8" t="s">
        <v>4505</v>
      </c>
      <c r="AT64" s="8" t="s">
        <v>3395</v>
      </c>
      <c r="AU64" s="8">
        <v>2015.0</v>
      </c>
      <c r="AV64" s="8">
        <v>30.0</v>
      </c>
      <c r="AW64" s="8">
        <v>7.0</v>
      </c>
      <c r="AX64" s="8" t="s">
        <v>2135</v>
      </c>
      <c r="AY64" s="8" t="s">
        <v>2135</v>
      </c>
      <c r="AZ64" s="8" t="s">
        <v>2135</v>
      </c>
      <c r="BA64" s="8" t="s">
        <v>2135</v>
      </c>
      <c r="BB64" s="8">
        <v>1257.0</v>
      </c>
      <c r="BC64" s="8">
        <v>1271.0</v>
      </c>
      <c r="BD64" s="8" t="s">
        <v>2135</v>
      </c>
      <c r="BE64" s="8" t="s">
        <v>4506</v>
      </c>
      <c r="BF64" s="13" t="str">
        <f>HYPERLINK("http://dx.doi.org/10.1007/s10980-015-0177-5","http://dx.doi.org/10.1007/s10980-015-0177-5")</f>
        <v>http://dx.doi.org/10.1007/s10980-015-0177-5</v>
      </c>
      <c r="BG64" s="8" t="s">
        <v>2135</v>
      </c>
      <c r="BH64" s="8" t="s">
        <v>2135</v>
      </c>
      <c r="BI64" s="8">
        <v>15.0</v>
      </c>
      <c r="BJ64" s="8" t="s">
        <v>4507</v>
      </c>
      <c r="BK64" s="8" t="s">
        <v>3352</v>
      </c>
      <c r="BL64" s="8" t="s">
        <v>4508</v>
      </c>
      <c r="BM64" s="8" t="s">
        <v>4509</v>
      </c>
      <c r="BN64" s="8" t="s">
        <v>2135</v>
      </c>
      <c r="BO64" s="8" t="s">
        <v>2135</v>
      </c>
      <c r="BP64" s="8" t="s">
        <v>2135</v>
      </c>
      <c r="BQ64" s="8" t="s">
        <v>2135</v>
      </c>
      <c r="BR64" s="8" t="s">
        <v>3355</v>
      </c>
      <c r="BS64" s="8" t="s">
        <v>4510</v>
      </c>
      <c r="BT64" s="8" t="s">
        <v>2600</v>
      </c>
      <c r="BU64" s="8" t="s">
        <v>2147</v>
      </c>
      <c r="BV64" s="8" t="s">
        <v>2217</v>
      </c>
      <c r="BW64" s="8" t="s">
        <v>2224</v>
      </c>
      <c r="BX64" s="8" t="s">
        <v>3123</v>
      </c>
      <c r="BY64" s="8" t="s">
        <v>2980</v>
      </c>
      <c r="BZ64" s="8" t="str">
        <f>HYPERLINK("https%3A%2F%2Fwww.webofscience.com%2Fwos%2Fwoscc%2Ffull-record%2FWOS:000357293800008","View Full Record in Web of Science")</f>
        <v>View Full Record in Web of Science</v>
      </c>
    </row>
    <row r="65" ht="12.75" customHeight="1">
      <c r="A65" s="8" t="s">
        <v>3329</v>
      </c>
      <c r="B65" s="8" t="s">
        <v>4511</v>
      </c>
      <c r="C65" s="8" t="s">
        <v>2135</v>
      </c>
      <c r="D65" s="8" t="s">
        <v>2135</v>
      </c>
      <c r="E65" s="8" t="s">
        <v>2135</v>
      </c>
      <c r="F65" s="8" t="s">
        <v>4512</v>
      </c>
      <c r="G65" s="8" t="s">
        <v>2135</v>
      </c>
      <c r="H65" s="8" t="s">
        <v>2135</v>
      </c>
      <c r="I65" s="8" t="s">
        <v>405</v>
      </c>
      <c r="J65" s="8" t="s">
        <v>4513</v>
      </c>
      <c r="K65" s="8" t="s">
        <v>2135</v>
      </c>
      <c r="L65" s="8" t="s">
        <v>2135</v>
      </c>
      <c r="M65" s="8" t="s">
        <v>3332</v>
      </c>
      <c r="N65" s="8" t="s">
        <v>3333</v>
      </c>
      <c r="O65" s="8" t="s">
        <v>2135</v>
      </c>
      <c r="P65" s="8" t="s">
        <v>2135</v>
      </c>
      <c r="Q65" s="8" t="s">
        <v>2135</v>
      </c>
      <c r="R65" s="8" t="s">
        <v>2135</v>
      </c>
      <c r="S65" s="8" t="s">
        <v>2135</v>
      </c>
      <c r="T65" s="8" t="s">
        <v>4514</v>
      </c>
      <c r="U65" s="8" t="s">
        <v>4515</v>
      </c>
      <c r="V65" s="8" t="s">
        <v>4516</v>
      </c>
      <c r="W65" s="8" t="s">
        <v>4517</v>
      </c>
      <c r="X65" s="8" t="s">
        <v>2135</v>
      </c>
      <c r="Y65" s="8" t="s">
        <v>4518</v>
      </c>
      <c r="Z65" s="8" t="s">
        <v>4519</v>
      </c>
      <c r="AA65" s="8" t="s">
        <v>2135</v>
      </c>
      <c r="AB65" s="8" t="s">
        <v>2135</v>
      </c>
      <c r="AC65" s="8" t="s">
        <v>4520</v>
      </c>
      <c r="AD65" s="8" t="s">
        <v>4520</v>
      </c>
      <c r="AE65" s="8" t="s">
        <v>4521</v>
      </c>
      <c r="AF65" s="8" t="s">
        <v>2135</v>
      </c>
      <c r="AG65" s="8">
        <v>48.0</v>
      </c>
      <c r="AH65" s="8">
        <v>18.0</v>
      </c>
      <c r="AI65" s="8">
        <v>21.0</v>
      </c>
      <c r="AJ65" s="8">
        <v>0.0</v>
      </c>
      <c r="AK65" s="8">
        <v>41.0</v>
      </c>
      <c r="AL65" s="8" t="s">
        <v>4394</v>
      </c>
      <c r="AM65" s="8" t="s">
        <v>3367</v>
      </c>
      <c r="AN65" s="8" t="s">
        <v>4395</v>
      </c>
      <c r="AO65" s="8" t="s">
        <v>4522</v>
      </c>
      <c r="AP65" s="8" t="s">
        <v>4523</v>
      </c>
      <c r="AQ65" s="8" t="s">
        <v>2135</v>
      </c>
      <c r="AR65" s="8" t="s">
        <v>4524</v>
      </c>
      <c r="AS65" s="8" t="s">
        <v>4525</v>
      </c>
      <c r="AT65" s="8" t="s">
        <v>3653</v>
      </c>
      <c r="AU65" s="8">
        <v>2009.0</v>
      </c>
      <c r="AV65" s="8">
        <v>257.0</v>
      </c>
      <c r="AW65" s="8">
        <v>9.0</v>
      </c>
      <c r="AX65" s="8" t="s">
        <v>2135</v>
      </c>
      <c r="AY65" s="8" t="s">
        <v>2135</v>
      </c>
      <c r="AZ65" s="8" t="s">
        <v>2135</v>
      </c>
      <c r="BA65" s="8" t="s">
        <v>2135</v>
      </c>
      <c r="BB65" s="8">
        <v>1976.0</v>
      </c>
      <c r="BC65" s="8">
        <v>1985.0</v>
      </c>
      <c r="BD65" s="8" t="s">
        <v>2135</v>
      </c>
      <c r="BE65" s="8" t="s">
        <v>4526</v>
      </c>
      <c r="BF65" s="13" t="str">
        <f>HYPERLINK("http://dx.doi.org/10.1016/j.foreco.2009.02.013","http://dx.doi.org/10.1016/j.foreco.2009.02.013")</f>
        <v>http://dx.doi.org/10.1016/j.foreco.2009.02.013</v>
      </c>
      <c r="BG65" s="8" t="s">
        <v>2135</v>
      </c>
      <c r="BH65" s="8" t="s">
        <v>2135</v>
      </c>
      <c r="BI65" s="8">
        <v>10.0</v>
      </c>
      <c r="BJ65" s="8" t="s">
        <v>3423</v>
      </c>
      <c r="BK65" s="8" t="s">
        <v>3352</v>
      </c>
      <c r="BL65" s="8" t="s">
        <v>3423</v>
      </c>
      <c r="BM65" s="8" t="s">
        <v>4527</v>
      </c>
      <c r="BN65" s="8" t="s">
        <v>2135</v>
      </c>
      <c r="BO65" s="8" t="s">
        <v>2135</v>
      </c>
      <c r="BP65" s="8" t="s">
        <v>2135</v>
      </c>
      <c r="BQ65" s="8" t="s">
        <v>2135</v>
      </c>
      <c r="BR65" s="8" t="s">
        <v>3355</v>
      </c>
      <c r="BS65" s="8" t="s">
        <v>4528</v>
      </c>
      <c r="BT65" s="8" t="s">
        <v>2216</v>
      </c>
      <c r="BU65" s="8" t="s">
        <v>2147</v>
      </c>
      <c r="BV65" s="8" t="s">
        <v>2217</v>
      </c>
      <c r="BW65" s="8" t="s">
        <v>2221</v>
      </c>
      <c r="BX65" s="8" t="s">
        <v>3123</v>
      </c>
      <c r="BY65" s="8" t="s">
        <v>2980</v>
      </c>
      <c r="BZ65" s="8" t="str">
        <f>HYPERLINK("https%3A%2F%2Fwww.webofscience.com%2Fwos%2Fwoscc%2Ffull-record%2FWOS:000265572100014","View Full Record in Web of Science")</f>
        <v>View Full Record in Web of Science</v>
      </c>
    </row>
    <row r="66" ht="12.75" customHeight="1">
      <c r="A66" s="8" t="s">
        <v>3329</v>
      </c>
      <c r="B66" s="8" t="s">
        <v>4529</v>
      </c>
      <c r="C66" s="8" t="s">
        <v>2135</v>
      </c>
      <c r="D66" s="8" t="s">
        <v>2135</v>
      </c>
      <c r="E66" s="8" t="s">
        <v>2135</v>
      </c>
      <c r="F66" s="8" t="s">
        <v>4529</v>
      </c>
      <c r="G66" s="8" t="s">
        <v>2135</v>
      </c>
      <c r="H66" s="8" t="s">
        <v>2135</v>
      </c>
      <c r="I66" s="8" t="s">
        <v>403</v>
      </c>
      <c r="J66" s="8" t="s">
        <v>4530</v>
      </c>
      <c r="K66" s="8" t="s">
        <v>2135</v>
      </c>
      <c r="L66" s="8" t="s">
        <v>2135</v>
      </c>
      <c r="M66" s="8" t="s">
        <v>3332</v>
      </c>
      <c r="N66" s="8" t="s">
        <v>3333</v>
      </c>
      <c r="O66" s="8" t="s">
        <v>2135</v>
      </c>
      <c r="P66" s="8" t="s">
        <v>2135</v>
      </c>
      <c r="Q66" s="8" t="s">
        <v>2135</v>
      </c>
      <c r="R66" s="8" t="s">
        <v>2135</v>
      </c>
      <c r="S66" s="8" t="s">
        <v>2135</v>
      </c>
      <c r="T66" s="8" t="s">
        <v>4531</v>
      </c>
      <c r="U66" s="8" t="s">
        <v>4532</v>
      </c>
      <c r="V66" s="8" t="s">
        <v>4533</v>
      </c>
      <c r="W66" s="8" t="s">
        <v>4534</v>
      </c>
      <c r="X66" s="8" t="s">
        <v>4535</v>
      </c>
      <c r="Y66" s="8" t="s">
        <v>4536</v>
      </c>
      <c r="Z66" s="8" t="s">
        <v>2135</v>
      </c>
      <c r="AA66" s="8" t="s">
        <v>2135</v>
      </c>
      <c r="AB66" s="8" t="s">
        <v>2135</v>
      </c>
      <c r="AC66" s="8" t="s">
        <v>2135</v>
      </c>
      <c r="AD66" s="8" t="s">
        <v>2135</v>
      </c>
      <c r="AE66" s="8" t="s">
        <v>2135</v>
      </c>
      <c r="AF66" s="8" t="s">
        <v>2135</v>
      </c>
      <c r="AG66" s="8">
        <v>45.0</v>
      </c>
      <c r="AH66" s="8">
        <v>9.0</v>
      </c>
      <c r="AI66" s="8">
        <v>14.0</v>
      </c>
      <c r="AJ66" s="8">
        <v>1.0</v>
      </c>
      <c r="AK66" s="8">
        <v>15.0</v>
      </c>
      <c r="AL66" s="8" t="s">
        <v>4537</v>
      </c>
      <c r="AM66" s="8" t="s">
        <v>4538</v>
      </c>
      <c r="AN66" s="8" t="s">
        <v>4539</v>
      </c>
      <c r="AO66" s="8" t="s">
        <v>4540</v>
      </c>
      <c r="AP66" s="8" t="s">
        <v>2135</v>
      </c>
      <c r="AQ66" s="8" t="s">
        <v>2135</v>
      </c>
      <c r="AR66" s="8" t="s">
        <v>4541</v>
      </c>
      <c r="AS66" s="8" t="s">
        <v>4542</v>
      </c>
      <c r="AT66" s="8" t="s">
        <v>3556</v>
      </c>
      <c r="AU66" s="8">
        <v>2004.0</v>
      </c>
      <c r="AV66" s="8">
        <v>64.0</v>
      </c>
      <c r="AW66" s="8">
        <v>2.0</v>
      </c>
      <c r="AX66" s="8" t="s">
        <v>2135</v>
      </c>
      <c r="AY66" s="8" t="s">
        <v>2135</v>
      </c>
      <c r="AZ66" s="8" t="s">
        <v>2135</v>
      </c>
      <c r="BA66" s="8" t="s">
        <v>2135</v>
      </c>
      <c r="BB66" s="8">
        <v>184.0</v>
      </c>
      <c r="BC66" s="8">
        <v>192.0</v>
      </c>
      <c r="BD66" s="8" t="s">
        <v>2135</v>
      </c>
      <c r="BE66" s="8" t="s">
        <v>2135</v>
      </c>
      <c r="BF66" s="8" t="s">
        <v>2135</v>
      </c>
      <c r="BG66" s="8" t="s">
        <v>2135</v>
      </c>
      <c r="BH66" s="8" t="s">
        <v>2135</v>
      </c>
      <c r="BI66" s="8">
        <v>9.0</v>
      </c>
      <c r="BJ66" s="8" t="s">
        <v>3558</v>
      </c>
      <c r="BK66" s="8" t="s">
        <v>3352</v>
      </c>
      <c r="BL66" s="8" t="s">
        <v>3353</v>
      </c>
      <c r="BM66" s="8" t="s">
        <v>4543</v>
      </c>
      <c r="BN66" s="8" t="s">
        <v>2135</v>
      </c>
      <c r="BO66" s="8" t="s">
        <v>2135</v>
      </c>
      <c r="BP66" s="8" t="s">
        <v>2135</v>
      </c>
      <c r="BQ66" s="8" t="s">
        <v>2135</v>
      </c>
      <c r="BR66" s="8" t="s">
        <v>3355</v>
      </c>
      <c r="BS66" s="8" t="s">
        <v>4544</v>
      </c>
      <c r="BT66" s="8" t="s">
        <v>2600</v>
      </c>
      <c r="BU66" s="8" t="s">
        <v>2147</v>
      </c>
      <c r="BV66" s="8" t="s">
        <v>2217</v>
      </c>
      <c r="BW66" s="8" t="s">
        <v>2256</v>
      </c>
      <c r="BX66" s="8" t="s">
        <v>3152</v>
      </c>
      <c r="BY66" s="8" t="s">
        <v>2980</v>
      </c>
      <c r="BZ66" s="8" t="str">
        <f>HYPERLINK("https%3A%2F%2Fwww.webofscience.com%2Fwos%2Fwoscc%2Ffull-record%2FWOS:000221395500005","View Full Record in Web of Science")</f>
        <v>View Full Record in Web of Science</v>
      </c>
    </row>
    <row r="67" ht="12.75" customHeight="1">
      <c r="A67" s="8" t="s">
        <v>3329</v>
      </c>
      <c r="B67" s="8" t="s">
        <v>4545</v>
      </c>
      <c r="C67" s="8" t="s">
        <v>2135</v>
      </c>
      <c r="D67" s="8" t="s">
        <v>2135</v>
      </c>
      <c r="E67" s="8" t="s">
        <v>2135</v>
      </c>
      <c r="F67" s="8" t="s">
        <v>4545</v>
      </c>
      <c r="G67" s="8" t="s">
        <v>2135</v>
      </c>
      <c r="H67" s="8" t="s">
        <v>2135</v>
      </c>
      <c r="I67" s="8" t="s">
        <v>401</v>
      </c>
      <c r="J67" s="8" t="s">
        <v>4546</v>
      </c>
      <c r="K67" s="8" t="s">
        <v>2135</v>
      </c>
      <c r="L67" s="8" t="s">
        <v>2135</v>
      </c>
      <c r="M67" s="8" t="s">
        <v>3332</v>
      </c>
      <c r="N67" s="8" t="s">
        <v>3333</v>
      </c>
      <c r="O67" s="8" t="s">
        <v>2135</v>
      </c>
      <c r="P67" s="8" t="s">
        <v>2135</v>
      </c>
      <c r="Q67" s="8" t="s">
        <v>2135</v>
      </c>
      <c r="R67" s="8" t="s">
        <v>2135</v>
      </c>
      <c r="S67" s="8" t="s">
        <v>2135</v>
      </c>
      <c r="T67" s="8" t="s">
        <v>4547</v>
      </c>
      <c r="U67" s="8" t="s">
        <v>4548</v>
      </c>
      <c r="V67" s="8" t="s">
        <v>4549</v>
      </c>
      <c r="W67" s="8" t="s">
        <v>4550</v>
      </c>
      <c r="X67" s="8" t="s">
        <v>4551</v>
      </c>
      <c r="Y67" s="8" t="s">
        <v>4552</v>
      </c>
      <c r="Z67" s="8" t="s">
        <v>4553</v>
      </c>
      <c r="AA67" s="8" t="s">
        <v>2135</v>
      </c>
      <c r="AB67" s="8" t="s">
        <v>2135</v>
      </c>
      <c r="AC67" s="8" t="s">
        <v>2135</v>
      </c>
      <c r="AD67" s="8" t="s">
        <v>2135</v>
      </c>
      <c r="AE67" s="8" t="s">
        <v>2135</v>
      </c>
      <c r="AF67" s="8" t="s">
        <v>2135</v>
      </c>
      <c r="AG67" s="8">
        <v>21.0</v>
      </c>
      <c r="AH67" s="8">
        <v>56.0</v>
      </c>
      <c r="AI67" s="8">
        <v>73.0</v>
      </c>
      <c r="AJ67" s="8">
        <v>0.0</v>
      </c>
      <c r="AK67" s="8">
        <v>60.0</v>
      </c>
      <c r="AL67" s="8" t="s">
        <v>3342</v>
      </c>
      <c r="AM67" s="8" t="s">
        <v>3343</v>
      </c>
      <c r="AN67" s="8" t="s">
        <v>3344</v>
      </c>
      <c r="AO67" s="8" t="s">
        <v>4554</v>
      </c>
      <c r="AP67" s="8" t="s">
        <v>4555</v>
      </c>
      <c r="AQ67" s="8" t="s">
        <v>2135</v>
      </c>
      <c r="AR67" s="8" t="s">
        <v>4556</v>
      </c>
      <c r="AS67" s="8" t="s">
        <v>4557</v>
      </c>
      <c r="AT67" s="8" t="s">
        <v>3629</v>
      </c>
      <c r="AU67" s="8">
        <v>2003.0</v>
      </c>
      <c r="AV67" s="8">
        <v>19.0</v>
      </c>
      <c r="AW67" s="8">
        <v>1.0</v>
      </c>
      <c r="AX67" s="8" t="s">
        <v>2135</v>
      </c>
      <c r="AY67" s="8" t="s">
        <v>2135</v>
      </c>
      <c r="AZ67" s="8" t="s">
        <v>2135</v>
      </c>
      <c r="BA67" s="8" t="s">
        <v>2135</v>
      </c>
      <c r="BB67" s="8">
        <v>198.0</v>
      </c>
      <c r="BC67" s="8">
        <v>216.0</v>
      </c>
      <c r="BD67" s="8" t="s">
        <v>2135</v>
      </c>
      <c r="BE67" s="8" t="s">
        <v>4558</v>
      </c>
      <c r="BF67" s="13" t="str">
        <f>HYPERLINK("http://dx.doi.org/10.1111/j.1748-7692.2003.tb01102.x","http://dx.doi.org/10.1111/j.1748-7692.2003.tb01102.x")</f>
        <v>http://dx.doi.org/10.1111/j.1748-7692.2003.tb01102.x</v>
      </c>
      <c r="BG67" s="8" t="s">
        <v>2135</v>
      </c>
      <c r="BH67" s="8" t="s">
        <v>2135</v>
      </c>
      <c r="BI67" s="8">
        <v>19.0</v>
      </c>
      <c r="BJ67" s="8" t="s">
        <v>4559</v>
      </c>
      <c r="BK67" s="8" t="s">
        <v>3352</v>
      </c>
      <c r="BL67" s="8" t="s">
        <v>4559</v>
      </c>
      <c r="BM67" s="8" t="s">
        <v>4560</v>
      </c>
      <c r="BN67" s="8" t="s">
        <v>2135</v>
      </c>
      <c r="BO67" s="8" t="s">
        <v>2135</v>
      </c>
      <c r="BP67" s="8" t="s">
        <v>2135</v>
      </c>
      <c r="BQ67" s="8" t="s">
        <v>2135</v>
      </c>
      <c r="BR67" s="8" t="s">
        <v>3355</v>
      </c>
      <c r="BS67" s="8" t="s">
        <v>4561</v>
      </c>
      <c r="BT67" s="8" t="s">
        <v>2600</v>
      </c>
      <c r="BU67" s="8" t="s">
        <v>2147</v>
      </c>
      <c r="BV67" s="8" t="s">
        <v>2217</v>
      </c>
      <c r="BW67" s="8" t="s">
        <v>2237</v>
      </c>
      <c r="BX67" s="8" t="s">
        <v>2979</v>
      </c>
      <c r="BY67" s="8" t="s">
        <v>2980</v>
      </c>
      <c r="BZ67" s="8" t="str">
        <f>HYPERLINK("https%3A%2F%2Fwww.webofscience.com%2Fwos%2Fwoscc%2Ffull-record%2FWOS:000180198700014","View Full Record in Web of Science")</f>
        <v>View Full Record in Web of Science</v>
      </c>
    </row>
    <row r="68" ht="12.75" customHeight="1">
      <c r="A68" s="8" t="s">
        <v>3329</v>
      </c>
      <c r="B68" s="8" t="s">
        <v>4562</v>
      </c>
      <c r="C68" s="8" t="s">
        <v>2135</v>
      </c>
      <c r="D68" s="8" t="s">
        <v>2135</v>
      </c>
      <c r="E68" s="8" t="s">
        <v>2135</v>
      </c>
      <c r="F68" s="8" t="s">
        <v>4562</v>
      </c>
      <c r="G68" s="8" t="s">
        <v>2135</v>
      </c>
      <c r="H68" s="8" t="s">
        <v>2135</v>
      </c>
      <c r="I68" s="8" t="s">
        <v>399</v>
      </c>
      <c r="J68" s="8" t="s">
        <v>4563</v>
      </c>
      <c r="K68" s="8" t="s">
        <v>2135</v>
      </c>
      <c r="L68" s="8" t="s">
        <v>2135</v>
      </c>
      <c r="M68" s="8" t="s">
        <v>3332</v>
      </c>
      <c r="N68" s="8" t="s">
        <v>3333</v>
      </c>
      <c r="O68" s="8" t="s">
        <v>2135</v>
      </c>
      <c r="P68" s="8" t="s">
        <v>2135</v>
      </c>
      <c r="Q68" s="8" t="s">
        <v>2135</v>
      </c>
      <c r="R68" s="8" t="s">
        <v>2135</v>
      </c>
      <c r="S68" s="8" t="s">
        <v>2135</v>
      </c>
      <c r="T68" s="8" t="s">
        <v>2135</v>
      </c>
      <c r="U68" s="8" t="s">
        <v>4564</v>
      </c>
      <c r="V68" s="8" t="s">
        <v>4565</v>
      </c>
      <c r="W68" s="8" t="s">
        <v>4566</v>
      </c>
      <c r="X68" s="8" t="s">
        <v>4567</v>
      </c>
      <c r="Y68" s="8" t="s">
        <v>2135</v>
      </c>
      <c r="Z68" s="8" t="s">
        <v>2135</v>
      </c>
      <c r="AA68" s="8" t="s">
        <v>2135</v>
      </c>
      <c r="AB68" s="8" t="s">
        <v>2135</v>
      </c>
      <c r="AC68" s="8" t="s">
        <v>2135</v>
      </c>
      <c r="AD68" s="8" t="s">
        <v>2135</v>
      </c>
      <c r="AE68" s="8" t="s">
        <v>2135</v>
      </c>
      <c r="AF68" s="8" t="s">
        <v>2135</v>
      </c>
      <c r="AG68" s="8">
        <v>37.0</v>
      </c>
      <c r="AH68" s="8">
        <v>34.0</v>
      </c>
      <c r="AI68" s="8">
        <v>42.0</v>
      </c>
      <c r="AJ68" s="8">
        <v>0.0</v>
      </c>
      <c r="AK68" s="8">
        <v>12.0</v>
      </c>
      <c r="AL68" s="8" t="s">
        <v>4568</v>
      </c>
      <c r="AM68" s="8" t="s">
        <v>3844</v>
      </c>
      <c r="AN68" s="8" t="s">
        <v>4569</v>
      </c>
      <c r="AO68" s="8" t="s">
        <v>3846</v>
      </c>
      <c r="AP68" s="8" t="s">
        <v>2135</v>
      </c>
      <c r="AQ68" s="8" t="s">
        <v>2135</v>
      </c>
      <c r="AR68" s="8" t="s">
        <v>3848</v>
      </c>
      <c r="AS68" s="8" t="s">
        <v>4570</v>
      </c>
      <c r="AT68" s="8" t="s">
        <v>3440</v>
      </c>
      <c r="AU68" s="8">
        <v>1995.0</v>
      </c>
      <c r="AV68" s="8">
        <v>73.0</v>
      </c>
      <c r="AW68" s="8">
        <v>11.0</v>
      </c>
      <c r="AX68" s="8" t="s">
        <v>2135</v>
      </c>
      <c r="AY68" s="8" t="s">
        <v>2135</v>
      </c>
      <c r="AZ68" s="8" t="s">
        <v>2135</v>
      </c>
      <c r="BA68" s="8" t="s">
        <v>2135</v>
      </c>
      <c r="BB68" s="8">
        <v>2059.0</v>
      </c>
      <c r="BC68" s="8">
        <v>2064.0</v>
      </c>
      <c r="BD68" s="8" t="s">
        <v>2135</v>
      </c>
      <c r="BE68" s="8" t="s">
        <v>4571</v>
      </c>
      <c r="BF68" s="13" t="str">
        <f>HYPERLINK("http://dx.doi.org/10.1139/z95-242","http://dx.doi.org/10.1139/z95-242")</f>
        <v>http://dx.doi.org/10.1139/z95-242</v>
      </c>
      <c r="BG68" s="8" t="s">
        <v>2135</v>
      </c>
      <c r="BH68" s="8" t="s">
        <v>2135</v>
      </c>
      <c r="BI68" s="8">
        <v>6.0</v>
      </c>
      <c r="BJ68" s="8" t="s">
        <v>3397</v>
      </c>
      <c r="BK68" s="8" t="s">
        <v>3352</v>
      </c>
      <c r="BL68" s="8" t="s">
        <v>3397</v>
      </c>
      <c r="BM68" s="8" t="s">
        <v>4572</v>
      </c>
      <c r="BN68" s="8" t="s">
        <v>2135</v>
      </c>
      <c r="BO68" s="8" t="s">
        <v>2135</v>
      </c>
      <c r="BP68" s="8" t="s">
        <v>2135</v>
      </c>
      <c r="BQ68" s="8" t="s">
        <v>2135</v>
      </c>
      <c r="BR68" s="8" t="s">
        <v>3355</v>
      </c>
      <c r="BS68" s="8" t="s">
        <v>4573</v>
      </c>
      <c r="BT68" s="8" t="s">
        <v>2216</v>
      </c>
      <c r="BU68" s="8" t="s">
        <v>2147</v>
      </c>
      <c r="BV68" s="8" t="s">
        <v>2217</v>
      </c>
      <c r="BW68" s="8" t="s">
        <v>2221</v>
      </c>
      <c r="BX68" s="8" t="s">
        <v>2971</v>
      </c>
      <c r="BY68" s="8" t="s">
        <v>2980</v>
      </c>
      <c r="BZ68" s="8" t="str">
        <f>HYPERLINK("https%3A%2F%2Fwww.webofscience.com%2Fwos%2Fwoscc%2Ffull-record%2FWOS:A1995TQ06300011","View Full Record in Web of Science")</f>
        <v>View Full Record in Web of Science</v>
      </c>
    </row>
    <row r="69" ht="12.75" customHeight="1">
      <c r="A69" s="8" t="s">
        <v>3329</v>
      </c>
      <c r="B69" s="8" t="s">
        <v>4574</v>
      </c>
      <c r="C69" s="8" t="s">
        <v>2135</v>
      </c>
      <c r="D69" s="8" t="s">
        <v>2135</v>
      </c>
      <c r="E69" s="8" t="s">
        <v>2135</v>
      </c>
      <c r="F69" s="8" t="s">
        <v>4574</v>
      </c>
      <c r="G69" s="8" t="s">
        <v>2135</v>
      </c>
      <c r="H69" s="8" t="s">
        <v>2135</v>
      </c>
      <c r="I69" s="8" t="s">
        <v>397</v>
      </c>
      <c r="J69" s="8" t="s">
        <v>4140</v>
      </c>
      <c r="K69" s="8" t="s">
        <v>2135</v>
      </c>
      <c r="L69" s="8" t="s">
        <v>2135</v>
      </c>
      <c r="M69" s="8" t="s">
        <v>3332</v>
      </c>
      <c r="N69" s="8" t="s">
        <v>3333</v>
      </c>
      <c r="O69" s="8" t="s">
        <v>2135</v>
      </c>
      <c r="P69" s="8" t="s">
        <v>2135</v>
      </c>
      <c r="Q69" s="8" t="s">
        <v>2135</v>
      </c>
      <c r="R69" s="8" t="s">
        <v>2135</v>
      </c>
      <c r="S69" s="8" t="s">
        <v>2135</v>
      </c>
      <c r="T69" s="8" t="s">
        <v>2135</v>
      </c>
      <c r="U69" s="8" t="s">
        <v>2135</v>
      </c>
      <c r="V69" s="8" t="s">
        <v>4575</v>
      </c>
      <c r="W69" s="8" t="s">
        <v>2135</v>
      </c>
      <c r="X69" s="8" t="s">
        <v>2135</v>
      </c>
      <c r="Y69" s="8" t="s">
        <v>4576</v>
      </c>
      <c r="Z69" s="8" t="s">
        <v>2135</v>
      </c>
      <c r="AA69" s="8" t="s">
        <v>2135</v>
      </c>
      <c r="AB69" s="8" t="s">
        <v>2135</v>
      </c>
      <c r="AC69" s="8" t="s">
        <v>2135</v>
      </c>
      <c r="AD69" s="8" t="s">
        <v>2135</v>
      </c>
      <c r="AE69" s="8" t="s">
        <v>2135</v>
      </c>
      <c r="AF69" s="8" t="s">
        <v>2135</v>
      </c>
      <c r="AG69" s="8">
        <v>29.0</v>
      </c>
      <c r="AH69" s="8">
        <v>28.0</v>
      </c>
      <c r="AI69" s="8">
        <v>30.0</v>
      </c>
      <c r="AJ69" s="8">
        <v>0.0</v>
      </c>
      <c r="AK69" s="8">
        <v>20.0</v>
      </c>
      <c r="AL69" s="8" t="s">
        <v>4146</v>
      </c>
      <c r="AM69" s="8" t="s">
        <v>4147</v>
      </c>
      <c r="AN69" s="8" t="s">
        <v>4148</v>
      </c>
      <c r="AO69" s="8" t="s">
        <v>4149</v>
      </c>
      <c r="AP69" s="8" t="s">
        <v>2135</v>
      </c>
      <c r="AQ69" s="8" t="s">
        <v>2135</v>
      </c>
      <c r="AR69" s="8" t="s">
        <v>4150</v>
      </c>
      <c r="AS69" s="8" t="s">
        <v>4151</v>
      </c>
      <c r="AT69" s="8" t="s">
        <v>2135</v>
      </c>
      <c r="AU69" s="8">
        <v>1995.0</v>
      </c>
      <c r="AV69" s="8">
        <v>32.0</v>
      </c>
      <c r="AW69" s="8">
        <v>2.0</v>
      </c>
      <c r="AX69" s="8" t="s">
        <v>2135</v>
      </c>
      <c r="AY69" s="8" t="s">
        <v>2135</v>
      </c>
      <c r="AZ69" s="8" t="s">
        <v>2135</v>
      </c>
      <c r="BA69" s="8" t="s">
        <v>2135</v>
      </c>
      <c r="BB69" s="8">
        <v>183.0</v>
      </c>
      <c r="BC69" s="8">
        <v>191.0</v>
      </c>
      <c r="BD69" s="8" t="s">
        <v>2135</v>
      </c>
      <c r="BE69" s="8" t="s">
        <v>2135</v>
      </c>
      <c r="BF69" s="8" t="s">
        <v>2135</v>
      </c>
      <c r="BG69" s="8" t="s">
        <v>2135</v>
      </c>
      <c r="BH69" s="8" t="s">
        <v>2135</v>
      </c>
      <c r="BI69" s="8">
        <v>9.0</v>
      </c>
      <c r="BJ69" s="8" t="s">
        <v>3442</v>
      </c>
      <c r="BK69" s="8" t="s">
        <v>3352</v>
      </c>
      <c r="BL69" s="8" t="s">
        <v>3443</v>
      </c>
      <c r="BM69" s="8" t="s">
        <v>4577</v>
      </c>
      <c r="BN69" s="8" t="s">
        <v>2135</v>
      </c>
      <c r="BO69" s="8" t="s">
        <v>2135</v>
      </c>
      <c r="BP69" s="8" t="s">
        <v>2135</v>
      </c>
      <c r="BQ69" s="8" t="s">
        <v>2135</v>
      </c>
      <c r="BR69" s="8" t="s">
        <v>3355</v>
      </c>
      <c r="BS69" s="8" t="s">
        <v>4578</v>
      </c>
      <c r="BT69" s="8" t="s">
        <v>2318</v>
      </c>
      <c r="BU69" s="8" t="s">
        <v>2142</v>
      </c>
      <c r="BW69" s="8" t="s">
        <v>2311</v>
      </c>
      <c r="BX69" s="8" t="s">
        <v>3152</v>
      </c>
      <c r="BY69" s="8" t="s">
        <v>2980</v>
      </c>
      <c r="BZ69" s="8" t="str">
        <f>HYPERLINK("https%3A%2F%2Fwww.webofscience.com%2Fwos%2Fwoscc%2Ffull-record%2FWOS:A1995RR37700002","View Full Record in Web of Science")</f>
        <v>View Full Record in Web of Science</v>
      </c>
    </row>
    <row r="70" ht="12.75" customHeight="1">
      <c r="A70" s="8" t="s">
        <v>3329</v>
      </c>
      <c r="B70" s="8" t="s">
        <v>4579</v>
      </c>
      <c r="C70" s="8" t="s">
        <v>2135</v>
      </c>
      <c r="D70" s="8" t="s">
        <v>2135</v>
      </c>
      <c r="E70" s="8" t="s">
        <v>2135</v>
      </c>
      <c r="F70" s="8" t="s">
        <v>4579</v>
      </c>
      <c r="G70" s="8" t="s">
        <v>2135</v>
      </c>
      <c r="H70" s="8" t="s">
        <v>2135</v>
      </c>
      <c r="I70" s="8" t="s">
        <v>395</v>
      </c>
      <c r="J70" s="8" t="s">
        <v>3747</v>
      </c>
      <c r="K70" s="8" t="s">
        <v>2135</v>
      </c>
      <c r="L70" s="8" t="s">
        <v>2135</v>
      </c>
      <c r="M70" s="8" t="s">
        <v>3332</v>
      </c>
      <c r="N70" s="8" t="s">
        <v>3333</v>
      </c>
      <c r="O70" s="8" t="s">
        <v>2135</v>
      </c>
      <c r="P70" s="8" t="s">
        <v>2135</v>
      </c>
      <c r="Q70" s="8" t="s">
        <v>2135</v>
      </c>
      <c r="R70" s="8" t="s">
        <v>2135</v>
      </c>
      <c r="S70" s="8" t="s">
        <v>2135</v>
      </c>
      <c r="T70" s="8" t="s">
        <v>2135</v>
      </c>
      <c r="U70" s="8" t="s">
        <v>2135</v>
      </c>
      <c r="V70" s="8" t="s">
        <v>4580</v>
      </c>
      <c r="W70" s="8" t="s">
        <v>4581</v>
      </c>
      <c r="X70" s="8" t="s">
        <v>2135</v>
      </c>
      <c r="Y70" s="8" t="s">
        <v>2135</v>
      </c>
      <c r="Z70" s="8" t="s">
        <v>2135</v>
      </c>
      <c r="AA70" s="8" t="s">
        <v>4582</v>
      </c>
      <c r="AB70" s="8" t="s">
        <v>2135</v>
      </c>
      <c r="AC70" s="8" t="s">
        <v>2135</v>
      </c>
      <c r="AD70" s="8" t="s">
        <v>2135</v>
      </c>
      <c r="AE70" s="8" t="s">
        <v>2135</v>
      </c>
      <c r="AF70" s="8" t="s">
        <v>2135</v>
      </c>
      <c r="AG70" s="8">
        <v>23.0</v>
      </c>
      <c r="AH70" s="8">
        <v>19.0</v>
      </c>
      <c r="AI70" s="8">
        <v>28.0</v>
      </c>
      <c r="AJ70" s="8">
        <v>0.0</v>
      </c>
      <c r="AK70" s="8">
        <v>9.0</v>
      </c>
      <c r="AL70" s="8" t="s">
        <v>3758</v>
      </c>
      <c r="AM70" s="8" t="s">
        <v>3893</v>
      </c>
      <c r="AN70" s="8" t="s">
        <v>3894</v>
      </c>
      <c r="AO70" s="8" t="s">
        <v>3761</v>
      </c>
      <c r="AP70" s="8" t="s">
        <v>3762</v>
      </c>
      <c r="AQ70" s="8" t="s">
        <v>2135</v>
      </c>
      <c r="AR70" s="8" t="s">
        <v>3763</v>
      </c>
      <c r="AS70" s="8" t="s">
        <v>3764</v>
      </c>
      <c r="AT70" s="8" t="s">
        <v>2135</v>
      </c>
      <c r="AU70" s="8">
        <v>1986.0</v>
      </c>
      <c r="AV70" s="8">
        <v>38.0</v>
      </c>
      <c r="AW70" s="8">
        <v>4.0</v>
      </c>
      <c r="AX70" s="8" t="s">
        <v>2135</v>
      </c>
      <c r="AY70" s="8" t="s">
        <v>2135</v>
      </c>
      <c r="AZ70" s="8" t="s">
        <v>2135</v>
      </c>
      <c r="BA70" s="8" t="s">
        <v>2135</v>
      </c>
      <c r="BB70" s="8">
        <v>293.0</v>
      </c>
      <c r="BC70" s="8">
        <v>304.0</v>
      </c>
      <c r="BD70" s="8" t="s">
        <v>2135</v>
      </c>
      <c r="BE70" s="8" t="s">
        <v>4583</v>
      </c>
      <c r="BF70" s="13" t="str">
        <f>HYPERLINK("http://dx.doi.org/10.1016/0006-3207(86)90056-X","http://dx.doi.org/10.1016/0006-3207(86)90056-X")</f>
        <v>http://dx.doi.org/10.1016/0006-3207(86)90056-X</v>
      </c>
      <c r="BG70" s="8" t="s">
        <v>2135</v>
      </c>
      <c r="BH70" s="8" t="s">
        <v>2135</v>
      </c>
      <c r="BI70" s="8">
        <v>12.0</v>
      </c>
      <c r="BJ70" s="8" t="s">
        <v>3351</v>
      </c>
      <c r="BK70" s="8" t="s">
        <v>3352</v>
      </c>
      <c r="BL70" s="8" t="s">
        <v>3353</v>
      </c>
      <c r="BM70" s="8" t="s">
        <v>4584</v>
      </c>
      <c r="BN70" s="8" t="s">
        <v>2135</v>
      </c>
      <c r="BO70" s="8" t="s">
        <v>2135</v>
      </c>
      <c r="BP70" s="8" t="s">
        <v>2135</v>
      </c>
      <c r="BQ70" s="8" t="s">
        <v>2135</v>
      </c>
      <c r="BR70" s="8" t="s">
        <v>3355</v>
      </c>
      <c r="BS70" s="8" t="s">
        <v>4585</v>
      </c>
      <c r="BT70" s="8" t="s">
        <v>2146</v>
      </c>
      <c r="BU70" s="8" t="s">
        <v>2147</v>
      </c>
      <c r="BW70" s="8" t="s">
        <v>2148</v>
      </c>
      <c r="BX70" s="8" t="s">
        <v>3043</v>
      </c>
      <c r="BY70" s="8" t="s">
        <v>2980</v>
      </c>
      <c r="BZ70" s="8" t="str">
        <f>HYPERLINK("https%3A%2F%2Fwww.webofscience.com%2Fwos%2Fwoscc%2Ffull-record%2FWOS:A1986F558400001","View Full Record in Web of Science")</f>
        <v>View Full Record in Web of Science</v>
      </c>
    </row>
    <row r="71" ht="12.75" customHeight="1">
      <c r="A71" s="8" t="s">
        <v>3329</v>
      </c>
      <c r="B71" s="8" t="s">
        <v>4586</v>
      </c>
      <c r="C71" s="8" t="s">
        <v>2135</v>
      </c>
      <c r="D71" s="8" t="s">
        <v>2135</v>
      </c>
      <c r="E71" s="8" t="s">
        <v>2135</v>
      </c>
      <c r="F71" s="8" t="s">
        <v>4587</v>
      </c>
      <c r="G71" s="8" t="s">
        <v>2135</v>
      </c>
      <c r="H71" s="8" t="s">
        <v>2135</v>
      </c>
      <c r="I71" s="8" t="s">
        <v>416</v>
      </c>
      <c r="J71" s="8" t="s">
        <v>3989</v>
      </c>
      <c r="K71" s="8" t="s">
        <v>2135</v>
      </c>
      <c r="L71" s="8" t="s">
        <v>2135</v>
      </c>
      <c r="M71" s="8" t="s">
        <v>3332</v>
      </c>
      <c r="N71" s="8" t="s">
        <v>3333</v>
      </c>
      <c r="O71" s="8" t="s">
        <v>2135</v>
      </c>
      <c r="P71" s="8" t="s">
        <v>2135</v>
      </c>
      <c r="Q71" s="8" t="s">
        <v>2135</v>
      </c>
      <c r="R71" s="8" t="s">
        <v>2135</v>
      </c>
      <c r="S71" s="8" t="s">
        <v>2135</v>
      </c>
      <c r="T71" s="8" t="s">
        <v>4588</v>
      </c>
      <c r="U71" s="8" t="s">
        <v>4589</v>
      </c>
      <c r="V71" s="8" t="s">
        <v>4590</v>
      </c>
      <c r="W71" s="8" t="s">
        <v>4591</v>
      </c>
      <c r="X71" s="8" t="s">
        <v>4592</v>
      </c>
      <c r="Y71" s="8" t="s">
        <v>4593</v>
      </c>
      <c r="Z71" s="8" t="s">
        <v>4594</v>
      </c>
      <c r="AA71" s="8" t="s">
        <v>4595</v>
      </c>
      <c r="AB71" s="8" t="s">
        <v>4596</v>
      </c>
      <c r="AC71" s="8" t="s">
        <v>4597</v>
      </c>
      <c r="AD71" s="8" t="s">
        <v>4598</v>
      </c>
      <c r="AE71" s="8" t="s">
        <v>4599</v>
      </c>
      <c r="AF71" s="8" t="s">
        <v>2135</v>
      </c>
      <c r="AG71" s="8">
        <v>36.0</v>
      </c>
      <c r="AH71" s="8">
        <v>5.0</v>
      </c>
      <c r="AI71" s="8">
        <v>10.0</v>
      </c>
      <c r="AJ71" s="8">
        <v>0.0</v>
      </c>
      <c r="AK71" s="8">
        <v>37.0</v>
      </c>
      <c r="AL71" s="8" t="s">
        <v>3342</v>
      </c>
      <c r="AM71" s="8" t="s">
        <v>3343</v>
      </c>
      <c r="AN71" s="8" t="s">
        <v>3344</v>
      </c>
      <c r="AO71" s="8" t="s">
        <v>3999</v>
      </c>
      <c r="AP71" s="8" t="s">
        <v>4000</v>
      </c>
      <c r="AQ71" s="8" t="s">
        <v>2135</v>
      </c>
      <c r="AR71" s="8" t="s">
        <v>4001</v>
      </c>
      <c r="AS71" s="8" t="s">
        <v>4002</v>
      </c>
      <c r="AT71" s="8" t="s">
        <v>3721</v>
      </c>
      <c r="AU71" s="8">
        <v>2020.0</v>
      </c>
      <c r="AV71" s="8">
        <v>30.0</v>
      </c>
      <c r="AW71" s="8">
        <v>3.0</v>
      </c>
      <c r="AX71" s="8" t="s">
        <v>2135</v>
      </c>
      <c r="AY71" s="8" t="s">
        <v>2135</v>
      </c>
      <c r="AZ71" s="8" t="s">
        <v>2135</v>
      </c>
      <c r="BA71" s="8" t="s">
        <v>2135</v>
      </c>
      <c r="BB71" s="8">
        <v>601.0</v>
      </c>
      <c r="BC71" s="8">
        <v>610.0</v>
      </c>
      <c r="BD71" s="8" t="s">
        <v>2135</v>
      </c>
      <c r="BE71" s="8" t="s">
        <v>4600</v>
      </c>
      <c r="BF71" s="13" t="str">
        <f>HYPERLINK("http://dx.doi.org/10.1002/aqc.3284","http://dx.doi.org/10.1002/aqc.3284")</f>
        <v>http://dx.doi.org/10.1002/aqc.3284</v>
      </c>
      <c r="BG71" s="8" t="s">
        <v>2135</v>
      </c>
      <c r="BH71" s="8" t="s">
        <v>4601</v>
      </c>
      <c r="BI71" s="8">
        <v>10.0</v>
      </c>
      <c r="BJ71" s="8" t="s">
        <v>4004</v>
      </c>
      <c r="BK71" s="8" t="s">
        <v>3352</v>
      </c>
      <c r="BL71" s="8" t="s">
        <v>4005</v>
      </c>
      <c r="BM71" s="8" t="s">
        <v>4602</v>
      </c>
      <c r="BN71" s="8" t="s">
        <v>2135</v>
      </c>
      <c r="BO71" s="8" t="s">
        <v>2135</v>
      </c>
      <c r="BP71" s="8" t="s">
        <v>2135</v>
      </c>
      <c r="BQ71" s="8" t="s">
        <v>2135</v>
      </c>
      <c r="BR71" s="8" t="s">
        <v>3355</v>
      </c>
      <c r="BS71" s="8" t="s">
        <v>4603</v>
      </c>
      <c r="BT71" s="8" t="s">
        <v>2356</v>
      </c>
      <c r="BU71" s="8" t="s">
        <v>2283</v>
      </c>
      <c r="BV71" s="8" t="s">
        <v>2357</v>
      </c>
      <c r="BW71" s="8" t="s">
        <v>2297</v>
      </c>
      <c r="BX71" s="8" t="s">
        <v>3046</v>
      </c>
      <c r="BY71" s="8" t="s">
        <v>3047</v>
      </c>
      <c r="BZ71" s="8" t="str">
        <f>HYPERLINK("https%3A%2F%2Fwww.webofscience.com%2Fwos%2Fwoscc%2Ffull-record%2FWOS:000509475000001","View Full Record in Web of Science")</f>
        <v>View Full Record in Web of Science</v>
      </c>
    </row>
    <row r="72" ht="12.75" customHeight="1">
      <c r="A72" s="8" t="s">
        <v>3329</v>
      </c>
      <c r="B72" s="8" t="s">
        <v>4604</v>
      </c>
      <c r="C72" s="8" t="s">
        <v>2135</v>
      </c>
      <c r="D72" s="8" t="s">
        <v>2135</v>
      </c>
      <c r="E72" s="8" t="s">
        <v>2135</v>
      </c>
      <c r="F72" s="8" t="s">
        <v>4604</v>
      </c>
      <c r="G72" s="8" t="s">
        <v>2135</v>
      </c>
      <c r="H72" s="8" t="s">
        <v>2135</v>
      </c>
      <c r="I72" s="8" t="s">
        <v>418</v>
      </c>
      <c r="J72" s="8" t="s">
        <v>4140</v>
      </c>
      <c r="K72" s="8" t="s">
        <v>2135</v>
      </c>
      <c r="L72" s="8" t="s">
        <v>2135</v>
      </c>
      <c r="M72" s="8" t="s">
        <v>3332</v>
      </c>
      <c r="N72" s="8" t="s">
        <v>3963</v>
      </c>
      <c r="O72" s="8" t="s">
        <v>4141</v>
      </c>
      <c r="P72" s="8" t="s">
        <v>4142</v>
      </c>
      <c r="Q72" s="8" t="s">
        <v>4143</v>
      </c>
      <c r="R72" s="8" t="s">
        <v>2135</v>
      </c>
      <c r="S72" s="8" t="s">
        <v>2135</v>
      </c>
      <c r="T72" s="8" t="s">
        <v>2135</v>
      </c>
      <c r="U72" s="8" t="s">
        <v>2135</v>
      </c>
      <c r="V72" s="8" t="s">
        <v>4605</v>
      </c>
      <c r="W72" s="8" t="s">
        <v>4606</v>
      </c>
      <c r="X72" s="8" t="s">
        <v>4607</v>
      </c>
      <c r="Y72" s="8" t="s">
        <v>4608</v>
      </c>
      <c r="Z72" s="8" t="s">
        <v>2135</v>
      </c>
      <c r="AA72" s="8" t="s">
        <v>2135</v>
      </c>
      <c r="AB72" s="8" t="s">
        <v>2135</v>
      </c>
      <c r="AC72" s="8" t="s">
        <v>2135</v>
      </c>
      <c r="AD72" s="8" t="s">
        <v>2135</v>
      </c>
      <c r="AE72" s="8" t="s">
        <v>2135</v>
      </c>
      <c r="AF72" s="8" t="s">
        <v>2135</v>
      </c>
      <c r="AG72" s="8">
        <v>62.0</v>
      </c>
      <c r="AH72" s="8">
        <v>87.0</v>
      </c>
      <c r="AI72" s="8">
        <v>94.0</v>
      </c>
      <c r="AJ72" s="8">
        <v>0.0</v>
      </c>
      <c r="AK72" s="8">
        <v>45.0</v>
      </c>
      <c r="AL72" s="8" t="s">
        <v>4146</v>
      </c>
      <c r="AM72" s="8" t="s">
        <v>4147</v>
      </c>
      <c r="AN72" s="8" t="s">
        <v>4148</v>
      </c>
      <c r="AO72" s="8" t="s">
        <v>4149</v>
      </c>
      <c r="AP72" s="8" t="s">
        <v>2135</v>
      </c>
      <c r="AQ72" s="8" t="s">
        <v>2135</v>
      </c>
      <c r="AR72" s="8" t="s">
        <v>4150</v>
      </c>
      <c r="AS72" s="8" t="s">
        <v>4151</v>
      </c>
      <c r="AT72" s="8" t="s">
        <v>2135</v>
      </c>
      <c r="AU72" s="8">
        <v>1995.0</v>
      </c>
      <c r="AV72" s="8">
        <v>32.0</v>
      </c>
      <c r="AW72" s="8">
        <v>1.0</v>
      </c>
      <c r="AX72" s="8" t="s">
        <v>2135</v>
      </c>
      <c r="AY72" s="8" t="s">
        <v>2135</v>
      </c>
      <c r="AZ72" s="8" t="s">
        <v>2135</v>
      </c>
      <c r="BA72" s="8" t="s">
        <v>2135</v>
      </c>
      <c r="BB72" s="8">
        <v>47.0</v>
      </c>
      <c r="BC72" s="8">
        <v>54.0</v>
      </c>
      <c r="BD72" s="8" t="s">
        <v>2135</v>
      </c>
      <c r="BE72" s="8" t="s">
        <v>2135</v>
      </c>
      <c r="BF72" s="8" t="s">
        <v>2135</v>
      </c>
      <c r="BG72" s="8" t="s">
        <v>2135</v>
      </c>
      <c r="BH72" s="8" t="s">
        <v>2135</v>
      </c>
      <c r="BI72" s="8">
        <v>8.0</v>
      </c>
      <c r="BJ72" s="8" t="s">
        <v>3442</v>
      </c>
      <c r="BK72" s="8" t="s">
        <v>3983</v>
      </c>
      <c r="BL72" s="8" t="s">
        <v>3443</v>
      </c>
      <c r="BM72" s="8" t="s">
        <v>4152</v>
      </c>
      <c r="BN72" s="8" t="s">
        <v>2135</v>
      </c>
      <c r="BO72" s="8" t="s">
        <v>2135</v>
      </c>
      <c r="BP72" s="8" t="s">
        <v>2135</v>
      </c>
      <c r="BQ72" s="8" t="s">
        <v>2135</v>
      </c>
      <c r="BR72" s="8" t="s">
        <v>3355</v>
      </c>
      <c r="BS72" s="8" t="s">
        <v>4609</v>
      </c>
      <c r="BU72" s="8" t="s">
        <v>2142</v>
      </c>
      <c r="BW72" s="8" t="s">
        <v>2168</v>
      </c>
      <c r="BX72" s="8" t="s">
        <v>3163</v>
      </c>
      <c r="BY72" s="8" t="s">
        <v>3164</v>
      </c>
      <c r="BZ72" s="8" t="str">
        <f>HYPERLINK("https%3A%2F%2Fwww.webofscience.com%2Fwos%2Fwoscc%2Ffull-record%2FWOS:A1995RB12100008","View Full Record in Web of Science")</f>
        <v>View Full Record in Web of Science</v>
      </c>
    </row>
    <row r="73" ht="12.75" customHeight="1">
      <c r="A73" s="8" t="s">
        <v>3329</v>
      </c>
      <c r="B73" s="8" t="s">
        <v>4610</v>
      </c>
      <c r="C73" s="8" t="s">
        <v>2135</v>
      </c>
      <c r="D73" s="8" t="s">
        <v>2135</v>
      </c>
      <c r="E73" s="8" t="s">
        <v>2135</v>
      </c>
      <c r="F73" s="8" t="s">
        <v>4611</v>
      </c>
      <c r="G73" s="8" t="s">
        <v>2135</v>
      </c>
      <c r="H73" s="8" t="s">
        <v>2135</v>
      </c>
      <c r="I73" s="8" t="s">
        <v>422</v>
      </c>
      <c r="J73" s="8" t="s">
        <v>4612</v>
      </c>
      <c r="K73" s="8" t="s">
        <v>2135</v>
      </c>
      <c r="L73" s="8" t="s">
        <v>2135</v>
      </c>
      <c r="M73" s="8" t="s">
        <v>3332</v>
      </c>
      <c r="N73" s="8" t="s">
        <v>3963</v>
      </c>
      <c r="O73" s="8" t="s">
        <v>4613</v>
      </c>
      <c r="P73" s="8" t="s">
        <v>4614</v>
      </c>
      <c r="Q73" s="8" t="s">
        <v>4615</v>
      </c>
      <c r="R73" s="8" t="s">
        <v>4616</v>
      </c>
      <c r="S73" s="8" t="s">
        <v>2135</v>
      </c>
      <c r="T73" s="8" t="s">
        <v>4617</v>
      </c>
      <c r="U73" s="8" t="s">
        <v>4618</v>
      </c>
      <c r="V73" s="8" t="s">
        <v>4619</v>
      </c>
      <c r="W73" s="8" t="s">
        <v>4620</v>
      </c>
      <c r="X73" s="8" t="s">
        <v>4621</v>
      </c>
      <c r="Y73" s="8" t="s">
        <v>4622</v>
      </c>
      <c r="Z73" s="8" t="s">
        <v>4623</v>
      </c>
      <c r="AA73" s="8" t="s">
        <v>4624</v>
      </c>
      <c r="AB73" s="8" t="s">
        <v>4625</v>
      </c>
      <c r="AC73" s="8" t="s">
        <v>2135</v>
      </c>
      <c r="AD73" s="8" t="s">
        <v>2135</v>
      </c>
      <c r="AE73" s="8" t="s">
        <v>2135</v>
      </c>
      <c r="AF73" s="8" t="s">
        <v>2135</v>
      </c>
      <c r="AG73" s="8">
        <v>67.0</v>
      </c>
      <c r="AH73" s="8">
        <v>59.0</v>
      </c>
      <c r="AI73" s="8">
        <v>67.0</v>
      </c>
      <c r="AJ73" s="8">
        <v>2.0</v>
      </c>
      <c r="AK73" s="8">
        <v>144.0</v>
      </c>
      <c r="AL73" s="8" t="s">
        <v>3479</v>
      </c>
      <c r="AM73" s="8" t="s">
        <v>4500</v>
      </c>
      <c r="AN73" s="8" t="s">
        <v>4501</v>
      </c>
      <c r="AO73" s="8" t="s">
        <v>4626</v>
      </c>
      <c r="AP73" s="8" t="s">
        <v>4627</v>
      </c>
      <c r="AQ73" s="8" t="s">
        <v>2135</v>
      </c>
      <c r="AR73" s="8" t="s">
        <v>4628</v>
      </c>
      <c r="AS73" s="8" t="s">
        <v>4629</v>
      </c>
      <c r="AT73" s="8" t="s">
        <v>3556</v>
      </c>
      <c r="AU73" s="8">
        <v>2010.0</v>
      </c>
      <c r="AV73" s="8">
        <v>11.0</v>
      </c>
      <c r="AW73" s="8">
        <v>2.0</v>
      </c>
      <c r="AX73" s="8" t="s">
        <v>2135</v>
      </c>
      <c r="AY73" s="8" t="s">
        <v>2135</v>
      </c>
      <c r="AZ73" s="8" t="s">
        <v>3421</v>
      </c>
      <c r="BA73" s="8" t="s">
        <v>2135</v>
      </c>
      <c r="BB73" s="8">
        <v>583.0</v>
      </c>
      <c r="BC73" s="8">
        <v>599.0</v>
      </c>
      <c r="BD73" s="8" t="s">
        <v>2135</v>
      </c>
      <c r="BE73" s="8" t="s">
        <v>4630</v>
      </c>
      <c r="BF73" s="13" t="str">
        <f>HYPERLINK("http://dx.doi.org/10.1007/s10592-010-0054-3","http://dx.doi.org/10.1007/s10592-010-0054-3")</f>
        <v>http://dx.doi.org/10.1007/s10592-010-0054-3</v>
      </c>
      <c r="BG73" s="8" t="s">
        <v>2135</v>
      </c>
      <c r="BH73" s="8" t="s">
        <v>2135</v>
      </c>
      <c r="BI73" s="8">
        <v>17.0</v>
      </c>
      <c r="BJ73" s="8" t="s">
        <v>4631</v>
      </c>
      <c r="BK73" s="8" t="s">
        <v>4418</v>
      </c>
      <c r="BL73" s="8" t="s">
        <v>4632</v>
      </c>
      <c r="BM73" s="8" t="s">
        <v>4633</v>
      </c>
      <c r="BN73" s="8" t="s">
        <v>2135</v>
      </c>
      <c r="BO73" s="8" t="s">
        <v>3425</v>
      </c>
      <c r="BP73" s="8" t="s">
        <v>2135</v>
      </c>
      <c r="BQ73" s="8" t="s">
        <v>2135</v>
      </c>
      <c r="BR73" s="8" t="s">
        <v>3355</v>
      </c>
      <c r="BS73" s="8" t="s">
        <v>4634</v>
      </c>
      <c r="BU73" s="8" t="s">
        <v>2142</v>
      </c>
      <c r="BW73" s="8" t="s">
        <v>2143</v>
      </c>
      <c r="BX73" s="8" t="s">
        <v>3062</v>
      </c>
      <c r="BY73" s="8" t="s">
        <v>3063</v>
      </c>
      <c r="BZ73" s="8" t="str">
        <f>HYPERLINK("https%3A%2F%2Fwww.webofscience.com%2Fwos%2Fwoscc%2Ffull-record%2FWOS:000275455700021","View Full Record in Web of Science")</f>
        <v>View Full Record in Web of Science</v>
      </c>
    </row>
    <row r="74" ht="12.75" customHeight="1">
      <c r="A74" s="8" t="s">
        <v>3329</v>
      </c>
      <c r="B74" s="8" t="s">
        <v>4635</v>
      </c>
      <c r="C74" s="8" t="s">
        <v>2135</v>
      </c>
      <c r="D74" s="8" t="s">
        <v>2135</v>
      </c>
      <c r="E74" s="8" t="s">
        <v>2135</v>
      </c>
      <c r="F74" s="8" t="s">
        <v>4636</v>
      </c>
      <c r="G74" s="8" t="s">
        <v>2135</v>
      </c>
      <c r="H74" s="8" t="s">
        <v>2135</v>
      </c>
      <c r="I74" s="8" t="s">
        <v>440</v>
      </c>
      <c r="J74" s="8" t="s">
        <v>4637</v>
      </c>
      <c r="K74" s="8" t="s">
        <v>2135</v>
      </c>
      <c r="L74" s="8" t="s">
        <v>2135</v>
      </c>
      <c r="M74" s="8" t="s">
        <v>3332</v>
      </c>
      <c r="N74" s="8" t="s">
        <v>3333</v>
      </c>
      <c r="O74" s="8" t="s">
        <v>2135</v>
      </c>
      <c r="P74" s="8" t="s">
        <v>2135</v>
      </c>
      <c r="Q74" s="8" t="s">
        <v>2135</v>
      </c>
      <c r="R74" s="8" t="s">
        <v>2135</v>
      </c>
      <c r="S74" s="8" t="s">
        <v>2135</v>
      </c>
      <c r="T74" s="8" t="s">
        <v>4638</v>
      </c>
      <c r="U74" s="8" t="s">
        <v>4639</v>
      </c>
      <c r="V74" s="8" t="s">
        <v>4640</v>
      </c>
      <c r="W74" s="8" t="s">
        <v>4641</v>
      </c>
      <c r="X74" s="8" t="s">
        <v>2135</v>
      </c>
      <c r="Y74" s="8" t="s">
        <v>4642</v>
      </c>
      <c r="Z74" s="8" t="s">
        <v>4643</v>
      </c>
      <c r="AA74" s="8" t="s">
        <v>4644</v>
      </c>
      <c r="AB74" s="8" t="s">
        <v>4645</v>
      </c>
      <c r="AC74" s="8" t="s">
        <v>4646</v>
      </c>
      <c r="AD74" s="8" t="s">
        <v>4646</v>
      </c>
      <c r="AE74" s="8" t="s">
        <v>4647</v>
      </c>
      <c r="AF74" s="8" t="s">
        <v>2135</v>
      </c>
      <c r="AG74" s="8">
        <v>47.0</v>
      </c>
      <c r="AH74" s="8">
        <v>1.0</v>
      </c>
      <c r="AI74" s="8">
        <v>2.0</v>
      </c>
      <c r="AJ74" s="8">
        <v>1.0</v>
      </c>
      <c r="AK74" s="8">
        <v>9.0</v>
      </c>
      <c r="AL74" s="8" t="s">
        <v>4648</v>
      </c>
      <c r="AM74" s="8" t="s">
        <v>4649</v>
      </c>
      <c r="AN74" s="8" t="s">
        <v>4650</v>
      </c>
      <c r="AO74" s="8" t="s">
        <v>4651</v>
      </c>
      <c r="AP74" s="8" t="s">
        <v>2135</v>
      </c>
      <c r="AQ74" s="8" t="s">
        <v>2135</v>
      </c>
      <c r="AR74" s="8" t="s">
        <v>4652</v>
      </c>
      <c r="AS74" s="8" t="s">
        <v>4653</v>
      </c>
      <c r="AT74" s="8" t="s">
        <v>3512</v>
      </c>
      <c r="AU74" s="8">
        <v>2018.0</v>
      </c>
      <c r="AV74" s="8">
        <v>10.0</v>
      </c>
      <c r="AW74" s="8" t="s">
        <v>2135</v>
      </c>
      <c r="AX74" s="8" t="s">
        <v>2135</v>
      </c>
      <c r="AY74" s="8" t="s">
        <v>2135</v>
      </c>
      <c r="AZ74" s="8" t="s">
        <v>2135</v>
      </c>
      <c r="BA74" s="8" t="s">
        <v>2135</v>
      </c>
      <c r="BB74" s="8">
        <v>84.0</v>
      </c>
      <c r="BC74" s="8">
        <v>103.0</v>
      </c>
      <c r="BD74" s="8" t="s">
        <v>2135</v>
      </c>
      <c r="BE74" s="8" t="s">
        <v>2135</v>
      </c>
      <c r="BF74" s="8" t="s">
        <v>2135</v>
      </c>
      <c r="BG74" s="8" t="s">
        <v>2135</v>
      </c>
      <c r="BH74" s="8" t="s">
        <v>2135</v>
      </c>
      <c r="BI74" s="8">
        <v>20.0</v>
      </c>
      <c r="BJ74" s="8" t="s">
        <v>3982</v>
      </c>
      <c r="BK74" s="8" t="s">
        <v>4654</v>
      </c>
      <c r="BL74" s="8" t="s">
        <v>3984</v>
      </c>
      <c r="BM74" s="8" t="s">
        <v>4655</v>
      </c>
      <c r="BN74" s="8" t="s">
        <v>2135</v>
      </c>
      <c r="BO74" s="8" t="s">
        <v>2135</v>
      </c>
      <c r="BP74" s="8" t="s">
        <v>2135</v>
      </c>
      <c r="BQ74" s="8" t="s">
        <v>2135</v>
      </c>
      <c r="BR74" s="8" t="s">
        <v>3355</v>
      </c>
      <c r="BS74" s="8" t="s">
        <v>4656</v>
      </c>
      <c r="BT74" s="8" t="s">
        <v>2465</v>
      </c>
      <c r="BU74" s="8" t="s">
        <v>2283</v>
      </c>
      <c r="BW74" s="8" t="s">
        <v>2358</v>
      </c>
      <c r="BX74" s="8" t="s">
        <v>2953</v>
      </c>
      <c r="BY74" s="8" t="s">
        <v>2968</v>
      </c>
      <c r="BZ74" s="8" t="str">
        <f>HYPERLINK("https%3A%2F%2Fwww.webofscience.com%2Fwos%2Fwoscc%2Ffull-record%2FWOS:000440388800006","View Full Record in Web of Science")</f>
        <v>View Full Record in Web of Science</v>
      </c>
    </row>
    <row r="75" ht="12.75" customHeight="1">
      <c r="A75" s="8" t="s">
        <v>3329</v>
      </c>
      <c r="B75" s="8" t="s">
        <v>4657</v>
      </c>
      <c r="C75" s="8" t="s">
        <v>2135</v>
      </c>
      <c r="D75" s="8" t="s">
        <v>2135</v>
      </c>
      <c r="E75" s="8" t="s">
        <v>2135</v>
      </c>
      <c r="F75" s="8" t="s">
        <v>4658</v>
      </c>
      <c r="G75" s="8" t="s">
        <v>2135</v>
      </c>
      <c r="H75" s="8" t="s">
        <v>2135</v>
      </c>
      <c r="I75" s="8" t="s">
        <v>438</v>
      </c>
      <c r="J75" s="8" t="s">
        <v>4513</v>
      </c>
      <c r="K75" s="8" t="s">
        <v>2135</v>
      </c>
      <c r="L75" s="8" t="s">
        <v>2135</v>
      </c>
      <c r="M75" s="8" t="s">
        <v>3332</v>
      </c>
      <c r="N75" s="8" t="s">
        <v>3333</v>
      </c>
      <c r="O75" s="8" t="s">
        <v>2135</v>
      </c>
      <c r="P75" s="8" t="s">
        <v>2135</v>
      </c>
      <c r="Q75" s="8" t="s">
        <v>2135</v>
      </c>
      <c r="R75" s="8" t="s">
        <v>2135</v>
      </c>
      <c r="S75" s="8" t="s">
        <v>2135</v>
      </c>
      <c r="T75" s="8" t="s">
        <v>4659</v>
      </c>
      <c r="U75" s="8" t="s">
        <v>4660</v>
      </c>
      <c r="V75" s="8" t="s">
        <v>4661</v>
      </c>
      <c r="W75" s="8" t="s">
        <v>4662</v>
      </c>
      <c r="X75" s="8" t="s">
        <v>4663</v>
      </c>
      <c r="Y75" s="8" t="s">
        <v>4664</v>
      </c>
      <c r="Z75" s="8" t="s">
        <v>4665</v>
      </c>
      <c r="AA75" s="8" t="s">
        <v>2135</v>
      </c>
      <c r="AB75" s="8" t="s">
        <v>2135</v>
      </c>
      <c r="AC75" s="8" t="s">
        <v>4666</v>
      </c>
      <c r="AD75" s="8" t="s">
        <v>4666</v>
      </c>
      <c r="AE75" s="8" t="s">
        <v>4667</v>
      </c>
      <c r="AF75" s="8" t="s">
        <v>2135</v>
      </c>
      <c r="AG75" s="8">
        <v>52.0</v>
      </c>
      <c r="AH75" s="8">
        <v>18.0</v>
      </c>
      <c r="AI75" s="8">
        <v>27.0</v>
      </c>
      <c r="AJ75" s="8">
        <v>2.0</v>
      </c>
      <c r="AK75" s="8">
        <v>76.0</v>
      </c>
      <c r="AL75" s="8" t="s">
        <v>4394</v>
      </c>
      <c r="AM75" s="8" t="s">
        <v>3367</v>
      </c>
      <c r="AN75" s="8" t="s">
        <v>4395</v>
      </c>
      <c r="AO75" s="8" t="s">
        <v>4522</v>
      </c>
      <c r="AP75" s="8" t="s">
        <v>4523</v>
      </c>
      <c r="AQ75" s="8" t="s">
        <v>2135</v>
      </c>
      <c r="AR75" s="8" t="s">
        <v>4524</v>
      </c>
      <c r="AS75" s="8" t="s">
        <v>4525</v>
      </c>
      <c r="AT75" s="8" t="s">
        <v>4668</v>
      </c>
      <c r="AU75" s="8">
        <v>2015.0</v>
      </c>
      <c r="AV75" s="8">
        <v>347.0</v>
      </c>
      <c r="AW75" s="8" t="s">
        <v>2135</v>
      </c>
      <c r="AX75" s="8" t="s">
        <v>2135</v>
      </c>
      <c r="AY75" s="8" t="s">
        <v>2135</v>
      </c>
      <c r="AZ75" s="8" t="s">
        <v>2135</v>
      </c>
      <c r="BA75" s="8" t="s">
        <v>2135</v>
      </c>
      <c r="BB75" s="8">
        <v>49.0</v>
      </c>
      <c r="BC75" s="8">
        <v>56.0</v>
      </c>
      <c r="BD75" s="8" t="s">
        <v>2135</v>
      </c>
      <c r="BE75" s="8" t="s">
        <v>4669</v>
      </c>
      <c r="BF75" s="13" t="str">
        <f>HYPERLINK("http://dx.doi.org/10.1016/j.foreco.2015.03.009","http://dx.doi.org/10.1016/j.foreco.2015.03.009")</f>
        <v>http://dx.doi.org/10.1016/j.foreco.2015.03.009</v>
      </c>
      <c r="BG75" s="8" t="s">
        <v>2135</v>
      </c>
      <c r="BH75" s="8" t="s">
        <v>2135</v>
      </c>
      <c r="BI75" s="8">
        <v>8.0</v>
      </c>
      <c r="BJ75" s="8" t="s">
        <v>3423</v>
      </c>
      <c r="BK75" s="8" t="s">
        <v>3352</v>
      </c>
      <c r="BL75" s="8" t="s">
        <v>3423</v>
      </c>
      <c r="BM75" s="8" t="s">
        <v>4670</v>
      </c>
      <c r="BN75" s="8" t="s">
        <v>2135</v>
      </c>
      <c r="BO75" s="8" t="s">
        <v>2135</v>
      </c>
      <c r="BP75" s="8" t="s">
        <v>2135</v>
      </c>
      <c r="BQ75" s="8" t="s">
        <v>2135</v>
      </c>
      <c r="BR75" s="8" t="s">
        <v>3355</v>
      </c>
      <c r="BS75" s="8" t="s">
        <v>4671</v>
      </c>
      <c r="BT75" s="8" t="s">
        <v>2600</v>
      </c>
      <c r="BU75" s="8" t="s">
        <v>2147</v>
      </c>
      <c r="BV75" s="8" t="s">
        <v>2217</v>
      </c>
      <c r="BW75" s="8" t="s">
        <v>2224</v>
      </c>
      <c r="BX75" s="8" t="s">
        <v>3198</v>
      </c>
      <c r="BY75" s="8" t="s">
        <v>2968</v>
      </c>
      <c r="BZ75" s="8" t="str">
        <f>HYPERLINK("https%3A%2F%2Fwww.webofscience.com%2Fwos%2Fwoscc%2Ffull-record%2FWOS:000354579600005","View Full Record in Web of Science")</f>
        <v>View Full Record in Web of Science</v>
      </c>
    </row>
    <row r="76" ht="12.75" customHeight="1">
      <c r="A76" s="8" t="s">
        <v>3329</v>
      </c>
      <c r="B76" s="8" t="s">
        <v>4672</v>
      </c>
      <c r="C76" s="8" t="s">
        <v>2135</v>
      </c>
      <c r="D76" s="8" t="s">
        <v>2135</v>
      </c>
      <c r="E76" s="8" t="s">
        <v>2135</v>
      </c>
      <c r="F76" s="8" t="s">
        <v>4673</v>
      </c>
      <c r="G76" s="8" t="s">
        <v>2135</v>
      </c>
      <c r="H76" s="8" t="s">
        <v>2135</v>
      </c>
      <c r="I76" s="8" t="s">
        <v>435</v>
      </c>
      <c r="J76" s="8" t="s">
        <v>4674</v>
      </c>
      <c r="K76" s="8" t="s">
        <v>2135</v>
      </c>
      <c r="L76" s="8" t="s">
        <v>2135</v>
      </c>
      <c r="M76" s="8" t="s">
        <v>3332</v>
      </c>
      <c r="N76" s="8" t="s">
        <v>3333</v>
      </c>
      <c r="O76" s="8" t="s">
        <v>2135</v>
      </c>
      <c r="P76" s="8" t="s">
        <v>2135</v>
      </c>
      <c r="Q76" s="8" t="s">
        <v>2135</v>
      </c>
      <c r="R76" s="8" t="s">
        <v>2135</v>
      </c>
      <c r="S76" s="8" t="s">
        <v>2135</v>
      </c>
      <c r="T76" s="8" t="s">
        <v>2135</v>
      </c>
      <c r="U76" s="8" t="s">
        <v>4675</v>
      </c>
      <c r="V76" s="8" t="s">
        <v>4676</v>
      </c>
      <c r="W76" s="8" t="s">
        <v>4677</v>
      </c>
      <c r="X76" s="8" t="s">
        <v>4678</v>
      </c>
      <c r="Y76" s="8" t="s">
        <v>4679</v>
      </c>
      <c r="Z76" s="8" t="s">
        <v>4680</v>
      </c>
      <c r="AA76" s="8" t="s">
        <v>4681</v>
      </c>
      <c r="AB76" s="8" t="s">
        <v>4682</v>
      </c>
      <c r="AC76" s="8" t="s">
        <v>4683</v>
      </c>
      <c r="AD76" s="8" t="s">
        <v>4684</v>
      </c>
      <c r="AE76" s="8" t="s">
        <v>4685</v>
      </c>
      <c r="AF76" s="8" t="s">
        <v>2135</v>
      </c>
      <c r="AG76" s="8">
        <v>30.0</v>
      </c>
      <c r="AH76" s="8">
        <v>17.0</v>
      </c>
      <c r="AI76" s="8">
        <v>19.0</v>
      </c>
      <c r="AJ76" s="8">
        <v>0.0</v>
      </c>
      <c r="AK76" s="8">
        <v>17.0</v>
      </c>
      <c r="AL76" s="8" t="s">
        <v>4686</v>
      </c>
      <c r="AM76" s="8" t="s">
        <v>3480</v>
      </c>
      <c r="AN76" s="8" t="s">
        <v>4687</v>
      </c>
      <c r="AO76" s="8" t="s">
        <v>4688</v>
      </c>
      <c r="AP76" s="8" t="s">
        <v>4689</v>
      </c>
      <c r="AQ76" s="8" t="s">
        <v>2135</v>
      </c>
      <c r="AR76" s="8" t="s">
        <v>4690</v>
      </c>
      <c r="AS76" s="8" t="s">
        <v>4691</v>
      </c>
      <c r="AT76" s="8" t="s">
        <v>3485</v>
      </c>
      <c r="AU76" s="8">
        <v>2013.0</v>
      </c>
      <c r="AV76" s="8">
        <v>49.0</v>
      </c>
      <c r="AW76" s="8">
        <v>2.0</v>
      </c>
      <c r="AX76" s="8" t="s">
        <v>2135</v>
      </c>
      <c r="AY76" s="8" t="s">
        <v>2135</v>
      </c>
      <c r="AZ76" s="8" t="s">
        <v>2135</v>
      </c>
      <c r="BA76" s="8" t="s">
        <v>2135</v>
      </c>
      <c r="BB76" s="8">
        <v>220.0</v>
      </c>
      <c r="BC76" s="8">
        <v>227.0</v>
      </c>
      <c r="BD76" s="8" t="s">
        <v>2135</v>
      </c>
      <c r="BE76" s="8" t="s">
        <v>4692</v>
      </c>
      <c r="BF76" s="13" t="str">
        <f>HYPERLINK("http://dx.doi.org/10.1134/S1022795413020105","http://dx.doi.org/10.1134/S1022795413020105")</f>
        <v>http://dx.doi.org/10.1134/S1022795413020105</v>
      </c>
      <c r="BG76" s="8" t="s">
        <v>2135</v>
      </c>
      <c r="BH76" s="8" t="s">
        <v>2135</v>
      </c>
      <c r="BI76" s="8">
        <v>8.0</v>
      </c>
      <c r="BJ76" s="8" t="s">
        <v>4693</v>
      </c>
      <c r="BK76" s="8" t="s">
        <v>3352</v>
      </c>
      <c r="BL76" s="8" t="s">
        <v>4693</v>
      </c>
      <c r="BM76" s="8" t="s">
        <v>4694</v>
      </c>
      <c r="BN76" s="8" t="s">
        <v>2135</v>
      </c>
      <c r="BO76" s="8" t="s">
        <v>2135</v>
      </c>
      <c r="BP76" s="8" t="s">
        <v>2135</v>
      </c>
      <c r="BQ76" s="8" t="s">
        <v>2135</v>
      </c>
      <c r="BR76" s="8" t="s">
        <v>3355</v>
      </c>
      <c r="BS76" s="8" t="s">
        <v>4695</v>
      </c>
      <c r="BT76" s="8" t="s">
        <v>2487</v>
      </c>
      <c r="BU76" s="8" t="s">
        <v>2142</v>
      </c>
      <c r="BW76" s="8" t="s">
        <v>2284</v>
      </c>
      <c r="BX76" s="8" t="s">
        <v>3139</v>
      </c>
      <c r="BY76" s="8" t="s">
        <v>2968</v>
      </c>
      <c r="BZ76" s="8" t="str">
        <f>HYPERLINK("https%3A%2F%2Fwww.webofscience.com%2Fwos%2Fwoscc%2Ffull-record%2FWOS:000315036000012","View Full Record in Web of Science")</f>
        <v>View Full Record in Web of Science</v>
      </c>
    </row>
    <row r="77" ht="12.75" customHeight="1">
      <c r="A77" s="8" t="s">
        <v>3329</v>
      </c>
      <c r="B77" s="8" t="s">
        <v>4696</v>
      </c>
      <c r="C77" s="8" t="s">
        <v>2135</v>
      </c>
      <c r="D77" s="8" t="s">
        <v>2135</v>
      </c>
      <c r="E77" s="8" t="s">
        <v>2135</v>
      </c>
      <c r="F77" s="8" t="s">
        <v>4697</v>
      </c>
      <c r="G77" s="8" t="s">
        <v>2135</v>
      </c>
      <c r="H77" s="8" t="s">
        <v>2135</v>
      </c>
      <c r="I77" s="8" t="s">
        <v>432</v>
      </c>
      <c r="J77" s="8" t="s">
        <v>4612</v>
      </c>
      <c r="K77" s="8" t="s">
        <v>2135</v>
      </c>
      <c r="L77" s="8" t="s">
        <v>2135</v>
      </c>
      <c r="M77" s="8" t="s">
        <v>3332</v>
      </c>
      <c r="N77" s="8" t="s">
        <v>3333</v>
      </c>
      <c r="O77" s="8" t="s">
        <v>2135</v>
      </c>
      <c r="P77" s="8" t="s">
        <v>2135</v>
      </c>
      <c r="Q77" s="8" t="s">
        <v>2135</v>
      </c>
      <c r="R77" s="8" t="s">
        <v>2135</v>
      </c>
      <c r="S77" s="8" t="s">
        <v>2135</v>
      </c>
      <c r="T77" s="8" t="s">
        <v>4698</v>
      </c>
      <c r="U77" s="8" t="s">
        <v>4699</v>
      </c>
      <c r="V77" s="8" t="s">
        <v>4700</v>
      </c>
      <c r="W77" s="8" t="s">
        <v>4701</v>
      </c>
      <c r="X77" s="8" t="s">
        <v>4702</v>
      </c>
      <c r="Y77" s="8" t="s">
        <v>4703</v>
      </c>
      <c r="Z77" s="8" t="s">
        <v>4704</v>
      </c>
      <c r="AA77" s="8" t="s">
        <v>4705</v>
      </c>
      <c r="AB77" s="8" t="s">
        <v>4706</v>
      </c>
      <c r="AC77" s="8" t="s">
        <v>4707</v>
      </c>
      <c r="AD77" s="8" t="s">
        <v>4708</v>
      </c>
      <c r="AE77" s="8" t="s">
        <v>4709</v>
      </c>
      <c r="AF77" s="8" t="s">
        <v>2135</v>
      </c>
      <c r="AG77" s="8">
        <v>65.0</v>
      </c>
      <c r="AH77" s="8">
        <v>17.0</v>
      </c>
      <c r="AI77" s="8">
        <v>19.0</v>
      </c>
      <c r="AJ77" s="8">
        <v>0.0</v>
      </c>
      <c r="AK77" s="8">
        <v>73.0</v>
      </c>
      <c r="AL77" s="8" t="s">
        <v>3479</v>
      </c>
      <c r="AM77" s="8" t="s">
        <v>4500</v>
      </c>
      <c r="AN77" s="8" t="s">
        <v>4501</v>
      </c>
      <c r="AO77" s="8" t="s">
        <v>4626</v>
      </c>
      <c r="AP77" s="8" t="s">
        <v>4627</v>
      </c>
      <c r="AQ77" s="8" t="s">
        <v>2135</v>
      </c>
      <c r="AR77" s="8" t="s">
        <v>4628</v>
      </c>
      <c r="AS77" s="8" t="s">
        <v>4629</v>
      </c>
      <c r="AT77" s="8" t="s">
        <v>3485</v>
      </c>
      <c r="AU77" s="8">
        <v>2012.0</v>
      </c>
      <c r="AV77" s="8">
        <v>13.0</v>
      </c>
      <c r="AW77" s="8">
        <v>1.0</v>
      </c>
      <c r="AX77" s="8" t="s">
        <v>2135</v>
      </c>
      <c r="AY77" s="8" t="s">
        <v>2135</v>
      </c>
      <c r="AZ77" s="8" t="s">
        <v>2135</v>
      </c>
      <c r="BA77" s="8" t="s">
        <v>2135</v>
      </c>
      <c r="BB77" s="8">
        <v>235.0</v>
      </c>
      <c r="BC77" s="8">
        <v>245.0</v>
      </c>
      <c r="BD77" s="8" t="s">
        <v>2135</v>
      </c>
      <c r="BE77" s="8" t="s">
        <v>4710</v>
      </c>
      <c r="BF77" s="13" t="str">
        <f>HYPERLINK("http://dx.doi.org/10.1007/s10592-011-0279-9","http://dx.doi.org/10.1007/s10592-011-0279-9")</f>
        <v>http://dx.doi.org/10.1007/s10592-011-0279-9</v>
      </c>
      <c r="BG77" s="8" t="s">
        <v>2135</v>
      </c>
      <c r="BH77" s="8" t="s">
        <v>2135</v>
      </c>
      <c r="BI77" s="8">
        <v>11.0</v>
      </c>
      <c r="BJ77" s="8" t="s">
        <v>4631</v>
      </c>
      <c r="BK77" s="8" t="s">
        <v>3352</v>
      </c>
      <c r="BL77" s="8" t="s">
        <v>4632</v>
      </c>
      <c r="BM77" s="8" t="s">
        <v>4711</v>
      </c>
      <c r="BN77" s="8" t="s">
        <v>2135</v>
      </c>
      <c r="BO77" s="8" t="s">
        <v>2135</v>
      </c>
      <c r="BP77" s="8" t="s">
        <v>2135</v>
      </c>
      <c r="BQ77" s="8" t="s">
        <v>2135</v>
      </c>
      <c r="BR77" s="8" t="s">
        <v>3355</v>
      </c>
      <c r="BS77" s="8" t="s">
        <v>4712</v>
      </c>
      <c r="BU77" s="8" t="s">
        <v>2147</v>
      </c>
      <c r="BW77" s="8" t="s">
        <v>2186</v>
      </c>
      <c r="BX77" s="8" t="s">
        <v>3117</v>
      </c>
      <c r="BY77" s="8" t="s">
        <v>2968</v>
      </c>
      <c r="BZ77" s="8" t="str">
        <f>HYPERLINK("https%3A%2F%2Fwww.webofscience.com%2Fwos%2Fwoscc%2Ffull-record%2FWOS:000303475800019","View Full Record in Web of Science")</f>
        <v>View Full Record in Web of Science</v>
      </c>
    </row>
    <row r="78" ht="12.75" customHeight="1">
      <c r="A78" s="8" t="s">
        <v>3329</v>
      </c>
      <c r="B78" s="8" t="s">
        <v>4713</v>
      </c>
      <c r="C78" s="8" t="s">
        <v>2135</v>
      </c>
      <c r="D78" s="8" t="s">
        <v>2135</v>
      </c>
      <c r="E78" s="8" t="s">
        <v>2135</v>
      </c>
      <c r="F78" s="8" t="s">
        <v>4714</v>
      </c>
      <c r="G78" s="8" t="s">
        <v>2135</v>
      </c>
      <c r="H78" s="8" t="s">
        <v>2135</v>
      </c>
      <c r="I78" s="8" t="s">
        <v>420</v>
      </c>
      <c r="J78" s="8" t="s">
        <v>4715</v>
      </c>
      <c r="K78" s="8" t="s">
        <v>2135</v>
      </c>
      <c r="L78" s="8" t="s">
        <v>2135</v>
      </c>
      <c r="M78" s="8" t="s">
        <v>3332</v>
      </c>
      <c r="N78" s="8" t="s">
        <v>3333</v>
      </c>
      <c r="O78" s="8" t="s">
        <v>2135</v>
      </c>
      <c r="P78" s="8" t="s">
        <v>2135</v>
      </c>
      <c r="Q78" s="8" t="s">
        <v>2135</v>
      </c>
      <c r="R78" s="8" t="s">
        <v>2135</v>
      </c>
      <c r="S78" s="8" t="s">
        <v>2135</v>
      </c>
      <c r="T78" s="8" t="s">
        <v>4716</v>
      </c>
      <c r="U78" s="8" t="s">
        <v>2135</v>
      </c>
      <c r="V78" s="8" t="s">
        <v>4717</v>
      </c>
      <c r="W78" s="8" t="s">
        <v>4718</v>
      </c>
      <c r="X78" s="8" t="s">
        <v>4719</v>
      </c>
      <c r="Y78" s="8" t="s">
        <v>4720</v>
      </c>
      <c r="Z78" s="8" t="s">
        <v>4721</v>
      </c>
      <c r="AA78" s="8" t="s">
        <v>4722</v>
      </c>
      <c r="AB78" s="8" t="s">
        <v>2135</v>
      </c>
      <c r="AC78" s="8" t="s">
        <v>2135</v>
      </c>
      <c r="AD78" s="8" t="s">
        <v>2135</v>
      </c>
      <c r="AE78" s="8" t="s">
        <v>2135</v>
      </c>
      <c r="AF78" s="8" t="s">
        <v>2135</v>
      </c>
      <c r="AG78" s="8">
        <v>2.0</v>
      </c>
      <c r="AH78" s="8">
        <v>2.0</v>
      </c>
      <c r="AI78" s="8">
        <v>4.0</v>
      </c>
      <c r="AJ78" s="8">
        <v>0.0</v>
      </c>
      <c r="AK78" s="8">
        <v>7.0</v>
      </c>
      <c r="AL78" s="8" t="s">
        <v>4723</v>
      </c>
      <c r="AM78" s="8" t="s">
        <v>4724</v>
      </c>
      <c r="AN78" s="8" t="s">
        <v>4725</v>
      </c>
      <c r="AO78" s="8" t="s">
        <v>4726</v>
      </c>
      <c r="AP78" s="8" t="s">
        <v>2135</v>
      </c>
      <c r="AQ78" s="8" t="s">
        <v>2135</v>
      </c>
      <c r="AR78" s="8" t="s">
        <v>4727</v>
      </c>
      <c r="AS78" s="8" t="s">
        <v>4728</v>
      </c>
      <c r="AT78" s="8" t="s">
        <v>2135</v>
      </c>
      <c r="AU78" s="8">
        <v>2009.0</v>
      </c>
      <c r="AV78" s="8">
        <v>41.0</v>
      </c>
      <c r="AW78" s="8">
        <v>5.0</v>
      </c>
      <c r="AX78" s="8" t="s">
        <v>2135</v>
      </c>
      <c r="AY78" s="8" t="s">
        <v>2135</v>
      </c>
      <c r="AZ78" s="8" t="s">
        <v>2135</v>
      </c>
      <c r="BA78" s="8" t="s">
        <v>2135</v>
      </c>
      <c r="BB78" s="8">
        <v>413.0</v>
      </c>
      <c r="BC78" s="8">
        <v>414.0</v>
      </c>
      <c r="BD78" s="8" t="s">
        <v>2135</v>
      </c>
      <c r="BE78" s="8" t="s">
        <v>2135</v>
      </c>
      <c r="BF78" s="8" t="s">
        <v>2135</v>
      </c>
      <c r="BG78" s="8" t="s">
        <v>2135</v>
      </c>
      <c r="BH78" s="8" t="s">
        <v>2135</v>
      </c>
      <c r="BI78" s="8">
        <v>2.0</v>
      </c>
      <c r="BJ78" s="8" t="s">
        <v>3397</v>
      </c>
      <c r="BK78" s="8" t="s">
        <v>3352</v>
      </c>
      <c r="BL78" s="8" t="s">
        <v>3397</v>
      </c>
      <c r="BM78" s="8" t="s">
        <v>4729</v>
      </c>
      <c r="BN78" s="8" t="s">
        <v>2135</v>
      </c>
      <c r="BO78" s="8" t="s">
        <v>2135</v>
      </c>
      <c r="BP78" s="8" t="s">
        <v>2135</v>
      </c>
      <c r="BQ78" s="8" t="s">
        <v>2135</v>
      </c>
      <c r="BR78" s="8" t="s">
        <v>3355</v>
      </c>
      <c r="BS78" s="8" t="s">
        <v>4730</v>
      </c>
      <c r="BT78" s="8" t="s">
        <v>2456</v>
      </c>
      <c r="BU78" s="8" t="s">
        <v>2283</v>
      </c>
      <c r="BV78" s="8" t="s">
        <v>2357</v>
      </c>
      <c r="BW78" s="8" t="s">
        <v>2361</v>
      </c>
      <c r="BX78" s="8" t="s">
        <v>3117</v>
      </c>
      <c r="BY78" s="8" t="s">
        <v>2968</v>
      </c>
      <c r="BZ78" s="8" t="str">
        <f>HYPERLINK("https%3A%2F%2Fwww.webofscience.com%2Fwos%2Fwoscc%2Ffull-record%2FWOS:000268130200011","View Full Record in Web of Science")</f>
        <v>View Full Record in Web of Science</v>
      </c>
    </row>
    <row r="79" ht="12.75" customHeight="1">
      <c r="A79" s="8" t="s">
        <v>3329</v>
      </c>
      <c r="B79" s="8" t="s">
        <v>4731</v>
      </c>
      <c r="C79" s="8" t="s">
        <v>2135</v>
      </c>
      <c r="D79" s="8" t="s">
        <v>2135</v>
      </c>
      <c r="E79" s="8" t="s">
        <v>2135</v>
      </c>
      <c r="F79" s="8" t="s">
        <v>4731</v>
      </c>
      <c r="G79" s="8" t="s">
        <v>2135</v>
      </c>
      <c r="H79" s="8" t="s">
        <v>2135</v>
      </c>
      <c r="I79" s="8" t="s">
        <v>430</v>
      </c>
      <c r="J79" s="8" t="s">
        <v>3747</v>
      </c>
      <c r="K79" s="8" t="s">
        <v>2135</v>
      </c>
      <c r="L79" s="8" t="s">
        <v>2135</v>
      </c>
      <c r="M79" s="8" t="s">
        <v>3332</v>
      </c>
      <c r="N79" s="8" t="s">
        <v>3333</v>
      </c>
      <c r="O79" s="8" t="s">
        <v>2135</v>
      </c>
      <c r="P79" s="8" t="s">
        <v>2135</v>
      </c>
      <c r="Q79" s="8" t="s">
        <v>2135</v>
      </c>
      <c r="R79" s="8" t="s">
        <v>2135</v>
      </c>
      <c r="S79" s="8" t="s">
        <v>2135</v>
      </c>
      <c r="T79" s="8" t="s">
        <v>4732</v>
      </c>
      <c r="U79" s="8" t="s">
        <v>4733</v>
      </c>
      <c r="V79" s="8" t="s">
        <v>4734</v>
      </c>
      <c r="W79" s="8" t="s">
        <v>2135</v>
      </c>
      <c r="X79" s="8" t="s">
        <v>2135</v>
      </c>
      <c r="Y79" s="8" t="s">
        <v>4735</v>
      </c>
      <c r="Z79" s="8" t="s">
        <v>2135</v>
      </c>
      <c r="AA79" s="8" t="s">
        <v>2135</v>
      </c>
      <c r="AB79" s="8" t="s">
        <v>2135</v>
      </c>
      <c r="AC79" s="8" t="s">
        <v>2135</v>
      </c>
      <c r="AD79" s="8" t="s">
        <v>2135</v>
      </c>
      <c r="AE79" s="8" t="s">
        <v>2135</v>
      </c>
      <c r="AF79" s="8" t="s">
        <v>2135</v>
      </c>
      <c r="AG79" s="8">
        <v>50.0</v>
      </c>
      <c r="AH79" s="8">
        <v>28.0</v>
      </c>
      <c r="AI79" s="8">
        <v>33.0</v>
      </c>
      <c r="AJ79" s="8">
        <v>0.0</v>
      </c>
      <c r="AK79" s="8">
        <v>7.0</v>
      </c>
      <c r="AL79" s="8" t="s">
        <v>3758</v>
      </c>
      <c r="AM79" s="8" t="s">
        <v>3893</v>
      </c>
      <c r="AN79" s="8" t="s">
        <v>3894</v>
      </c>
      <c r="AO79" s="8" t="s">
        <v>3761</v>
      </c>
      <c r="AP79" s="8" t="s">
        <v>3762</v>
      </c>
      <c r="AQ79" s="8" t="s">
        <v>2135</v>
      </c>
      <c r="AR79" s="8" t="s">
        <v>3763</v>
      </c>
      <c r="AS79" s="8" t="s">
        <v>3764</v>
      </c>
      <c r="AT79" s="8" t="s">
        <v>2135</v>
      </c>
      <c r="AU79" s="8">
        <v>1993.0</v>
      </c>
      <c r="AV79" s="8">
        <v>65.0</v>
      </c>
      <c r="AW79" s="8">
        <v>1.0</v>
      </c>
      <c r="AX79" s="8" t="s">
        <v>2135</v>
      </c>
      <c r="AY79" s="8" t="s">
        <v>2135</v>
      </c>
      <c r="AZ79" s="8" t="s">
        <v>2135</v>
      </c>
      <c r="BA79" s="8" t="s">
        <v>2135</v>
      </c>
      <c r="BB79" s="8">
        <v>9.0</v>
      </c>
      <c r="BC79" s="8">
        <v>13.0</v>
      </c>
      <c r="BD79" s="8" t="s">
        <v>2135</v>
      </c>
      <c r="BE79" s="8" t="s">
        <v>4736</v>
      </c>
      <c r="BF79" s="13" t="str">
        <f>HYPERLINK("http://dx.doi.org/10.1016/0006-3207(93)90190-C","http://dx.doi.org/10.1016/0006-3207(93)90190-C")</f>
        <v>http://dx.doi.org/10.1016/0006-3207(93)90190-C</v>
      </c>
      <c r="BG79" s="8" t="s">
        <v>2135</v>
      </c>
      <c r="BH79" s="8" t="s">
        <v>2135</v>
      </c>
      <c r="BI79" s="8">
        <v>5.0</v>
      </c>
      <c r="BJ79" s="8" t="s">
        <v>3351</v>
      </c>
      <c r="BK79" s="8" t="s">
        <v>3352</v>
      </c>
      <c r="BL79" s="8" t="s">
        <v>3353</v>
      </c>
      <c r="BM79" s="8" t="s">
        <v>4737</v>
      </c>
      <c r="BN79" s="8" t="s">
        <v>2135</v>
      </c>
      <c r="BO79" s="8" t="s">
        <v>2135</v>
      </c>
      <c r="BP79" s="8" t="s">
        <v>2135</v>
      </c>
      <c r="BQ79" s="8" t="s">
        <v>2135</v>
      </c>
      <c r="BR79" s="8" t="s">
        <v>3355</v>
      </c>
      <c r="BS79" s="8" t="s">
        <v>4738</v>
      </c>
      <c r="BT79" s="8" t="s">
        <v>2325</v>
      </c>
      <c r="BU79" s="8" t="s">
        <v>2142</v>
      </c>
      <c r="BW79" s="8" t="s">
        <v>2143</v>
      </c>
      <c r="BX79" s="8" t="s">
        <v>2981</v>
      </c>
      <c r="BY79" s="8" t="s">
        <v>2968</v>
      </c>
      <c r="BZ79" s="8" t="str">
        <f>HYPERLINK("https%3A%2F%2Fwww.webofscience.com%2Fwos%2Fwoscc%2Ffull-record%2FWOS:A1993LH73400002","View Full Record in Web of Science")</f>
        <v>View Full Record in Web of Science</v>
      </c>
    </row>
    <row r="80" ht="12.75" customHeight="1">
      <c r="A80" s="8" t="s">
        <v>3329</v>
      </c>
      <c r="B80" s="8" t="s">
        <v>4739</v>
      </c>
      <c r="C80" s="8" t="s">
        <v>2135</v>
      </c>
      <c r="D80" s="8" t="s">
        <v>2135</v>
      </c>
      <c r="E80" s="8" t="s">
        <v>2135</v>
      </c>
      <c r="F80" s="8" t="s">
        <v>4740</v>
      </c>
      <c r="G80" s="8" t="s">
        <v>2135</v>
      </c>
      <c r="H80" s="8" t="s">
        <v>4741</v>
      </c>
      <c r="I80" s="8" t="s">
        <v>301</v>
      </c>
      <c r="J80" s="8" t="s">
        <v>4065</v>
      </c>
      <c r="K80" s="8" t="s">
        <v>2135</v>
      </c>
      <c r="L80" s="8" t="s">
        <v>2135</v>
      </c>
      <c r="M80" s="8" t="s">
        <v>3332</v>
      </c>
      <c r="N80" s="8" t="s">
        <v>3333</v>
      </c>
      <c r="O80" s="8" t="s">
        <v>2135</v>
      </c>
      <c r="P80" s="8" t="s">
        <v>2135</v>
      </c>
      <c r="Q80" s="8" t="s">
        <v>2135</v>
      </c>
      <c r="R80" s="8" t="s">
        <v>2135</v>
      </c>
      <c r="S80" s="8" t="s">
        <v>2135</v>
      </c>
      <c r="T80" s="8" t="s">
        <v>4742</v>
      </c>
      <c r="U80" s="8" t="s">
        <v>4743</v>
      </c>
      <c r="V80" s="8" t="s">
        <v>4744</v>
      </c>
      <c r="W80" s="8" t="s">
        <v>4745</v>
      </c>
      <c r="X80" s="8" t="s">
        <v>4746</v>
      </c>
      <c r="Y80" s="8" t="s">
        <v>4747</v>
      </c>
      <c r="Z80" s="8" t="s">
        <v>4748</v>
      </c>
      <c r="AA80" s="8" t="s">
        <v>4749</v>
      </c>
      <c r="AB80" s="8" t="s">
        <v>4750</v>
      </c>
      <c r="AC80" s="8" t="s">
        <v>2135</v>
      </c>
      <c r="AD80" s="8" t="s">
        <v>2135</v>
      </c>
      <c r="AE80" s="8" t="s">
        <v>2135</v>
      </c>
      <c r="AF80" s="8" t="s">
        <v>2135</v>
      </c>
      <c r="AG80" s="8">
        <v>85.0</v>
      </c>
      <c r="AH80" s="8">
        <v>17.0</v>
      </c>
      <c r="AI80" s="8">
        <v>22.0</v>
      </c>
      <c r="AJ80" s="8">
        <v>1.0</v>
      </c>
      <c r="AK80" s="8">
        <v>60.0</v>
      </c>
      <c r="AL80" s="8" t="s">
        <v>4751</v>
      </c>
      <c r="AM80" s="8" t="s">
        <v>1288</v>
      </c>
      <c r="AN80" s="8" t="s">
        <v>4752</v>
      </c>
      <c r="AO80" s="8" t="s">
        <v>4077</v>
      </c>
      <c r="AP80" s="8" t="s">
        <v>4753</v>
      </c>
      <c r="AQ80" s="8" t="s">
        <v>2135</v>
      </c>
      <c r="AR80" s="8" t="s">
        <v>4078</v>
      </c>
      <c r="AS80" s="8" t="s">
        <v>4079</v>
      </c>
      <c r="AT80" s="8" t="s">
        <v>4080</v>
      </c>
      <c r="AU80" s="8">
        <v>2016.0</v>
      </c>
      <c r="AV80" s="8" t="s">
        <v>2135</v>
      </c>
      <c r="AW80" s="8" t="s">
        <v>2135</v>
      </c>
      <c r="AX80" s="8" t="s">
        <v>2135</v>
      </c>
      <c r="AY80" s="8">
        <v>33.0</v>
      </c>
      <c r="AZ80" s="8" t="s">
        <v>2135</v>
      </c>
      <c r="BA80" s="8" t="s">
        <v>2135</v>
      </c>
      <c r="BB80" s="8">
        <v>186.0</v>
      </c>
      <c r="BC80" s="8">
        <v>217.0</v>
      </c>
      <c r="BD80" s="8" t="s">
        <v>2135</v>
      </c>
      <c r="BE80" s="8" t="s">
        <v>2135</v>
      </c>
      <c r="BF80" s="8" t="s">
        <v>2135</v>
      </c>
      <c r="BG80" s="8" t="s">
        <v>2135</v>
      </c>
      <c r="BH80" s="8" t="s">
        <v>2135</v>
      </c>
      <c r="BI80" s="8">
        <v>32.0</v>
      </c>
      <c r="BJ80" s="8" t="s">
        <v>3397</v>
      </c>
      <c r="BK80" s="8" t="s">
        <v>3352</v>
      </c>
      <c r="BL80" s="8" t="s">
        <v>3397</v>
      </c>
      <c r="BM80" s="8" t="s">
        <v>4081</v>
      </c>
      <c r="BN80" s="8" t="s">
        <v>2135</v>
      </c>
      <c r="BO80" s="8" t="s">
        <v>2135</v>
      </c>
      <c r="BP80" s="8" t="s">
        <v>2135</v>
      </c>
      <c r="BQ80" s="8" t="s">
        <v>2135</v>
      </c>
      <c r="BR80" s="8" t="s">
        <v>3355</v>
      </c>
      <c r="BS80" s="8" t="s">
        <v>4754</v>
      </c>
      <c r="BT80" s="8" t="s">
        <v>2420</v>
      </c>
      <c r="BU80" s="8" t="s">
        <v>2283</v>
      </c>
      <c r="BW80" s="8" t="s">
        <v>2421</v>
      </c>
      <c r="BX80" s="8" t="s">
        <v>2962</v>
      </c>
      <c r="BY80" s="8" t="s">
        <v>2963</v>
      </c>
      <c r="BZ80" s="8" t="str">
        <f>HYPERLINK("https%3A%2F%2Fwww.webofscience.com%2Fwos%2Fwoscc%2Ffull-record%2FWOS:000393214300024","View Full Record in Web of Science")</f>
        <v>View Full Record in Web of Science</v>
      </c>
    </row>
    <row r="81" ht="12.75" customHeight="1">
      <c r="A81" s="8" t="s">
        <v>3329</v>
      </c>
      <c r="B81" s="8" t="s">
        <v>4755</v>
      </c>
      <c r="C81" s="8" t="s">
        <v>2135</v>
      </c>
      <c r="D81" s="8" t="s">
        <v>2135</v>
      </c>
      <c r="E81" s="8" t="s">
        <v>2135</v>
      </c>
      <c r="F81" s="8" t="s">
        <v>4756</v>
      </c>
      <c r="G81" s="8" t="s">
        <v>2135</v>
      </c>
      <c r="H81" s="8" t="s">
        <v>2135</v>
      </c>
      <c r="I81" s="8" t="s">
        <v>491</v>
      </c>
      <c r="J81" s="8" t="s">
        <v>4612</v>
      </c>
      <c r="K81" s="8" t="s">
        <v>2135</v>
      </c>
      <c r="L81" s="8" t="s">
        <v>2135</v>
      </c>
      <c r="M81" s="8" t="s">
        <v>3332</v>
      </c>
      <c r="N81" s="8" t="s">
        <v>3333</v>
      </c>
      <c r="O81" s="8" t="s">
        <v>2135</v>
      </c>
      <c r="P81" s="8" t="s">
        <v>2135</v>
      </c>
      <c r="Q81" s="8" t="s">
        <v>2135</v>
      </c>
      <c r="R81" s="8" t="s">
        <v>2135</v>
      </c>
      <c r="S81" s="8" t="s">
        <v>2135</v>
      </c>
      <c r="T81" s="8" t="s">
        <v>4757</v>
      </c>
      <c r="U81" s="8" t="s">
        <v>4758</v>
      </c>
      <c r="V81" s="8" t="s">
        <v>4759</v>
      </c>
      <c r="W81" s="8" t="s">
        <v>4760</v>
      </c>
      <c r="X81" s="8" t="s">
        <v>4761</v>
      </c>
      <c r="Y81" s="8" t="s">
        <v>4762</v>
      </c>
      <c r="Z81" s="8" t="s">
        <v>4763</v>
      </c>
      <c r="AA81" s="8" t="s">
        <v>4764</v>
      </c>
      <c r="AB81" s="8" t="s">
        <v>4765</v>
      </c>
      <c r="AC81" s="8" t="s">
        <v>4766</v>
      </c>
      <c r="AD81" s="8" t="s">
        <v>4767</v>
      </c>
      <c r="AE81" s="8" t="s">
        <v>4768</v>
      </c>
      <c r="AF81" s="8" t="s">
        <v>2135</v>
      </c>
      <c r="AG81" s="8">
        <v>99.0</v>
      </c>
      <c r="AH81" s="8">
        <v>14.0</v>
      </c>
      <c r="AI81" s="8">
        <v>17.0</v>
      </c>
      <c r="AJ81" s="8">
        <v>1.0</v>
      </c>
      <c r="AK81" s="8">
        <v>102.0</v>
      </c>
      <c r="AL81" s="8" t="s">
        <v>3479</v>
      </c>
      <c r="AM81" s="8" t="s">
        <v>4500</v>
      </c>
      <c r="AN81" s="8" t="s">
        <v>4501</v>
      </c>
      <c r="AO81" s="8" t="s">
        <v>4626</v>
      </c>
      <c r="AP81" s="8" t="s">
        <v>4627</v>
      </c>
      <c r="AQ81" s="8" t="s">
        <v>2135</v>
      </c>
      <c r="AR81" s="8" t="s">
        <v>4628</v>
      </c>
      <c r="AS81" s="8" t="s">
        <v>4629</v>
      </c>
      <c r="AT81" s="8" t="s">
        <v>3556</v>
      </c>
      <c r="AU81" s="8">
        <v>2015.0</v>
      </c>
      <c r="AV81" s="8">
        <v>16.0</v>
      </c>
      <c r="AW81" s="8">
        <v>2.0</v>
      </c>
      <c r="AX81" s="8" t="s">
        <v>2135</v>
      </c>
      <c r="AY81" s="8" t="s">
        <v>2135</v>
      </c>
      <c r="AZ81" s="8" t="s">
        <v>2135</v>
      </c>
      <c r="BA81" s="8" t="s">
        <v>2135</v>
      </c>
      <c r="BB81" s="8">
        <v>371.0</v>
      </c>
      <c r="BC81" s="8">
        <v>384.0</v>
      </c>
      <c r="BD81" s="8" t="s">
        <v>2135</v>
      </c>
      <c r="BE81" s="8" t="s">
        <v>4769</v>
      </c>
      <c r="BF81" s="13" t="str">
        <f>HYPERLINK("http://dx.doi.org/10.1007/s10592-014-0664-2","http://dx.doi.org/10.1007/s10592-014-0664-2")</f>
        <v>http://dx.doi.org/10.1007/s10592-014-0664-2</v>
      </c>
      <c r="BG81" s="8" t="s">
        <v>2135</v>
      </c>
      <c r="BH81" s="8" t="s">
        <v>2135</v>
      </c>
      <c r="BI81" s="8">
        <v>14.0</v>
      </c>
      <c r="BJ81" s="8" t="s">
        <v>4631</v>
      </c>
      <c r="BK81" s="8" t="s">
        <v>3352</v>
      </c>
      <c r="BL81" s="8" t="s">
        <v>4632</v>
      </c>
      <c r="BM81" s="8" t="s">
        <v>4770</v>
      </c>
      <c r="BN81" s="8" t="s">
        <v>2135</v>
      </c>
      <c r="BO81" s="8" t="s">
        <v>2135</v>
      </c>
      <c r="BP81" s="8" t="s">
        <v>2135</v>
      </c>
      <c r="BQ81" s="8" t="s">
        <v>2135</v>
      </c>
      <c r="BR81" s="8" t="s">
        <v>3355</v>
      </c>
      <c r="BS81" s="8" t="s">
        <v>4771</v>
      </c>
      <c r="BT81" s="8" t="s">
        <v>2538</v>
      </c>
      <c r="BU81" s="8" t="s">
        <v>2142</v>
      </c>
      <c r="BW81" s="8" t="s">
        <v>2143</v>
      </c>
      <c r="BX81" s="8" t="s">
        <v>3064</v>
      </c>
      <c r="BY81" s="8" t="s">
        <v>3065</v>
      </c>
      <c r="BZ81" s="8" t="str">
        <f>HYPERLINK("https%3A%2F%2Fwww.webofscience.com%2Fwos%2Fwoscc%2Ffull-record%2FWOS:000351287400010","View Full Record in Web of Science")</f>
        <v>View Full Record in Web of Science</v>
      </c>
    </row>
    <row r="82" ht="12.75" customHeight="1">
      <c r="A82" s="8" t="s">
        <v>3329</v>
      </c>
      <c r="B82" s="8" t="s">
        <v>4772</v>
      </c>
      <c r="C82" s="8" t="s">
        <v>2135</v>
      </c>
      <c r="D82" s="8" t="s">
        <v>2135</v>
      </c>
      <c r="E82" s="8" t="s">
        <v>2135</v>
      </c>
      <c r="F82" s="8" t="s">
        <v>4772</v>
      </c>
      <c r="G82" s="8" t="s">
        <v>2135</v>
      </c>
      <c r="H82" s="8" t="s">
        <v>2135</v>
      </c>
      <c r="I82" s="8" t="s">
        <v>489</v>
      </c>
      <c r="J82" s="8" t="s">
        <v>4773</v>
      </c>
      <c r="K82" s="8" t="s">
        <v>2135</v>
      </c>
      <c r="L82" s="8" t="s">
        <v>2135</v>
      </c>
      <c r="M82" s="8" t="s">
        <v>3332</v>
      </c>
      <c r="N82" s="8" t="s">
        <v>3333</v>
      </c>
      <c r="O82" s="8" t="s">
        <v>2135</v>
      </c>
      <c r="P82" s="8" t="s">
        <v>2135</v>
      </c>
      <c r="Q82" s="8" t="s">
        <v>2135</v>
      </c>
      <c r="R82" s="8" t="s">
        <v>2135</v>
      </c>
      <c r="S82" s="8" t="s">
        <v>2135</v>
      </c>
      <c r="T82" s="8" t="s">
        <v>4774</v>
      </c>
      <c r="U82" s="8" t="s">
        <v>4775</v>
      </c>
      <c r="V82" s="8" t="s">
        <v>4776</v>
      </c>
      <c r="W82" s="8" t="s">
        <v>4777</v>
      </c>
      <c r="X82" s="8" t="s">
        <v>4778</v>
      </c>
      <c r="Y82" s="8" t="s">
        <v>4779</v>
      </c>
      <c r="Z82" s="8" t="s">
        <v>4780</v>
      </c>
      <c r="AA82" s="8" t="s">
        <v>4781</v>
      </c>
      <c r="AB82" s="8" t="s">
        <v>4782</v>
      </c>
      <c r="AC82" s="8" t="s">
        <v>2135</v>
      </c>
      <c r="AD82" s="8" t="s">
        <v>2135</v>
      </c>
      <c r="AE82" s="8" t="s">
        <v>2135</v>
      </c>
      <c r="AF82" s="8" t="s">
        <v>2135</v>
      </c>
      <c r="AG82" s="8">
        <v>71.0</v>
      </c>
      <c r="AH82" s="8">
        <v>21.0</v>
      </c>
      <c r="AI82" s="8">
        <v>25.0</v>
      </c>
      <c r="AJ82" s="8">
        <v>0.0</v>
      </c>
      <c r="AK82" s="8">
        <v>33.0</v>
      </c>
      <c r="AL82" s="8" t="s">
        <v>3342</v>
      </c>
      <c r="AM82" s="8" t="s">
        <v>3343</v>
      </c>
      <c r="AN82" s="8" t="s">
        <v>3344</v>
      </c>
      <c r="AO82" s="8" t="s">
        <v>4783</v>
      </c>
      <c r="AP82" s="8" t="s">
        <v>4784</v>
      </c>
      <c r="AQ82" s="8" t="s">
        <v>2135</v>
      </c>
      <c r="AR82" s="8" t="s">
        <v>4785</v>
      </c>
      <c r="AS82" s="8" t="s">
        <v>4786</v>
      </c>
      <c r="AT82" s="8" t="s">
        <v>3395</v>
      </c>
      <c r="AU82" s="8">
        <v>2003.0</v>
      </c>
      <c r="AV82" s="8">
        <v>260.0</v>
      </c>
      <c r="AW82" s="8" t="s">
        <v>2135</v>
      </c>
      <c r="AX82" s="8">
        <v>4.0</v>
      </c>
      <c r="AY82" s="8" t="s">
        <v>2135</v>
      </c>
      <c r="AZ82" s="8" t="s">
        <v>2135</v>
      </c>
      <c r="BA82" s="8" t="s">
        <v>2135</v>
      </c>
      <c r="BB82" s="8">
        <v>415.0</v>
      </c>
      <c r="BC82" s="8">
        <v>421.0</v>
      </c>
      <c r="BD82" s="8" t="s">
        <v>2135</v>
      </c>
      <c r="BE82" s="8" t="s">
        <v>4787</v>
      </c>
      <c r="BF82" s="13" t="str">
        <f>HYPERLINK("http://dx.doi.org/10.1017/S0952836903003881","http://dx.doi.org/10.1017/S0952836903003881")</f>
        <v>http://dx.doi.org/10.1017/S0952836903003881</v>
      </c>
      <c r="BG82" s="8" t="s">
        <v>2135</v>
      </c>
      <c r="BH82" s="8" t="s">
        <v>2135</v>
      </c>
      <c r="BI82" s="8">
        <v>7.0</v>
      </c>
      <c r="BJ82" s="8" t="s">
        <v>3397</v>
      </c>
      <c r="BK82" s="8" t="s">
        <v>3352</v>
      </c>
      <c r="BL82" s="8" t="s">
        <v>3397</v>
      </c>
      <c r="BM82" s="8" t="s">
        <v>4788</v>
      </c>
      <c r="BN82" s="8" t="s">
        <v>2135</v>
      </c>
      <c r="BO82" s="8" t="s">
        <v>3425</v>
      </c>
      <c r="BP82" s="8" t="s">
        <v>2135</v>
      </c>
      <c r="BQ82" s="8" t="s">
        <v>2135</v>
      </c>
      <c r="BR82" s="8" t="s">
        <v>3355</v>
      </c>
      <c r="BS82" s="8" t="s">
        <v>4789</v>
      </c>
      <c r="BT82" s="8" t="s">
        <v>2497</v>
      </c>
      <c r="BU82" s="8" t="s">
        <v>2142</v>
      </c>
      <c r="BW82" s="8" t="s">
        <v>2168</v>
      </c>
      <c r="BX82" s="8" t="s">
        <v>3165</v>
      </c>
      <c r="BY82" s="8" t="s">
        <v>3065</v>
      </c>
      <c r="BZ82" s="8" t="str">
        <f>HYPERLINK("https%3A%2F%2Fwww.webofscience.com%2Fwos%2Fwoscc%2Ffull-record%2FWOS:000184908100009","View Full Record in Web of Science")</f>
        <v>View Full Record in Web of Science</v>
      </c>
    </row>
    <row r="83" ht="12.75" customHeight="1">
      <c r="A83" s="8" t="s">
        <v>3329</v>
      </c>
      <c r="B83" s="8" t="s">
        <v>4790</v>
      </c>
      <c r="C83" s="8" t="s">
        <v>2135</v>
      </c>
      <c r="D83" s="8" t="s">
        <v>2135</v>
      </c>
      <c r="E83" s="8" t="s">
        <v>2135</v>
      </c>
      <c r="F83" s="8" t="s">
        <v>4791</v>
      </c>
      <c r="G83" s="8" t="s">
        <v>2135</v>
      </c>
      <c r="H83" s="8" t="s">
        <v>2135</v>
      </c>
      <c r="I83" s="8" t="s">
        <v>503</v>
      </c>
      <c r="J83" s="8" t="s">
        <v>3380</v>
      </c>
      <c r="K83" s="8" t="s">
        <v>2135</v>
      </c>
      <c r="L83" s="8" t="s">
        <v>2135</v>
      </c>
      <c r="M83" s="8" t="s">
        <v>3332</v>
      </c>
      <c r="N83" s="8" t="s">
        <v>3333</v>
      </c>
      <c r="O83" s="8" t="s">
        <v>2135</v>
      </c>
      <c r="P83" s="8" t="s">
        <v>2135</v>
      </c>
      <c r="Q83" s="8" t="s">
        <v>2135</v>
      </c>
      <c r="R83" s="8" t="s">
        <v>2135</v>
      </c>
      <c r="S83" s="8" t="s">
        <v>2135</v>
      </c>
      <c r="T83" s="8" t="s">
        <v>4792</v>
      </c>
      <c r="U83" s="8" t="s">
        <v>4793</v>
      </c>
      <c r="V83" s="8" t="s">
        <v>4794</v>
      </c>
      <c r="W83" s="8" t="s">
        <v>4795</v>
      </c>
      <c r="X83" s="8" t="s">
        <v>4796</v>
      </c>
      <c r="Y83" s="8" t="s">
        <v>4797</v>
      </c>
      <c r="Z83" s="8" t="s">
        <v>4798</v>
      </c>
      <c r="AA83" s="8" t="s">
        <v>4799</v>
      </c>
      <c r="AB83" s="8" t="s">
        <v>4800</v>
      </c>
      <c r="AC83" s="8" t="s">
        <v>4801</v>
      </c>
      <c r="AD83" s="8" t="s">
        <v>4802</v>
      </c>
      <c r="AE83" s="8" t="s">
        <v>4803</v>
      </c>
      <c r="AF83" s="8" t="s">
        <v>2135</v>
      </c>
      <c r="AG83" s="8">
        <v>48.0</v>
      </c>
      <c r="AH83" s="8">
        <v>6.0</v>
      </c>
      <c r="AI83" s="8">
        <v>7.0</v>
      </c>
      <c r="AJ83" s="8">
        <v>0.0</v>
      </c>
      <c r="AK83" s="8">
        <v>31.0</v>
      </c>
      <c r="AL83" s="8" t="s">
        <v>3921</v>
      </c>
      <c r="AM83" s="8" t="s">
        <v>3922</v>
      </c>
      <c r="AN83" s="8" t="s">
        <v>3923</v>
      </c>
      <c r="AO83" s="8" t="s">
        <v>3392</v>
      </c>
      <c r="AP83" s="8" t="s">
        <v>4022</v>
      </c>
      <c r="AQ83" s="8" t="s">
        <v>2135</v>
      </c>
      <c r="AR83" s="8" t="s">
        <v>3393</v>
      </c>
      <c r="AS83" s="8" t="s">
        <v>3394</v>
      </c>
      <c r="AT83" s="8" t="s">
        <v>3741</v>
      </c>
      <c r="AU83" s="8">
        <v>2015.0</v>
      </c>
      <c r="AV83" s="8">
        <v>96.0</v>
      </c>
      <c r="AW83" s="8">
        <v>6.0</v>
      </c>
      <c r="AX83" s="8" t="s">
        <v>2135</v>
      </c>
      <c r="AY83" s="8" t="s">
        <v>2135</v>
      </c>
      <c r="AZ83" s="8" t="s">
        <v>2135</v>
      </c>
      <c r="BA83" s="8" t="s">
        <v>2135</v>
      </c>
      <c r="BB83" s="8">
        <v>1275.0</v>
      </c>
      <c r="BC83" s="8">
        <v>1283.0</v>
      </c>
      <c r="BD83" s="8" t="s">
        <v>2135</v>
      </c>
      <c r="BE83" s="8" t="s">
        <v>4804</v>
      </c>
      <c r="BF83" s="13" t="str">
        <f>HYPERLINK("http://dx.doi.org/10.1093/jmammal/gyv136","http://dx.doi.org/10.1093/jmammal/gyv136")</f>
        <v>http://dx.doi.org/10.1093/jmammal/gyv136</v>
      </c>
      <c r="BG83" s="8" t="s">
        <v>2135</v>
      </c>
      <c r="BH83" s="8" t="s">
        <v>2135</v>
      </c>
      <c r="BI83" s="8">
        <v>9.0</v>
      </c>
      <c r="BJ83" s="8" t="s">
        <v>3397</v>
      </c>
      <c r="BK83" s="8" t="s">
        <v>3352</v>
      </c>
      <c r="BL83" s="8" t="s">
        <v>3397</v>
      </c>
      <c r="BM83" s="8" t="s">
        <v>4805</v>
      </c>
      <c r="BN83" s="8" t="s">
        <v>2135</v>
      </c>
      <c r="BO83" s="8" t="s">
        <v>3445</v>
      </c>
      <c r="BP83" s="8" t="s">
        <v>2135</v>
      </c>
      <c r="BQ83" s="8" t="s">
        <v>2135</v>
      </c>
      <c r="BR83" s="8" t="s">
        <v>3355</v>
      </c>
      <c r="BS83" s="8" t="s">
        <v>4806</v>
      </c>
      <c r="BT83" s="8" t="s">
        <v>2352</v>
      </c>
      <c r="BU83" s="8" t="s">
        <v>2142</v>
      </c>
      <c r="BW83" s="8" t="s">
        <v>2143</v>
      </c>
      <c r="BX83" s="8" t="s">
        <v>3066</v>
      </c>
      <c r="BY83" s="8" t="s">
        <v>3067</v>
      </c>
      <c r="BZ83" s="8" t="str">
        <f>HYPERLINK("https%3A%2F%2Fwww.webofscience.com%2Fwos%2Fwoscc%2Ffull-record%2FWOS:000366389800016","View Full Record in Web of Science")</f>
        <v>View Full Record in Web of Science</v>
      </c>
    </row>
    <row r="84" ht="12.75" customHeight="1">
      <c r="A84" s="8" t="s">
        <v>3329</v>
      </c>
      <c r="B84" s="8" t="s">
        <v>4807</v>
      </c>
      <c r="C84" s="8" t="s">
        <v>2135</v>
      </c>
      <c r="D84" s="8" t="s">
        <v>2135</v>
      </c>
      <c r="E84" s="8" t="s">
        <v>2135</v>
      </c>
      <c r="F84" s="8" t="s">
        <v>4808</v>
      </c>
      <c r="G84" s="8" t="s">
        <v>2135</v>
      </c>
      <c r="H84" s="8" t="s">
        <v>2135</v>
      </c>
      <c r="I84" s="8" t="s">
        <v>501</v>
      </c>
      <c r="J84" s="8" t="s">
        <v>3941</v>
      </c>
      <c r="K84" s="8" t="s">
        <v>2135</v>
      </c>
      <c r="L84" s="8" t="s">
        <v>2135</v>
      </c>
      <c r="M84" s="8" t="s">
        <v>3332</v>
      </c>
      <c r="N84" s="8" t="s">
        <v>3333</v>
      </c>
      <c r="O84" s="8" t="s">
        <v>2135</v>
      </c>
      <c r="P84" s="8" t="s">
        <v>2135</v>
      </c>
      <c r="Q84" s="8" t="s">
        <v>2135</v>
      </c>
      <c r="R84" s="8" t="s">
        <v>2135</v>
      </c>
      <c r="S84" s="8" t="s">
        <v>2135</v>
      </c>
      <c r="T84" s="8" t="s">
        <v>4809</v>
      </c>
      <c r="U84" s="8" t="s">
        <v>4810</v>
      </c>
      <c r="V84" s="8" t="s">
        <v>4811</v>
      </c>
      <c r="W84" s="8" t="s">
        <v>4812</v>
      </c>
      <c r="X84" s="8" t="s">
        <v>4813</v>
      </c>
      <c r="Y84" s="8" t="s">
        <v>4814</v>
      </c>
      <c r="Z84" s="8" t="s">
        <v>4815</v>
      </c>
      <c r="AA84" s="8" t="s">
        <v>4816</v>
      </c>
      <c r="AB84" s="8" t="s">
        <v>4817</v>
      </c>
      <c r="AC84" s="8" t="s">
        <v>4818</v>
      </c>
      <c r="AD84" s="8" t="s">
        <v>4818</v>
      </c>
      <c r="AE84" s="8" t="s">
        <v>4819</v>
      </c>
      <c r="AF84" s="8" t="s">
        <v>2135</v>
      </c>
      <c r="AG84" s="8">
        <v>62.0</v>
      </c>
      <c r="AH84" s="8">
        <v>5.0</v>
      </c>
      <c r="AI84" s="8">
        <v>6.0</v>
      </c>
      <c r="AJ84" s="8">
        <v>0.0</v>
      </c>
      <c r="AK84" s="8">
        <v>77.0</v>
      </c>
      <c r="AL84" s="8" t="s">
        <v>3921</v>
      </c>
      <c r="AM84" s="8" t="s">
        <v>3922</v>
      </c>
      <c r="AN84" s="8" t="s">
        <v>3923</v>
      </c>
      <c r="AO84" s="8" t="s">
        <v>3953</v>
      </c>
      <c r="AP84" s="8" t="s">
        <v>2135</v>
      </c>
      <c r="AQ84" s="8" t="s">
        <v>2135</v>
      </c>
      <c r="AR84" s="8" t="s">
        <v>3955</v>
      </c>
      <c r="AS84" s="8" t="s">
        <v>3956</v>
      </c>
      <c r="AT84" s="8" t="s">
        <v>4820</v>
      </c>
      <c r="AU84" s="8">
        <v>2013.0</v>
      </c>
      <c r="AV84" s="8">
        <v>104.0</v>
      </c>
      <c r="AW84" s="8">
        <v>2.0</v>
      </c>
      <c r="AX84" s="8" t="s">
        <v>2135</v>
      </c>
      <c r="AY84" s="8" t="s">
        <v>2135</v>
      </c>
      <c r="AZ84" s="8" t="s">
        <v>2135</v>
      </c>
      <c r="BA84" s="8" t="s">
        <v>2135</v>
      </c>
      <c r="BB84" s="8">
        <v>192.0</v>
      </c>
      <c r="BC84" s="8">
        <v>201.0</v>
      </c>
      <c r="BD84" s="8" t="s">
        <v>2135</v>
      </c>
      <c r="BE84" s="8" t="s">
        <v>4821</v>
      </c>
      <c r="BF84" s="13" t="str">
        <f>HYPERLINK("http://dx.doi.org/10.1093/jhered/ess094","http://dx.doi.org/10.1093/jhered/ess094")</f>
        <v>http://dx.doi.org/10.1093/jhered/ess094</v>
      </c>
      <c r="BG84" s="8" t="s">
        <v>2135</v>
      </c>
      <c r="BH84" s="8" t="s">
        <v>2135</v>
      </c>
      <c r="BI84" s="8">
        <v>10.0</v>
      </c>
      <c r="BJ84" s="8" t="s">
        <v>3958</v>
      </c>
      <c r="BK84" s="8" t="s">
        <v>3352</v>
      </c>
      <c r="BL84" s="8" t="s">
        <v>3958</v>
      </c>
      <c r="BM84" s="8" t="s">
        <v>4822</v>
      </c>
      <c r="BN84" s="8">
        <v>2.3225879E7</v>
      </c>
      <c r="BO84" s="8" t="s">
        <v>3445</v>
      </c>
      <c r="BP84" s="8" t="s">
        <v>2135</v>
      </c>
      <c r="BQ84" s="8" t="s">
        <v>2135</v>
      </c>
      <c r="BR84" s="8" t="s">
        <v>3355</v>
      </c>
      <c r="BS84" s="8" t="s">
        <v>4823</v>
      </c>
      <c r="BT84" s="8" t="s">
        <v>2377</v>
      </c>
      <c r="BW84" s="8" t="s">
        <v>2143</v>
      </c>
      <c r="BX84" s="8" t="s">
        <v>3068</v>
      </c>
      <c r="BY84" s="8" t="s">
        <v>3067</v>
      </c>
      <c r="BZ84" s="8" t="str">
        <f>HYPERLINK("https%3A%2F%2Fwww.webofscience.com%2Fwos%2Fwoscc%2Ffull-record%2FWOS:000315155900004","View Full Record in Web of Science")</f>
        <v>View Full Record in Web of Science</v>
      </c>
    </row>
    <row r="85" ht="12.75" customHeight="1">
      <c r="A85" s="8" t="s">
        <v>3329</v>
      </c>
      <c r="B85" s="8" t="s">
        <v>4824</v>
      </c>
      <c r="C85" s="8" t="s">
        <v>2135</v>
      </c>
      <c r="D85" s="8" t="s">
        <v>2135</v>
      </c>
      <c r="E85" s="8" t="s">
        <v>2135</v>
      </c>
      <c r="F85" s="8" t="s">
        <v>4825</v>
      </c>
      <c r="G85" s="8" t="s">
        <v>2135</v>
      </c>
      <c r="H85" s="8" t="s">
        <v>2135</v>
      </c>
      <c r="I85" s="8" t="s">
        <v>514</v>
      </c>
      <c r="J85" s="8" t="s">
        <v>3704</v>
      </c>
      <c r="K85" s="8" t="s">
        <v>2135</v>
      </c>
      <c r="L85" s="8" t="s">
        <v>2135</v>
      </c>
      <c r="M85" s="8" t="s">
        <v>3332</v>
      </c>
      <c r="N85" s="8" t="s">
        <v>3333</v>
      </c>
      <c r="O85" s="8" t="s">
        <v>2135</v>
      </c>
      <c r="P85" s="8" t="s">
        <v>2135</v>
      </c>
      <c r="Q85" s="8" t="s">
        <v>2135</v>
      </c>
      <c r="R85" s="8" t="s">
        <v>2135</v>
      </c>
      <c r="S85" s="8" t="s">
        <v>2135</v>
      </c>
      <c r="T85" s="8" t="s">
        <v>4826</v>
      </c>
      <c r="U85" s="8" t="s">
        <v>4827</v>
      </c>
      <c r="V85" s="8" t="s">
        <v>4828</v>
      </c>
      <c r="W85" s="8" t="s">
        <v>4829</v>
      </c>
      <c r="X85" s="8" t="s">
        <v>4830</v>
      </c>
      <c r="Y85" s="8" t="s">
        <v>4831</v>
      </c>
      <c r="Z85" s="8" t="s">
        <v>4832</v>
      </c>
      <c r="AA85" s="8" t="s">
        <v>4833</v>
      </c>
      <c r="AB85" s="8" t="s">
        <v>4834</v>
      </c>
      <c r="AC85" s="8" t="s">
        <v>4835</v>
      </c>
      <c r="AD85" s="8" t="s">
        <v>4836</v>
      </c>
      <c r="AE85" s="8" t="s">
        <v>4837</v>
      </c>
      <c r="AF85" s="8" t="s">
        <v>2135</v>
      </c>
      <c r="AG85" s="8">
        <v>52.0</v>
      </c>
      <c r="AH85" s="8">
        <v>8.0</v>
      </c>
      <c r="AI85" s="8">
        <v>9.0</v>
      </c>
      <c r="AJ85" s="8">
        <v>0.0</v>
      </c>
      <c r="AK85" s="8">
        <v>41.0</v>
      </c>
      <c r="AL85" s="8" t="s">
        <v>4838</v>
      </c>
      <c r="AM85" s="8" t="s">
        <v>4839</v>
      </c>
      <c r="AN85" s="8" t="s">
        <v>4840</v>
      </c>
      <c r="AO85" s="8" t="s">
        <v>3717</v>
      </c>
      <c r="AP85" s="8" t="s">
        <v>3718</v>
      </c>
      <c r="AQ85" s="8" t="s">
        <v>2135</v>
      </c>
      <c r="AR85" s="8" t="s">
        <v>3719</v>
      </c>
      <c r="AS85" s="8" t="s">
        <v>3720</v>
      </c>
      <c r="AT85" s="8" t="s">
        <v>3462</v>
      </c>
      <c r="AU85" s="8">
        <v>2017.0</v>
      </c>
      <c r="AV85" s="8">
        <v>86.0</v>
      </c>
      <c r="AW85" s="8" t="s">
        <v>2135</v>
      </c>
      <c r="AX85" s="8" t="s">
        <v>2135</v>
      </c>
      <c r="AY85" s="8" t="s">
        <v>2135</v>
      </c>
      <c r="AZ85" s="8" t="s">
        <v>2135</v>
      </c>
      <c r="BA85" s="8" t="s">
        <v>2135</v>
      </c>
      <c r="BB85" s="8">
        <v>42.0</v>
      </c>
      <c r="BC85" s="8">
        <v>47.0</v>
      </c>
      <c r="BD85" s="8" t="s">
        <v>2135</v>
      </c>
      <c r="BE85" s="8" t="s">
        <v>4841</v>
      </c>
      <c r="BF85" s="13" t="str">
        <f>HYPERLINK("http://dx.doi.org/10.1016/j.mambio.2016.12.001","http://dx.doi.org/10.1016/j.mambio.2016.12.001")</f>
        <v>http://dx.doi.org/10.1016/j.mambio.2016.12.001</v>
      </c>
      <c r="BG85" s="8" t="s">
        <v>2135</v>
      </c>
      <c r="BH85" s="8" t="s">
        <v>2135</v>
      </c>
      <c r="BI85" s="8">
        <v>6.0</v>
      </c>
      <c r="BJ85" s="8" t="s">
        <v>3397</v>
      </c>
      <c r="BK85" s="8" t="s">
        <v>3352</v>
      </c>
      <c r="BL85" s="8" t="s">
        <v>3397</v>
      </c>
      <c r="BM85" s="8" t="s">
        <v>4842</v>
      </c>
      <c r="BN85" s="8" t="s">
        <v>2135</v>
      </c>
      <c r="BO85" s="8" t="s">
        <v>2135</v>
      </c>
      <c r="BP85" s="8" t="s">
        <v>2135</v>
      </c>
      <c r="BQ85" s="8" t="s">
        <v>2135</v>
      </c>
      <c r="BR85" s="8" t="s">
        <v>3355</v>
      </c>
      <c r="BS85" s="8" t="s">
        <v>4843</v>
      </c>
      <c r="BT85" s="8" t="s">
        <v>2345</v>
      </c>
      <c r="BU85" s="8" t="s">
        <v>2142</v>
      </c>
      <c r="BW85" s="8" t="s">
        <v>2143</v>
      </c>
      <c r="BX85" s="8" t="s">
        <v>2953</v>
      </c>
      <c r="BY85" s="8" t="s">
        <v>3069</v>
      </c>
      <c r="BZ85" s="8" t="str">
        <f>HYPERLINK("https%3A%2F%2Fwww.webofscience.com%2Fwos%2Fwoscc%2Ffull-record%2FWOS:000413132400007","View Full Record in Web of Science")</f>
        <v>View Full Record in Web of Science</v>
      </c>
    </row>
    <row r="86" ht="12.75" customHeight="1">
      <c r="A86" s="8" t="s">
        <v>3329</v>
      </c>
      <c r="B86" s="8" t="s">
        <v>4844</v>
      </c>
      <c r="C86" s="8" t="s">
        <v>2135</v>
      </c>
      <c r="D86" s="8" t="s">
        <v>2135</v>
      </c>
      <c r="E86" s="8" t="s">
        <v>2135</v>
      </c>
      <c r="F86" s="8" t="s">
        <v>4845</v>
      </c>
      <c r="G86" s="8" t="s">
        <v>2135</v>
      </c>
      <c r="H86" s="8" t="s">
        <v>2135</v>
      </c>
      <c r="I86" s="8" t="s">
        <v>512</v>
      </c>
      <c r="J86" s="8" t="s">
        <v>4846</v>
      </c>
      <c r="K86" s="8" t="s">
        <v>2135</v>
      </c>
      <c r="L86" s="8" t="s">
        <v>2135</v>
      </c>
      <c r="M86" s="8" t="s">
        <v>3332</v>
      </c>
      <c r="N86" s="8" t="s">
        <v>3333</v>
      </c>
      <c r="O86" s="8" t="s">
        <v>2135</v>
      </c>
      <c r="P86" s="8" t="s">
        <v>2135</v>
      </c>
      <c r="Q86" s="8" t="s">
        <v>2135</v>
      </c>
      <c r="R86" s="8" t="s">
        <v>2135</v>
      </c>
      <c r="S86" s="8" t="s">
        <v>2135</v>
      </c>
      <c r="T86" s="8" t="s">
        <v>4847</v>
      </c>
      <c r="U86" s="8" t="s">
        <v>4848</v>
      </c>
      <c r="V86" s="8" t="s">
        <v>4849</v>
      </c>
      <c r="W86" s="8" t="s">
        <v>4850</v>
      </c>
      <c r="X86" s="8" t="s">
        <v>4851</v>
      </c>
      <c r="Y86" s="8" t="s">
        <v>4852</v>
      </c>
      <c r="Z86" s="8" t="s">
        <v>4415</v>
      </c>
      <c r="AA86" s="8" t="s">
        <v>4853</v>
      </c>
      <c r="AB86" s="8" t="s">
        <v>4854</v>
      </c>
      <c r="AC86" s="8" t="s">
        <v>2135</v>
      </c>
      <c r="AD86" s="8" t="s">
        <v>2135</v>
      </c>
      <c r="AE86" s="8" t="s">
        <v>2135</v>
      </c>
      <c r="AF86" s="8" t="s">
        <v>2135</v>
      </c>
      <c r="AG86" s="8">
        <v>69.0</v>
      </c>
      <c r="AH86" s="8">
        <v>28.0</v>
      </c>
      <c r="AI86" s="8">
        <v>30.0</v>
      </c>
      <c r="AJ86" s="8">
        <v>3.0</v>
      </c>
      <c r="AK86" s="8">
        <v>92.0</v>
      </c>
      <c r="AL86" s="8" t="s">
        <v>3366</v>
      </c>
      <c r="AM86" s="8" t="s">
        <v>3367</v>
      </c>
      <c r="AN86" s="8" t="s">
        <v>3368</v>
      </c>
      <c r="AO86" s="8" t="s">
        <v>4855</v>
      </c>
      <c r="AP86" s="8" t="s">
        <v>4856</v>
      </c>
      <c r="AQ86" s="8" t="s">
        <v>2135</v>
      </c>
      <c r="AR86" s="8" t="s">
        <v>4857</v>
      </c>
      <c r="AS86" s="8" t="s">
        <v>4858</v>
      </c>
      <c r="AT86" s="8" t="s">
        <v>4859</v>
      </c>
      <c r="AU86" s="8">
        <v>2014.0</v>
      </c>
      <c r="AV86" s="8">
        <v>274.0</v>
      </c>
      <c r="AW86" s="8" t="s">
        <v>2135</v>
      </c>
      <c r="AX86" s="8" t="s">
        <v>2135</v>
      </c>
      <c r="AY86" s="8" t="s">
        <v>2135</v>
      </c>
      <c r="AZ86" s="8" t="s">
        <v>2135</v>
      </c>
      <c r="BA86" s="8" t="s">
        <v>2135</v>
      </c>
      <c r="BB86" s="8">
        <v>21.0</v>
      </c>
      <c r="BC86" s="8">
        <v>28.0</v>
      </c>
      <c r="BD86" s="8" t="s">
        <v>2135</v>
      </c>
      <c r="BE86" s="8" t="s">
        <v>4860</v>
      </c>
      <c r="BF86" s="13" t="str">
        <f>HYPERLINK("http://dx.doi.org/10.1016/j.ecolmodel.2013.11.027","http://dx.doi.org/10.1016/j.ecolmodel.2013.11.027")</f>
        <v>http://dx.doi.org/10.1016/j.ecolmodel.2013.11.027</v>
      </c>
      <c r="BG86" s="8" t="s">
        <v>2135</v>
      </c>
      <c r="BH86" s="8" t="s">
        <v>2135</v>
      </c>
      <c r="BI86" s="8">
        <v>8.0</v>
      </c>
      <c r="BJ86" s="8" t="s">
        <v>3681</v>
      </c>
      <c r="BK86" s="8" t="s">
        <v>3352</v>
      </c>
      <c r="BL86" s="8" t="s">
        <v>3632</v>
      </c>
      <c r="BM86" s="8" t="s">
        <v>4861</v>
      </c>
      <c r="BN86" s="8" t="s">
        <v>2135</v>
      </c>
      <c r="BO86" s="8" t="s">
        <v>2135</v>
      </c>
      <c r="BP86" s="8" t="s">
        <v>2135</v>
      </c>
      <c r="BQ86" s="8" t="s">
        <v>2135</v>
      </c>
      <c r="BR86" s="8" t="s">
        <v>3355</v>
      </c>
      <c r="BS86" s="8" t="s">
        <v>4862</v>
      </c>
      <c r="BT86" s="8" t="s">
        <v>2379</v>
      </c>
      <c r="BU86" s="8" t="s">
        <v>2142</v>
      </c>
      <c r="BW86" s="8" t="s">
        <v>2143</v>
      </c>
      <c r="BX86" s="8" t="s">
        <v>2953</v>
      </c>
      <c r="BY86" s="8" t="s">
        <v>3069</v>
      </c>
      <c r="BZ86" s="8" t="str">
        <f>HYPERLINK("https%3A%2F%2Fwww.webofscience.com%2Fwos%2Fwoscc%2Ffull-record%2FWOS:000331162000003","View Full Record in Web of Science")</f>
        <v>View Full Record in Web of Science</v>
      </c>
    </row>
    <row r="87" ht="12.75" customHeight="1">
      <c r="A87" s="8" t="s">
        <v>3329</v>
      </c>
      <c r="B87" s="8" t="s">
        <v>4863</v>
      </c>
      <c r="C87" s="8" t="s">
        <v>2135</v>
      </c>
      <c r="D87" s="8" t="s">
        <v>2135</v>
      </c>
      <c r="E87" s="8" t="s">
        <v>2135</v>
      </c>
      <c r="F87" s="8" t="s">
        <v>4863</v>
      </c>
      <c r="G87" s="8" t="s">
        <v>2135</v>
      </c>
      <c r="H87" s="8" t="s">
        <v>2135</v>
      </c>
      <c r="I87" s="8" t="s">
        <v>507</v>
      </c>
      <c r="J87" s="8" t="s">
        <v>4864</v>
      </c>
      <c r="K87" s="8" t="s">
        <v>2135</v>
      </c>
      <c r="L87" s="8" t="s">
        <v>2135</v>
      </c>
      <c r="M87" s="8" t="s">
        <v>3332</v>
      </c>
      <c r="N87" s="8" t="s">
        <v>3333</v>
      </c>
      <c r="O87" s="8" t="s">
        <v>2135</v>
      </c>
      <c r="P87" s="8" t="s">
        <v>2135</v>
      </c>
      <c r="Q87" s="8" t="s">
        <v>2135</v>
      </c>
      <c r="R87" s="8" t="s">
        <v>2135</v>
      </c>
      <c r="S87" s="8" t="s">
        <v>2135</v>
      </c>
      <c r="T87" s="8" t="s">
        <v>2135</v>
      </c>
      <c r="U87" s="8" t="s">
        <v>4865</v>
      </c>
      <c r="V87" s="8" t="s">
        <v>4866</v>
      </c>
      <c r="W87" s="8" t="s">
        <v>4867</v>
      </c>
      <c r="X87" s="8" t="s">
        <v>4868</v>
      </c>
      <c r="Y87" s="8" t="s">
        <v>4869</v>
      </c>
      <c r="Z87" s="8" t="s">
        <v>4870</v>
      </c>
      <c r="AA87" s="8" t="s">
        <v>4871</v>
      </c>
      <c r="AB87" s="8" t="s">
        <v>4872</v>
      </c>
      <c r="AC87" s="8" t="s">
        <v>2135</v>
      </c>
      <c r="AD87" s="8" t="s">
        <v>2135</v>
      </c>
      <c r="AE87" s="8" t="s">
        <v>2135</v>
      </c>
      <c r="AF87" s="8" t="s">
        <v>2135</v>
      </c>
      <c r="AG87" s="8">
        <v>38.0</v>
      </c>
      <c r="AH87" s="8">
        <v>51.0</v>
      </c>
      <c r="AI87" s="8">
        <v>57.0</v>
      </c>
      <c r="AJ87" s="8">
        <v>0.0</v>
      </c>
      <c r="AK87" s="8">
        <v>44.0</v>
      </c>
      <c r="AL87" s="8" t="s">
        <v>3342</v>
      </c>
      <c r="AM87" s="8" t="s">
        <v>3343</v>
      </c>
      <c r="AN87" s="8" t="s">
        <v>3344</v>
      </c>
      <c r="AO87" s="8" t="s">
        <v>4873</v>
      </c>
      <c r="AP87" s="8" t="s">
        <v>4874</v>
      </c>
      <c r="AQ87" s="8" t="s">
        <v>2135</v>
      </c>
      <c r="AR87" s="8" t="s">
        <v>4875</v>
      </c>
      <c r="AS87" s="8" t="s">
        <v>4876</v>
      </c>
      <c r="AT87" s="8" t="s">
        <v>3765</v>
      </c>
      <c r="AU87" s="8">
        <v>2003.0</v>
      </c>
      <c r="AV87" s="8">
        <v>6.0</v>
      </c>
      <c r="AW87" s="8" t="s">
        <v>2135</v>
      </c>
      <c r="AX87" s="8">
        <v>2.0</v>
      </c>
      <c r="AY87" s="8" t="s">
        <v>2135</v>
      </c>
      <c r="AZ87" s="8" t="s">
        <v>2135</v>
      </c>
      <c r="BA87" s="8" t="s">
        <v>2135</v>
      </c>
      <c r="BB87" s="8">
        <v>93.0</v>
      </c>
      <c r="BC87" s="8">
        <v>100.0</v>
      </c>
      <c r="BD87" s="8" t="s">
        <v>2135</v>
      </c>
      <c r="BE87" s="8" t="s">
        <v>4877</v>
      </c>
      <c r="BF87" s="13" t="str">
        <f>HYPERLINK("http://dx.doi.org/10.1017/S1367943003003123","http://dx.doi.org/10.1017/S1367943003003123")</f>
        <v>http://dx.doi.org/10.1017/S1367943003003123</v>
      </c>
      <c r="BG87" s="8" t="s">
        <v>2135</v>
      </c>
      <c r="BH87" s="8" t="s">
        <v>2135</v>
      </c>
      <c r="BI87" s="8">
        <v>8.0</v>
      </c>
      <c r="BJ87" s="8" t="s">
        <v>3558</v>
      </c>
      <c r="BK87" s="8" t="s">
        <v>3352</v>
      </c>
      <c r="BL87" s="8" t="s">
        <v>3353</v>
      </c>
      <c r="BM87" s="8" t="s">
        <v>4878</v>
      </c>
      <c r="BN87" s="8" t="s">
        <v>2135</v>
      </c>
      <c r="BO87" s="8" t="s">
        <v>2135</v>
      </c>
      <c r="BP87" s="8" t="s">
        <v>2135</v>
      </c>
      <c r="BQ87" s="8" t="s">
        <v>2135</v>
      </c>
      <c r="BR87" s="8" t="s">
        <v>3355</v>
      </c>
      <c r="BS87" s="8" t="s">
        <v>4879</v>
      </c>
      <c r="BU87" s="8" t="s">
        <v>2142</v>
      </c>
      <c r="BW87" s="8" t="s">
        <v>2143</v>
      </c>
      <c r="BX87" s="8" t="s">
        <v>2953</v>
      </c>
      <c r="BY87" s="8" t="s">
        <v>3069</v>
      </c>
      <c r="BZ87" s="8" t="str">
        <f>HYPERLINK("https%3A%2F%2Fwww.webofscience.com%2Fwos%2Fwoscc%2Ffull-record%2FWOS:000183461600001","View Full Record in Web of Science")</f>
        <v>View Full Record in Web of Science</v>
      </c>
    </row>
    <row r="88" ht="12.75" customHeight="1">
      <c r="A88" s="8" t="s">
        <v>3329</v>
      </c>
      <c r="B88" s="8" t="s">
        <v>4880</v>
      </c>
      <c r="C88" s="8" t="s">
        <v>2135</v>
      </c>
      <c r="D88" s="8" t="s">
        <v>2135</v>
      </c>
      <c r="E88" s="8" t="s">
        <v>2135</v>
      </c>
      <c r="F88" s="8" t="s">
        <v>4881</v>
      </c>
      <c r="G88" s="8" t="s">
        <v>2135</v>
      </c>
      <c r="H88" s="8" t="s">
        <v>2135</v>
      </c>
      <c r="I88" s="8" t="s">
        <v>524</v>
      </c>
      <c r="J88" s="8" t="s">
        <v>3941</v>
      </c>
      <c r="K88" s="8" t="s">
        <v>2135</v>
      </c>
      <c r="L88" s="8" t="s">
        <v>2135</v>
      </c>
      <c r="M88" s="8" t="s">
        <v>3332</v>
      </c>
      <c r="N88" s="8" t="s">
        <v>3333</v>
      </c>
      <c r="O88" s="8" t="s">
        <v>2135</v>
      </c>
      <c r="P88" s="8" t="s">
        <v>2135</v>
      </c>
      <c r="Q88" s="8" t="s">
        <v>2135</v>
      </c>
      <c r="R88" s="8" t="s">
        <v>2135</v>
      </c>
      <c r="S88" s="8" t="s">
        <v>2135</v>
      </c>
      <c r="T88" s="8" t="s">
        <v>2135</v>
      </c>
      <c r="U88" s="8" t="s">
        <v>4882</v>
      </c>
      <c r="V88" s="8" t="s">
        <v>4883</v>
      </c>
      <c r="W88" s="8" t="s">
        <v>4884</v>
      </c>
      <c r="X88" s="8" t="s">
        <v>4885</v>
      </c>
      <c r="Y88" s="8" t="s">
        <v>4886</v>
      </c>
      <c r="Z88" s="8" t="s">
        <v>4887</v>
      </c>
      <c r="AA88" s="8" t="s">
        <v>2135</v>
      </c>
      <c r="AB88" s="8" t="s">
        <v>4888</v>
      </c>
      <c r="AC88" s="8" t="s">
        <v>2135</v>
      </c>
      <c r="AD88" s="8" t="s">
        <v>2135</v>
      </c>
      <c r="AE88" s="8" t="s">
        <v>2135</v>
      </c>
      <c r="AF88" s="8" t="s">
        <v>2135</v>
      </c>
      <c r="AG88" s="8">
        <v>60.0</v>
      </c>
      <c r="AH88" s="8">
        <v>43.0</v>
      </c>
      <c r="AI88" s="8">
        <v>67.0</v>
      </c>
      <c r="AJ88" s="8">
        <v>3.0</v>
      </c>
      <c r="AK88" s="8">
        <v>57.0</v>
      </c>
      <c r="AL88" s="8" t="s">
        <v>3921</v>
      </c>
      <c r="AM88" s="8" t="s">
        <v>3922</v>
      </c>
      <c r="AN88" s="8" t="s">
        <v>3923</v>
      </c>
      <c r="AO88" s="8" t="s">
        <v>3953</v>
      </c>
      <c r="AP88" s="8" t="s">
        <v>3954</v>
      </c>
      <c r="AQ88" s="8" t="s">
        <v>2135</v>
      </c>
      <c r="AR88" s="8" t="s">
        <v>3955</v>
      </c>
      <c r="AS88" s="8" t="s">
        <v>3956</v>
      </c>
      <c r="AT88" s="8" t="s">
        <v>4889</v>
      </c>
      <c r="AU88" s="8">
        <v>2008.0</v>
      </c>
      <c r="AV88" s="8">
        <v>99.0</v>
      </c>
      <c r="AW88" s="8">
        <v>3.0</v>
      </c>
      <c r="AX88" s="8" t="s">
        <v>2135</v>
      </c>
      <c r="AY88" s="8" t="s">
        <v>2135</v>
      </c>
      <c r="AZ88" s="8" t="s">
        <v>2135</v>
      </c>
      <c r="BA88" s="8" t="s">
        <v>2135</v>
      </c>
      <c r="BB88" s="8">
        <v>265.0</v>
      </c>
      <c r="BC88" s="8">
        <v>274.0</v>
      </c>
      <c r="BD88" s="8" t="s">
        <v>2135</v>
      </c>
      <c r="BE88" s="8" t="s">
        <v>4890</v>
      </c>
      <c r="BF88" s="13" t="str">
        <f>HYPERLINK("http://dx.doi.org/10.1093/jhered/esn009","http://dx.doi.org/10.1093/jhered/esn009")</f>
        <v>http://dx.doi.org/10.1093/jhered/esn009</v>
      </c>
      <c r="BG88" s="8" t="s">
        <v>2135</v>
      </c>
      <c r="BH88" s="8" t="s">
        <v>2135</v>
      </c>
      <c r="BI88" s="8">
        <v>10.0</v>
      </c>
      <c r="BJ88" s="8" t="s">
        <v>3958</v>
      </c>
      <c r="BK88" s="8" t="s">
        <v>3352</v>
      </c>
      <c r="BL88" s="8" t="s">
        <v>3958</v>
      </c>
      <c r="BM88" s="8" t="s">
        <v>4891</v>
      </c>
      <c r="BN88" s="8">
        <v>1.8316322E7</v>
      </c>
      <c r="BO88" s="8" t="s">
        <v>3445</v>
      </c>
      <c r="BP88" s="8" t="s">
        <v>2135</v>
      </c>
      <c r="BQ88" s="8" t="s">
        <v>2135</v>
      </c>
      <c r="BR88" s="8" t="s">
        <v>3355</v>
      </c>
      <c r="BS88" s="8" t="s">
        <v>4892</v>
      </c>
      <c r="BT88" s="8" t="s">
        <v>2600</v>
      </c>
      <c r="BU88" s="8" t="s">
        <v>2147</v>
      </c>
      <c r="BV88" s="8" t="s">
        <v>2217</v>
      </c>
      <c r="BW88" s="8" t="s">
        <v>2234</v>
      </c>
      <c r="BX88" s="8" t="s">
        <v>2953</v>
      </c>
      <c r="BY88" s="8" t="s">
        <v>3031</v>
      </c>
      <c r="BZ88" s="8" t="str">
        <f>HYPERLINK("https%3A%2F%2Fwww.webofscience.com%2Fwos%2Fwoscc%2Ffull-record%2FWOS:000255151500003","View Full Record in Web of Science")</f>
        <v>View Full Record in Web of Science</v>
      </c>
    </row>
    <row r="89" ht="12.75" customHeight="1">
      <c r="A89" s="8" t="s">
        <v>3329</v>
      </c>
      <c r="B89" s="8" t="s">
        <v>4893</v>
      </c>
      <c r="C89" s="8" t="s">
        <v>2135</v>
      </c>
      <c r="D89" s="8" t="s">
        <v>2135</v>
      </c>
      <c r="E89" s="8" t="s">
        <v>2135</v>
      </c>
      <c r="F89" s="8" t="s">
        <v>4894</v>
      </c>
      <c r="G89" s="8" t="s">
        <v>2135</v>
      </c>
      <c r="H89" s="8" t="s">
        <v>2135</v>
      </c>
      <c r="I89" s="8" t="s">
        <v>543</v>
      </c>
      <c r="J89" s="8" t="s">
        <v>4895</v>
      </c>
      <c r="K89" s="8" t="s">
        <v>2135</v>
      </c>
      <c r="L89" s="8" t="s">
        <v>2135</v>
      </c>
      <c r="M89" s="8" t="s">
        <v>4896</v>
      </c>
      <c r="N89" s="8" t="s">
        <v>3333</v>
      </c>
      <c r="O89" s="8" t="s">
        <v>2135</v>
      </c>
      <c r="P89" s="8" t="s">
        <v>2135</v>
      </c>
      <c r="Q89" s="8" t="s">
        <v>2135</v>
      </c>
      <c r="R89" s="8" t="s">
        <v>2135</v>
      </c>
      <c r="S89" s="8" t="s">
        <v>2135</v>
      </c>
      <c r="T89" s="8" t="s">
        <v>4897</v>
      </c>
      <c r="U89" s="8" t="s">
        <v>4898</v>
      </c>
      <c r="V89" s="8" t="s">
        <v>4899</v>
      </c>
      <c r="W89" s="8" t="s">
        <v>4900</v>
      </c>
      <c r="X89" s="8" t="s">
        <v>4901</v>
      </c>
      <c r="Y89" s="8" t="s">
        <v>4902</v>
      </c>
      <c r="Z89" s="8" t="s">
        <v>4903</v>
      </c>
      <c r="AA89" s="8" t="s">
        <v>4904</v>
      </c>
      <c r="AB89" s="8" t="s">
        <v>4905</v>
      </c>
      <c r="AC89" s="8" t="s">
        <v>2135</v>
      </c>
      <c r="AD89" s="8" t="s">
        <v>2135</v>
      </c>
      <c r="AE89" s="8" t="s">
        <v>2135</v>
      </c>
      <c r="AF89" s="8" t="s">
        <v>2135</v>
      </c>
      <c r="AG89" s="8">
        <v>29.0</v>
      </c>
      <c r="AH89" s="8">
        <v>4.0</v>
      </c>
      <c r="AI89" s="8">
        <v>4.0</v>
      </c>
      <c r="AJ89" s="8">
        <v>1.0</v>
      </c>
      <c r="AK89" s="8">
        <v>17.0</v>
      </c>
      <c r="AL89" s="8" t="s">
        <v>4906</v>
      </c>
      <c r="AM89" s="8" t="s">
        <v>4907</v>
      </c>
      <c r="AN89" s="8" t="s">
        <v>4908</v>
      </c>
      <c r="AO89" s="8" t="s">
        <v>4909</v>
      </c>
      <c r="AP89" s="8" t="s">
        <v>2135</v>
      </c>
      <c r="AQ89" s="8" t="s">
        <v>2135</v>
      </c>
      <c r="AR89" s="8" t="s">
        <v>4895</v>
      </c>
      <c r="AS89" s="8" t="s">
        <v>4910</v>
      </c>
      <c r="AT89" s="8" t="s">
        <v>3349</v>
      </c>
      <c r="AU89" s="8">
        <v>2019.0</v>
      </c>
      <c r="AV89" s="8">
        <v>83.0</v>
      </c>
      <c r="AW89" s="8">
        <v>1.0</v>
      </c>
      <c r="AX89" s="8" t="s">
        <v>2135</v>
      </c>
      <c r="AY89" s="8" t="s">
        <v>2135</v>
      </c>
      <c r="AZ89" s="8" t="s">
        <v>2135</v>
      </c>
      <c r="BA89" s="8" t="s">
        <v>2135</v>
      </c>
      <c r="BB89" s="8">
        <v>1.0</v>
      </c>
      <c r="BC89" s="8">
        <v>9.0</v>
      </c>
      <c r="BD89" s="8" t="s">
        <v>2135</v>
      </c>
      <c r="BE89" s="8" t="s">
        <v>2135</v>
      </c>
      <c r="BF89" s="8" t="s">
        <v>2135</v>
      </c>
      <c r="BG89" s="8" t="s">
        <v>2135</v>
      </c>
      <c r="BH89" s="8" t="s">
        <v>2135</v>
      </c>
      <c r="BI89" s="8">
        <v>9.0</v>
      </c>
      <c r="BJ89" s="8" t="s">
        <v>4911</v>
      </c>
      <c r="BK89" s="8" t="s">
        <v>3352</v>
      </c>
      <c r="BL89" s="8" t="s">
        <v>4911</v>
      </c>
      <c r="BM89" s="8" t="s">
        <v>4912</v>
      </c>
      <c r="BN89" s="8" t="s">
        <v>2135</v>
      </c>
      <c r="BO89" s="8" t="s">
        <v>2135</v>
      </c>
      <c r="BP89" s="8" t="s">
        <v>2135</v>
      </c>
      <c r="BQ89" s="8" t="s">
        <v>2135</v>
      </c>
      <c r="BR89" s="8" t="s">
        <v>3355</v>
      </c>
      <c r="BS89" s="8" t="s">
        <v>4913</v>
      </c>
      <c r="BT89" s="8" t="s">
        <v>2272</v>
      </c>
      <c r="BU89" s="8" t="s">
        <v>2147</v>
      </c>
      <c r="BW89" s="8" t="s">
        <v>2275</v>
      </c>
      <c r="BX89" s="8" t="s">
        <v>2953</v>
      </c>
      <c r="BY89" s="8" t="s">
        <v>2976</v>
      </c>
      <c r="BZ89" s="8" t="str">
        <f>HYPERLINK("https%3A%2F%2Fwww.webofscience.com%2Fwos%2Fwoscc%2Ffull-record%2FWOS:000482103800001","View Full Record in Web of Science")</f>
        <v>View Full Record in Web of Science</v>
      </c>
    </row>
    <row r="90" ht="12.75" customHeight="1">
      <c r="A90" s="8" t="s">
        <v>3329</v>
      </c>
      <c r="B90" s="8" t="s">
        <v>4914</v>
      </c>
      <c r="C90" s="8" t="s">
        <v>2135</v>
      </c>
      <c r="D90" s="8" t="s">
        <v>2135</v>
      </c>
      <c r="E90" s="8" t="s">
        <v>2135</v>
      </c>
      <c r="F90" s="8" t="s">
        <v>4915</v>
      </c>
      <c r="G90" s="8" t="s">
        <v>2135</v>
      </c>
      <c r="H90" s="8" t="s">
        <v>2135</v>
      </c>
      <c r="I90" s="8" t="s">
        <v>522</v>
      </c>
      <c r="J90" s="8" t="s">
        <v>4916</v>
      </c>
      <c r="K90" s="8" t="s">
        <v>2135</v>
      </c>
      <c r="L90" s="8" t="s">
        <v>2135</v>
      </c>
      <c r="M90" s="8" t="s">
        <v>3332</v>
      </c>
      <c r="N90" s="8" t="s">
        <v>3333</v>
      </c>
      <c r="O90" s="8" t="s">
        <v>2135</v>
      </c>
      <c r="P90" s="8" t="s">
        <v>2135</v>
      </c>
      <c r="Q90" s="8" t="s">
        <v>2135</v>
      </c>
      <c r="R90" s="8" t="s">
        <v>2135</v>
      </c>
      <c r="S90" s="8" t="s">
        <v>2135</v>
      </c>
      <c r="T90" s="8" t="s">
        <v>2135</v>
      </c>
      <c r="U90" s="8" t="s">
        <v>4917</v>
      </c>
      <c r="V90" s="8" t="s">
        <v>4918</v>
      </c>
      <c r="W90" s="8" t="s">
        <v>4919</v>
      </c>
      <c r="X90" s="8" t="s">
        <v>4920</v>
      </c>
      <c r="Y90" s="8" t="s">
        <v>4921</v>
      </c>
      <c r="Z90" s="8" t="s">
        <v>4922</v>
      </c>
      <c r="AA90" s="8" t="s">
        <v>4923</v>
      </c>
      <c r="AB90" s="8" t="s">
        <v>4924</v>
      </c>
      <c r="AC90" s="8" t="s">
        <v>4925</v>
      </c>
      <c r="AD90" s="8" t="s">
        <v>4926</v>
      </c>
      <c r="AE90" s="8" t="s">
        <v>4927</v>
      </c>
      <c r="AF90" s="8" t="s">
        <v>2135</v>
      </c>
      <c r="AG90" s="8">
        <v>71.0</v>
      </c>
      <c r="AH90" s="8">
        <v>16.0</v>
      </c>
      <c r="AI90" s="8">
        <v>29.0</v>
      </c>
      <c r="AJ90" s="8">
        <v>5.0</v>
      </c>
      <c r="AK90" s="8">
        <v>75.0</v>
      </c>
      <c r="AL90" s="8" t="s">
        <v>4928</v>
      </c>
      <c r="AM90" s="8" t="s">
        <v>4929</v>
      </c>
      <c r="AN90" s="8" t="s">
        <v>4930</v>
      </c>
      <c r="AO90" s="8" t="s">
        <v>4931</v>
      </c>
      <c r="AP90" s="8" t="s">
        <v>4932</v>
      </c>
      <c r="AQ90" s="8" t="s">
        <v>2135</v>
      </c>
      <c r="AR90" s="8" t="s">
        <v>4933</v>
      </c>
      <c r="AS90" s="8" t="s">
        <v>4934</v>
      </c>
      <c r="AT90" s="8" t="s">
        <v>3512</v>
      </c>
      <c r="AU90" s="8">
        <v>2011.0</v>
      </c>
      <c r="AV90" s="8">
        <v>166.0</v>
      </c>
      <c r="AW90" s="8">
        <v>1.0</v>
      </c>
      <c r="AX90" s="8" t="s">
        <v>2135</v>
      </c>
      <c r="AY90" s="8" t="s">
        <v>2135</v>
      </c>
      <c r="AZ90" s="8" t="s">
        <v>2135</v>
      </c>
      <c r="BA90" s="8" t="s">
        <v>2135</v>
      </c>
      <c r="BB90" s="8">
        <v>177.0</v>
      </c>
      <c r="BC90" s="8">
        <v>193.0</v>
      </c>
      <c r="BD90" s="8" t="s">
        <v>2135</v>
      </c>
      <c r="BE90" s="8" t="s">
        <v>4935</v>
      </c>
      <c r="BF90" s="13" t="str">
        <f>HYPERLINK("http://dx.doi.org/10.1674/0003-0031-166.1.177","http://dx.doi.org/10.1674/0003-0031-166.1.177")</f>
        <v>http://dx.doi.org/10.1674/0003-0031-166.1.177</v>
      </c>
      <c r="BG90" s="8" t="s">
        <v>2135</v>
      </c>
      <c r="BH90" s="8" t="s">
        <v>2135</v>
      </c>
      <c r="BI90" s="8">
        <v>17.0</v>
      </c>
      <c r="BJ90" s="8" t="s">
        <v>3558</v>
      </c>
      <c r="BK90" s="8" t="s">
        <v>3352</v>
      </c>
      <c r="BL90" s="8" t="s">
        <v>3353</v>
      </c>
      <c r="BM90" s="8" t="s">
        <v>4936</v>
      </c>
      <c r="BN90" s="8" t="s">
        <v>2135</v>
      </c>
      <c r="BO90" s="8" t="s">
        <v>2135</v>
      </c>
      <c r="BP90" s="8" t="s">
        <v>2135</v>
      </c>
      <c r="BQ90" s="8" t="s">
        <v>2135</v>
      </c>
      <c r="BR90" s="8" t="s">
        <v>3355</v>
      </c>
      <c r="BS90" s="8" t="s">
        <v>4937</v>
      </c>
      <c r="BT90" s="8" t="s">
        <v>2600</v>
      </c>
      <c r="BU90" s="8" t="s">
        <v>2147</v>
      </c>
      <c r="BV90" s="8" t="s">
        <v>2217</v>
      </c>
      <c r="BW90" s="8" t="s">
        <v>2234</v>
      </c>
      <c r="BX90" s="8" t="s">
        <v>2953</v>
      </c>
      <c r="BY90" s="8" t="s">
        <v>2976</v>
      </c>
      <c r="BZ90" s="8" t="str">
        <f>HYPERLINK("https%3A%2F%2Fwww.webofscience.com%2Fwos%2Fwoscc%2Ffull-record%2FWOS:000292803700015","View Full Record in Web of Science")</f>
        <v>View Full Record in Web of Science</v>
      </c>
    </row>
    <row r="91" ht="12.75" customHeight="1">
      <c r="A91" s="8" t="s">
        <v>3329</v>
      </c>
      <c r="B91" s="8" t="s">
        <v>4938</v>
      </c>
      <c r="C91" s="8" t="s">
        <v>2135</v>
      </c>
      <c r="D91" s="8" t="s">
        <v>2135</v>
      </c>
      <c r="E91" s="8" t="s">
        <v>2135</v>
      </c>
      <c r="F91" s="8" t="s">
        <v>4939</v>
      </c>
      <c r="G91" s="8" t="s">
        <v>2135</v>
      </c>
      <c r="H91" s="8" t="s">
        <v>2135</v>
      </c>
      <c r="I91" s="8" t="s">
        <v>540</v>
      </c>
      <c r="J91" s="8" t="s">
        <v>4940</v>
      </c>
      <c r="K91" s="8" t="s">
        <v>2135</v>
      </c>
      <c r="L91" s="8" t="s">
        <v>2135</v>
      </c>
      <c r="M91" s="8" t="s">
        <v>3332</v>
      </c>
      <c r="N91" s="8" t="s">
        <v>3333</v>
      </c>
      <c r="O91" s="8" t="s">
        <v>2135</v>
      </c>
      <c r="P91" s="8" t="s">
        <v>2135</v>
      </c>
      <c r="Q91" s="8" t="s">
        <v>2135</v>
      </c>
      <c r="R91" s="8" t="s">
        <v>2135</v>
      </c>
      <c r="S91" s="8" t="s">
        <v>2135</v>
      </c>
      <c r="T91" s="8" t="s">
        <v>2135</v>
      </c>
      <c r="U91" s="8" t="s">
        <v>4941</v>
      </c>
      <c r="V91" s="8" t="s">
        <v>2135</v>
      </c>
      <c r="W91" s="8" t="s">
        <v>4942</v>
      </c>
      <c r="X91" s="8" t="s">
        <v>4943</v>
      </c>
      <c r="Y91" s="8" t="s">
        <v>4944</v>
      </c>
      <c r="Z91" s="8" t="s">
        <v>4945</v>
      </c>
      <c r="AA91" s="8" t="s">
        <v>4946</v>
      </c>
      <c r="AB91" s="8" t="s">
        <v>4947</v>
      </c>
      <c r="AC91" s="8" t="s">
        <v>2135</v>
      </c>
      <c r="AD91" s="8" t="s">
        <v>2135</v>
      </c>
      <c r="AE91" s="8" t="s">
        <v>2135</v>
      </c>
      <c r="AF91" s="8" t="s">
        <v>2135</v>
      </c>
      <c r="AG91" s="8">
        <v>14.0</v>
      </c>
      <c r="AH91" s="8">
        <v>1.0</v>
      </c>
      <c r="AI91" s="8">
        <v>2.0</v>
      </c>
      <c r="AJ91" s="8">
        <v>0.0</v>
      </c>
      <c r="AK91" s="8">
        <v>50.0</v>
      </c>
      <c r="AL91" s="8" t="s">
        <v>4948</v>
      </c>
      <c r="AM91" s="8" t="s">
        <v>4949</v>
      </c>
      <c r="AN91" s="8" t="s">
        <v>4950</v>
      </c>
      <c r="AO91" s="8" t="s">
        <v>4951</v>
      </c>
      <c r="AP91" s="8" t="s">
        <v>2135</v>
      </c>
      <c r="AQ91" s="8" t="s">
        <v>2135</v>
      </c>
      <c r="AR91" s="8" t="s">
        <v>4952</v>
      </c>
      <c r="AS91" s="8" t="s">
        <v>4953</v>
      </c>
      <c r="AT91" s="8" t="s">
        <v>2135</v>
      </c>
      <c r="AU91" s="8">
        <v>2011.0</v>
      </c>
      <c r="AV91" s="8">
        <v>37.0</v>
      </c>
      <c r="AW91" s="8">
        <v>2.0</v>
      </c>
      <c r="AX91" s="8" t="s">
        <v>2135</v>
      </c>
      <c r="AY91" s="8" t="s">
        <v>2135</v>
      </c>
      <c r="AZ91" s="8" t="s">
        <v>2135</v>
      </c>
      <c r="BA91" s="8" t="s">
        <v>2135</v>
      </c>
      <c r="BB91" s="8">
        <v>205.0</v>
      </c>
      <c r="BC91" s="8">
        <v>207.0</v>
      </c>
      <c r="BD91" s="8" t="s">
        <v>2135</v>
      </c>
      <c r="BE91" s="8" t="s">
        <v>4954</v>
      </c>
      <c r="BF91" s="13" t="str">
        <f>HYPERLINK("http://dx.doi.org/10.1578/AM.37.2.2011.205","http://dx.doi.org/10.1578/AM.37.2.2011.205")</f>
        <v>http://dx.doi.org/10.1578/AM.37.2.2011.205</v>
      </c>
      <c r="BG91" s="8" t="s">
        <v>2135</v>
      </c>
      <c r="BH91" s="8" t="s">
        <v>2135</v>
      </c>
      <c r="BI91" s="8">
        <v>3.0</v>
      </c>
      <c r="BJ91" s="8" t="s">
        <v>4559</v>
      </c>
      <c r="BK91" s="8" t="s">
        <v>3352</v>
      </c>
      <c r="BL91" s="8" t="s">
        <v>4559</v>
      </c>
      <c r="BM91" s="8" t="s">
        <v>4955</v>
      </c>
      <c r="BN91" s="8" t="s">
        <v>2135</v>
      </c>
      <c r="BO91" s="8" t="s">
        <v>2135</v>
      </c>
      <c r="BP91" s="8" t="s">
        <v>2135</v>
      </c>
      <c r="BQ91" s="8" t="s">
        <v>2135</v>
      </c>
      <c r="BR91" s="8" t="s">
        <v>3355</v>
      </c>
      <c r="BS91" s="8" t="s">
        <v>4956</v>
      </c>
      <c r="BU91" s="8" t="s">
        <v>2943</v>
      </c>
      <c r="BW91" s="8" t="s">
        <v>2944</v>
      </c>
      <c r="BX91" s="8" t="s">
        <v>2975</v>
      </c>
      <c r="BY91" s="8" t="s">
        <v>2976</v>
      </c>
      <c r="BZ91" s="8" t="str">
        <f>HYPERLINK("https%3A%2F%2Fwww.webofscience.com%2Fwos%2Fwoscc%2Ffull-record%2FWOS:000292149400012","View Full Record in Web of Science")</f>
        <v>View Full Record in Web of Science</v>
      </c>
    </row>
    <row r="92" ht="12.75" customHeight="1">
      <c r="A92" s="8" t="s">
        <v>3329</v>
      </c>
      <c r="B92" s="8" t="s">
        <v>4957</v>
      </c>
      <c r="C92" s="8" t="s">
        <v>2135</v>
      </c>
      <c r="D92" s="8" t="s">
        <v>2135</v>
      </c>
      <c r="E92" s="8" t="s">
        <v>2135</v>
      </c>
      <c r="F92" s="8" t="s">
        <v>4957</v>
      </c>
      <c r="G92" s="8" t="s">
        <v>2135</v>
      </c>
      <c r="H92" s="8" t="s">
        <v>2135</v>
      </c>
      <c r="I92" s="8" t="s">
        <v>520</v>
      </c>
      <c r="J92" s="8" t="s">
        <v>4958</v>
      </c>
      <c r="K92" s="8" t="s">
        <v>2135</v>
      </c>
      <c r="L92" s="8" t="s">
        <v>2135</v>
      </c>
      <c r="M92" s="8" t="s">
        <v>3332</v>
      </c>
      <c r="N92" s="8" t="s">
        <v>3333</v>
      </c>
      <c r="O92" s="8" t="s">
        <v>2135</v>
      </c>
      <c r="P92" s="8" t="s">
        <v>2135</v>
      </c>
      <c r="Q92" s="8" t="s">
        <v>2135</v>
      </c>
      <c r="R92" s="8" t="s">
        <v>2135</v>
      </c>
      <c r="S92" s="8" t="s">
        <v>2135</v>
      </c>
      <c r="T92" s="8" t="s">
        <v>4959</v>
      </c>
      <c r="U92" s="8" t="s">
        <v>4960</v>
      </c>
      <c r="V92" s="8" t="s">
        <v>4961</v>
      </c>
      <c r="W92" s="8" t="s">
        <v>4962</v>
      </c>
      <c r="X92" s="8" t="s">
        <v>4963</v>
      </c>
      <c r="Y92" s="8" t="s">
        <v>4964</v>
      </c>
      <c r="Z92" s="8" t="s">
        <v>2135</v>
      </c>
      <c r="AA92" s="8" t="s">
        <v>2135</v>
      </c>
      <c r="AB92" s="8" t="s">
        <v>2135</v>
      </c>
      <c r="AC92" s="8" t="s">
        <v>2135</v>
      </c>
      <c r="AD92" s="8" t="s">
        <v>2135</v>
      </c>
      <c r="AE92" s="8" t="s">
        <v>2135</v>
      </c>
      <c r="AF92" s="8" t="s">
        <v>2135</v>
      </c>
      <c r="AG92" s="8">
        <v>28.0</v>
      </c>
      <c r="AH92" s="8">
        <v>63.0</v>
      </c>
      <c r="AI92" s="8">
        <v>96.0</v>
      </c>
      <c r="AJ92" s="8">
        <v>3.0</v>
      </c>
      <c r="AK92" s="8">
        <v>61.0</v>
      </c>
      <c r="AL92" s="8" t="s">
        <v>4276</v>
      </c>
      <c r="AM92" s="8" t="s">
        <v>4277</v>
      </c>
      <c r="AN92" s="8" t="s">
        <v>4278</v>
      </c>
      <c r="AO92" s="8" t="s">
        <v>4965</v>
      </c>
      <c r="AP92" s="8" t="s">
        <v>2135</v>
      </c>
      <c r="AQ92" s="8" t="s">
        <v>2135</v>
      </c>
      <c r="AR92" s="8" t="s">
        <v>4966</v>
      </c>
      <c r="AS92" s="8" t="s">
        <v>4967</v>
      </c>
      <c r="AT92" s="8" t="s">
        <v>4968</v>
      </c>
      <c r="AU92" s="8">
        <v>2001.0</v>
      </c>
      <c r="AV92" s="8">
        <v>29.0</v>
      </c>
      <c r="AW92" s="8">
        <v>3.0</v>
      </c>
      <c r="AX92" s="8" t="s">
        <v>2135</v>
      </c>
      <c r="AY92" s="8" t="s">
        <v>2135</v>
      </c>
      <c r="AZ92" s="8" t="s">
        <v>2135</v>
      </c>
      <c r="BA92" s="8" t="s">
        <v>2135</v>
      </c>
      <c r="BB92" s="8">
        <v>856.0</v>
      </c>
      <c r="BC92" s="8">
        <v>862.0</v>
      </c>
      <c r="BD92" s="8" t="s">
        <v>2135</v>
      </c>
      <c r="BE92" s="8" t="s">
        <v>2135</v>
      </c>
      <c r="BF92" s="8" t="s">
        <v>2135</v>
      </c>
      <c r="BG92" s="8" t="s">
        <v>2135</v>
      </c>
      <c r="BH92" s="8" t="s">
        <v>2135</v>
      </c>
      <c r="BI92" s="8">
        <v>7.0</v>
      </c>
      <c r="BJ92" s="8" t="s">
        <v>3604</v>
      </c>
      <c r="BK92" s="8" t="s">
        <v>3352</v>
      </c>
      <c r="BL92" s="8" t="s">
        <v>3605</v>
      </c>
      <c r="BM92" s="8" t="s">
        <v>4969</v>
      </c>
      <c r="BN92" s="8" t="s">
        <v>2135</v>
      </c>
      <c r="BO92" s="8" t="s">
        <v>2135</v>
      </c>
      <c r="BP92" s="8" t="s">
        <v>2135</v>
      </c>
      <c r="BQ92" s="8" t="s">
        <v>2135</v>
      </c>
      <c r="BR92" s="8" t="s">
        <v>3355</v>
      </c>
      <c r="BS92" s="8" t="s">
        <v>4970</v>
      </c>
      <c r="BT92" s="8" t="s">
        <v>2600</v>
      </c>
      <c r="BU92" s="8" t="s">
        <v>2147</v>
      </c>
      <c r="BV92" s="8" t="s">
        <v>2217</v>
      </c>
      <c r="BW92" s="8" t="s">
        <v>2234</v>
      </c>
      <c r="BX92" s="8" t="s">
        <v>2953</v>
      </c>
      <c r="BY92" s="8" t="s">
        <v>2976</v>
      </c>
      <c r="BZ92" s="8" t="str">
        <f>HYPERLINK("https%3A%2F%2Fwww.webofscience.com%2Fwos%2Fwoscc%2Ffull-record%2FWOS:000171363200013","View Full Record in Web of Science")</f>
        <v>View Full Record in Web of Science</v>
      </c>
    </row>
    <row r="93" ht="12.75" customHeight="1">
      <c r="A93" s="8" t="s">
        <v>3329</v>
      </c>
      <c r="B93" s="8" t="s">
        <v>4971</v>
      </c>
      <c r="C93" s="8" t="s">
        <v>2135</v>
      </c>
      <c r="D93" s="8" t="s">
        <v>2135</v>
      </c>
      <c r="E93" s="8" t="s">
        <v>2135</v>
      </c>
      <c r="F93" s="8" t="s">
        <v>4971</v>
      </c>
      <c r="G93" s="8" t="s">
        <v>2135</v>
      </c>
      <c r="H93" s="8" t="s">
        <v>2135</v>
      </c>
      <c r="I93" s="8" t="s">
        <v>564</v>
      </c>
      <c r="J93" s="8" t="s">
        <v>4612</v>
      </c>
      <c r="K93" s="8" t="s">
        <v>2135</v>
      </c>
      <c r="L93" s="8" t="s">
        <v>2135</v>
      </c>
      <c r="M93" s="8" t="s">
        <v>3332</v>
      </c>
      <c r="N93" s="8" t="s">
        <v>3333</v>
      </c>
      <c r="O93" s="8" t="s">
        <v>2135</v>
      </c>
      <c r="P93" s="8" t="s">
        <v>2135</v>
      </c>
      <c r="Q93" s="8" t="s">
        <v>2135</v>
      </c>
      <c r="R93" s="8" t="s">
        <v>2135</v>
      </c>
      <c r="S93" s="8" t="s">
        <v>2135</v>
      </c>
      <c r="T93" s="8" t="s">
        <v>4972</v>
      </c>
      <c r="U93" s="8" t="s">
        <v>4973</v>
      </c>
      <c r="V93" s="8" t="s">
        <v>4974</v>
      </c>
      <c r="W93" s="8" t="s">
        <v>4975</v>
      </c>
      <c r="X93" s="8" t="s">
        <v>4976</v>
      </c>
      <c r="Y93" s="8" t="s">
        <v>4977</v>
      </c>
      <c r="Z93" s="8" t="s">
        <v>2135</v>
      </c>
      <c r="AA93" s="8" t="s">
        <v>4978</v>
      </c>
      <c r="AB93" s="8" t="s">
        <v>4979</v>
      </c>
      <c r="AC93" s="8" t="s">
        <v>2135</v>
      </c>
      <c r="AD93" s="8" t="s">
        <v>2135</v>
      </c>
      <c r="AE93" s="8" t="s">
        <v>2135</v>
      </c>
      <c r="AF93" s="8" t="s">
        <v>2135</v>
      </c>
      <c r="AG93" s="8">
        <v>37.0</v>
      </c>
      <c r="AH93" s="8">
        <v>33.0</v>
      </c>
      <c r="AI93" s="8">
        <v>37.0</v>
      </c>
      <c r="AJ93" s="8">
        <v>1.0</v>
      </c>
      <c r="AK93" s="8">
        <v>41.0</v>
      </c>
      <c r="AL93" s="8" t="s">
        <v>4980</v>
      </c>
      <c r="AM93" s="8" t="s">
        <v>4500</v>
      </c>
      <c r="AN93" s="8" t="s">
        <v>4501</v>
      </c>
      <c r="AO93" s="8" t="s">
        <v>4626</v>
      </c>
      <c r="AP93" s="8" t="s">
        <v>2135</v>
      </c>
      <c r="AQ93" s="8" t="s">
        <v>2135</v>
      </c>
      <c r="AR93" s="8" t="s">
        <v>4628</v>
      </c>
      <c r="AS93" s="8" t="s">
        <v>4629</v>
      </c>
      <c r="AT93" s="8" t="s">
        <v>2135</v>
      </c>
      <c r="AU93" s="8">
        <v>2003.0</v>
      </c>
      <c r="AV93" s="8">
        <v>4.0</v>
      </c>
      <c r="AW93" s="8">
        <v>2.0</v>
      </c>
      <c r="AX93" s="8" t="s">
        <v>2135</v>
      </c>
      <c r="AY93" s="8" t="s">
        <v>2135</v>
      </c>
      <c r="AZ93" s="8" t="s">
        <v>2135</v>
      </c>
      <c r="BA93" s="8" t="s">
        <v>2135</v>
      </c>
      <c r="BB93" s="8">
        <v>179.0</v>
      </c>
      <c r="BC93" s="8">
        <v>188.0</v>
      </c>
      <c r="BD93" s="8" t="s">
        <v>2135</v>
      </c>
      <c r="BE93" s="8" t="s">
        <v>4981</v>
      </c>
      <c r="BF93" s="13" t="str">
        <f>HYPERLINK("http://dx.doi.org/10.1023/A:1023334521996","http://dx.doi.org/10.1023/A:1023334521996")</f>
        <v>http://dx.doi.org/10.1023/A:1023334521996</v>
      </c>
      <c r="BG93" s="8" t="s">
        <v>2135</v>
      </c>
      <c r="BH93" s="8" t="s">
        <v>2135</v>
      </c>
      <c r="BI93" s="8">
        <v>10.0</v>
      </c>
      <c r="BJ93" s="8" t="s">
        <v>4631</v>
      </c>
      <c r="BK93" s="8" t="s">
        <v>3352</v>
      </c>
      <c r="BL93" s="8" t="s">
        <v>4632</v>
      </c>
      <c r="BM93" s="8" t="s">
        <v>4982</v>
      </c>
      <c r="BN93" s="8" t="s">
        <v>2135</v>
      </c>
      <c r="BO93" s="8" t="s">
        <v>2135</v>
      </c>
      <c r="BP93" s="8" t="s">
        <v>2135</v>
      </c>
      <c r="BQ93" s="8" t="s">
        <v>2135</v>
      </c>
      <c r="BR93" s="8" t="s">
        <v>3355</v>
      </c>
      <c r="BS93" s="8" t="s">
        <v>4983</v>
      </c>
      <c r="BT93" s="8" t="s">
        <v>2553</v>
      </c>
      <c r="BU93" s="8" t="s">
        <v>2142</v>
      </c>
      <c r="BW93" s="8" t="s">
        <v>2166</v>
      </c>
      <c r="BX93" s="8" t="s">
        <v>3134</v>
      </c>
      <c r="BY93" s="8" t="s">
        <v>3135</v>
      </c>
      <c r="BZ93" s="8" t="str">
        <f>HYPERLINK("https%3A%2F%2Fwww.webofscience.com%2Fwos%2Fwoscc%2Ffull-record%2FWOS:000182298500006","View Full Record in Web of Science")</f>
        <v>View Full Record in Web of Science</v>
      </c>
    </row>
    <row r="94" ht="12.75" customHeight="1">
      <c r="A94" s="8" t="s">
        <v>3329</v>
      </c>
      <c r="B94" s="8" t="s">
        <v>4984</v>
      </c>
      <c r="C94" s="8" t="s">
        <v>2135</v>
      </c>
      <c r="D94" s="8" t="s">
        <v>2135</v>
      </c>
      <c r="E94" s="8" t="s">
        <v>2135</v>
      </c>
      <c r="F94" s="8" t="s">
        <v>4985</v>
      </c>
      <c r="G94" s="8" t="s">
        <v>2135</v>
      </c>
      <c r="H94" s="8" t="s">
        <v>2135</v>
      </c>
      <c r="I94" s="8" t="s">
        <v>572</v>
      </c>
      <c r="J94" s="8" t="s">
        <v>4986</v>
      </c>
      <c r="K94" s="8" t="s">
        <v>2135</v>
      </c>
      <c r="L94" s="8" t="s">
        <v>2135</v>
      </c>
      <c r="M94" s="8" t="s">
        <v>3332</v>
      </c>
      <c r="N94" s="8" t="s">
        <v>3333</v>
      </c>
      <c r="O94" s="8" t="s">
        <v>2135</v>
      </c>
      <c r="P94" s="8" t="s">
        <v>2135</v>
      </c>
      <c r="Q94" s="8" t="s">
        <v>2135</v>
      </c>
      <c r="R94" s="8" t="s">
        <v>2135</v>
      </c>
      <c r="S94" s="8" t="s">
        <v>2135</v>
      </c>
      <c r="T94" s="8" t="s">
        <v>4987</v>
      </c>
      <c r="U94" s="8" t="s">
        <v>2135</v>
      </c>
      <c r="V94" s="8" t="s">
        <v>4988</v>
      </c>
      <c r="W94" s="8" t="s">
        <v>4989</v>
      </c>
      <c r="X94" s="8" t="s">
        <v>4990</v>
      </c>
      <c r="Y94" s="8" t="s">
        <v>4991</v>
      </c>
      <c r="Z94" s="8" t="s">
        <v>4992</v>
      </c>
      <c r="AA94" s="8" t="s">
        <v>4993</v>
      </c>
      <c r="AB94" s="8" t="s">
        <v>4994</v>
      </c>
      <c r="AC94" s="8" t="s">
        <v>4995</v>
      </c>
      <c r="AD94" s="8" t="s">
        <v>4996</v>
      </c>
      <c r="AE94" s="8" t="s">
        <v>4997</v>
      </c>
      <c r="AF94" s="8" t="s">
        <v>2135</v>
      </c>
      <c r="AG94" s="8">
        <v>38.0</v>
      </c>
      <c r="AH94" s="8">
        <v>8.0</v>
      </c>
      <c r="AI94" s="8">
        <v>11.0</v>
      </c>
      <c r="AJ94" s="8">
        <v>1.0</v>
      </c>
      <c r="AK94" s="8">
        <v>51.0</v>
      </c>
      <c r="AL94" s="8" t="s">
        <v>4998</v>
      </c>
      <c r="AM94" s="8" t="s">
        <v>4999</v>
      </c>
      <c r="AN94" s="8" t="s">
        <v>5000</v>
      </c>
      <c r="AO94" s="8" t="s">
        <v>5001</v>
      </c>
      <c r="AP94" s="8" t="s">
        <v>5002</v>
      </c>
      <c r="AQ94" s="8" t="s">
        <v>2135</v>
      </c>
      <c r="AR94" s="8" t="s">
        <v>4986</v>
      </c>
      <c r="AS94" s="8" t="s">
        <v>5003</v>
      </c>
      <c r="AT94" s="8" t="s">
        <v>3765</v>
      </c>
      <c r="AU94" s="8">
        <v>2014.0</v>
      </c>
      <c r="AV94" s="8">
        <v>78.0</v>
      </c>
      <c r="AW94" s="8">
        <v>2.0</v>
      </c>
      <c r="AX94" s="8" t="s">
        <v>2135</v>
      </c>
      <c r="AY94" s="8" t="s">
        <v>2135</v>
      </c>
      <c r="AZ94" s="8" t="s">
        <v>2135</v>
      </c>
      <c r="BA94" s="8" t="s">
        <v>2135</v>
      </c>
      <c r="BB94" s="8">
        <v>177.0</v>
      </c>
      <c r="BC94" s="8">
        <v>184.0</v>
      </c>
      <c r="BD94" s="8" t="s">
        <v>2135</v>
      </c>
      <c r="BE94" s="8" t="s">
        <v>5004</v>
      </c>
      <c r="BF94" s="13" t="str">
        <f>HYPERLINK("http://dx.doi.org/10.1515/mammalia-2013-0023","http://dx.doi.org/10.1515/mammalia-2013-0023")</f>
        <v>http://dx.doi.org/10.1515/mammalia-2013-0023</v>
      </c>
      <c r="BG94" s="8" t="s">
        <v>2135</v>
      </c>
      <c r="BH94" s="8" t="s">
        <v>2135</v>
      </c>
      <c r="BI94" s="8">
        <v>8.0</v>
      </c>
      <c r="BJ94" s="8" t="s">
        <v>3397</v>
      </c>
      <c r="BK94" s="8" t="s">
        <v>3352</v>
      </c>
      <c r="BL94" s="8" t="s">
        <v>3397</v>
      </c>
      <c r="BM94" s="8" t="s">
        <v>5005</v>
      </c>
      <c r="BN94" s="8" t="s">
        <v>2135</v>
      </c>
      <c r="BO94" s="8" t="s">
        <v>2135</v>
      </c>
      <c r="BP94" s="8" t="s">
        <v>2135</v>
      </c>
      <c r="BQ94" s="8" t="s">
        <v>2135</v>
      </c>
      <c r="BR94" s="8" t="s">
        <v>3355</v>
      </c>
      <c r="BS94" s="8" t="s">
        <v>5006</v>
      </c>
      <c r="BT94" s="8" t="s">
        <v>2185</v>
      </c>
      <c r="BU94" s="8" t="s">
        <v>2147</v>
      </c>
      <c r="BW94" s="8" t="s">
        <v>2186</v>
      </c>
      <c r="BX94" s="8" t="s">
        <v>3214</v>
      </c>
      <c r="BY94" s="8" t="s">
        <v>3215</v>
      </c>
      <c r="BZ94" s="8" t="str">
        <f>HYPERLINK("https%3A%2F%2Fwww.webofscience.com%2Fwos%2Fwoscc%2Ffull-record%2FWOS:000334923900004","View Full Record in Web of Science")</f>
        <v>View Full Record in Web of Science</v>
      </c>
    </row>
    <row r="95" ht="12.75" customHeight="1">
      <c r="A95" s="8" t="s">
        <v>3329</v>
      </c>
      <c r="B95" s="8" t="s">
        <v>5007</v>
      </c>
      <c r="C95" s="8" t="s">
        <v>2135</v>
      </c>
      <c r="D95" s="8" t="s">
        <v>2135</v>
      </c>
      <c r="E95" s="8" t="s">
        <v>2135</v>
      </c>
      <c r="F95" s="8" t="s">
        <v>5008</v>
      </c>
      <c r="G95" s="8" t="s">
        <v>2135</v>
      </c>
      <c r="H95" s="8" t="s">
        <v>2135</v>
      </c>
      <c r="I95" s="8" t="s">
        <v>574</v>
      </c>
      <c r="J95" s="8" t="s">
        <v>3704</v>
      </c>
      <c r="K95" s="8" t="s">
        <v>2135</v>
      </c>
      <c r="L95" s="8" t="s">
        <v>2135</v>
      </c>
      <c r="M95" s="8" t="s">
        <v>3332</v>
      </c>
      <c r="N95" s="8" t="s">
        <v>3492</v>
      </c>
      <c r="O95" s="8" t="s">
        <v>2135</v>
      </c>
      <c r="P95" s="8" t="s">
        <v>2135</v>
      </c>
      <c r="Q95" s="8" t="s">
        <v>2135</v>
      </c>
      <c r="R95" s="8" t="s">
        <v>2135</v>
      </c>
      <c r="S95" s="8" t="s">
        <v>2135</v>
      </c>
      <c r="T95" s="8" t="s">
        <v>5009</v>
      </c>
      <c r="U95" s="8" t="s">
        <v>5010</v>
      </c>
      <c r="V95" s="8" t="s">
        <v>5011</v>
      </c>
      <c r="W95" s="8" t="s">
        <v>5012</v>
      </c>
      <c r="X95" s="8" t="s">
        <v>5013</v>
      </c>
      <c r="Y95" s="8" t="s">
        <v>5014</v>
      </c>
      <c r="Z95" s="8" t="s">
        <v>5015</v>
      </c>
      <c r="AA95" s="8" t="s">
        <v>2135</v>
      </c>
      <c r="AB95" s="8" t="s">
        <v>2135</v>
      </c>
      <c r="AC95" s="8" t="s">
        <v>5016</v>
      </c>
      <c r="AD95" s="8" t="s">
        <v>5017</v>
      </c>
      <c r="AE95" s="8" t="s">
        <v>5018</v>
      </c>
      <c r="AF95" s="8" t="s">
        <v>2135</v>
      </c>
      <c r="AG95" s="8">
        <v>102.0</v>
      </c>
      <c r="AH95" s="8">
        <v>24.0</v>
      </c>
      <c r="AI95" s="8">
        <v>36.0</v>
      </c>
      <c r="AJ95" s="8">
        <v>4.0</v>
      </c>
      <c r="AK95" s="8">
        <v>132.0</v>
      </c>
      <c r="AL95" s="8" t="s">
        <v>3784</v>
      </c>
      <c r="AM95" s="8" t="s">
        <v>3785</v>
      </c>
      <c r="AN95" s="8" t="s">
        <v>3786</v>
      </c>
      <c r="AO95" s="8" t="s">
        <v>3717</v>
      </c>
      <c r="AP95" s="8" t="s">
        <v>3718</v>
      </c>
      <c r="AQ95" s="8" t="s">
        <v>2135</v>
      </c>
      <c r="AR95" s="8" t="s">
        <v>3719</v>
      </c>
      <c r="AS95" s="8" t="s">
        <v>3720</v>
      </c>
      <c r="AT95" s="8" t="s">
        <v>2135</v>
      </c>
      <c r="AU95" s="8">
        <v>2012.0</v>
      </c>
      <c r="AV95" s="8">
        <v>77.0</v>
      </c>
      <c r="AW95" s="8">
        <v>2.0</v>
      </c>
      <c r="AX95" s="8" t="s">
        <v>2135</v>
      </c>
      <c r="AY95" s="8" t="s">
        <v>2135</v>
      </c>
      <c r="AZ95" s="8" t="s">
        <v>2135</v>
      </c>
      <c r="BA95" s="8" t="s">
        <v>2135</v>
      </c>
      <c r="BB95" s="8">
        <v>75.0</v>
      </c>
      <c r="BC95" s="8">
        <v>83.0</v>
      </c>
      <c r="BD95" s="8" t="s">
        <v>2135</v>
      </c>
      <c r="BE95" s="8" t="s">
        <v>5019</v>
      </c>
      <c r="BF95" s="13" t="str">
        <f>HYPERLINK("http://dx.doi.org/10.1016/j.mambio.2011.08.004","http://dx.doi.org/10.1016/j.mambio.2011.08.004")</f>
        <v>http://dx.doi.org/10.1016/j.mambio.2011.08.004</v>
      </c>
      <c r="BG95" s="8" t="s">
        <v>2135</v>
      </c>
      <c r="BH95" s="8" t="s">
        <v>2135</v>
      </c>
      <c r="BI95" s="8">
        <v>9.0</v>
      </c>
      <c r="BJ95" s="8" t="s">
        <v>3397</v>
      </c>
      <c r="BK95" s="8" t="s">
        <v>3352</v>
      </c>
      <c r="BL95" s="8" t="s">
        <v>3397</v>
      </c>
      <c r="BM95" s="8" t="s">
        <v>5020</v>
      </c>
      <c r="BN95" s="8" t="s">
        <v>2135</v>
      </c>
      <c r="BO95" s="8" t="s">
        <v>2135</v>
      </c>
      <c r="BP95" s="8" t="s">
        <v>2135</v>
      </c>
      <c r="BQ95" s="8" t="s">
        <v>2135</v>
      </c>
      <c r="BR95" s="8" t="s">
        <v>3355</v>
      </c>
      <c r="BS95" s="8" t="s">
        <v>5021</v>
      </c>
      <c r="BU95" s="8" t="s">
        <v>2147</v>
      </c>
      <c r="BW95" s="8" t="s">
        <v>2275</v>
      </c>
      <c r="BX95" s="8" t="s">
        <v>3033</v>
      </c>
      <c r="BY95" s="8" t="s">
        <v>3034</v>
      </c>
      <c r="BZ95" s="8" t="str">
        <f>HYPERLINK("https%3A%2F%2Fwww.webofscience.com%2Fwos%2Fwoscc%2Ffull-record%2FWOS:000302589400001","View Full Record in Web of Science")</f>
        <v>View Full Record in Web of Science</v>
      </c>
    </row>
    <row r="96" ht="12.75" customHeight="1">
      <c r="A96" s="8" t="s">
        <v>3329</v>
      </c>
      <c r="B96" s="8" t="s">
        <v>5022</v>
      </c>
      <c r="C96" s="8" t="s">
        <v>2135</v>
      </c>
      <c r="D96" s="8" t="s">
        <v>2135</v>
      </c>
      <c r="E96" s="8" t="s">
        <v>2135</v>
      </c>
      <c r="F96" s="8" t="s">
        <v>5023</v>
      </c>
      <c r="G96" s="8" t="s">
        <v>2135</v>
      </c>
      <c r="H96" s="8" t="s">
        <v>2135</v>
      </c>
      <c r="I96" s="8" t="s">
        <v>577</v>
      </c>
      <c r="J96" s="8" t="s">
        <v>4123</v>
      </c>
      <c r="K96" s="8" t="s">
        <v>2135</v>
      </c>
      <c r="L96" s="8" t="s">
        <v>2135</v>
      </c>
      <c r="M96" s="8" t="s">
        <v>3332</v>
      </c>
      <c r="N96" s="8" t="s">
        <v>3963</v>
      </c>
      <c r="O96" s="8" t="s">
        <v>4358</v>
      </c>
      <c r="P96" s="8" t="s">
        <v>4359</v>
      </c>
      <c r="Q96" s="8" t="s">
        <v>4360</v>
      </c>
      <c r="R96" s="8" t="s">
        <v>2135</v>
      </c>
      <c r="S96" s="8" t="s">
        <v>2135</v>
      </c>
      <c r="T96" s="8" t="s">
        <v>5024</v>
      </c>
      <c r="U96" s="8" t="s">
        <v>5025</v>
      </c>
      <c r="V96" s="8" t="s">
        <v>5026</v>
      </c>
      <c r="W96" s="8" t="s">
        <v>5027</v>
      </c>
      <c r="X96" s="8" t="s">
        <v>5028</v>
      </c>
      <c r="Y96" s="8" t="s">
        <v>5029</v>
      </c>
      <c r="Z96" s="8" t="s">
        <v>5030</v>
      </c>
      <c r="AA96" s="8" t="s">
        <v>5031</v>
      </c>
      <c r="AB96" s="8" t="s">
        <v>5032</v>
      </c>
      <c r="AC96" s="8" t="s">
        <v>2135</v>
      </c>
      <c r="AD96" s="8" t="s">
        <v>2135</v>
      </c>
      <c r="AE96" s="8" t="s">
        <v>2135</v>
      </c>
      <c r="AF96" s="8" t="s">
        <v>2135</v>
      </c>
      <c r="AG96" s="8">
        <v>30.0</v>
      </c>
      <c r="AH96" s="8">
        <v>8.0</v>
      </c>
      <c r="AI96" s="8">
        <v>11.0</v>
      </c>
      <c r="AJ96" s="8">
        <v>2.0</v>
      </c>
      <c r="AK96" s="8">
        <v>32.0</v>
      </c>
      <c r="AL96" s="8" t="s">
        <v>4123</v>
      </c>
      <c r="AM96" s="8" t="s">
        <v>4131</v>
      </c>
      <c r="AN96" s="8" t="s">
        <v>4132</v>
      </c>
      <c r="AO96" s="8" t="s">
        <v>4133</v>
      </c>
      <c r="AP96" s="8" t="s">
        <v>5033</v>
      </c>
      <c r="AQ96" s="8" t="s">
        <v>2135</v>
      </c>
      <c r="AR96" s="8" t="s">
        <v>4134</v>
      </c>
      <c r="AS96" s="8" t="s">
        <v>4135</v>
      </c>
      <c r="AT96" s="8" t="s">
        <v>2135</v>
      </c>
      <c r="AU96" s="8">
        <v>2007.0</v>
      </c>
      <c r="AV96" s="8">
        <v>13.0</v>
      </c>
      <c r="AW96" s="8" t="s">
        <v>2135</v>
      </c>
      <c r="AX96" s="8" t="s">
        <v>2135</v>
      </c>
      <c r="AY96" s="8">
        <v>2.0</v>
      </c>
      <c r="AZ96" s="8" t="s">
        <v>2135</v>
      </c>
      <c r="BA96" s="8" t="s">
        <v>2135</v>
      </c>
      <c r="BB96" s="8">
        <v>83.0</v>
      </c>
      <c r="BC96" s="8">
        <v>88.0</v>
      </c>
      <c r="BD96" s="8" t="s">
        <v>2135</v>
      </c>
      <c r="BE96" s="8" t="s">
        <v>5034</v>
      </c>
      <c r="BF96" s="13" t="str">
        <f>HYPERLINK("http://dx.doi.org/10.2981/0909-6396(2007)13[83:TWGGPA]2.0.CO;2","http://dx.doi.org/10.2981/0909-6396(2007)13[83:TWGGPA]2.0.CO;2")</f>
        <v>http://dx.doi.org/10.2981/0909-6396(2007)13[83:TWGGPA]2.0.CO;2</v>
      </c>
      <c r="BG96" s="8" t="s">
        <v>2135</v>
      </c>
      <c r="BH96" s="8" t="s">
        <v>2135</v>
      </c>
      <c r="BI96" s="8">
        <v>6.0</v>
      </c>
      <c r="BJ96" s="8" t="s">
        <v>3442</v>
      </c>
      <c r="BK96" s="8" t="s">
        <v>4418</v>
      </c>
      <c r="BL96" s="8" t="s">
        <v>3443</v>
      </c>
      <c r="BM96" s="8" t="s">
        <v>4367</v>
      </c>
      <c r="BN96" s="8" t="s">
        <v>2135</v>
      </c>
      <c r="BO96" s="8" t="s">
        <v>3445</v>
      </c>
      <c r="BP96" s="8" t="s">
        <v>2135</v>
      </c>
      <c r="BQ96" s="8" t="s">
        <v>2135</v>
      </c>
      <c r="BR96" s="8" t="s">
        <v>3355</v>
      </c>
      <c r="BS96" s="8" t="s">
        <v>5035</v>
      </c>
      <c r="BT96" s="8" t="s">
        <v>2282</v>
      </c>
      <c r="BU96" s="8" t="s">
        <v>2283</v>
      </c>
      <c r="BW96" s="8" t="s">
        <v>2218</v>
      </c>
      <c r="BX96" s="8" t="s">
        <v>3018</v>
      </c>
      <c r="BY96" s="8" t="s">
        <v>3019</v>
      </c>
      <c r="BZ96" s="8" t="str">
        <f>HYPERLINK("https%3A%2F%2Fwww.webofscience.com%2Fwos%2Fwoscc%2Ffull-record%2FWOS:000250588600010","View Full Record in Web of Science")</f>
        <v>View Full Record in Web of Science</v>
      </c>
    </row>
    <row r="97" ht="12.75" customHeight="1">
      <c r="A97" s="8" t="s">
        <v>3329</v>
      </c>
      <c r="B97" s="8" t="s">
        <v>5036</v>
      </c>
      <c r="C97" s="8" t="s">
        <v>2135</v>
      </c>
      <c r="D97" s="8" t="s">
        <v>2135</v>
      </c>
      <c r="E97" s="8" t="s">
        <v>2135</v>
      </c>
      <c r="F97" s="8" t="s">
        <v>5037</v>
      </c>
      <c r="G97" s="8" t="s">
        <v>2135</v>
      </c>
      <c r="H97" s="8" t="s">
        <v>2135</v>
      </c>
      <c r="I97" s="8" t="s">
        <v>583</v>
      </c>
      <c r="J97" s="8" t="s">
        <v>5038</v>
      </c>
      <c r="K97" s="8" t="s">
        <v>2135</v>
      </c>
      <c r="L97" s="8" t="s">
        <v>2135</v>
      </c>
      <c r="M97" s="8" t="s">
        <v>3332</v>
      </c>
      <c r="N97" s="8" t="s">
        <v>3333</v>
      </c>
      <c r="O97" s="8" t="s">
        <v>2135</v>
      </c>
      <c r="P97" s="8" t="s">
        <v>2135</v>
      </c>
      <c r="Q97" s="8" t="s">
        <v>2135</v>
      </c>
      <c r="R97" s="8" t="s">
        <v>2135</v>
      </c>
      <c r="S97" s="8" t="s">
        <v>2135</v>
      </c>
      <c r="T97" s="8" t="s">
        <v>5039</v>
      </c>
      <c r="U97" s="8" t="s">
        <v>5040</v>
      </c>
      <c r="V97" s="8" t="s">
        <v>5041</v>
      </c>
      <c r="W97" s="8" t="s">
        <v>5042</v>
      </c>
      <c r="X97" s="8" t="s">
        <v>5043</v>
      </c>
      <c r="Y97" s="8" t="s">
        <v>5044</v>
      </c>
      <c r="Z97" s="8" t="s">
        <v>5045</v>
      </c>
      <c r="AA97" s="8" t="s">
        <v>5046</v>
      </c>
      <c r="AB97" s="8" t="s">
        <v>5047</v>
      </c>
      <c r="AC97" s="8" t="s">
        <v>5048</v>
      </c>
      <c r="AD97" s="8" t="s">
        <v>5049</v>
      </c>
      <c r="AE97" s="8" t="s">
        <v>5050</v>
      </c>
      <c r="AF97" s="8" t="s">
        <v>2135</v>
      </c>
      <c r="AG97" s="8">
        <v>40.0</v>
      </c>
      <c r="AH97" s="8">
        <v>15.0</v>
      </c>
      <c r="AI97" s="8">
        <v>18.0</v>
      </c>
      <c r="AJ97" s="8">
        <v>0.0</v>
      </c>
      <c r="AK97" s="8">
        <v>47.0</v>
      </c>
      <c r="AL97" s="8" t="s">
        <v>5051</v>
      </c>
      <c r="AM97" s="8" t="s">
        <v>5052</v>
      </c>
      <c r="AN97" s="8" t="s">
        <v>5053</v>
      </c>
      <c r="AO97" s="8" t="s">
        <v>5054</v>
      </c>
      <c r="AP97" s="8" t="s">
        <v>2135</v>
      </c>
      <c r="AQ97" s="8" t="s">
        <v>2135</v>
      </c>
      <c r="AR97" s="8" t="s">
        <v>5055</v>
      </c>
      <c r="AS97" s="8" t="s">
        <v>5056</v>
      </c>
      <c r="AT97" s="8" t="s">
        <v>3462</v>
      </c>
      <c r="AU97" s="8">
        <v>2017.0</v>
      </c>
      <c r="AV97" s="8">
        <v>7.0</v>
      </c>
      <c r="AW97" s="8">
        <v>9.0</v>
      </c>
      <c r="AX97" s="8" t="s">
        <v>2135</v>
      </c>
      <c r="AY97" s="8" t="s">
        <v>2135</v>
      </c>
      <c r="AZ97" s="8" t="s">
        <v>2135</v>
      </c>
      <c r="BA97" s="8" t="s">
        <v>2135</v>
      </c>
      <c r="BB97" s="8" t="s">
        <v>2135</v>
      </c>
      <c r="BC97" s="8" t="s">
        <v>2135</v>
      </c>
      <c r="BD97" s="8">
        <v>912.0</v>
      </c>
      <c r="BE97" s="8" t="s">
        <v>5057</v>
      </c>
      <c r="BF97" s="13" t="str">
        <f>HYPERLINK("http://dx.doi.org/10.3390/app7090912","http://dx.doi.org/10.3390/app7090912")</f>
        <v>http://dx.doi.org/10.3390/app7090912</v>
      </c>
      <c r="BG97" s="8" t="s">
        <v>2135</v>
      </c>
      <c r="BH97" s="8" t="s">
        <v>2135</v>
      </c>
      <c r="BI97" s="8">
        <v>15.0</v>
      </c>
      <c r="BJ97" s="8" t="s">
        <v>5058</v>
      </c>
      <c r="BK97" s="8" t="s">
        <v>3352</v>
      </c>
      <c r="BL97" s="8" t="s">
        <v>5059</v>
      </c>
      <c r="BM97" s="8" t="s">
        <v>5060</v>
      </c>
      <c r="BN97" s="8" t="s">
        <v>2135</v>
      </c>
      <c r="BO97" s="8" t="s">
        <v>3659</v>
      </c>
      <c r="BP97" s="8" t="s">
        <v>2135</v>
      </c>
      <c r="BQ97" s="8" t="s">
        <v>2135</v>
      </c>
      <c r="BR97" s="8" t="s">
        <v>3355</v>
      </c>
      <c r="BS97" s="8" t="s">
        <v>5061</v>
      </c>
      <c r="BT97" s="8" t="s">
        <v>2396</v>
      </c>
      <c r="BU97" s="8" t="s">
        <v>2283</v>
      </c>
      <c r="BW97" s="8" t="s">
        <v>2401</v>
      </c>
      <c r="BX97" s="8" t="s">
        <v>2971</v>
      </c>
      <c r="BY97" s="8" t="s">
        <v>3120</v>
      </c>
      <c r="BZ97" s="8" t="str">
        <f>HYPERLINK("https%3A%2F%2Fwww.webofscience.com%2Fwos%2Fwoscc%2Ffull-record%2FWOS:000414453600048","View Full Record in Web of Science")</f>
        <v>View Full Record in Web of Science</v>
      </c>
    </row>
    <row r="98" ht="12.75" customHeight="1">
      <c r="A98" s="8" t="s">
        <v>3329</v>
      </c>
      <c r="B98" s="8" t="s">
        <v>5062</v>
      </c>
      <c r="C98" s="8" t="s">
        <v>2135</v>
      </c>
      <c r="D98" s="8" t="s">
        <v>2135</v>
      </c>
      <c r="E98" s="8" t="s">
        <v>2135</v>
      </c>
      <c r="F98" s="8" t="s">
        <v>5063</v>
      </c>
      <c r="G98" s="8" t="s">
        <v>2135</v>
      </c>
      <c r="H98" s="8" t="s">
        <v>2135</v>
      </c>
      <c r="I98" s="8" t="s">
        <v>581</v>
      </c>
      <c r="J98" s="8" t="s">
        <v>5064</v>
      </c>
      <c r="K98" s="8" t="s">
        <v>2135</v>
      </c>
      <c r="L98" s="8" t="s">
        <v>2135</v>
      </c>
      <c r="M98" s="8" t="s">
        <v>3332</v>
      </c>
      <c r="N98" s="8" t="s">
        <v>3333</v>
      </c>
      <c r="O98" s="8" t="s">
        <v>2135</v>
      </c>
      <c r="P98" s="8" t="s">
        <v>2135</v>
      </c>
      <c r="Q98" s="8" t="s">
        <v>2135</v>
      </c>
      <c r="R98" s="8" t="s">
        <v>2135</v>
      </c>
      <c r="S98" s="8" t="s">
        <v>2135</v>
      </c>
      <c r="T98" s="8" t="s">
        <v>5065</v>
      </c>
      <c r="U98" s="8" t="s">
        <v>5066</v>
      </c>
      <c r="V98" s="8" t="s">
        <v>5067</v>
      </c>
      <c r="W98" s="8" t="s">
        <v>5068</v>
      </c>
      <c r="X98" s="8" t="s">
        <v>5069</v>
      </c>
      <c r="Y98" s="8" t="s">
        <v>5070</v>
      </c>
      <c r="Z98" s="8" t="s">
        <v>5071</v>
      </c>
      <c r="AA98" s="8" t="s">
        <v>5072</v>
      </c>
      <c r="AB98" s="8" t="s">
        <v>2135</v>
      </c>
      <c r="AC98" s="8" t="s">
        <v>2135</v>
      </c>
      <c r="AD98" s="8" t="s">
        <v>2135</v>
      </c>
      <c r="AE98" s="8" t="s">
        <v>2135</v>
      </c>
      <c r="AF98" s="8" t="s">
        <v>2135</v>
      </c>
      <c r="AG98" s="8">
        <v>75.0</v>
      </c>
      <c r="AH98" s="8">
        <v>10.0</v>
      </c>
      <c r="AI98" s="8">
        <v>10.0</v>
      </c>
      <c r="AJ98" s="8">
        <v>0.0</v>
      </c>
      <c r="AK98" s="8">
        <v>13.0</v>
      </c>
      <c r="AL98" s="8" t="s">
        <v>5073</v>
      </c>
      <c r="AM98" s="8" t="s">
        <v>5074</v>
      </c>
      <c r="AN98" s="8" t="s">
        <v>5075</v>
      </c>
      <c r="AO98" s="8" t="s">
        <v>5076</v>
      </c>
      <c r="AP98" s="8" t="s">
        <v>2135</v>
      </c>
      <c r="AQ98" s="8" t="s">
        <v>2135</v>
      </c>
      <c r="AR98" s="8" t="s">
        <v>5077</v>
      </c>
      <c r="AS98" s="8" t="s">
        <v>5078</v>
      </c>
      <c r="AT98" s="8" t="s">
        <v>3462</v>
      </c>
      <c r="AU98" s="8">
        <v>2006.0</v>
      </c>
      <c r="AV98" s="8">
        <v>73.0</v>
      </c>
      <c r="AW98" s="8">
        <v>3.0</v>
      </c>
      <c r="AX98" s="8" t="s">
        <v>2135</v>
      </c>
      <c r="AY98" s="8" t="s">
        <v>2135</v>
      </c>
      <c r="AZ98" s="8" t="s">
        <v>2135</v>
      </c>
      <c r="BA98" s="8" t="s">
        <v>2135</v>
      </c>
      <c r="BB98" s="8">
        <v>227.0</v>
      </c>
      <c r="BC98" s="8">
        <v>235.0</v>
      </c>
      <c r="BD98" s="8" t="s">
        <v>2135</v>
      </c>
      <c r="BE98" s="8" t="s">
        <v>5079</v>
      </c>
      <c r="BF98" s="13" t="str">
        <f>HYPERLINK("http://dx.doi.org/10.1080/11250000600679603","http://dx.doi.org/10.1080/11250000600679603")</f>
        <v>http://dx.doi.org/10.1080/11250000600679603</v>
      </c>
      <c r="BG98" s="8" t="s">
        <v>2135</v>
      </c>
      <c r="BH98" s="8" t="s">
        <v>2135</v>
      </c>
      <c r="BI98" s="8">
        <v>9.0</v>
      </c>
      <c r="BJ98" s="8" t="s">
        <v>3397</v>
      </c>
      <c r="BK98" s="8" t="s">
        <v>3352</v>
      </c>
      <c r="BL98" s="8" t="s">
        <v>3397</v>
      </c>
      <c r="BM98" s="8" t="s">
        <v>5080</v>
      </c>
      <c r="BN98" s="8" t="s">
        <v>2135</v>
      </c>
      <c r="BO98" s="8" t="s">
        <v>2135</v>
      </c>
      <c r="BP98" s="8" t="s">
        <v>2135</v>
      </c>
      <c r="BQ98" s="8" t="s">
        <v>2135</v>
      </c>
      <c r="BR98" s="8" t="s">
        <v>3355</v>
      </c>
      <c r="BS98" s="8" t="s">
        <v>5081</v>
      </c>
      <c r="BT98" s="8" t="s">
        <v>2379</v>
      </c>
      <c r="BU98" s="8" t="s">
        <v>2142</v>
      </c>
      <c r="BW98" s="8" t="s">
        <v>2311</v>
      </c>
      <c r="BX98" s="8" t="s">
        <v>3153</v>
      </c>
      <c r="BY98" s="8" t="s">
        <v>3120</v>
      </c>
      <c r="BZ98" s="8" t="str">
        <f>HYPERLINK("https%3A%2F%2Fwww.webofscience.com%2Fwos%2Fwoscc%2Ffull-record%2FWOS:000241568000005","View Full Record in Web of Science")</f>
        <v>View Full Record in Web of Science</v>
      </c>
    </row>
    <row r="99" ht="12.75" customHeight="1">
      <c r="A99" s="8" t="s">
        <v>3329</v>
      </c>
      <c r="B99" s="8" t="s">
        <v>5082</v>
      </c>
      <c r="C99" s="8" t="s">
        <v>2135</v>
      </c>
      <c r="D99" s="8" t="s">
        <v>2135</v>
      </c>
      <c r="E99" s="8" t="s">
        <v>2135</v>
      </c>
      <c r="F99" s="8" t="s">
        <v>5082</v>
      </c>
      <c r="G99" s="8" t="s">
        <v>2135</v>
      </c>
      <c r="H99" s="8" t="s">
        <v>2135</v>
      </c>
      <c r="I99" s="8" t="s">
        <v>579</v>
      </c>
      <c r="J99" s="8" t="s">
        <v>5083</v>
      </c>
      <c r="K99" s="8" t="s">
        <v>2135</v>
      </c>
      <c r="L99" s="8" t="s">
        <v>2135</v>
      </c>
      <c r="M99" s="8" t="s">
        <v>3332</v>
      </c>
      <c r="N99" s="8" t="s">
        <v>3333</v>
      </c>
      <c r="O99" s="8" t="s">
        <v>2135</v>
      </c>
      <c r="P99" s="8" t="s">
        <v>2135</v>
      </c>
      <c r="Q99" s="8" t="s">
        <v>2135</v>
      </c>
      <c r="R99" s="8" t="s">
        <v>2135</v>
      </c>
      <c r="S99" s="8" t="s">
        <v>2135</v>
      </c>
      <c r="T99" s="8" t="s">
        <v>5084</v>
      </c>
      <c r="U99" s="8" t="s">
        <v>5085</v>
      </c>
      <c r="V99" s="8" t="s">
        <v>5086</v>
      </c>
      <c r="W99" s="8" t="s">
        <v>5087</v>
      </c>
      <c r="X99" s="8" t="s">
        <v>5088</v>
      </c>
      <c r="Y99" s="8" t="s">
        <v>5089</v>
      </c>
      <c r="Z99" s="8" t="s">
        <v>5090</v>
      </c>
      <c r="AA99" s="8" t="s">
        <v>2135</v>
      </c>
      <c r="AB99" s="8" t="s">
        <v>2135</v>
      </c>
      <c r="AC99" s="8" t="s">
        <v>2135</v>
      </c>
      <c r="AD99" s="8" t="s">
        <v>2135</v>
      </c>
      <c r="AE99" s="8" t="s">
        <v>2135</v>
      </c>
      <c r="AF99" s="8" t="s">
        <v>2135</v>
      </c>
      <c r="AG99" s="8">
        <v>75.0</v>
      </c>
      <c r="AH99" s="8">
        <v>90.0</v>
      </c>
      <c r="AI99" s="8">
        <v>113.0</v>
      </c>
      <c r="AJ99" s="8">
        <v>0.0</v>
      </c>
      <c r="AK99" s="8">
        <v>121.0</v>
      </c>
      <c r="AL99" s="8" t="s">
        <v>3342</v>
      </c>
      <c r="AM99" s="8" t="s">
        <v>3343</v>
      </c>
      <c r="AN99" s="8" t="s">
        <v>3344</v>
      </c>
      <c r="AO99" s="8" t="s">
        <v>5091</v>
      </c>
      <c r="AP99" s="8" t="s">
        <v>5092</v>
      </c>
      <c r="AQ99" s="8" t="s">
        <v>2135</v>
      </c>
      <c r="AR99" s="8" t="s">
        <v>5093</v>
      </c>
      <c r="AS99" s="8" t="s">
        <v>5094</v>
      </c>
      <c r="AT99" s="8" t="s">
        <v>3395</v>
      </c>
      <c r="AU99" s="8">
        <v>2005.0</v>
      </c>
      <c r="AV99" s="8">
        <v>32.0</v>
      </c>
      <c r="AW99" s="8">
        <v>8.0</v>
      </c>
      <c r="AX99" s="8" t="s">
        <v>2135</v>
      </c>
      <c r="AY99" s="8" t="s">
        <v>2135</v>
      </c>
      <c r="AZ99" s="8" t="s">
        <v>2135</v>
      </c>
      <c r="BA99" s="8" t="s">
        <v>2135</v>
      </c>
      <c r="BB99" s="8">
        <v>1385.0</v>
      </c>
      <c r="BC99" s="8">
        <v>1407.0</v>
      </c>
      <c r="BD99" s="8" t="s">
        <v>2135</v>
      </c>
      <c r="BE99" s="8" t="s">
        <v>5095</v>
      </c>
      <c r="BF99" s="13" t="str">
        <f>HYPERLINK("http://dx.doi.org/10.1111/j.1365-2699.2005.01234.x","http://dx.doi.org/10.1111/j.1365-2699.2005.01234.x")</f>
        <v>http://dx.doi.org/10.1111/j.1365-2699.2005.01234.x</v>
      </c>
      <c r="BG99" s="8" t="s">
        <v>2135</v>
      </c>
      <c r="BH99" s="8" t="s">
        <v>2135</v>
      </c>
      <c r="BI99" s="8">
        <v>23.0</v>
      </c>
      <c r="BJ99" s="8" t="s">
        <v>5096</v>
      </c>
      <c r="BK99" s="8" t="s">
        <v>3352</v>
      </c>
      <c r="BL99" s="8" t="s">
        <v>5097</v>
      </c>
      <c r="BM99" s="8" t="s">
        <v>5098</v>
      </c>
      <c r="BN99" s="8" t="s">
        <v>2135</v>
      </c>
      <c r="BO99" s="8" t="s">
        <v>2135</v>
      </c>
      <c r="BP99" s="8" t="s">
        <v>2135</v>
      </c>
      <c r="BQ99" s="8" t="s">
        <v>2135</v>
      </c>
      <c r="BR99" s="8" t="s">
        <v>3355</v>
      </c>
      <c r="BS99" s="8" t="s">
        <v>5099</v>
      </c>
      <c r="BT99" s="8" t="s">
        <v>2600</v>
      </c>
      <c r="BU99" s="8" t="s">
        <v>2147</v>
      </c>
      <c r="BV99" s="8" t="s">
        <v>2217</v>
      </c>
      <c r="BW99" s="8" t="s">
        <v>2654</v>
      </c>
      <c r="BX99" s="8" t="s">
        <v>3119</v>
      </c>
      <c r="BY99" s="8" t="s">
        <v>3120</v>
      </c>
      <c r="BZ99" s="8" t="str">
        <f>HYPERLINK("https%3A%2F%2Fwww.webofscience.com%2Fwos%2Fwoscc%2Ffull-record%2FWOS:000230726700010","View Full Record in Web of Science")</f>
        <v>View Full Record in Web of Science</v>
      </c>
    </row>
    <row r="100" ht="12.75" customHeight="1">
      <c r="A100" s="8" t="s">
        <v>3329</v>
      </c>
      <c r="B100" s="8" t="s">
        <v>5100</v>
      </c>
      <c r="C100" s="8" t="s">
        <v>2135</v>
      </c>
      <c r="D100" s="8" t="s">
        <v>2135</v>
      </c>
      <c r="E100" s="8" t="s">
        <v>2135</v>
      </c>
      <c r="F100" s="8" t="s">
        <v>5101</v>
      </c>
      <c r="G100" s="8" t="s">
        <v>2135</v>
      </c>
      <c r="H100" s="8" t="s">
        <v>2135</v>
      </c>
      <c r="I100" s="8" t="s">
        <v>585</v>
      </c>
      <c r="J100" s="8" t="s">
        <v>4864</v>
      </c>
      <c r="K100" s="8" t="s">
        <v>2135</v>
      </c>
      <c r="L100" s="8" t="s">
        <v>2135</v>
      </c>
      <c r="M100" s="8" t="s">
        <v>3332</v>
      </c>
      <c r="N100" s="8" t="s">
        <v>3333</v>
      </c>
      <c r="O100" s="8" t="s">
        <v>2135</v>
      </c>
      <c r="P100" s="8" t="s">
        <v>2135</v>
      </c>
      <c r="Q100" s="8" t="s">
        <v>2135</v>
      </c>
      <c r="R100" s="8" t="s">
        <v>2135</v>
      </c>
      <c r="S100" s="8" t="s">
        <v>2135</v>
      </c>
      <c r="T100" s="8" t="s">
        <v>5102</v>
      </c>
      <c r="U100" s="8" t="s">
        <v>5103</v>
      </c>
      <c r="V100" s="8" t="s">
        <v>5104</v>
      </c>
      <c r="W100" s="8" t="s">
        <v>5105</v>
      </c>
      <c r="X100" s="8" t="s">
        <v>5106</v>
      </c>
      <c r="Y100" s="8" t="s">
        <v>5107</v>
      </c>
      <c r="Z100" s="8" t="s">
        <v>5108</v>
      </c>
      <c r="AA100" s="8" t="s">
        <v>5109</v>
      </c>
      <c r="AB100" s="8" t="s">
        <v>5110</v>
      </c>
      <c r="AC100" s="8" t="s">
        <v>5111</v>
      </c>
      <c r="AD100" s="8" t="s">
        <v>5112</v>
      </c>
      <c r="AE100" s="8" t="s">
        <v>5113</v>
      </c>
      <c r="AF100" s="8" t="s">
        <v>2135</v>
      </c>
      <c r="AG100" s="8">
        <v>59.0</v>
      </c>
      <c r="AH100" s="8">
        <v>8.0</v>
      </c>
      <c r="AI100" s="8">
        <v>11.0</v>
      </c>
      <c r="AJ100" s="8">
        <v>1.0</v>
      </c>
      <c r="AK100" s="8">
        <v>35.0</v>
      </c>
      <c r="AL100" s="8" t="s">
        <v>3342</v>
      </c>
      <c r="AM100" s="8" t="s">
        <v>3343</v>
      </c>
      <c r="AN100" s="8" t="s">
        <v>3344</v>
      </c>
      <c r="AO100" s="8" t="s">
        <v>4873</v>
      </c>
      <c r="AP100" s="8" t="s">
        <v>4874</v>
      </c>
      <c r="AQ100" s="8" t="s">
        <v>2135</v>
      </c>
      <c r="AR100" s="8" t="s">
        <v>4875</v>
      </c>
      <c r="AS100" s="8" t="s">
        <v>4876</v>
      </c>
      <c r="AT100" s="8" t="s">
        <v>3741</v>
      </c>
      <c r="AU100" s="8">
        <v>2018.0</v>
      </c>
      <c r="AV100" s="8">
        <v>21.0</v>
      </c>
      <c r="AW100" s="8">
        <v>6.0</v>
      </c>
      <c r="AX100" s="8" t="s">
        <v>2135</v>
      </c>
      <c r="AY100" s="8" t="s">
        <v>2135</v>
      </c>
      <c r="AZ100" s="8" t="s">
        <v>2135</v>
      </c>
      <c r="BA100" s="8" t="s">
        <v>2135</v>
      </c>
      <c r="BB100" s="8">
        <v>483.0</v>
      </c>
      <c r="BC100" s="8">
        <v>495.0</v>
      </c>
      <c r="BD100" s="8" t="s">
        <v>2135</v>
      </c>
      <c r="BE100" s="8" t="s">
        <v>5114</v>
      </c>
      <c r="BF100" s="13" t="str">
        <f>HYPERLINK("http://dx.doi.org/10.1111/acv.12417","http://dx.doi.org/10.1111/acv.12417")</f>
        <v>http://dx.doi.org/10.1111/acv.12417</v>
      </c>
      <c r="BG100" s="8" t="s">
        <v>2135</v>
      </c>
      <c r="BH100" s="8" t="s">
        <v>2135</v>
      </c>
      <c r="BI100" s="8">
        <v>13.0</v>
      </c>
      <c r="BJ100" s="8" t="s">
        <v>3558</v>
      </c>
      <c r="BK100" s="8" t="s">
        <v>3352</v>
      </c>
      <c r="BL100" s="8" t="s">
        <v>3353</v>
      </c>
      <c r="BM100" s="8" t="s">
        <v>5115</v>
      </c>
      <c r="BN100" s="8" t="s">
        <v>2135</v>
      </c>
      <c r="BO100" s="8" t="s">
        <v>2135</v>
      </c>
      <c r="BP100" s="8" t="s">
        <v>2135</v>
      </c>
      <c r="BQ100" s="8" t="s">
        <v>2135</v>
      </c>
      <c r="BR100" s="8" t="s">
        <v>3355</v>
      </c>
      <c r="BS100" s="8" t="s">
        <v>5116</v>
      </c>
      <c r="BT100" s="8" t="s">
        <v>2600</v>
      </c>
      <c r="BU100" s="8" t="s">
        <v>2147</v>
      </c>
      <c r="BV100" s="8" t="s">
        <v>2217</v>
      </c>
      <c r="BW100" s="8" t="s">
        <v>2221</v>
      </c>
      <c r="BX100" s="8" t="s">
        <v>3124</v>
      </c>
      <c r="BY100" s="8" t="s">
        <v>3125</v>
      </c>
      <c r="BZ100" s="8" t="str">
        <f>HYPERLINK("https%3A%2F%2Fwww.webofscience.com%2Fwos%2Fwoscc%2Ffull-record%2FWOS:000453700100008","View Full Record in Web of Science")</f>
        <v>View Full Record in Web of Science</v>
      </c>
    </row>
    <row r="101" ht="12.75" customHeight="1">
      <c r="A101" s="8" t="s">
        <v>3329</v>
      </c>
      <c r="B101" s="8" t="s">
        <v>5117</v>
      </c>
      <c r="C101" s="8" t="s">
        <v>2135</v>
      </c>
      <c r="D101" s="8" t="s">
        <v>2135</v>
      </c>
      <c r="E101" s="8" t="s">
        <v>2135</v>
      </c>
      <c r="F101" s="8" t="s">
        <v>5118</v>
      </c>
      <c r="G101" s="8" t="s">
        <v>2135</v>
      </c>
      <c r="H101" s="8" t="s">
        <v>2135</v>
      </c>
      <c r="I101" s="8" t="s">
        <v>587</v>
      </c>
      <c r="J101" s="8" t="s">
        <v>4123</v>
      </c>
      <c r="K101" s="8" t="s">
        <v>2135</v>
      </c>
      <c r="L101" s="8" t="s">
        <v>2135</v>
      </c>
      <c r="M101" s="8" t="s">
        <v>3332</v>
      </c>
      <c r="N101" s="8" t="s">
        <v>3333</v>
      </c>
      <c r="O101" s="8" t="s">
        <v>2135</v>
      </c>
      <c r="P101" s="8" t="s">
        <v>2135</v>
      </c>
      <c r="Q101" s="8" t="s">
        <v>2135</v>
      </c>
      <c r="R101" s="8" t="s">
        <v>2135</v>
      </c>
      <c r="S101" s="8" t="s">
        <v>2135</v>
      </c>
      <c r="T101" s="8" t="s">
        <v>5119</v>
      </c>
      <c r="U101" s="8" t="s">
        <v>5120</v>
      </c>
      <c r="V101" s="8" t="s">
        <v>5121</v>
      </c>
      <c r="W101" s="8" t="s">
        <v>5122</v>
      </c>
      <c r="X101" s="8" t="s">
        <v>5123</v>
      </c>
      <c r="Y101" s="8" t="s">
        <v>5124</v>
      </c>
      <c r="Z101" s="8" t="s">
        <v>5125</v>
      </c>
      <c r="AA101" s="8" t="s">
        <v>2135</v>
      </c>
      <c r="AB101" s="8" t="s">
        <v>2135</v>
      </c>
      <c r="AC101" s="8" t="s">
        <v>5126</v>
      </c>
      <c r="AD101" s="8" t="s">
        <v>5126</v>
      </c>
      <c r="AE101" s="8" t="s">
        <v>5127</v>
      </c>
      <c r="AF101" s="8" t="s">
        <v>2135</v>
      </c>
      <c r="AG101" s="8">
        <v>78.0</v>
      </c>
      <c r="AH101" s="8">
        <v>27.0</v>
      </c>
      <c r="AI101" s="8">
        <v>27.0</v>
      </c>
      <c r="AJ101" s="8">
        <v>3.0</v>
      </c>
      <c r="AK101" s="8">
        <v>34.0</v>
      </c>
      <c r="AL101" s="8" t="s">
        <v>3342</v>
      </c>
      <c r="AM101" s="8" t="s">
        <v>3343</v>
      </c>
      <c r="AN101" s="8" t="s">
        <v>3344</v>
      </c>
      <c r="AO101" s="8" t="s">
        <v>4133</v>
      </c>
      <c r="AP101" s="8" t="s">
        <v>5033</v>
      </c>
      <c r="AQ101" s="8" t="s">
        <v>2135</v>
      </c>
      <c r="AR101" s="8" t="s">
        <v>4134</v>
      </c>
      <c r="AS101" s="8" t="s">
        <v>4135</v>
      </c>
      <c r="AT101" s="8" t="s">
        <v>2135</v>
      </c>
      <c r="AU101" s="8">
        <v>2019.0</v>
      </c>
      <c r="AV101" s="8" t="s">
        <v>2135</v>
      </c>
      <c r="AW101" s="8" t="s">
        <v>2135</v>
      </c>
      <c r="AX101" s="8" t="s">
        <v>2135</v>
      </c>
      <c r="AY101" s="8" t="s">
        <v>2135</v>
      </c>
      <c r="AZ101" s="8" t="s">
        <v>2135</v>
      </c>
      <c r="BA101" s="8" t="s">
        <v>2135</v>
      </c>
      <c r="BB101" s="8" t="s">
        <v>2135</v>
      </c>
      <c r="BC101" s="8" t="s">
        <v>2135</v>
      </c>
      <c r="BD101" s="8" t="s">
        <v>5128</v>
      </c>
      <c r="BE101" s="8" t="s">
        <v>5129</v>
      </c>
      <c r="BF101" s="13" t="str">
        <f>HYPERLINK("http://dx.doi.org/10.2981/wlb.00480","http://dx.doi.org/10.2981/wlb.00480")</f>
        <v>http://dx.doi.org/10.2981/wlb.00480</v>
      </c>
      <c r="BG101" s="8" t="s">
        <v>2135</v>
      </c>
      <c r="BH101" s="8" t="s">
        <v>2135</v>
      </c>
      <c r="BI101" s="8">
        <v>13.0</v>
      </c>
      <c r="BJ101" s="8" t="s">
        <v>3442</v>
      </c>
      <c r="BK101" s="8" t="s">
        <v>3352</v>
      </c>
      <c r="BL101" s="8" t="s">
        <v>3443</v>
      </c>
      <c r="BM101" s="8" t="s">
        <v>5130</v>
      </c>
      <c r="BN101" s="8" t="s">
        <v>2135</v>
      </c>
      <c r="BO101" s="8" t="s">
        <v>5131</v>
      </c>
      <c r="BP101" s="8" t="s">
        <v>2135</v>
      </c>
      <c r="BQ101" s="8" t="s">
        <v>2135</v>
      </c>
      <c r="BR101" s="8" t="s">
        <v>3355</v>
      </c>
      <c r="BS101" s="8" t="s">
        <v>5132</v>
      </c>
      <c r="BT101" s="8" t="s">
        <v>2216</v>
      </c>
      <c r="BU101" s="8" t="s">
        <v>2147</v>
      </c>
      <c r="BV101" s="8" t="s">
        <v>2217</v>
      </c>
      <c r="BW101" s="8" t="s">
        <v>2218</v>
      </c>
      <c r="BX101" s="8" t="s">
        <v>3008</v>
      </c>
      <c r="BY101" s="8" t="s">
        <v>3020</v>
      </c>
      <c r="BZ101" s="8" t="str">
        <f>HYPERLINK("https%3A%2F%2Fwww.webofscience.com%2Fwos%2Fwoscc%2Ffull-record%2FWOS:000469183500001","View Full Record in Web of Science")</f>
        <v>View Full Record in Web of Science</v>
      </c>
    </row>
    <row r="102" ht="12.75" customHeight="1">
      <c r="A102" s="8" t="s">
        <v>3329</v>
      </c>
      <c r="B102" s="8" t="s">
        <v>5133</v>
      </c>
      <c r="C102" s="8" t="s">
        <v>2135</v>
      </c>
      <c r="D102" s="8" t="s">
        <v>2135</v>
      </c>
      <c r="E102" s="8" t="s">
        <v>2135</v>
      </c>
      <c r="F102" s="8" t="s">
        <v>5134</v>
      </c>
      <c r="G102" s="8" t="s">
        <v>2135</v>
      </c>
      <c r="H102" s="8" t="s">
        <v>2135</v>
      </c>
      <c r="I102" s="8" t="s">
        <v>589</v>
      </c>
      <c r="J102" s="8" t="s">
        <v>5135</v>
      </c>
      <c r="K102" s="8" t="s">
        <v>2135</v>
      </c>
      <c r="L102" s="8" t="s">
        <v>2135</v>
      </c>
      <c r="M102" s="8" t="s">
        <v>3332</v>
      </c>
      <c r="N102" s="8" t="s">
        <v>3333</v>
      </c>
      <c r="O102" s="8" t="s">
        <v>2135</v>
      </c>
      <c r="P102" s="8" t="s">
        <v>2135</v>
      </c>
      <c r="Q102" s="8" t="s">
        <v>2135</v>
      </c>
      <c r="R102" s="8" t="s">
        <v>2135</v>
      </c>
      <c r="S102" s="8" t="s">
        <v>2135</v>
      </c>
      <c r="T102" s="8" t="s">
        <v>5136</v>
      </c>
      <c r="U102" s="8" t="s">
        <v>5137</v>
      </c>
      <c r="V102" s="8" t="s">
        <v>5138</v>
      </c>
      <c r="W102" s="8" t="s">
        <v>5139</v>
      </c>
      <c r="X102" s="8" t="s">
        <v>5140</v>
      </c>
      <c r="Y102" s="8" t="s">
        <v>5141</v>
      </c>
      <c r="Z102" s="8" t="s">
        <v>5142</v>
      </c>
      <c r="AA102" s="8" t="s">
        <v>5143</v>
      </c>
      <c r="AB102" s="8" t="s">
        <v>5144</v>
      </c>
      <c r="AC102" s="8" t="s">
        <v>5145</v>
      </c>
      <c r="AD102" s="8" t="s">
        <v>5146</v>
      </c>
      <c r="AE102" s="8" t="s">
        <v>5147</v>
      </c>
      <c r="AF102" s="8" t="s">
        <v>2135</v>
      </c>
      <c r="AG102" s="8">
        <v>54.0</v>
      </c>
      <c r="AH102" s="8">
        <v>86.0</v>
      </c>
      <c r="AI102" s="8">
        <v>101.0</v>
      </c>
      <c r="AJ102" s="8">
        <v>5.0</v>
      </c>
      <c r="AK102" s="8">
        <v>53.0</v>
      </c>
      <c r="AL102" s="8" t="s">
        <v>3479</v>
      </c>
      <c r="AM102" s="8" t="s">
        <v>4500</v>
      </c>
      <c r="AN102" s="8" t="s">
        <v>4501</v>
      </c>
      <c r="AO102" s="8" t="s">
        <v>5148</v>
      </c>
      <c r="AP102" s="8" t="s">
        <v>5149</v>
      </c>
      <c r="AQ102" s="8" t="s">
        <v>2135</v>
      </c>
      <c r="AR102" s="8" t="s">
        <v>5150</v>
      </c>
      <c r="AS102" s="8" t="s">
        <v>5151</v>
      </c>
      <c r="AT102" s="8" t="s">
        <v>3485</v>
      </c>
      <c r="AU102" s="8">
        <v>2009.0</v>
      </c>
      <c r="AV102" s="8">
        <v>18.0</v>
      </c>
      <c r="AW102" s="8">
        <v>2.0</v>
      </c>
      <c r="AX102" s="8" t="s">
        <v>2135</v>
      </c>
      <c r="AY102" s="8" t="s">
        <v>2135</v>
      </c>
      <c r="AZ102" s="8" t="s">
        <v>2135</v>
      </c>
      <c r="BA102" s="8" t="s">
        <v>2135</v>
      </c>
      <c r="BB102" s="8">
        <v>405.0</v>
      </c>
      <c r="BC102" s="8">
        <v>418.0</v>
      </c>
      <c r="BD102" s="8" t="s">
        <v>2135</v>
      </c>
      <c r="BE102" s="8" t="s">
        <v>5152</v>
      </c>
      <c r="BF102" s="13" t="str">
        <f>HYPERLINK("http://dx.doi.org/10.1007/s10531-008-9499-9","http://dx.doi.org/10.1007/s10531-008-9499-9")</f>
        <v>http://dx.doi.org/10.1007/s10531-008-9499-9</v>
      </c>
      <c r="BG102" s="8" t="s">
        <v>2135</v>
      </c>
      <c r="BH102" s="8" t="s">
        <v>2135</v>
      </c>
      <c r="BI102" s="8">
        <v>14.0</v>
      </c>
      <c r="BJ102" s="8" t="s">
        <v>3351</v>
      </c>
      <c r="BK102" s="8" t="s">
        <v>3352</v>
      </c>
      <c r="BL102" s="8" t="s">
        <v>3353</v>
      </c>
      <c r="BM102" s="8" t="s">
        <v>5153</v>
      </c>
      <c r="BN102" s="8" t="s">
        <v>2135</v>
      </c>
      <c r="BO102" s="8" t="s">
        <v>2135</v>
      </c>
      <c r="BP102" s="8" t="s">
        <v>2135</v>
      </c>
      <c r="BQ102" s="8" t="s">
        <v>2135</v>
      </c>
      <c r="BR102" s="8" t="s">
        <v>3355</v>
      </c>
      <c r="BS102" s="8" t="s">
        <v>5154</v>
      </c>
      <c r="BT102" s="8" t="s">
        <v>2497</v>
      </c>
      <c r="BU102" s="8" t="s">
        <v>2142</v>
      </c>
      <c r="BW102" s="8" t="s">
        <v>2340</v>
      </c>
      <c r="BX102" s="8" t="s">
        <v>3184</v>
      </c>
      <c r="BY102" s="8" t="s">
        <v>3185</v>
      </c>
      <c r="BZ102" s="8" t="str">
        <f>HYPERLINK("https%3A%2F%2Fwww.webofscience.com%2Fwos%2Fwoscc%2Ffull-record%2FWOS:000262965400010","View Full Record in Web of Science")</f>
        <v>View Full Record in Web of Science</v>
      </c>
    </row>
    <row r="103" ht="12.75" customHeight="1">
      <c r="A103" s="8" t="s">
        <v>3329</v>
      </c>
      <c r="B103" s="8" t="s">
        <v>5155</v>
      </c>
      <c r="C103" s="8" t="s">
        <v>2135</v>
      </c>
      <c r="D103" s="8" t="s">
        <v>2135</v>
      </c>
      <c r="E103" s="8" t="s">
        <v>2135</v>
      </c>
      <c r="F103" s="8" t="s">
        <v>5156</v>
      </c>
      <c r="G103" s="8" t="s">
        <v>2135</v>
      </c>
      <c r="H103" s="8" t="s">
        <v>2135</v>
      </c>
      <c r="I103" s="8" t="s">
        <v>596</v>
      </c>
      <c r="J103" s="8" t="s">
        <v>4123</v>
      </c>
      <c r="K103" s="8" t="s">
        <v>2135</v>
      </c>
      <c r="L103" s="8" t="s">
        <v>2135</v>
      </c>
      <c r="M103" s="8" t="s">
        <v>3332</v>
      </c>
      <c r="N103" s="8" t="s">
        <v>3333</v>
      </c>
      <c r="O103" s="8" t="s">
        <v>2135</v>
      </c>
      <c r="P103" s="8" t="s">
        <v>2135</v>
      </c>
      <c r="Q103" s="8" t="s">
        <v>2135</v>
      </c>
      <c r="R103" s="8" t="s">
        <v>2135</v>
      </c>
      <c r="S103" s="8" t="s">
        <v>2135</v>
      </c>
      <c r="T103" s="8" t="s">
        <v>2135</v>
      </c>
      <c r="U103" s="8" t="s">
        <v>5157</v>
      </c>
      <c r="V103" s="8" t="s">
        <v>5158</v>
      </c>
      <c r="W103" s="8" t="s">
        <v>5159</v>
      </c>
      <c r="X103" s="8" t="s">
        <v>5160</v>
      </c>
      <c r="Y103" s="8" t="s">
        <v>5161</v>
      </c>
      <c r="Z103" s="8" t="s">
        <v>5162</v>
      </c>
      <c r="AA103" s="8" t="s">
        <v>5163</v>
      </c>
      <c r="AB103" s="8" t="s">
        <v>5164</v>
      </c>
      <c r="AC103" s="8" t="s">
        <v>5165</v>
      </c>
      <c r="AD103" s="8" t="s">
        <v>5166</v>
      </c>
      <c r="AE103" s="8" t="s">
        <v>5167</v>
      </c>
      <c r="AF103" s="8" t="s">
        <v>2135</v>
      </c>
      <c r="AG103" s="8">
        <v>91.0</v>
      </c>
      <c r="AH103" s="8">
        <v>9.0</v>
      </c>
      <c r="AI103" s="8">
        <v>10.0</v>
      </c>
      <c r="AJ103" s="8">
        <v>2.0</v>
      </c>
      <c r="AK103" s="8">
        <v>23.0</v>
      </c>
      <c r="AL103" s="8" t="s">
        <v>4123</v>
      </c>
      <c r="AM103" s="8" t="s">
        <v>4131</v>
      </c>
      <c r="AN103" s="8" t="s">
        <v>4132</v>
      </c>
      <c r="AO103" s="8" t="s">
        <v>4133</v>
      </c>
      <c r="AP103" s="8" t="s">
        <v>5033</v>
      </c>
      <c r="AQ103" s="8" t="s">
        <v>2135</v>
      </c>
      <c r="AR103" s="8" t="s">
        <v>4134</v>
      </c>
      <c r="AS103" s="8" t="s">
        <v>4135</v>
      </c>
      <c r="AT103" s="8" t="s">
        <v>2135</v>
      </c>
      <c r="AU103" s="8">
        <v>2018.0</v>
      </c>
      <c r="AV103" s="8" t="s">
        <v>2135</v>
      </c>
      <c r="AW103" s="8" t="s">
        <v>2135</v>
      </c>
      <c r="AX103" s="8" t="s">
        <v>2135</v>
      </c>
      <c r="AY103" s="8" t="s">
        <v>2135</v>
      </c>
      <c r="AZ103" s="8" t="s">
        <v>2135</v>
      </c>
      <c r="BA103" s="8" t="s">
        <v>2135</v>
      </c>
      <c r="BB103" s="8" t="s">
        <v>2135</v>
      </c>
      <c r="BC103" s="8" t="s">
        <v>2135</v>
      </c>
      <c r="BD103" s="8" t="s">
        <v>5168</v>
      </c>
      <c r="BE103" s="8" t="s">
        <v>5169</v>
      </c>
      <c r="BF103" s="13" t="str">
        <f>HYPERLINK("http://dx.doi.org/10.2981/wlb.00453","http://dx.doi.org/10.2981/wlb.00453")</f>
        <v>http://dx.doi.org/10.2981/wlb.00453</v>
      </c>
      <c r="BG103" s="8" t="s">
        <v>2135</v>
      </c>
      <c r="BH103" s="8" t="s">
        <v>2135</v>
      </c>
      <c r="BI103" s="8">
        <v>11.0</v>
      </c>
      <c r="BJ103" s="8" t="s">
        <v>3442</v>
      </c>
      <c r="BK103" s="8" t="s">
        <v>3352</v>
      </c>
      <c r="BL103" s="8" t="s">
        <v>3443</v>
      </c>
      <c r="BM103" s="8" t="s">
        <v>5170</v>
      </c>
      <c r="BN103" s="8" t="s">
        <v>2135</v>
      </c>
      <c r="BO103" s="8" t="s">
        <v>3659</v>
      </c>
      <c r="BP103" s="8" t="s">
        <v>2135</v>
      </c>
      <c r="BQ103" s="8" t="s">
        <v>2135</v>
      </c>
      <c r="BR103" s="8" t="s">
        <v>3355</v>
      </c>
      <c r="BS103" s="8" t="s">
        <v>5171</v>
      </c>
      <c r="BT103" s="8" t="s">
        <v>2440</v>
      </c>
      <c r="BU103" s="8" t="s">
        <v>2142</v>
      </c>
      <c r="BW103" s="8" t="s">
        <v>2311</v>
      </c>
      <c r="BX103" s="8" t="s">
        <v>3154</v>
      </c>
      <c r="BY103" s="8" t="s">
        <v>3155</v>
      </c>
      <c r="BZ103" s="8" t="str">
        <f>HYPERLINK("https%3A%2F%2Fwww.webofscience.com%2Fwos%2Fwoscc%2Ffull-record%2FWOS:000449033900001","View Full Record in Web of Science")</f>
        <v>View Full Record in Web of Science</v>
      </c>
    </row>
    <row r="104" ht="12.75" customHeight="1">
      <c r="A104" s="8" t="s">
        <v>3329</v>
      </c>
      <c r="B104" s="8" t="s">
        <v>5172</v>
      </c>
      <c r="C104" s="8" t="s">
        <v>2135</v>
      </c>
      <c r="D104" s="8" t="s">
        <v>2135</v>
      </c>
      <c r="E104" s="8" t="s">
        <v>2135</v>
      </c>
      <c r="F104" s="8" t="s">
        <v>5173</v>
      </c>
      <c r="G104" s="8" t="s">
        <v>2135</v>
      </c>
      <c r="H104" s="8" t="s">
        <v>2135</v>
      </c>
      <c r="I104" s="8" t="s">
        <v>600</v>
      </c>
      <c r="J104" s="8" t="s">
        <v>5174</v>
      </c>
      <c r="K104" s="8" t="s">
        <v>2135</v>
      </c>
      <c r="L104" s="8" t="s">
        <v>2135</v>
      </c>
      <c r="M104" s="8" t="s">
        <v>3332</v>
      </c>
      <c r="N104" s="8" t="s">
        <v>3492</v>
      </c>
      <c r="O104" s="8" t="s">
        <v>2135</v>
      </c>
      <c r="P104" s="8" t="s">
        <v>2135</v>
      </c>
      <c r="Q104" s="8" t="s">
        <v>2135</v>
      </c>
      <c r="R104" s="8" t="s">
        <v>2135</v>
      </c>
      <c r="S104" s="8" t="s">
        <v>2135</v>
      </c>
      <c r="T104" s="8" t="s">
        <v>5175</v>
      </c>
      <c r="U104" s="8" t="s">
        <v>5176</v>
      </c>
      <c r="V104" s="8" t="s">
        <v>5177</v>
      </c>
      <c r="W104" s="8" t="s">
        <v>5178</v>
      </c>
      <c r="X104" s="8" t="s">
        <v>5179</v>
      </c>
      <c r="Y104" s="8" t="s">
        <v>5180</v>
      </c>
      <c r="Z104" s="8" t="s">
        <v>5181</v>
      </c>
      <c r="AA104" s="8" t="s">
        <v>5182</v>
      </c>
      <c r="AB104" s="8" t="s">
        <v>5183</v>
      </c>
      <c r="AC104" s="8" t="s">
        <v>5184</v>
      </c>
      <c r="AD104" s="8" t="s">
        <v>5185</v>
      </c>
      <c r="AE104" s="8" t="s">
        <v>5186</v>
      </c>
      <c r="AF104" s="8" t="s">
        <v>2135</v>
      </c>
      <c r="AG104" s="8">
        <v>90.0</v>
      </c>
      <c r="AH104" s="8">
        <v>10.0</v>
      </c>
      <c r="AI104" s="8">
        <v>10.0</v>
      </c>
      <c r="AJ104" s="8">
        <v>3.0</v>
      </c>
      <c r="AK104" s="8">
        <v>37.0</v>
      </c>
      <c r="AL104" s="8" t="s">
        <v>3505</v>
      </c>
      <c r="AM104" s="8" t="s">
        <v>3506</v>
      </c>
      <c r="AN104" s="8" t="s">
        <v>3507</v>
      </c>
      <c r="AO104" s="8" t="s">
        <v>5187</v>
      </c>
      <c r="AP104" s="8" t="s">
        <v>5188</v>
      </c>
      <c r="AQ104" s="8" t="s">
        <v>2135</v>
      </c>
      <c r="AR104" s="8" t="s">
        <v>5189</v>
      </c>
      <c r="AS104" s="8" t="s">
        <v>5190</v>
      </c>
      <c r="AT104" s="8" t="s">
        <v>3580</v>
      </c>
      <c r="AU104" s="8">
        <v>2017.0</v>
      </c>
      <c r="AV104" s="8">
        <v>62.0</v>
      </c>
      <c r="AW104" s="8">
        <v>4.0</v>
      </c>
      <c r="AX104" s="8" t="s">
        <v>2135</v>
      </c>
      <c r="AY104" s="8" t="s">
        <v>2135</v>
      </c>
      <c r="AZ104" s="8" t="s">
        <v>2135</v>
      </c>
      <c r="BA104" s="8" t="s">
        <v>2135</v>
      </c>
      <c r="BB104" s="8">
        <v>313.0</v>
      </c>
      <c r="BC104" s="8">
        <v>321.0</v>
      </c>
      <c r="BD104" s="8" t="s">
        <v>2135</v>
      </c>
      <c r="BE104" s="8" t="s">
        <v>5191</v>
      </c>
      <c r="BF104" s="13" t="str">
        <f>HYPERLINK("http://dx.doi.org/10.1007/s13364-017-0333-1","http://dx.doi.org/10.1007/s13364-017-0333-1")</f>
        <v>http://dx.doi.org/10.1007/s13364-017-0333-1</v>
      </c>
      <c r="BG104" s="8" t="s">
        <v>2135</v>
      </c>
      <c r="BH104" s="8" t="s">
        <v>2135</v>
      </c>
      <c r="BI104" s="8">
        <v>9.0</v>
      </c>
      <c r="BJ104" s="8" t="s">
        <v>3397</v>
      </c>
      <c r="BK104" s="8" t="s">
        <v>3352</v>
      </c>
      <c r="BL104" s="8" t="s">
        <v>3397</v>
      </c>
      <c r="BM104" s="8" t="s">
        <v>5192</v>
      </c>
      <c r="BN104" s="8" t="s">
        <v>2135</v>
      </c>
      <c r="BO104" s="8" t="s">
        <v>2135</v>
      </c>
      <c r="BP104" s="8" t="s">
        <v>2135</v>
      </c>
      <c r="BQ104" s="8" t="s">
        <v>2135</v>
      </c>
      <c r="BR104" s="8" t="s">
        <v>3355</v>
      </c>
      <c r="BS104" s="8" t="s">
        <v>5193</v>
      </c>
      <c r="BU104" s="8" t="s">
        <v>2147</v>
      </c>
      <c r="BW104" s="8" t="s">
        <v>2157</v>
      </c>
      <c r="BX104" s="8" t="s">
        <v>3036</v>
      </c>
      <c r="BY104" s="8" t="s">
        <v>3037</v>
      </c>
      <c r="BZ104" s="8" t="str">
        <f>HYPERLINK("https%3A%2F%2Fwww.webofscience.com%2Fwos%2Fwoscc%2Ffull-record%2FWOS:000410484900001","View Full Record in Web of Science")</f>
        <v>View Full Record in Web of Science</v>
      </c>
    </row>
    <row r="105" ht="12.75" customHeight="1">
      <c r="A105" s="8" t="s">
        <v>3329</v>
      </c>
      <c r="B105" s="8" t="s">
        <v>5194</v>
      </c>
      <c r="C105" s="8" t="s">
        <v>2135</v>
      </c>
      <c r="D105" s="8" t="s">
        <v>2135</v>
      </c>
      <c r="E105" s="8" t="s">
        <v>2135</v>
      </c>
      <c r="F105" s="8" t="s">
        <v>5194</v>
      </c>
      <c r="G105" s="8" t="s">
        <v>2135</v>
      </c>
      <c r="H105" s="8" t="s">
        <v>2135</v>
      </c>
      <c r="I105" s="8" t="s">
        <v>602</v>
      </c>
      <c r="J105" s="8" t="s">
        <v>4443</v>
      </c>
      <c r="K105" s="8" t="s">
        <v>2135</v>
      </c>
      <c r="L105" s="8" t="s">
        <v>2135</v>
      </c>
      <c r="M105" s="8" t="s">
        <v>3332</v>
      </c>
      <c r="N105" s="8" t="s">
        <v>3333</v>
      </c>
      <c r="O105" s="8" t="s">
        <v>2135</v>
      </c>
      <c r="P105" s="8" t="s">
        <v>2135</v>
      </c>
      <c r="Q105" s="8" t="s">
        <v>2135</v>
      </c>
      <c r="R105" s="8" t="s">
        <v>2135</v>
      </c>
      <c r="S105" s="8" t="s">
        <v>2135</v>
      </c>
      <c r="T105" s="8" t="s">
        <v>5195</v>
      </c>
      <c r="U105" s="8" t="s">
        <v>5196</v>
      </c>
      <c r="V105" s="8" t="s">
        <v>5197</v>
      </c>
      <c r="W105" s="8" t="s">
        <v>5198</v>
      </c>
      <c r="X105" s="8" t="s">
        <v>2135</v>
      </c>
      <c r="Y105" s="8" t="s">
        <v>5199</v>
      </c>
      <c r="Z105" s="8" t="s">
        <v>5200</v>
      </c>
      <c r="AA105" s="8" t="s">
        <v>2135</v>
      </c>
      <c r="AB105" s="8" t="s">
        <v>2135</v>
      </c>
      <c r="AC105" s="8" t="s">
        <v>2135</v>
      </c>
      <c r="AD105" s="8" t="s">
        <v>2135</v>
      </c>
      <c r="AE105" s="8" t="s">
        <v>2135</v>
      </c>
      <c r="AF105" s="8" t="s">
        <v>2135</v>
      </c>
      <c r="AG105" s="8">
        <v>84.0</v>
      </c>
      <c r="AH105" s="8">
        <v>264.0</v>
      </c>
      <c r="AI105" s="8">
        <v>328.0</v>
      </c>
      <c r="AJ105" s="8">
        <v>0.0</v>
      </c>
      <c r="AK105" s="8">
        <v>171.0</v>
      </c>
      <c r="AL105" s="8" t="s">
        <v>3342</v>
      </c>
      <c r="AM105" s="8" t="s">
        <v>3343</v>
      </c>
      <c r="AN105" s="8" t="s">
        <v>3344</v>
      </c>
      <c r="AO105" s="8" t="s">
        <v>4453</v>
      </c>
      <c r="AP105" s="8" t="s">
        <v>4454</v>
      </c>
      <c r="AQ105" s="8" t="s">
        <v>2135</v>
      </c>
      <c r="AR105" s="8" t="s">
        <v>4455</v>
      </c>
      <c r="AS105" s="8" t="s">
        <v>4456</v>
      </c>
      <c r="AT105" s="8" t="s">
        <v>3395</v>
      </c>
      <c r="AU105" s="8">
        <v>2001.0</v>
      </c>
      <c r="AV105" s="8">
        <v>11.0</v>
      </c>
      <c r="AW105" s="8">
        <v>4.0</v>
      </c>
      <c r="AX105" s="8" t="s">
        <v>2135</v>
      </c>
      <c r="AY105" s="8" t="s">
        <v>2135</v>
      </c>
      <c r="AZ105" s="8" t="s">
        <v>2135</v>
      </c>
      <c r="BA105" s="8" t="s">
        <v>2135</v>
      </c>
      <c r="BB105" s="8">
        <v>961.0</v>
      </c>
      <c r="BC105" s="8">
        <v>980.0</v>
      </c>
      <c r="BD105" s="8" t="s">
        <v>2135</v>
      </c>
      <c r="BE105" s="8" t="s">
        <v>5201</v>
      </c>
      <c r="BF105" s="13" t="str">
        <f>HYPERLINK("http://dx.doi.org/10.2307/3061005","http://dx.doi.org/10.2307/3061005")</f>
        <v>http://dx.doi.org/10.2307/3061005</v>
      </c>
      <c r="BG105" s="8" t="s">
        <v>2135</v>
      </c>
      <c r="BH105" s="8" t="s">
        <v>2135</v>
      </c>
      <c r="BI105" s="8">
        <v>20.0</v>
      </c>
      <c r="BJ105" s="8" t="s">
        <v>3631</v>
      </c>
      <c r="BK105" s="8" t="s">
        <v>3352</v>
      </c>
      <c r="BL105" s="8" t="s">
        <v>3632</v>
      </c>
      <c r="BM105" s="8" t="s">
        <v>5202</v>
      </c>
      <c r="BN105" s="8" t="s">
        <v>2135</v>
      </c>
      <c r="BO105" s="8" t="s">
        <v>2135</v>
      </c>
      <c r="BP105" s="8" t="s">
        <v>2135</v>
      </c>
      <c r="BQ105" s="8" t="s">
        <v>2135</v>
      </c>
      <c r="BR105" s="8" t="s">
        <v>3355</v>
      </c>
      <c r="BS105" s="8" t="s">
        <v>5203</v>
      </c>
      <c r="BU105" s="8" t="s">
        <v>2147</v>
      </c>
      <c r="BV105" s="8" t="s">
        <v>2217</v>
      </c>
      <c r="BW105" s="8" t="s">
        <v>2840</v>
      </c>
      <c r="BX105" s="8" t="s">
        <v>3192</v>
      </c>
      <c r="BY105" s="8" t="s">
        <v>3193</v>
      </c>
      <c r="BZ105" s="8" t="str">
        <f>HYPERLINK("https%3A%2F%2Fwww.webofscience.com%2Fwos%2Fwoscc%2Ffull-record%2FWOS:000170209200003","View Full Record in Web of Science")</f>
        <v>View Full Record in Web of Science</v>
      </c>
    </row>
    <row r="106" ht="12.75" customHeight="1">
      <c r="A106" s="8" t="s">
        <v>3329</v>
      </c>
      <c r="B106" s="8" t="s">
        <v>5204</v>
      </c>
      <c r="C106" s="8" t="s">
        <v>2135</v>
      </c>
      <c r="D106" s="8" t="s">
        <v>2135</v>
      </c>
      <c r="E106" s="8" t="s">
        <v>2135</v>
      </c>
      <c r="F106" s="8" t="s">
        <v>5205</v>
      </c>
      <c r="G106" s="8" t="s">
        <v>2135</v>
      </c>
      <c r="H106" s="8" t="s">
        <v>2135</v>
      </c>
      <c r="I106" s="8" t="s">
        <v>626</v>
      </c>
      <c r="J106" s="8" t="s">
        <v>4162</v>
      </c>
      <c r="K106" s="8" t="s">
        <v>2135</v>
      </c>
      <c r="L106" s="8" t="s">
        <v>2135</v>
      </c>
      <c r="M106" s="8" t="s">
        <v>3332</v>
      </c>
      <c r="N106" s="8" t="s">
        <v>3333</v>
      </c>
      <c r="O106" s="8" t="s">
        <v>2135</v>
      </c>
      <c r="P106" s="8" t="s">
        <v>2135</v>
      </c>
      <c r="Q106" s="8" t="s">
        <v>2135</v>
      </c>
      <c r="R106" s="8" t="s">
        <v>2135</v>
      </c>
      <c r="S106" s="8" t="s">
        <v>2135</v>
      </c>
      <c r="T106" s="8" t="s">
        <v>5206</v>
      </c>
      <c r="U106" s="8" t="s">
        <v>5207</v>
      </c>
      <c r="V106" s="8" t="s">
        <v>5208</v>
      </c>
      <c r="W106" s="8" t="s">
        <v>5209</v>
      </c>
      <c r="X106" s="8" t="s">
        <v>5210</v>
      </c>
      <c r="Y106" s="8" t="s">
        <v>5211</v>
      </c>
      <c r="Z106" s="8" t="s">
        <v>5212</v>
      </c>
      <c r="AA106" s="8" t="s">
        <v>5213</v>
      </c>
      <c r="AB106" s="8" t="s">
        <v>5214</v>
      </c>
      <c r="AC106" s="8" t="s">
        <v>5215</v>
      </c>
      <c r="AD106" s="8" t="s">
        <v>5216</v>
      </c>
      <c r="AE106" s="8" t="s">
        <v>5217</v>
      </c>
      <c r="AF106" s="8" t="s">
        <v>2135</v>
      </c>
      <c r="AG106" s="8">
        <v>63.0</v>
      </c>
      <c r="AH106" s="8">
        <v>25.0</v>
      </c>
      <c r="AI106" s="8">
        <v>25.0</v>
      </c>
      <c r="AJ106" s="8">
        <v>1.0</v>
      </c>
      <c r="AK106" s="8">
        <v>20.0</v>
      </c>
      <c r="AL106" s="8" t="s">
        <v>3342</v>
      </c>
      <c r="AM106" s="8" t="s">
        <v>3343</v>
      </c>
      <c r="AN106" s="8" t="s">
        <v>3344</v>
      </c>
      <c r="AO106" s="8" t="s">
        <v>4175</v>
      </c>
      <c r="AP106" s="8" t="s">
        <v>4176</v>
      </c>
      <c r="AQ106" s="8" t="s">
        <v>2135</v>
      </c>
      <c r="AR106" s="8" t="s">
        <v>4177</v>
      </c>
      <c r="AS106" s="8" t="s">
        <v>4178</v>
      </c>
      <c r="AT106" s="8" t="s">
        <v>3485</v>
      </c>
      <c r="AU106" s="8">
        <v>2020.0</v>
      </c>
      <c r="AV106" s="8">
        <v>84.0</v>
      </c>
      <c r="AW106" s="8">
        <v>2.0</v>
      </c>
      <c r="AX106" s="8" t="s">
        <v>2135</v>
      </c>
      <c r="AY106" s="8" t="s">
        <v>2135</v>
      </c>
      <c r="AZ106" s="8" t="s">
        <v>2135</v>
      </c>
      <c r="BA106" s="8" t="s">
        <v>2135</v>
      </c>
      <c r="BB106" s="8">
        <v>213.0</v>
      </c>
      <c r="BC106" s="8">
        <v>226.0</v>
      </c>
      <c r="BD106" s="8" t="s">
        <v>2135</v>
      </c>
      <c r="BE106" s="8" t="s">
        <v>5218</v>
      </c>
      <c r="BF106" s="13" t="str">
        <f>HYPERLINK("http://dx.doi.org/10.1002/jwmg.21787","http://dx.doi.org/10.1002/jwmg.21787")</f>
        <v>http://dx.doi.org/10.1002/jwmg.21787</v>
      </c>
      <c r="BG106" s="8" t="s">
        <v>2135</v>
      </c>
      <c r="BH106" s="8" t="s">
        <v>4180</v>
      </c>
      <c r="BI106" s="8">
        <v>14.0</v>
      </c>
      <c r="BJ106" s="8" t="s">
        <v>3442</v>
      </c>
      <c r="BK106" s="8" t="s">
        <v>3352</v>
      </c>
      <c r="BL106" s="8" t="s">
        <v>3443</v>
      </c>
      <c r="BM106" s="8" t="s">
        <v>4181</v>
      </c>
      <c r="BN106" s="8" t="s">
        <v>2135</v>
      </c>
      <c r="BO106" s="8" t="s">
        <v>4332</v>
      </c>
      <c r="BP106" s="8" t="s">
        <v>2135</v>
      </c>
      <c r="BQ106" s="8" t="s">
        <v>2135</v>
      </c>
      <c r="BR106" s="8" t="s">
        <v>3355</v>
      </c>
      <c r="BS106" s="8" t="s">
        <v>5219</v>
      </c>
      <c r="BT106" s="8" t="s">
        <v>2216</v>
      </c>
      <c r="BU106" s="8" t="s">
        <v>2147</v>
      </c>
      <c r="BV106" s="8" t="s">
        <v>2217</v>
      </c>
      <c r="BW106" s="8" t="s">
        <v>2218</v>
      </c>
      <c r="BX106" s="8" t="s">
        <v>3008</v>
      </c>
      <c r="BY106" s="8" t="s">
        <v>3009</v>
      </c>
      <c r="BZ106" s="8" t="str">
        <f>HYPERLINK("https%3A%2F%2Fwww.webofscience.com%2Fwos%2Fwoscc%2Ffull-record%2FWOS:000497628900001","View Full Record in Web of Science")</f>
        <v>View Full Record in Web of Science</v>
      </c>
    </row>
    <row r="107" ht="12.75" customHeight="1">
      <c r="A107" s="8" t="s">
        <v>3329</v>
      </c>
      <c r="B107" s="8" t="s">
        <v>5220</v>
      </c>
      <c r="C107" s="8" t="s">
        <v>2135</v>
      </c>
      <c r="D107" s="8" t="s">
        <v>2135</v>
      </c>
      <c r="E107" s="8" t="s">
        <v>2135</v>
      </c>
      <c r="F107" s="8" t="s">
        <v>5221</v>
      </c>
      <c r="G107" s="8" t="s">
        <v>2135</v>
      </c>
      <c r="H107" s="8" t="s">
        <v>2135</v>
      </c>
      <c r="I107" s="8" t="s">
        <v>594</v>
      </c>
      <c r="J107" s="8" t="s">
        <v>5222</v>
      </c>
      <c r="K107" s="8" t="s">
        <v>2135</v>
      </c>
      <c r="L107" s="8" t="s">
        <v>2135</v>
      </c>
      <c r="M107" s="8" t="s">
        <v>3332</v>
      </c>
      <c r="N107" s="8" t="s">
        <v>3333</v>
      </c>
      <c r="O107" s="8" t="s">
        <v>2135</v>
      </c>
      <c r="P107" s="8" t="s">
        <v>2135</v>
      </c>
      <c r="Q107" s="8" t="s">
        <v>2135</v>
      </c>
      <c r="R107" s="8" t="s">
        <v>2135</v>
      </c>
      <c r="S107" s="8" t="s">
        <v>2135</v>
      </c>
      <c r="T107" s="8" t="s">
        <v>5223</v>
      </c>
      <c r="U107" s="8" t="s">
        <v>5224</v>
      </c>
      <c r="V107" s="8" t="s">
        <v>5225</v>
      </c>
      <c r="W107" s="8" t="s">
        <v>5226</v>
      </c>
      <c r="X107" s="8" t="s">
        <v>5227</v>
      </c>
      <c r="Y107" s="8" t="s">
        <v>5228</v>
      </c>
      <c r="Z107" s="8" t="s">
        <v>5229</v>
      </c>
      <c r="AA107" s="8" t="s">
        <v>5230</v>
      </c>
      <c r="AB107" s="8" t="s">
        <v>5231</v>
      </c>
      <c r="AC107" s="8" t="s">
        <v>5232</v>
      </c>
      <c r="AD107" s="8" t="s">
        <v>5233</v>
      </c>
      <c r="AE107" s="8" t="s">
        <v>5234</v>
      </c>
      <c r="AF107" s="8" t="s">
        <v>2135</v>
      </c>
      <c r="AG107" s="8">
        <v>73.0</v>
      </c>
      <c r="AH107" s="8">
        <v>22.0</v>
      </c>
      <c r="AI107" s="8">
        <v>27.0</v>
      </c>
      <c r="AJ107" s="8">
        <v>2.0</v>
      </c>
      <c r="AK107" s="8">
        <v>67.0</v>
      </c>
      <c r="AL107" s="8" t="s">
        <v>5235</v>
      </c>
      <c r="AM107" s="8" t="s">
        <v>5236</v>
      </c>
      <c r="AN107" s="8" t="s">
        <v>5237</v>
      </c>
      <c r="AO107" s="8" t="s">
        <v>5238</v>
      </c>
      <c r="AP107" s="8" t="s">
        <v>5239</v>
      </c>
      <c r="AQ107" s="8" t="s">
        <v>2135</v>
      </c>
      <c r="AR107" s="8" t="s">
        <v>5240</v>
      </c>
      <c r="AS107" s="8" t="s">
        <v>5241</v>
      </c>
      <c r="AT107" s="8" t="s">
        <v>2135</v>
      </c>
      <c r="AU107" s="8">
        <v>2018.0</v>
      </c>
      <c r="AV107" s="8">
        <v>18.0</v>
      </c>
      <c r="AW107" s="8">
        <v>2.0</v>
      </c>
      <c r="AX107" s="8" t="s">
        <v>2135</v>
      </c>
      <c r="AY107" s="8" t="s">
        <v>2135</v>
      </c>
      <c r="AZ107" s="8" t="s">
        <v>2135</v>
      </c>
      <c r="BA107" s="8" t="s">
        <v>2135</v>
      </c>
      <c r="BB107" s="8" t="s">
        <v>2135</v>
      </c>
      <c r="BC107" s="8" t="s">
        <v>2135</v>
      </c>
      <c r="BD107" s="8" t="s">
        <v>5242</v>
      </c>
      <c r="BE107" s="8" t="s">
        <v>5243</v>
      </c>
      <c r="BF107" s="13" t="str">
        <f>HYPERLINK("http://dx.doi.org/10.1590/1676-0611-BN-2017-0395","http://dx.doi.org/10.1590/1676-0611-BN-2017-0395")</f>
        <v>http://dx.doi.org/10.1590/1676-0611-BN-2017-0395</v>
      </c>
      <c r="BG107" s="8" t="s">
        <v>2135</v>
      </c>
      <c r="BH107" s="8" t="s">
        <v>2135</v>
      </c>
      <c r="BI107" s="8">
        <v>12.0</v>
      </c>
      <c r="BJ107" s="8" t="s">
        <v>3604</v>
      </c>
      <c r="BK107" s="8" t="s">
        <v>3352</v>
      </c>
      <c r="BL107" s="8" t="s">
        <v>3605</v>
      </c>
      <c r="BM107" s="8" t="s">
        <v>5244</v>
      </c>
      <c r="BN107" s="8" t="s">
        <v>2135</v>
      </c>
      <c r="BO107" s="8" t="s">
        <v>3659</v>
      </c>
      <c r="BP107" s="8" t="s">
        <v>2135</v>
      </c>
      <c r="BQ107" s="8" t="s">
        <v>2135</v>
      </c>
      <c r="BR107" s="8" t="s">
        <v>3355</v>
      </c>
      <c r="BS107" s="8" t="s">
        <v>5245</v>
      </c>
      <c r="BT107" s="8" t="s">
        <v>2185</v>
      </c>
      <c r="BU107" s="8" t="s">
        <v>2147</v>
      </c>
      <c r="BW107" s="8" t="s">
        <v>2150</v>
      </c>
      <c r="BX107" s="8" t="s">
        <v>3008</v>
      </c>
      <c r="BY107" s="8" t="s">
        <v>3009</v>
      </c>
      <c r="BZ107" s="8" t="str">
        <f>HYPERLINK("https%3A%2F%2Fwww.webofscience.com%2Fwos%2Fwoscc%2Ffull-record%2FWOS:000430650700001","View Full Record in Web of Science")</f>
        <v>View Full Record in Web of Science</v>
      </c>
    </row>
    <row r="108" ht="12.75" customHeight="1">
      <c r="A108" s="8" t="s">
        <v>3329</v>
      </c>
      <c r="B108" s="8" t="s">
        <v>5246</v>
      </c>
      <c r="C108" s="8" t="s">
        <v>2135</v>
      </c>
      <c r="D108" s="8" t="s">
        <v>2135</v>
      </c>
      <c r="E108" s="8" t="s">
        <v>2135</v>
      </c>
      <c r="F108" s="8" t="s">
        <v>5247</v>
      </c>
      <c r="G108" s="8" t="s">
        <v>2135</v>
      </c>
      <c r="H108" s="8" t="s">
        <v>2135</v>
      </c>
      <c r="I108" s="8" t="s">
        <v>622</v>
      </c>
      <c r="J108" s="8" t="s">
        <v>4773</v>
      </c>
      <c r="K108" s="8" t="s">
        <v>2135</v>
      </c>
      <c r="L108" s="8" t="s">
        <v>2135</v>
      </c>
      <c r="M108" s="8" t="s">
        <v>3332</v>
      </c>
      <c r="N108" s="8" t="s">
        <v>3333</v>
      </c>
      <c r="O108" s="8" t="s">
        <v>2135</v>
      </c>
      <c r="P108" s="8" t="s">
        <v>2135</v>
      </c>
      <c r="Q108" s="8" t="s">
        <v>2135</v>
      </c>
      <c r="R108" s="8" t="s">
        <v>2135</v>
      </c>
      <c r="S108" s="8" t="s">
        <v>2135</v>
      </c>
      <c r="T108" s="8" t="s">
        <v>5248</v>
      </c>
      <c r="U108" s="8" t="s">
        <v>5249</v>
      </c>
      <c r="V108" s="8" t="s">
        <v>5250</v>
      </c>
      <c r="W108" s="8" t="s">
        <v>5251</v>
      </c>
      <c r="X108" s="8" t="s">
        <v>5252</v>
      </c>
      <c r="Y108" s="8" t="s">
        <v>5253</v>
      </c>
      <c r="Z108" s="8" t="s">
        <v>5254</v>
      </c>
      <c r="AA108" s="8" t="s">
        <v>5255</v>
      </c>
      <c r="AB108" s="8" t="s">
        <v>5256</v>
      </c>
      <c r="AC108" s="8" t="s">
        <v>5257</v>
      </c>
      <c r="AD108" s="8" t="s">
        <v>5257</v>
      </c>
      <c r="AE108" s="8" t="s">
        <v>5258</v>
      </c>
      <c r="AF108" s="8" t="s">
        <v>2135</v>
      </c>
      <c r="AG108" s="8">
        <v>42.0</v>
      </c>
      <c r="AH108" s="8">
        <v>12.0</v>
      </c>
      <c r="AI108" s="8">
        <v>15.0</v>
      </c>
      <c r="AJ108" s="8">
        <v>1.0</v>
      </c>
      <c r="AK108" s="8">
        <v>30.0</v>
      </c>
      <c r="AL108" s="8" t="s">
        <v>3342</v>
      </c>
      <c r="AM108" s="8" t="s">
        <v>3343</v>
      </c>
      <c r="AN108" s="8" t="s">
        <v>3344</v>
      </c>
      <c r="AO108" s="8" t="s">
        <v>4783</v>
      </c>
      <c r="AP108" s="8" t="s">
        <v>4784</v>
      </c>
      <c r="AQ108" s="8" t="s">
        <v>2135</v>
      </c>
      <c r="AR108" s="8" t="s">
        <v>4785</v>
      </c>
      <c r="AS108" s="8" t="s">
        <v>4786</v>
      </c>
      <c r="AT108" s="8" t="s">
        <v>3721</v>
      </c>
      <c r="AU108" s="8">
        <v>2015.0</v>
      </c>
      <c r="AV108" s="8">
        <v>295.0</v>
      </c>
      <c r="AW108" s="8">
        <v>3.0</v>
      </c>
      <c r="AX108" s="8" t="s">
        <v>2135</v>
      </c>
      <c r="AY108" s="8" t="s">
        <v>2135</v>
      </c>
      <c r="AZ108" s="8" t="s">
        <v>2135</v>
      </c>
      <c r="BA108" s="8" t="s">
        <v>2135</v>
      </c>
      <c r="BB108" s="8">
        <v>214.0</v>
      </c>
      <c r="BC108" s="8">
        <v>222.0</v>
      </c>
      <c r="BD108" s="8" t="s">
        <v>2135</v>
      </c>
      <c r="BE108" s="8" t="s">
        <v>5259</v>
      </c>
      <c r="BF108" s="13" t="str">
        <f>HYPERLINK("http://dx.doi.org/10.1111/jzo.12201","http://dx.doi.org/10.1111/jzo.12201")</f>
        <v>http://dx.doi.org/10.1111/jzo.12201</v>
      </c>
      <c r="BG108" s="8" t="s">
        <v>2135</v>
      </c>
      <c r="BH108" s="8" t="s">
        <v>2135</v>
      </c>
      <c r="BI108" s="8">
        <v>9.0</v>
      </c>
      <c r="BJ108" s="8" t="s">
        <v>3397</v>
      </c>
      <c r="BK108" s="8" t="s">
        <v>3352</v>
      </c>
      <c r="BL108" s="8" t="s">
        <v>3397</v>
      </c>
      <c r="BM108" s="8" t="s">
        <v>5260</v>
      </c>
      <c r="BN108" s="8" t="s">
        <v>2135</v>
      </c>
      <c r="BO108" s="8" t="s">
        <v>2135</v>
      </c>
      <c r="BP108" s="8" t="s">
        <v>2135</v>
      </c>
      <c r="BQ108" s="8" t="s">
        <v>2135</v>
      </c>
      <c r="BR108" s="8" t="s">
        <v>3355</v>
      </c>
      <c r="BS108" s="8" t="s">
        <v>5261</v>
      </c>
      <c r="BT108" s="8" t="s">
        <v>2325</v>
      </c>
      <c r="BU108" s="8" t="s">
        <v>2142</v>
      </c>
      <c r="BW108" s="8" t="s">
        <v>2329</v>
      </c>
      <c r="BX108" s="8" t="s">
        <v>3008</v>
      </c>
      <c r="BY108" s="8" t="s">
        <v>3009</v>
      </c>
      <c r="BZ108" s="8" t="str">
        <f>HYPERLINK("https%3A%2F%2Fwww.webofscience.com%2Fwos%2Fwoscc%2Ffull-record%2FWOS:000350476000007","View Full Record in Web of Science")</f>
        <v>View Full Record in Web of Science</v>
      </c>
    </row>
    <row r="109" ht="12.75" customHeight="1">
      <c r="A109" s="8" t="s">
        <v>3329</v>
      </c>
      <c r="B109" s="8" t="s">
        <v>5262</v>
      </c>
      <c r="C109" s="8" t="s">
        <v>2135</v>
      </c>
      <c r="D109" s="8" t="s">
        <v>2135</v>
      </c>
      <c r="E109" s="8" t="s">
        <v>2135</v>
      </c>
      <c r="F109" s="8" t="s">
        <v>5263</v>
      </c>
      <c r="G109" s="8" t="s">
        <v>2135</v>
      </c>
      <c r="H109" s="8" t="s">
        <v>2135</v>
      </c>
      <c r="I109" s="8" t="s">
        <v>618</v>
      </c>
      <c r="J109" s="8" t="s">
        <v>4563</v>
      </c>
      <c r="K109" s="8" t="s">
        <v>2135</v>
      </c>
      <c r="L109" s="8" t="s">
        <v>2135</v>
      </c>
      <c r="M109" s="8" t="s">
        <v>3332</v>
      </c>
      <c r="N109" s="8" t="s">
        <v>3333</v>
      </c>
      <c r="O109" s="8" t="s">
        <v>2135</v>
      </c>
      <c r="P109" s="8" t="s">
        <v>2135</v>
      </c>
      <c r="Q109" s="8" t="s">
        <v>2135</v>
      </c>
      <c r="R109" s="8" t="s">
        <v>2135</v>
      </c>
      <c r="S109" s="8" t="s">
        <v>2135</v>
      </c>
      <c r="T109" s="8" t="s">
        <v>2135</v>
      </c>
      <c r="U109" s="8" t="s">
        <v>5264</v>
      </c>
      <c r="V109" s="8" t="s">
        <v>5265</v>
      </c>
      <c r="W109" s="8" t="s">
        <v>5266</v>
      </c>
      <c r="X109" s="8" t="s">
        <v>5267</v>
      </c>
      <c r="Y109" s="8" t="s">
        <v>5268</v>
      </c>
      <c r="Z109" s="8" t="s">
        <v>5269</v>
      </c>
      <c r="AA109" s="8" t="s">
        <v>5270</v>
      </c>
      <c r="AB109" s="8" t="s">
        <v>5271</v>
      </c>
      <c r="AC109" s="8" t="s">
        <v>5272</v>
      </c>
      <c r="AD109" s="8" t="s">
        <v>5272</v>
      </c>
      <c r="AE109" s="8" t="s">
        <v>5273</v>
      </c>
      <c r="AF109" s="8" t="s">
        <v>2135</v>
      </c>
      <c r="AG109" s="8">
        <v>69.0</v>
      </c>
      <c r="AH109" s="8">
        <v>94.0</v>
      </c>
      <c r="AI109" s="8">
        <v>119.0</v>
      </c>
      <c r="AJ109" s="8">
        <v>2.0</v>
      </c>
      <c r="AK109" s="8">
        <v>122.0</v>
      </c>
      <c r="AL109" s="8" t="s">
        <v>5274</v>
      </c>
      <c r="AM109" s="8" t="s">
        <v>3844</v>
      </c>
      <c r="AN109" s="8" t="s">
        <v>5275</v>
      </c>
      <c r="AO109" s="8" t="s">
        <v>3846</v>
      </c>
      <c r="AP109" s="8" t="s">
        <v>2135</v>
      </c>
      <c r="AQ109" s="8" t="s">
        <v>2135</v>
      </c>
      <c r="AR109" s="8" t="s">
        <v>3848</v>
      </c>
      <c r="AS109" s="8" t="s">
        <v>4570</v>
      </c>
      <c r="AT109" s="8" t="s">
        <v>3765</v>
      </c>
      <c r="AU109" s="8">
        <v>2010.0</v>
      </c>
      <c r="AV109" s="8">
        <v>88.0</v>
      </c>
      <c r="AW109" s="8">
        <v>5.0</v>
      </c>
      <c r="AX109" s="8" t="s">
        <v>2135</v>
      </c>
      <c r="AY109" s="8" t="s">
        <v>2135</v>
      </c>
      <c r="AZ109" s="8" t="s">
        <v>2135</v>
      </c>
      <c r="BA109" s="8" t="s">
        <v>2135</v>
      </c>
      <c r="BB109" s="8">
        <v>454.0</v>
      </c>
      <c r="BC109" s="8">
        <v>467.0</v>
      </c>
      <c r="BD109" s="8" t="s">
        <v>2135</v>
      </c>
      <c r="BE109" s="8" t="s">
        <v>5276</v>
      </c>
      <c r="BF109" s="13" t="str">
        <f>HYPERLINK("http://dx.doi.org/10.1139/Z10-019","http://dx.doi.org/10.1139/Z10-019")</f>
        <v>http://dx.doi.org/10.1139/Z10-019</v>
      </c>
      <c r="BG109" s="8" t="s">
        <v>2135</v>
      </c>
      <c r="BH109" s="8" t="s">
        <v>2135</v>
      </c>
      <c r="BI109" s="8">
        <v>14.0</v>
      </c>
      <c r="BJ109" s="8" t="s">
        <v>3397</v>
      </c>
      <c r="BK109" s="8" t="s">
        <v>3352</v>
      </c>
      <c r="BL109" s="8" t="s">
        <v>3397</v>
      </c>
      <c r="BM109" s="8" t="s">
        <v>5277</v>
      </c>
      <c r="BN109" s="8" t="s">
        <v>2135</v>
      </c>
      <c r="BO109" s="8" t="s">
        <v>2135</v>
      </c>
      <c r="BP109" s="8" t="s">
        <v>2135</v>
      </c>
      <c r="BQ109" s="8" t="s">
        <v>2135</v>
      </c>
      <c r="BR109" s="8" t="s">
        <v>3355</v>
      </c>
      <c r="BS109" s="8" t="s">
        <v>5278</v>
      </c>
      <c r="BT109" s="8" t="s">
        <v>2216</v>
      </c>
      <c r="BU109" s="8" t="s">
        <v>2147</v>
      </c>
      <c r="BV109" s="8" t="s">
        <v>2217</v>
      </c>
      <c r="BW109" s="8" t="s">
        <v>2218</v>
      </c>
      <c r="BX109" s="8" t="s">
        <v>3021</v>
      </c>
      <c r="BY109" s="8" t="s">
        <v>3009</v>
      </c>
      <c r="BZ109" s="8" t="str">
        <f>HYPERLINK("https%3A%2F%2Fwww.webofscience.com%2Fwos%2Fwoscc%2Ffull-record%2FWOS:000278731900004","View Full Record in Web of Science")</f>
        <v>View Full Record in Web of Science</v>
      </c>
    </row>
    <row r="110" ht="12.75" customHeight="1">
      <c r="A110" s="8" t="s">
        <v>3329</v>
      </c>
      <c r="B110" s="8" t="s">
        <v>5279</v>
      </c>
      <c r="C110" s="8" t="s">
        <v>2135</v>
      </c>
      <c r="D110" s="8" t="s">
        <v>2135</v>
      </c>
      <c r="E110" s="8" t="s">
        <v>2135</v>
      </c>
      <c r="F110" s="8" t="s">
        <v>5280</v>
      </c>
      <c r="G110" s="8" t="s">
        <v>2135</v>
      </c>
      <c r="H110" s="8" t="s">
        <v>2135</v>
      </c>
      <c r="I110" s="8" t="s">
        <v>616</v>
      </c>
      <c r="J110" s="8" t="s">
        <v>4162</v>
      </c>
      <c r="K110" s="8" t="s">
        <v>2135</v>
      </c>
      <c r="L110" s="8" t="s">
        <v>2135</v>
      </c>
      <c r="M110" s="8" t="s">
        <v>3332</v>
      </c>
      <c r="N110" s="8" t="s">
        <v>3333</v>
      </c>
      <c r="O110" s="8" t="s">
        <v>2135</v>
      </c>
      <c r="P110" s="8" t="s">
        <v>2135</v>
      </c>
      <c r="Q110" s="8" t="s">
        <v>2135</v>
      </c>
      <c r="R110" s="8" t="s">
        <v>2135</v>
      </c>
      <c r="S110" s="8" t="s">
        <v>2135</v>
      </c>
      <c r="T110" s="8" t="s">
        <v>5281</v>
      </c>
      <c r="U110" s="8" t="s">
        <v>5282</v>
      </c>
      <c r="V110" s="8" t="s">
        <v>5283</v>
      </c>
      <c r="W110" s="8" t="s">
        <v>5284</v>
      </c>
      <c r="X110" s="8" t="s">
        <v>3385</v>
      </c>
      <c r="Y110" s="8" t="s">
        <v>5285</v>
      </c>
      <c r="Z110" s="8" t="s">
        <v>5286</v>
      </c>
      <c r="AA110" s="8" t="s">
        <v>5287</v>
      </c>
      <c r="AB110" s="8" t="s">
        <v>5288</v>
      </c>
      <c r="AC110" s="8" t="s">
        <v>5289</v>
      </c>
      <c r="AD110" s="8" t="s">
        <v>5290</v>
      </c>
      <c r="AE110" s="8" t="s">
        <v>5291</v>
      </c>
      <c r="AF110" s="8" t="s">
        <v>2135</v>
      </c>
      <c r="AG110" s="8">
        <v>55.0</v>
      </c>
      <c r="AH110" s="8">
        <v>10.0</v>
      </c>
      <c r="AI110" s="8">
        <v>16.0</v>
      </c>
      <c r="AJ110" s="8">
        <v>0.0</v>
      </c>
      <c r="AK110" s="8">
        <v>40.0</v>
      </c>
      <c r="AL110" s="8" t="s">
        <v>3342</v>
      </c>
      <c r="AM110" s="8" t="s">
        <v>3343</v>
      </c>
      <c r="AN110" s="8" t="s">
        <v>3344</v>
      </c>
      <c r="AO110" s="8" t="s">
        <v>4175</v>
      </c>
      <c r="AP110" s="8" t="s">
        <v>4176</v>
      </c>
      <c r="AQ110" s="8" t="s">
        <v>2135</v>
      </c>
      <c r="AR110" s="8" t="s">
        <v>4177</v>
      </c>
      <c r="AS110" s="8" t="s">
        <v>4178</v>
      </c>
      <c r="AT110" s="8" t="s">
        <v>3395</v>
      </c>
      <c r="AU110" s="8">
        <v>2009.0</v>
      </c>
      <c r="AV110" s="8">
        <v>73.0</v>
      </c>
      <c r="AW110" s="8">
        <v>6.0</v>
      </c>
      <c r="AX110" s="8" t="s">
        <v>2135</v>
      </c>
      <c r="AY110" s="8" t="s">
        <v>2135</v>
      </c>
      <c r="AZ110" s="8" t="s">
        <v>2135</v>
      </c>
      <c r="BA110" s="8" t="s">
        <v>2135</v>
      </c>
      <c r="BB110" s="8">
        <v>894.0</v>
      </c>
      <c r="BC110" s="8">
        <v>903.0</v>
      </c>
      <c r="BD110" s="8" t="s">
        <v>2135</v>
      </c>
      <c r="BE110" s="8" t="s">
        <v>5292</v>
      </c>
      <c r="BF110" s="13" t="str">
        <f>HYPERLINK("http://dx.doi.org/10.2193/2008-341","http://dx.doi.org/10.2193/2008-341")</f>
        <v>http://dx.doi.org/10.2193/2008-341</v>
      </c>
      <c r="BG110" s="8" t="s">
        <v>2135</v>
      </c>
      <c r="BH110" s="8" t="s">
        <v>2135</v>
      </c>
      <c r="BI110" s="8">
        <v>10.0</v>
      </c>
      <c r="BJ110" s="8" t="s">
        <v>3442</v>
      </c>
      <c r="BK110" s="8" t="s">
        <v>3352</v>
      </c>
      <c r="BL110" s="8" t="s">
        <v>3443</v>
      </c>
      <c r="BM110" s="8" t="s">
        <v>5293</v>
      </c>
      <c r="BN110" s="8" t="s">
        <v>2135</v>
      </c>
      <c r="BO110" s="8" t="s">
        <v>2135</v>
      </c>
      <c r="BP110" s="8" t="s">
        <v>2135</v>
      </c>
      <c r="BQ110" s="8" t="s">
        <v>2135</v>
      </c>
      <c r="BR110" s="8" t="s">
        <v>3355</v>
      </c>
      <c r="BS110" s="8" t="s">
        <v>5294</v>
      </c>
      <c r="BT110" s="8" t="s">
        <v>2216</v>
      </c>
      <c r="BU110" s="8" t="s">
        <v>2147</v>
      </c>
      <c r="BV110" s="8" t="s">
        <v>2217</v>
      </c>
      <c r="BW110" s="8" t="s">
        <v>2221</v>
      </c>
      <c r="BX110" s="8" t="s">
        <v>3008</v>
      </c>
      <c r="BY110" s="8" t="s">
        <v>3009</v>
      </c>
      <c r="BZ110" s="8" t="str">
        <f>HYPERLINK("https%3A%2F%2Fwww.webofscience.com%2Fwos%2Fwoscc%2Ffull-record%2FWOS:000268724200011","View Full Record in Web of Science")</f>
        <v>View Full Record in Web of Science</v>
      </c>
    </row>
    <row r="111" ht="12.75" customHeight="1">
      <c r="A111" s="8" t="s">
        <v>3329</v>
      </c>
      <c r="B111" s="8" t="s">
        <v>5295</v>
      </c>
      <c r="C111" s="8" t="s">
        <v>2135</v>
      </c>
      <c r="D111" s="8" t="s">
        <v>2135</v>
      </c>
      <c r="E111" s="8" t="s">
        <v>2135</v>
      </c>
      <c r="F111" s="8" t="s">
        <v>5296</v>
      </c>
      <c r="G111" s="8" t="s">
        <v>2135</v>
      </c>
      <c r="H111" s="8" t="s">
        <v>2135</v>
      </c>
      <c r="I111" s="8" t="s">
        <v>614</v>
      </c>
      <c r="J111" s="8" t="s">
        <v>4916</v>
      </c>
      <c r="K111" s="8" t="s">
        <v>2135</v>
      </c>
      <c r="L111" s="8" t="s">
        <v>2135</v>
      </c>
      <c r="M111" s="8" t="s">
        <v>3332</v>
      </c>
      <c r="N111" s="8" t="s">
        <v>3333</v>
      </c>
      <c r="O111" s="8" t="s">
        <v>2135</v>
      </c>
      <c r="P111" s="8" t="s">
        <v>2135</v>
      </c>
      <c r="Q111" s="8" t="s">
        <v>2135</v>
      </c>
      <c r="R111" s="8" t="s">
        <v>2135</v>
      </c>
      <c r="S111" s="8" t="s">
        <v>2135</v>
      </c>
      <c r="T111" s="8" t="s">
        <v>2135</v>
      </c>
      <c r="U111" s="8" t="s">
        <v>5297</v>
      </c>
      <c r="V111" s="8" t="s">
        <v>5298</v>
      </c>
      <c r="W111" s="8" t="s">
        <v>5299</v>
      </c>
      <c r="X111" s="8" t="s">
        <v>5300</v>
      </c>
      <c r="Y111" s="8" t="s">
        <v>5301</v>
      </c>
      <c r="Z111" s="8" t="s">
        <v>5302</v>
      </c>
      <c r="AA111" s="8" t="s">
        <v>2135</v>
      </c>
      <c r="AB111" s="8" t="s">
        <v>5303</v>
      </c>
      <c r="AC111" s="8" t="s">
        <v>2135</v>
      </c>
      <c r="AD111" s="8" t="s">
        <v>2135</v>
      </c>
      <c r="AE111" s="8" t="s">
        <v>2135</v>
      </c>
      <c r="AF111" s="8" t="s">
        <v>2135</v>
      </c>
      <c r="AG111" s="8">
        <v>37.0</v>
      </c>
      <c r="AH111" s="8">
        <v>14.0</v>
      </c>
      <c r="AI111" s="8">
        <v>19.0</v>
      </c>
      <c r="AJ111" s="8">
        <v>1.0</v>
      </c>
      <c r="AK111" s="8">
        <v>29.0</v>
      </c>
      <c r="AL111" s="8" t="s">
        <v>4928</v>
      </c>
      <c r="AM111" s="8" t="s">
        <v>4929</v>
      </c>
      <c r="AN111" s="8" t="s">
        <v>4930</v>
      </c>
      <c r="AO111" s="8" t="s">
        <v>4931</v>
      </c>
      <c r="AP111" s="8" t="s">
        <v>4932</v>
      </c>
      <c r="AQ111" s="8" t="s">
        <v>2135</v>
      </c>
      <c r="AR111" s="8" t="s">
        <v>4933</v>
      </c>
      <c r="AS111" s="8" t="s">
        <v>4934</v>
      </c>
      <c r="AT111" s="8" t="s">
        <v>3629</v>
      </c>
      <c r="AU111" s="8">
        <v>2008.0</v>
      </c>
      <c r="AV111" s="8">
        <v>159.0</v>
      </c>
      <c r="AW111" s="8">
        <v>1.0</v>
      </c>
      <c r="AX111" s="8" t="s">
        <v>2135</v>
      </c>
      <c r="AY111" s="8" t="s">
        <v>2135</v>
      </c>
      <c r="AZ111" s="8" t="s">
        <v>2135</v>
      </c>
      <c r="BA111" s="8" t="s">
        <v>2135</v>
      </c>
      <c r="BB111" s="8">
        <v>98.0</v>
      </c>
      <c r="BC111" s="8">
        <v>109.0</v>
      </c>
      <c r="BD111" s="8" t="s">
        <v>2135</v>
      </c>
      <c r="BE111" s="8" t="s">
        <v>5304</v>
      </c>
      <c r="BF111" s="13" t="str">
        <f>HYPERLINK("http://dx.doi.org/10.1674/0003-0031(2008)159[98:SACMOA]2.0.CO;2","http://dx.doi.org/10.1674/0003-0031(2008)159[98:SACMOA]2.0.CO;2")</f>
        <v>http://dx.doi.org/10.1674/0003-0031(2008)159[98:SACMOA]2.0.CO;2</v>
      </c>
      <c r="BG111" s="8" t="s">
        <v>2135</v>
      </c>
      <c r="BH111" s="8" t="s">
        <v>2135</v>
      </c>
      <c r="BI111" s="8">
        <v>12.0</v>
      </c>
      <c r="BJ111" s="8" t="s">
        <v>3558</v>
      </c>
      <c r="BK111" s="8" t="s">
        <v>3352</v>
      </c>
      <c r="BL111" s="8" t="s">
        <v>3353</v>
      </c>
      <c r="BM111" s="8" t="s">
        <v>5305</v>
      </c>
      <c r="BN111" s="8" t="s">
        <v>2135</v>
      </c>
      <c r="BO111" s="8" t="s">
        <v>2135</v>
      </c>
      <c r="BP111" s="8" t="s">
        <v>2135</v>
      </c>
      <c r="BQ111" s="8" t="s">
        <v>2135</v>
      </c>
      <c r="BR111" s="8" t="s">
        <v>3355</v>
      </c>
      <c r="BS111" s="8" t="s">
        <v>5306</v>
      </c>
      <c r="BT111" s="8" t="s">
        <v>2600</v>
      </c>
      <c r="BU111" s="8" t="s">
        <v>2147</v>
      </c>
      <c r="BV111" s="8" t="s">
        <v>2217</v>
      </c>
      <c r="BW111" s="8" t="s">
        <v>2234</v>
      </c>
      <c r="BX111" s="8" t="s">
        <v>3008</v>
      </c>
      <c r="BY111" s="8" t="s">
        <v>3009</v>
      </c>
      <c r="BZ111" s="8" t="str">
        <f>HYPERLINK("https%3A%2F%2Fwww.webofscience.com%2Fwos%2Fwoscc%2Ffull-record%2FWOS:000252783900010","View Full Record in Web of Science")</f>
        <v>View Full Record in Web of Science</v>
      </c>
    </row>
    <row r="112" ht="12.75" customHeight="1">
      <c r="A112" s="8" t="s">
        <v>3329</v>
      </c>
      <c r="B112" s="8" t="s">
        <v>5307</v>
      </c>
      <c r="C112" s="8" t="s">
        <v>2135</v>
      </c>
      <c r="D112" s="8" t="s">
        <v>2135</v>
      </c>
      <c r="E112" s="8" t="s">
        <v>2135</v>
      </c>
      <c r="F112" s="8" t="s">
        <v>5307</v>
      </c>
      <c r="G112" s="8" t="s">
        <v>2135</v>
      </c>
      <c r="H112" s="8" t="s">
        <v>2135</v>
      </c>
      <c r="I112" s="8" t="s">
        <v>612</v>
      </c>
      <c r="J112" s="8" t="s">
        <v>3380</v>
      </c>
      <c r="K112" s="8" t="s">
        <v>2135</v>
      </c>
      <c r="L112" s="8" t="s">
        <v>2135</v>
      </c>
      <c r="M112" s="8" t="s">
        <v>3332</v>
      </c>
      <c r="N112" s="8" t="s">
        <v>3333</v>
      </c>
      <c r="O112" s="8" t="s">
        <v>2135</v>
      </c>
      <c r="P112" s="8" t="s">
        <v>2135</v>
      </c>
      <c r="Q112" s="8" t="s">
        <v>2135</v>
      </c>
      <c r="R112" s="8" t="s">
        <v>2135</v>
      </c>
      <c r="S112" s="8" t="s">
        <v>2135</v>
      </c>
      <c r="T112" s="8" t="s">
        <v>5308</v>
      </c>
      <c r="U112" s="8" t="s">
        <v>5309</v>
      </c>
      <c r="V112" s="8" t="s">
        <v>5310</v>
      </c>
      <c r="W112" s="8" t="s">
        <v>5311</v>
      </c>
      <c r="X112" s="8" t="s">
        <v>5312</v>
      </c>
      <c r="Y112" s="8" t="s">
        <v>5313</v>
      </c>
      <c r="Z112" s="8" t="s">
        <v>5314</v>
      </c>
      <c r="AA112" s="8" t="s">
        <v>5315</v>
      </c>
      <c r="AB112" s="8" t="s">
        <v>5316</v>
      </c>
      <c r="AC112" s="8" t="s">
        <v>2135</v>
      </c>
      <c r="AD112" s="8" t="s">
        <v>2135</v>
      </c>
      <c r="AE112" s="8" t="s">
        <v>2135</v>
      </c>
      <c r="AF112" s="8" t="s">
        <v>2135</v>
      </c>
      <c r="AG112" s="8">
        <v>94.0</v>
      </c>
      <c r="AH112" s="8">
        <v>45.0</v>
      </c>
      <c r="AI112" s="8">
        <v>50.0</v>
      </c>
      <c r="AJ112" s="8">
        <v>0.0</v>
      </c>
      <c r="AK112" s="8">
        <v>47.0</v>
      </c>
      <c r="AL112" s="8" t="s">
        <v>3921</v>
      </c>
      <c r="AM112" s="8" t="s">
        <v>3922</v>
      </c>
      <c r="AN112" s="8" t="s">
        <v>3923</v>
      </c>
      <c r="AO112" s="8" t="s">
        <v>3392</v>
      </c>
      <c r="AP112" s="8" t="s">
        <v>4022</v>
      </c>
      <c r="AQ112" s="8" t="s">
        <v>2135</v>
      </c>
      <c r="AR112" s="8" t="s">
        <v>3393</v>
      </c>
      <c r="AS112" s="8" t="s">
        <v>3394</v>
      </c>
      <c r="AT112" s="8" t="s">
        <v>3556</v>
      </c>
      <c r="AU112" s="8">
        <v>2005.0</v>
      </c>
      <c r="AV112" s="8">
        <v>86.0</v>
      </c>
      <c r="AW112" s="8">
        <v>2.0</v>
      </c>
      <c r="AX112" s="8" t="s">
        <v>2135</v>
      </c>
      <c r="AY112" s="8" t="s">
        <v>2135</v>
      </c>
      <c r="AZ112" s="8" t="s">
        <v>2135</v>
      </c>
      <c r="BA112" s="8" t="s">
        <v>2135</v>
      </c>
      <c r="BB112" s="8">
        <v>386.0</v>
      </c>
      <c r="BC112" s="8">
        <v>396.0</v>
      </c>
      <c r="BD112" s="8" t="s">
        <v>2135</v>
      </c>
      <c r="BE112" s="8" t="s">
        <v>5317</v>
      </c>
      <c r="BF112" s="13" t="str">
        <f>HYPERLINK("http://dx.doi.org/10.1644/BER-121.1","http://dx.doi.org/10.1644/BER-121.1")</f>
        <v>http://dx.doi.org/10.1644/BER-121.1</v>
      </c>
      <c r="BG112" s="8" t="s">
        <v>2135</v>
      </c>
      <c r="BH112" s="8" t="s">
        <v>2135</v>
      </c>
      <c r="BI112" s="8">
        <v>11.0</v>
      </c>
      <c r="BJ112" s="8" t="s">
        <v>3397</v>
      </c>
      <c r="BK112" s="8" t="s">
        <v>3352</v>
      </c>
      <c r="BL112" s="8" t="s">
        <v>3397</v>
      </c>
      <c r="BM112" s="8" t="s">
        <v>5318</v>
      </c>
      <c r="BN112" s="8" t="s">
        <v>2135</v>
      </c>
      <c r="BO112" s="8" t="s">
        <v>3445</v>
      </c>
      <c r="BP112" s="8" t="s">
        <v>2135</v>
      </c>
      <c r="BQ112" s="8" t="s">
        <v>2135</v>
      </c>
      <c r="BR112" s="8" t="s">
        <v>3355</v>
      </c>
      <c r="BS112" s="8" t="s">
        <v>5319</v>
      </c>
      <c r="BU112" s="8" t="s">
        <v>2147</v>
      </c>
      <c r="BV112" s="8" t="s">
        <v>2217</v>
      </c>
      <c r="BW112" s="8" t="s">
        <v>2218</v>
      </c>
      <c r="BX112" s="8" t="s">
        <v>3008</v>
      </c>
      <c r="BY112" s="8" t="s">
        <v>3009</v>
      </c>
      <c r="BZ112" s="8" t="str">
        <f>HYPERLINK("https%3A%2F%2Fwww.webofscience.com%2Fwos%2Fwoscc%2Ffull-record%2FWOS:000228501700019","View Full Record in Web of Science")</f>
        <v>View Full Record in Web of Science</v>
      </c>
    </row>
    <row r="113" ht="12.75" customHeight="1">
      <c r="A113" s="8" t="s">
        <v>3329</v>
      </c>
      <c r="B113" s="8" t="s">
        <v>5320</v>
      </c>
      <c r="C113" s="8" t="s">
        <v>2135</v>
      </c>
      <c r="D113" s="8" t="s">
        <v>2135</v>
      </c>
      <c r="E113" s="8" t="s">
        <v>2135</v>
      </c>
      <c r="F113" s="8" t="s">
        <v>5320</v>
      </c>
      <c r="G113" s="8" t="s">
        <v>2135</v>
      </c>
      <c r="H113" s="8" t="s">
        <v>2135</v>
      </c>
      <c r="I113" s="8" t="s">
        <v>592</v>
      </c>
      <c r="J113" s="8" t="s">
        <v>5135</v>
      </c>
      <c r="K113" s="8" t="s">
        <v>2135</v>
      </c>
      <c r="L113" s="8" t="s">
        <v>2135</v>
      </c>
      <c r="M113" s="8" t="s">
        <v>3332</v>
      </c>
      <c r="N113" s="8" t="s">
        <v>3333</v>
      </c>
      <c r="O113" s="8" t="s">
        <v>2135</v>
      </c>
      <c r="P113" s="8" t="s">
        <v>2135</v>
      </c>
      <c r="Q113" s="8" t="s">
        <v>2135</v>
      </c>
      <c r="R113" s="8" t="s">
        <v>2135</v>
      </c>
      <c r="S113" s="8" t="s">
        <v>2135</v>
      </c>
      <c r="T113" s="8" t="s">
        <v>5321</v>
      </c>
      <c r="U113" s="8" t="s">
        <v>5322</v>
      </c>
      <c r="V113" s="8" t="s">
        <v>5323</v>
      </c>
      <c r="W113" s="8" t="s">
        <v>5324</v>
      </c>
      <c r="X113" s="8" t="s">
        <v>5325</v>
      </c>
      <c r="Y113" s="8" t="s">
        <v>5326</v>
      </c>
      <c r="Z113" s="8" t="s">
        <v>5327</v>
      </c>
      <c r="AA113" s="8" t="s">
        <v>2135</v>
      </c>
      <c r="AB113" s="8" t="s">
        <v>2135</v>
      </c>
      <c r="AC113" s="8" t="s">
        <v>2135</v>
      </c>
      <c r="AD113" s="8" t="s">
        <v>2135</v>
      </c>
      <c r="AE113" s="8" t="s">
        <v>2135</v>
      </c>
      <c r="AF113" s="8" t="s">
        <v>2135</v>
      </c>
      <c r="AG113" s="8">
        <v>54.0</v>
      </c>
      <c r="AH113" s="8">
        <v>15.0</v>
      </c>
      <c r="AI113" s="8">
        <v>17.0</v>
      </c>
      <c r="AJ113" s="8">
        <v>1.0</v>
      </c>
      <c r="AK113" s="8">
        <v>77.0</v>
      </c>
      <c r="AL113" s="8" t="s">
        <v>3479</v>
      </c>
      <c r="AM113" s="8" t="s">
        <v>4500</v>
      </c>
      <c r="AN113" s="8" t="s">
        <v>4501</v>
      </c>
      <c r="AO113" s="8" t="s">
        <v>5148</v>
      </c>
      <c r="AP113" s="8" t="s">
        <v>5149</v>
      </c>
      <c r="AQ113" s="8" t="s">
        <v>2135</v>
      </c>
      <c r="AR113" s="8" t="s">
        <v>5150</v>
      </c>
      <c r="AS113" s="8" t="s">
        <v>5151</v>
      </c>
      <c r="AT113" s="8" t="s">
        <v>3395</v>
      </c>
      <c r="AU113" s="8">
        <v>2001.0</v>
      </c>
      <c r="AV113" s="8">
        <v>10.0</v>
      </c>
      <c r="AW113" s="8">
        <v>8.0</v>
      </c>
      <c r="AX113" s="8" t="s">
        <v>2135</v>
      </c>
      <c r="AY113" s="8" t="s">
        <v>2135</v>
      </c>
      <c r="AZ113" s="8" t="s">
        <v>2135</v>
      </c>
      <c r="BA113" s="8" t="s">
        <v>2135</v>
      </c>
      <c r="BB113" s="8">
        <v>1247.0</v>
      </c>
      <c r="BC113" s="8">
        <v>1265.0</v>
      </c>
      <c r="BD113" s="8" t="s">
        <v>2135</v>
      </c>
      <c r="BE113" s="8" t="s">
        <v>5328</v>
      </c>
      <c r="BF113" s="13" t="str">
        <f>HYPERLINK("http://dx.doi.org/10.1023/A:1016654725190","http://dx.doi.org/10.1023/A:1016654725190")</f>
        <v>http://dx.doi.org/10.1023/A:1016654725190</v>
      </c>
      <c r="BG113" s="8" t="s">
        <v>2135</v>
      </c>
      <c r="BH113" s="8" t="s">
        <v>2135</v>
      </c>
      <c r="BI113" s="8">
        <v>19.0</v>
      </c>
      <c r="BJ113" s="8" t="s">
        <v>3351</v>
      </c>
      <c r="BK113" s="8" t="s">
        <v>3352</v>
      </c>
      <c r="BL113" s="8" t="s">
        <v>3353</v>
      </c>
      <c r="BM113" s="8" t="s">
        <v>5329</v>
      </c>
      <c r="BN113" s="8" t="s">
        <v>2135</v>
      </c>
      <c r="BO113" s="8" t="s">
        <v>2135</v>
      </c>
      <c r="BP113" s="8" t="s">
        <v>2135</v>
      </c>
      <c r="BQ113" s="8" t="s">
        <v>2135</v>
      </c>
      <c r="BR113" s="8" t="s">
        <v>3355</v>
      </c>
      <c r="BS113" s="8" t="s">
        <v>5330</v>
      </c>
      <c r="BT113" s="8" t="s">
        <v>2553</v>
      </c>
      <c r="BU113" s="8" t="s">
        <v>2142</v>
      </c>
      <c r="BW113" s="8" t="s">
        <v>2166</v>
      </c>
      <c r="BX113" s="8" t="s">
        <v>3136</v>
      </c>
      <c r="BY113" s="8" t="s">
        <v>3009</v>
      </c>
      <c r="BZ113" s="8" t="str">
        <f>HYPERLINK("https%3A%2F%2Fwww.webofscience.com%2Fwos%2Fwoscc%2Ffull-record%2FWOS:000170159900002","View Full Record in Web of Science")</f>
        <v>View Full Record in Web of Science</v>
      </c>
    </row>
    <row r="114" ht="12.75" customHeight="1">
      <c r="A114" s="8" t="s">
        <v>3329</v>
      </c>
      <c r="B114" s="8" t="s">
        <v>3899</v>
      </c>
      <c r="C114" s="8" t="s">
        <v>2135</v>
      </c>
      <c r="D114" s="8" t="s">
        <v>2135</v>
      </c>
      <c r="E114" s="8" t="s">
        <v>2135</v>
      </c>
      <c r="F114" s="8" t="s">
        <v>3899</v>
      </c>
      <c r="G114" s="8" t="s">
        <v>2135</v>
      </c>
      <c r="H114" s="8" t="s">
        <v>2135</v>
      </c>
      <c r="I114" s="8" t="s">
        <v>608</v>
      </c>
      <c r="J114" s="8" t="s">
        <v>3331</v>
      </c>
      <c r="K114" s="8" t="s">
        <v>2135</v>
      </c>
      <c r="L114" s="8" t="s">
        <v>2135</v>
      </c>
      <c r="M114" s="8" t="s">
        <v>3332</v>
      </c>
      <c r="N114" s="8" t="s">
        <v>3333</v>
      </c>
      <c r="O114" s="8" t="s">
        <v>2135</v>
      </c>
      <c r="P114" s="8" t="s">
        <v>2135</v>
      </c>
      <c r="Q114" s="8" t="s">
        <v>2135</v>
      </c>
      <c r="R114" s="8" t="s">
        <v>2135</v>
      </c>
      <c r="S114" s="8" t="s">
        <v>2135</v>
      </c>
      <c r="T114" s="8" t="s">
        <v>2135</v>
      </c>
      <c r="U114" s="8" t="s">
        <v>5331</v>
      </c>
      <c r="V114" s="8" t="s">
        <v>5332</v>
      </c>
      <c r="W114" s="8" t="s">
        <v>3903</v>
      </c>
      <c r="X114" s="8" t="s">
        <v>3904</v>
      </c>
      <c r="Y114" s="8" t="s">
        <v>5333</v>
      </c>
      <c r="Z114" s="8" t="s">
        <v>3906</v>
      </c>
      <c r="AA114" s="8" t="s">
        <v>5334</v>
      </c>
      <c r="AB114" s="8" t="s">
        <v>5335</v>
      </c>
      <c r="AC114" s="8" t="s">
        <v>2135</v>
      </c>
      <c r="AD114" s="8" t="s">
        <v>2135</v>
      </c>
      <c r="AE114" s="8" t="s">
        <v>2135</v>
      </c>
      <c r="AF114" s="8" t="s">
        <v>2135</v>
      </c>
      <c r="AG114" s="8">
        <v>54.0</v>
      </c>
      <c r="AH114" s="8">
        <v>67.0</v>
      </c>
      <c r="AI114" s="8">
        <v>72.0</v>
      </c>
      <c r="AJ114" s="8">
        <v>0.0</v>
      </c>
      <c r="AK114" s="8">
        <v>44.0</v>
      </c>
      <c r="AL114" s="8" t="s">
        <v>4033</v>
      </c>
      <c r="AM114" s="8" t="s">
        <v>3343</v>
      </c>
      <c r="AN114" s="8" t="s">
        <v>3344</v>
      </c>
      <c r="AO114" s="8" t="s">
        <v>3345</v>
      </c>
      <c r="AP114" s="8" t="s">
        <v>3346</v>
      </c>
      <c r="AQ114" s="8" t="s">
        <v>2135</v>
      </c>
      <c r="AR114" s="8" t="s">
        <v>3347</v>
      </c>
      <c r="AS114" s="8" t="s">
        <v>3348</v>
      </c>
      <c r="AT114" s="8" t="s">
        <v>3485</v>
      </c>
      <c r="AU114" s="8">
        <v>2001.0</v>
      </c>
      <c r="AV114" s="8">
        <v>15.0</v>
      </c>
      <c r="AW114" s="8">
        <v>1.0</v>
      </c>
      <c r="AX114" s="8" t="s">
        <v>2135</v>
      </c>
      <c r="AY114" s="8" t="s">
        <v>2135</v>
      </c>
      <c r="AZ114" s="8" t="s">
        <v>2135</v>
      </c>
      <c r="BA114" s="8" t="s">
        <v>2135</v>
      </c>
      <c r="BB114" s="8">
        <v>148.0</v>
      </c>
      <c r="BC114" s="8">
        <v>158.0</v>
      </c>
      <c r="BD114" s="8" t="s">
        <v>2135</v>
      </c>
      <c r="BE114" s="8" t="s">
        <v>5336</v>
      </c>
      <c r="BF114" s="13" t="str">
        <f>HYPERLINK("http://dx.doi.org/10.1046/j.1523-1739.2001.99431.x","http://dx.doi.org/10.1046/j.1523-1739.2001.99431.x")</f>
        <v>http://dx.doi.org/10.1046/j.1523-1739.2001.99431.x</v>
      </c>
      <c r="BG114" s="8" t="s">
        <v>2135</v>
      </c>
      <c r="BH114" s="8" t="s">
        <v>2135</v>
      </c>
      <c r="BI114" s="8">
        <v>11.0</v>
      </c>
      <c r="BJ114" s="8" t="s">
        <v>3351</v>
      </c>
      <c r="BK114" s="8" t="s">
        <v>3352</v>
      </c>
      <c r="BL114" s="8" t="s">
        <v>3353</v>
      </c>
      <c r="BM114" s="8" t="s">
        <v>5337</v>
      </c>
      <c r="BN114" s="8" t="s">
        <v>2135</v>
      </c>
      <c r="BO114" s="8" t="s">
        <v>2135</v>
      </c>
      <c r="BP114" s="8" t="s">
        <v>2135</v>
      </c>
      <c r="BQ114" s="8" t="s">
        <v>2135</v>
      </c>
      <c r="BR114" s="8" t="s">
        <v>3355</v>
      </c>
      <c r="BS114" s="8" t="s">
        <v>5338</v>
      </c>
      <c r="BT114" s="8" t="s">
        <v>2497</v>
      </c>
      <c r="BU114" s="8" t="s">
        <v>2142</v>
      </c>
      <c r="BW114" s="8" t="s">
        <v>2311</v>
      </c>
      <c r="BX114" s="8" t="s">
        <v>3008</v>
      </c>
      <c r="BY114" s="8" t="s">
        <v>3009</v>
      </c>
      <c r="BZ114" s="8" t="str">
        <f>HYPERLINK("https%3A%2F%2Fwww.webofscience.com%2Fwos%2Fwoscc%2Ffull-record%2FWOS:000167170400017","View Full Record in Web of Science")</f>
        <v>View Full Record in Web of Science</v>
      </c>
    </row>
    <row r="115" ht="12.75" customHeight="1">
      <c r="A115" s="8" t="s">
        <v>3329</v>
      </c>
      <c r="B115" s="8" t="s">
        <v>5339</v>
      </c>
      <c r="C115" s="8" t="s">
        <v>2135</v>
      </c>
      <c r="D115" s="8" t="s">
        <v>2135</v>
      </c>
      <c r="E115" s="8" t="s">
        <v>2135</v>
      </c>
      <c r="F115" s="8" t="s">
        <v>5339</v>
      </c>
      <c r="G115" s="8" t="s">
        <v>2135</v>
      </c>
      <c r="H115" s="8" t="s">
        <v>2135</v>
      </c>
      <c r="I115" s="8" t="s">
        <v>610</v>
      </c>
      <c r="J115" s="8" t="s">
        <v>5340</v>
      </c>
      <c r="K115" s="8" t="s">
        <v>2135</v>
      </c>
      <c r="L115" s="8" t="s">
        <v>2135</v>
      </c>
      <c r="M115" s="8" t="s">
        <v>3332</v>
      </c>
      <c r="N115" s="8" t="s">
        <v>3333</v>
      </c>
      <c r="O115" s="8" t="s">
        <v>2135</v>
      </c>
      <c r="P115" s="8" t="s">
        <v>2135</v>
      </c>
      <c r="Q115" s="8" t="s">
        <v>2135</v>
      </c>
      <c r="R115" s="8" t="s">
        <v>2135</v>
      </c>
      <c r="S115" s="8" t="s">
        <v>2135</v>
      </c>
      <c r="T115" s="8" t="s">
        <v>2135</v>
      </c>
      <c r="U115" s="8" t="s">
        <v>5341</v>
      </c>
      <c r="V115" s="8" t="s">
        <v>5342</v>
      </c>
      <c r="W115" s="8" t="s">
        <v>5343</v>
      </c>
      <c r="X115" s="8" t="s">
        <v>2135</v>
      </c>
      <c r="Y115" s="8" t="s">
        <v>5344</v>
      </c>
      <c r="Z115" s="8" t="s">
        <v>2135</v>
      </c>
      <c r="AA115" s="8" t="s">
        <v>2135</v>
      </c>
      <c r="AB115" s="8" t="s">
        <v>2135</v>
      </c>
      <c r="AC115" s="8" t="s">
        <v>2135</v>
      </c>
      <c r="AD115" s="8" t="s">
        <v>2135</v>
      </c>
      <c r="AE115" s="8" t="s">
        <v>2135</v>
      </c>
      <c r="AF115" s="8" t="s">
        <v>2135</v>
      </c>
      <c r="AG115" s="8">
        <v>48.0</v>
      </c>
      <c r="AH115" s="8">
        <v>15.0</v>
      </c>
      <c r="AI115" s="8">
        <v>19.0</v>
      </c>
      <c r="AJ115" s="8">
        <v>0.0</v>
      </c>
      <c r="AK115" s="8">
        <v>46.0</v>
      </c>
      <c r="AL115" s="8" t="s">
        <v>5345</v>
      </c>
      <c r="AM115" s="8" t="s">
        <v>5346</v>
      </c>
      <c r="AN115" s="8" t="s">
        <v>5347</v>
      </c>
      <c r="AO115" s="8" t="s">
        <v>5348</v>
      </c>
      <c r="AP115" s="8" t="s">
        <v>2135</v>
      </c>
      <c r="AQ115" s="8" t="s">
        <v>2135</v>
      </c>
      <c r="AR115" s="8" t="s">
        <v>5349</v>
      </c>
      <c r="AS115" s="8" t="s">
        <v>5350</v>
      </c>
      <c r="AT115" s="8" t="s">
        <v>2135</v>
      </c>
      <c r="AU115" s="8">
        <v>2001.0</v>
      </c>
      <c r="AV115" s="8">
        <v>75.0</v>
      </c>
      <c r="AW115" s="8" t="s">
        <v>2135</v>
      </c>
      <c r="AX115" s="8" t="s">
        <v>2135</v>
      </c>
      <c r="AY115" s="8" t="s">
        <v>2135</v>
      </c>
      <c r="AZ115" s="8" t="s">
        <v>3421</v>
      </c>
      <c r="BA115" s="8" t="s">
        <v>2135</v>
      </c>
      <c r="BB115" s="8">
        <v>180.0</v>
      </c>
      <c r="BC115" s="8">
        <v>184.0</v>
      </c>
      <c r="BD115" s="8" t="s">
        <v>2135</v>
      </c>
      <c r="BE115" s="8" t="s">
        <v>2135</v>
      </c>
      <c r="BF115" s="8" t="s">
        <v>2135</v>
      </c>
      <c r="BG115" s="8" t="s">
        <v>2135</v>
      </c>
      <c r="BH115" s="8" t="s">
        <v>2135</v>
      </c>
      <c r="BI115" s="8">
        <v>5.0</v>
      </c>
      <c r="BJ115" s="8" t="s">
        <v>3681</v>
      </c>
      <c r="BK115" s="8" t="s">
        <v>3352</v>
      </c>
      <c r="BL115" s="8" t="s">
        <v>3632</v>
      </c>
      <c r="BM115" s="8" t="s">
        <v>5351</v>
      </c>
      <c r="BN115" s="8" t="s">
        <v>2135</v>
      </c>
      <c r="BO115" s="8" t="s">
        <v>2135</v>
      </c>
      <c r="BP115" s="8" t="s">
        <v>2135</v>
      </c>
      <c r="BQ115" s="8" t="s">
        <v>2135</v>
      </c>
      <c r="BR115" s="8" t="s">
        <v>3355</v>
      </c>
      <c r="BS115" s="8" t="s">
        <v>5352</v>
      </c>
      <c r="BT115" s="8" t="s">
        <v>2600</v>
      </c>
      <c r="BU115" s="8" t="s">
        <v>2147</v>
      </c>
      <c r="BV115" s="8" t="s">
        <v>2217</v>
      </c>
      <c r="BW115" s="8" t="s">
        <v>2658</v>
      </c>
      <c r="BX115" s="8" t="s">
        <v>3008</v>
      </c>
      <c r="BY115" s="8" t="s">
        <v>3009</v>
      </c>
      <c r="BZ115" s="8" t="str">
        <f>HYPERLINK("https%3A%2F%2Fwww.webofscience.com%2Fwos%2Fwoscc%2Ffull-record%2FWOS:000172892400021","View Full Record in Web of Science")</f>
        <v>View Full Record in Web of Science</v>
      </c>
    </row>
    <row r="116" ht="12.75" customHeight="1">
      <c r="A116" s="8" t="s">
        <v>3329</v>
      </c>
      <c r="B116" s="8" t="s">
        <v>5353</v>
      </c>
      <c r="C116" s="8" t="s">
        <v>2135</v>
      </c>
      <c r="D116" s="8" t="s">
        <v>2135</v>
      </c>
      <c r="E116" s="8" t="s">
        <v>2135</v>
      </c>
      <c r="F116" s="8" t="s">
        <v>5353</v>
      </c>
      <c r="G116" s="8" t="s">
        <v>2135</v>
      </c>
      <c r="H116" s="8" t="s">
        <v>2135</v>
      </c>
      <c r="I116" s="8" t="s">
        <v>607</v>
      </c>
      <c r="J116" s="8" t="s">
        <v>3796</v>
      </c>
      <c r="K116" s="8" t="s">
        <v>2135</v>
      </c>
      <c r="L116" s="8" t="s">
        <v>2135</v>
      </c>
      <c r="M116" s="8" t="s">
        <v>3332</v>
      </c>
      <c r="N116" s="8" t="s">
        <v>3492</v>
      </c>
      <c r="O116" s="8" t="s">
        <v>2135</v>
      </c>
      <c r="P116" s="8" t="s">
        <v>2135</v>
      </c>
      <c r="Q116" s="8" t="s">
        <v>2135</v>
      </c>
      <c r="R116" s="8" t="s">
        <v>2135</v>
      </c>
      <c r="S116" s="8" t="s">
        <v>2135</v>
      </c>
      <c r="T116" s="8" t="s">
        <v>2135</v>
      </c>
      <c r="U116" s="8" t="s">
        <v>5354</v>
      </c>
      <c r="V116" s="8" t="s">
        <v>5355</v>
      </c>
      <c r="W116" s="8" t="s">
        <v>5356</v>
      </c>
      <c r="X116" s="8" t="s">
        <v>5357</v>
      </c>
      <c r="Y116" s="8" t="s">
        <v>2135</v>
      </c>
      <c r="Z116" s="8" t="s">
        <v>2135</v>
      </c>
      <c r="AA116" s="8" t="s">
        <v>2135</v>
      </c>
      <c r="AB116" s="8" t="s">
        <v>2135</v>
      </c>
      <c r="AC116" s="8" t="s">
        <v>2135</v>
      </c>
      <c r="AD116" s="8" t="s">
        <v>2135</v>
      </c>
      <c r="AE116" s="8" t="s">
        <v>2135</v>
      </c>
      <c r="AF116" s="8" t="s">
        <v>2135</v>
      </c>
      <c r="AG116" s="8">
        <v>151.0</v>
      </c>
      <c r="AH116" s="8">
        <v>57.0</v>
      </c>
      <c r="AI116" s="8">
        <v>59.0</v>
      </c>
      <c r="AJ116" s="8">
        <v>0.0</v>
      </c>
      <c r="AK116" s="8">
        <v>28.0</v>
      </c>
      <c r="AL116" s="8" t="s">
        <v>4044</v>
      </c>
      <c r="AM116" s="8" t="s">
        <v>3759</v>
      </c>
      <c r="AN116" s="8" t="s">
        <v>4045</v>
      </c>
      <c r="AO116" s="8" t="s">
        <v>3808</v>
      </c>
      <c r="AP116" s="8" t="s">
        <v>2135</v>
      </c>
      <c r="AQ116" s="8" t="s">
        <v>2135</v>
      </c>
      <c r="AR116" s="8" t="s">
        <v>3810</v>
      </c>
      <c r="AS116" s="8" t="s">
        <v>3811</v>
      </c>
      <c r="AT116" s="8" t="s">
        <v>3721</v>
      </c>
      <c r="AU116" s="8">
        <v>1993.0</v>
      </c>
      <c r="AV116" s="8">
        <v>23.0</v>
      </c>
      <c r="AW116" s="8">
        <v>1.0</v>
      </c>
      <c r="AX116" s="8" t="s">
        <v>2135</v>
      </c>
      <c r="AY116" s="8" t="s">
        <v>2135</v>
      </c>
      <c r="AZ116" s="8" t="s">
        <v>2135</v>
      </c>
      <c r="BA116" s="8" t="s">
        <v>2135</v>
      </c>
      <c r="BB116" s="8">
        <v>17.0</v>
      </c>
      <c r="BC116" s="8">
        <v>58.0</v>
      </c>
      <c r="BD116" s="8" t="s">
        <v>2135</v>
      </c>
      <c r="BE116" s="8" t="s">
        <v>5358</v>
      </c>
      <c r="BF116" s="13" t="str">
        <f>HYPERLINK("http://dx.doi.org/10.1111/j.1365-2907.1993.tb00415.x","http://dx.doi.org/10.1111/j.1365-2907.1993.tb00415.x")</f>
        <v>http://dx.doi.org/10.1111/j.1365-2907.1993.tb00415.x</v>
      </c>
      <c r="BG116" s="8" t="s">
        <v>2135</v>
      </c>
      <c r="BH116" s="8" t="s">
        <v>2135</v>
      </c>
      <c r="BI116" s="8">
        <v>42.0</v>
      </c>
      <c r="BJ116" s="8" t="s">
        <v>3442</v>
      </c>
      <c r="BK116" s="8" t="s">
        <v>3352</v>
      </c>
      <c r="BL116" s="8" t="s">
        <v>3443</v>
      </c>
      <c r="BM116" s="8" t="s">
        <v>4158</v>
      </c>
      <c r="BN116" s="8" t="s">
        <v>2135</v>
      </c>
      <c r="BO116" s="8" t="s">
        <v>2135</v>
      </c>
      <c r="BP116" s="8" t="s">
        <v>2135</v>
      </c>
      <c r="BQ116" s="8" t="s">
        <v>2135</v>
      </c>
      <c r="BR116" s="8" t="s">
        <v>3355</v>
      </c>
      <c r="BS116" s="8" t="s">
        <v>5359</v>
      </c>
      <c r="BU116" s="8" t="s">
        <v>2142</v>
      </c>
      <c r="BW116" s="8" t="s">
        <v>2311</v>
      </c>
      <c r="BX116" s="8" t="s">
        <v>3008</v>
      </c>
      <c r="BY116" s="8" t="s">
        <v>3009</v>
      </c>
      <c r="BZ116" s="8" t="str">
        <f>HYPERLINK("https%3A%2F%2Fwww.webofscience.com%2Fwos%2Fwoscc%2Ffull-record%2FWOS:A1993KZ75400002","View Full Record in Web of Science")</f>
        <v>View Full Record in Web of Science</v>
      </c>
    </row>
    <row r="117" ht="12.75" customHeight="1">
      <c r="A117" s="8" t="s">
        <v>3329</v>
      </c>
      <c r="B117" s="8" t="s">
        <v>5360</v>
      </c>
      <c r="C117" s="8" t="s">
        <v>2135</v>
      </c>
      <c r="D117" s="8" t="s">
        <v>2135</v>
      </c>
      <c r="E117" s="8" t="s">
        <v>2135</v>
      </c>
      <c r="F117" s="8" t="s">
        <v>5361</v>
      </c>
      <c r="G117" s="8" t="s">
        <v>2135</v>
      </c>
      <c r="H117" s="8" t="s">
        <v>2135</v>
      </c>
      <c r="I117" s="8" t="s">
        <v>884</v>
      </c>
      <c r="J117" s="8" t="s">
        <v>3831</v>
      </c>
      <c r="K117" s="8" t="s">
        <v>2135</v>
      </c>
      <c r="L117" s="8" t="s">
        <v>2135</v>
      </c>
      <c r="M117" s="8" t="s">
        <v>3332</v>
      </c>
      <c r="N117" s="8" t="s">
        <v>3333</v>
      </c>
      <c r="O117" s="8" t="s">
        <v>2135</v>
      </c>
      <c r="P117" s="8" t="s">
        <v>2135</v>
      </c>
      <c r="Q117" s="8" t="s">
        <v>2135</v>
      </c>
      <c r="R117" s="8" t="s">
        <v>2135</v>
      </c>
      <c r="S117" s="8" t="s">
        <v>2135</v>
      </c>
      <c r="T117" s="8" t="s">
        <v>5362</v>
      </c>
      <c r="U117" s="8" t="s">
        <v>5363</v>
      </c>
      <c r="V117" s="8" t="s">
        <v>5364</v>
      </c>
      <c r="W117" s="8" t="s">
        <v>5365</v>
      </c>
      <c r="X117" s="8" t="s">
        <v>5366</v>
      </c>
      <c r="Y117" s="8" t="s">
        <v>5367</v>
      </c>
      <c r="Z117" s="8" t="s">
        <v>5368</v>
      </c>
      <c r="AA117" s="8" t="s">
        <v>2135</v>
      </c>
      <c r="AB117" s="8" t="s">
        <v>5369</v>
      </c>
      <c r="AC117" s="8" t="s">
        <v>5370</v>
      </c>
      <c r="AD117" s="8" t="s">
        <v>5371</v>
      </c>
      <c r="AE117" s="8" t="s">
        <v>5372</v>
      </c>
      <c r="AF117" s="8" t="s">
        <v>2135</v>
      </c>
      <c r="AG117" s="8">
        <v>93.0</v>
      </c>
      <c r="AH117" s="8">
        <v>13.0</v>
      </c>
      <c r="AI117" s="8">
        <v>13.0</v>
      </c>
      <c r="AJ117" s="8">
        <v>1.0</v>
      </c>
      <c r="AK117" s="8">
        <v>36.0</v>
      </c>
      <c r="AL117" s="8" t="s">
        <v>3843</v>
      </c>
      <c r="AM117" s="8" t="s">
        <v>3844</v>
      </c>
      <c r="AN117" s="8" t="s">
        <v>3845</v>
      </c>
      <c r="AO117" s="8" t="s">
        <v>3846</v>
      </c>
      <c r="AP117" s="8" t="s">
        <v>3847</v>
      </c>
      <c r="AQ117" s="8" t="s">
        <v>2135</v>
      </c>
      <c r="AR117" s="8" t="s">
        <v>3848</v>
      </c>
      <c r="AS117" s="8" t="s">
        <v>3849</v>
      </c>
      <c r="AT117" s="8" t="s">
        <v>3765</v>
      </c>
      <c r="AU117" s="8">
        <v>2020.0</v>
      </c>
      <c r="AV117" s="8">
        <v>98.0</v>
      </c>
      <c r="AW117" s="8">
        <v>5.0</v>
      </c>
      <c r="AX117" s="8" t="s">
        <v>2135</v>
      </c>
      <c r="AY117" s="8" t="s">
        <v>2135</v>
      </c>
      <c r="AZ117" s="8" t="s">
        <v>2135</v>
      </c>
      <c r="BA117" s="8" t="s">
        <v>2135</v>
      </c>
      <c r="BB117" s="8">
        <v>287.0</v>
      </c>
      <c r="BC117" s="8">
        <v>298.0</v>
      </c>
      <c r="BD117" s="8" t="s">
        <v>2135</v>
      </c>
      <c r="BE117" s="8" t="s">
        <v>5373</v>
      </c>
      <c r="BF117" s="13" t="str">
        <f>HYPERLINK("http://dx.doi.org/10.1139/cjz-2019-0165","http://dx.doi.org/10.1139/cjz-2019-0165")</f>
        <v>http://dx.doi.org/10.1139/cjz-2019-0165</v>
      </c>
      <c r="BG117" s="8" t="s">
        <v>2135</v>
      </c>
      <c r="BH117" s="8" t="s">
        <v>2135</v>
      </c>
      <c r="BI117" s="8">
        <v>12.0</v>
      </c>
      <c r="BJ117" s="8" t="s">
        <v>3397</v>
      </c>
      <c r="BK117" s="8" t="s">
        <v>3352</v>
      </c>
      <c r="BL117" s="8" t="s">
        <v>3397</v>
      </c>
      <c r="BM117" s="8" t="s">
        <v>5374</v>
      </c>
      <c r="BN117" s="8" t="s">
        <v>2135</v>
      </c>
      <c r="BO117" s="8" t="s">
        <v>2135</v>
      </c>
      <c r="BP117" s="8" t="s">
        <v>2135</v>
      </c>
      <c r="BQ117" s="8" t="s">
        <v>2135</v>
      </c>
      <c r="BR117" s="8" t="s">
        <v>3355</v>
      </c>
      <c r="BS117" s="8" t="s">
        <v>5375</v>
      </c>
      <c r="BT117" s="8" t="s">
        <v>2216</v>
      </c>
      <c r="BU117" s="8" t="s">
        <v>2147</v>
      </c>
      <c r="BV117" s="8" t="s">
        <v>2217</v>
      </c>
      <c r="BW117" s="8" t="s">
        <v>2218</v>
      </c>
      <c r="BX117" s="8" t="s">
        <v>2953</v>
      </c>
      <c r="BY117" s="8" t="s">
        <v>2954</v>
      </c>
      <c r="BZ117" s="8" t="str">
        <f>HYPERLINK("https%3A%2F%2Fwww.webofscience.com%2Fwos%2Fwoscc%2Ffull-record%2FWOS:000531560600001","View Full Record in Web of Science")</f>
        <v>View Full Record in Web of Science</v>
      </c>
    </row>
    <row r="118" ht="12.75" customHeight="1">
      <c r="A118" s="8" t="s">
        <v>3329</v>
      </c>
      <c r="B118" s="8" t="s">
        <v>5376</v>
      </c>
      <c r="C118" s="8" t="s">
        <v>2135</v>
      </c>
      <c r="D118" s="8" t="s">
        <v>2135</v>
      </c>
      <c r="E118" s="8" t="s">
        <v>2135</v>
      </c>
      <c r="F118" s="8" t="s">
        <v>5377</v>
      </c>
      <c r="G118" s="8" t="s">
        <v>2135</v>
      </c>
      <c r="H118" s="8" t="s">
        <v>2135</v>
      </c>
      <c r="I118" s="8" t="s">
        <v>868</v>
      </c>
      <c r="J118" s="8" t="s">
        <v>5340</v>
      </c>
      <c r="K118" s="8" t="s">
        <v>2135</v>
      </c>
      <c r="L118" s="8" t="s">
        <v>2135</v>
      </c>
      <c r="M118" s="8" t="s">
        <v>3332</v>
      </c>
      <c r="N118" s="8" t="s">
        <v>3333</v>
      </c>
      <c r="O118" s="8" t="s">
        <v>2135</v>
      </c>
      <c r="P118" s="8" t="s">
        <v>2135</v>
      </c>
      <c r="Q118" s="8" t="s">
        <v>2135</v>
      </c>
      <c r="R118" s="8" t="s">
        <v>2135</v>
      </c>
      <c r="S118" s="8" t="s">
        <v>2135</v>
      </c>
      <c r="T118" s="8" t="s">
        <v>5378</v>
      </c>
      <c r="U118" s="8" t="s">
        <v>5379</v>
      </c>
      <c r="V118" s="8" t="s">
        <v>5380</v>
      </c>
      <c r="W118" s="8" t="s">
        <v>5381</v>
      </c>
      <c r="X118" s="8" t="s">
        <v>5382</v>
      </c>
      <c r="Y118" s="8" t="s">
        <v>5383</v>
      </c>
      <c r="Z118" s="8" t="s">
        <v>5384</v>
      </c>
      <c r="AA118" s="8" t="s">
        <v>5385</v>
      </c>
      <c r="AB118" s="8" t="s">
        <v>5386</v>
      </c>
      <c r="AC118" s="8" t="s">
        <v>5387</v>
      </c>
      <c r="AD118" s="8" t="s">
        <v>5388</v>
      </c>
      <c r="AE118" s="8" t="s">
        <v>5389</v>
      </c>
      <c r="AF118" s="8" t="s">
        <v>2135</v>
      </c>
      <c r="AG118" s="8">
        <v>63.0</v>
      </c>
      <c r="AH118" s="8">
        <v>0.0</v>
      </c>
      <c r="AI118" s="8">
        <v>1.0</v>
      </c>
      <c r="AJ118" s="8">
        <v>0.0</v>
      </c>
      <c r="AK118" s="8">
        <v>13.0</v>
      </c>
      <c r="AL118" s="8" t="s">
        <v>5390</v>
      </c>
      <c r="AM118" s="8" t="s">
        <v>5391</v>
      </c>
      <c r="AN118" s="8" t="s">
        <v>5392</v>
      </c>
      <c r="AO118" s="8" t="s">
        <v>5348</v>
      </c>
      <c r="AP118" s="8" t="s">
        <v>5393</v>
      </c>
      <c r="AQ118" s="8" t="s">
        <v>2135</v>
      </c>
      <c r="AR118" s="8" t="s">
        <v>5349</v>
      </c>
      <c r="AS118" s="8" t="s">
        <v>5350</v>
      </c>
      <c r="AT118" s="8" t="s">
        <v>3462</v>
      </c>
      <c r="AU118" s="8">
        <v>2019.0</v>
      </c>
      <c r="AV118" s="8">
        <v>93.0</v>
      </c>
      <c r="AW118" s="8">
        <v>2.0</v>
      </c>
      <c r="AX118" s="8" t="s">
        <v>2135</v>
      </c>
      <c r="AY118" s="8" t="s">
        <v>2135</v>
      </c>
      <c r="AZ118" s="8" t="s">
        <v>2135</v>
      </c>
      <c r="BA118" s="8" t="s">
        <v>2135</v>
      </c>
      <c r="BB118" s="8">
        <v>122.0</v>
      </c>
      <c r="BC118" s="8">
        <v>136.0</v>
      </c>
      <c r="BD118" s="8" t="s">
        <v>2135</v>
      </c>
      <c r="BE118" s="8" t="s">
        <v>5394</v>
      </c>
      <c r="BF118" s="13" t="str">
        <f>HYPERLINK("http://dx.doi.org/10.3955/046.093.0204","http://dx.doi.org/10.3955/046.093.0204")</f>
        <v>http://dx.doi.org/10.3955/046.093.0204</v>
      </c>
      <c r="BG118" s="8" t="s">
        <v>2135</v>
      </c>
      <c r="BH118" s="8" t="s">
        <v>2135</v>
      </c>
      <c r="BI118" s="8">
        <v>15.0</v>
      </c>
      <c r="BJ118" s="8" t="s">
        <v>3681</v>
      </c>
      <c r="BK118" s="8" t="s">
        <v>3352</v>
      </c>
      <c r="BL118" s="8" t="s">
        <v>3632</v>
      </c>
      <c r="BM118" s="8" t="s">
        <v>5395</v>
      </c>
      <c r="BN118" s="8" t="s">
        <v>2135</v>
      </c>
      <c r="BO118" s="8" t="s">
        <v>3445</v>
      </c>
      <c r="BP118" s="8" t="s">
        <v>2135</v>
      </c>
      <c r="BQ118" s="8" t="s">
        <v>2135</v>
      </c>
      <c r="BR118" s="8" t="s">
        <v>3355</v>
      </c>
      <c r="BS118" s="8" t="s">
        <v>5396</v>
      </c>
      <c r="BT118" s="8" t="s">
        <v>2600</v>
      </c>
      <c r="BU118" s="8" t="s">
        <v>2147</v>
      </c>
      <c r="BV118" s="8" t="s">
        <v>2217</v>
      </c>
      <c r="BW118" s="8" t="s">
        <v>2700</v>
      </c>
      <c r="BX118" s="8" t="s">
        <v>2971</v>
      </c>
      <c r="BY118" s="8" t="s">
        <v>2954</v>
      </c>
      <c r="BZ118" s="8" t="str">
        <f>HYPERLINK("https%3A%2F%2Fwww.webofscience.com%2Fwos%2Fwoscc%2Ffull-record%2FWOS:000488004300005","View Full Record in Web of Science")</f>
        <v>View Full Record in Web of Science</v>
      </c>
    </row>
    <row r="119" ht="12.75" customHeight="1">
      <c r="A119" s="8" t="s">
        <v>3329</v>
      </c>
      <c r="B119" s="8" t="s">
        <v>5397</v>
      </c>
      <c r="C119" s="8" t="s">
        <v>2135</v>
      </c>
      <c r="D119" s="8" t="s">
        <v>2135</v>
      </c>
      <c r="E119" s="8" t="s">
        <v>2135</v>
      </c>
      <c r="F119" s="8" t="s">
        <v>5398</v>
      </c>
      <c r="G119" s="8" t="s">
        <v>2135</v>
      </c>
      <c r="H119" s="8" t="s">
        <v>2135</v>
      </c>
      <c r="I119" s="8" t="s">
        <v>865</v>
      </c>
      <c r="J119" s="8" t="s">
        <v>5399</v>
      </c>
      <c r="K119" s="8" t="s">
        <v>2135</v>
      </c>
      <c r="L119" s="8" t="s">
        <v>2135</v>
      </c>
      <c r="M119" s="8" t="s">
        <v>3332</v>
      </c>
      <c r="N119" s="8" t="s">
        <v>3333</v>
      </c>
      <c r="O119" s="8" t="s">
        <v>2135</v>
      </c>
      <c r="P119" s="8" t="s">
        <v>2135</v>
      </c>
      <c r="Q119" s="8" t="s">
        <v>2135</v>
      </c>
      <c r="R119" s="8" t="s">
        <v>2135</v>
      </c>
      <c r="S119" s="8" t="s">
        <v>2135</v>
      </c>
      <c r="T119" s="8" t="s">
        <v>5400</v>
      </c>
      <c r="U119" s="8" t="s">
        <v>5401</v>
      </c>
      <c r="V119" s="8" t="s">
        <v>5402</v>
      </c>
      <c r="W119" s="8" t="s">
        <v>5403</v>
      </c>
      <c r="X119" s="8" t="s">
        <v>5404</v>
      </c>
      <c r="Y119" s="8" t="s">
        <v>5405</v>
      </c>
      <c r="Z119" s="8" t="s">
        <v>5406</v>
      </c>
      <c r="AA119" s="8" t="s">
        <v>5407</v>
      </c>
      <c r="AB119" s="8" t="s">
        <v>5408</v>
      </c>
      <c r="AC119" s="8" t="s">
        <v>5409</v>
      </c>
      <c r="AD119" s="8" t="s">
        <v>5410</v>
      </c>
      <c r="AE119" s="8" t="s">
        <v>5411</v>
      </c>
      <c r="AF119" s="8" t="s">
        <v>2135</v>
      </c>
      <c r="AG119" s="8">
        <v>38.0</v>
      </c>
      <c r="AH119" s="8">
        <v>11.0</v>
      </c>
      <c r="AI119" s="8">
        <v>13.0</v>
      </c>
      <c r="AJ119" s="8">
        <v>0.0</v>
      </c>
      <c r="AK119" s="8">
        <v>16.0</v>
      </c>
      <c r="AL119" s="8" t="s">
        <v>3342</v>
      </c>
      <c r="AM119" s="8" t="s">
        <v>3343</v>
      </c>
      <c r="AN119" s="8" t="s">
        <v>3344</v>
      </c>
      <c r="AO119" s="8" t="s">
        <v>5412</v>
      </c>
      <c r="AP119" s="8" t="s">
        <v>2135</v>
      </c>
      <c r="AQ119" s="8" t="s">
        <v>2135</v>
      </c>
      <c r="AR119" s="8" t="s">
        <v>5399</v>
      </c>
      <c r="AS119" s="8" t="s">
        <v>5413</v>
      </c>
      <c r="AT119" s="8" t="s">
        <v>3395</v>
      </c>
      <c r="AU119" s="8">
        <v>2019.0</v>
      </c>
      <c r="AV119" s="8">
        <v>10.0</v>
      </c>
      <c r="AW119" s="8">
        <v>8.0</v>
      </c>
      <c r="AX119" s="8" t="s">
        <v>2135</v>
      </c>
      <c r="AY119" s="8" t="s">
        <v>2135</v>
      </c>
      <c r="AZ119" s="8" t="s">
        <v>2135</v>
      </c>
      <c r="BA119" s="8" t="s">
        <v>2135</v>
      </c>
      <c r="BB119" s="8" t="s">
        <v>2135</v>
      </c>
      <c r="BC119" s="8" t="s">
        <v>2135</v>
      </c>
      <c r="BD119" s="8" t="s">
        <v>5414</v>
      </c>
      <c r="BE119" s="8" t="s">
        <v>5415</v>
      </c>
      <c r="BF119" s="13" t="str">
        <f>HYPERLINK("http://dx.doi.org/10.1002/ecs2.2819","http://dx.doi.org/10.1002/ecs2.2819")</f>
        <v>http://dx.doi.org/10.1002/ecs2.2819</v>
      </c>
      <c r="BG119" s="8" t="s">
        <v>2135</v>
      </c>
      <c r="BH119" s="8" t="s">
        <v>2135</v>
      </c>
      <c r="BI119" s="8">
        <v>6.0</v>
      </c>
      <c r="BJ119" s="8" t="s">
        <v>3681</v>
      </c>
      <c r="BK119" s="8" t="s">
        <v>3352</v>
      </c>
      <c r="BL119" s="8" t="s">
        <v>3632</v>
      </c>
      <c r="BM119" s="8" t="s">
        <v>5416</v>
      </c>
      <c r="BN119" s="8" t="s">
        <v>2135</v>
      </c>
      <c r="BO119" s="8" t="s">
        <v>3659</v>
      </c>
      <c r="BP119" s="8" t="s">
        <v>2135</v>
      </c>
      <c r="BQ119" s="8" t="s">
        <v>2135</v>
      </c>
      <c r="BR119" s="8" t="s">
        <v>3355</v>
      </c>
      <c r="BS119" s="8" t="s">
        <v>5417</v>
      </c>
      <c r="BT119" s="8" t="s">
        <v>2600</v>
      </c>
      <c r="BU119" s="8" t="s">
        <v>2147</v>
      </c>
      <c r="BV119" s="8" t="s">
        <v>2217</v>
      </c>
      <c r="BW119" s="8" t="s">
        <v>2700</v>
      </c>
      <c r="BX119" s="8" t="s">
        <v>2971</v>
      </c>
      <c r="BY119" s="8" t="s">
        <v>2954</v>
      </c>
      <c r="BZ119" s="8" t="str">
        <f>HYPERLINK("https%3A%2F%2Fwww.webofscience.com%2Fwos%2Fwoscc%2Ffull-record%2FWOS:000483832300016","View Full Record in Web of Science")</f>
        <v>View Full Record in Web of Science</v>
      </c>
    </row>
    <row r="120" ht="12.75" customHeight="1">
      <c r="A120" s="8" t="s">
        <v>3329</v>
      </c>
      <c r="B120" s="8" t="s">
        <v>5418</v>
      </c>
      <c r="C120" s="8" t="s">
        <v>2135</v>
      </c>
      <c r="D120" s="8" t="s">
        <v>2135</v>
      </c>
      <c r="E120" s="8" t="s">
        <v>2135</v>
      </c>
      <c r="F120" s="8" t="s">
        <v>5419</v>
      </c>
      <c r="G120" s="8" t="s">
        <v>2135</v>
      </c>
      <c r="H120" s="8" t="s">
        <v>2135</v>
      </c>
      <c r="I120" s="8" t="s">
        <v>882</v>
      </c>
      <c r="J120" s="8" t="s">
        <v>5420</v>
      </c>
      <c r="K120" s="8" t="s">
        <v>2135</v>
      </c>
      <c r="L120" s="8" t="s">
        <v>2135</v>
      </c>
      <c r="M120" s="8" t="s">
        <v>3332</v>
      </c>
      <c r="N120" s="8" t="s">
        <v>3333</v>
      </c>
      <c r="O120" s="8" t="s">
        <v>2135</v>
      </c>
      <c r="P120" s="8" t="s">
        <v>2135</v>
      </c>
      <c r="Q120" s="8" t="s">
        <v>2135</v>
      </c>
      <c r="R120" s="8" t="s">
        <v>2135</v>
      </c>
      <c r="S120" s="8" t="s">
        <v>2135</v>
      </c>
      <c r="T120" s="8" t="s">
        <v>5421</v>
      </c>
      <c r="U120" s="8" t="s">
        <v>5422</v>
      </c>
      <c r="V120" s="8" t="s">
        <v>5423</v>
      </c>
      <c r="W120" s="8" t="s">
        <v>5424</v>
      </c>
      <c r="X120" s="8" t="s">
        <v>5425</v>
      </c>
      <c r="Y120" s="8" t="s">
        <v>5426</v>
      </c>
      <c r="Z120" s="8" t="s">
        <v>5427</v>
      </c>
      <c r="AA120" s="8" t="s">
        <v>5428</v>
      </c>
      <c r="AB120" s="8" t="s">
        <v>5429</v>
      </c>
      <c r="AC120" s="8" t="s">
        <v>2135</v>
      </c>
      <c r="AD120" s="8" t="s">
        <v>2135</v>
      </c>
      <c r="AE120" s="8" t="s">
        <v>2135</v>
      </c>
      <c r="AF120" s="8" t="s">
        <v>2135</v>
      </c>
      <c r="AG120" s="8">
        <v>44.0</v>
      </c>
      <c r="AH120" s="8">
        <v>15.0</v>
      </c>
      <c r="AI120" s="8">
        <v>15.0</v>
      </c>
      <c r="AJ120" s="8">
        <v>0.0</v>
      </c>
      <c r="AK120" s="8">
        <v>20.0</v>
      </c>
      <c r="AL120" s="8" t="s">
        <v>3342</v>
      </c>
      <c r="AM120" s="8" t="s">
        <v>3343</v>
      </c>
      <c r="AN120" s="8" t="s">
        <v>3344</v>
      </c>
      <c r="AO120" s="8" t="s">
        <v>5430</v>
      </c>
      <c r="AP120" s="8" t="s">
        <v>5431</v>
      </c>
      <c r="AQ120" s="8" t="s">
        <v>2135</v>
      </c>
      <c r="AR120" s="8" t="s">
        <v>5432</v>
      </c>
      <c r="AS120" s="8" t="s">
        <v>5433</v>
      </c>
      <c r="AT120" s="8" t="s">
        <v>3395</v>
      </c>
      <c r="AU120" s="8">
        <v>2019.0</v>
      </c>
      <c r="AV120" s="8">
        <v>56.0</v>
      </c>
      <c r="AW120" s="8">
        <v>8.0</v>
      </c>
      <c r="AX120" s="8" t="s">
        <v>2135</v>
      </c>
      <c r="AY120" s="8" t="s">
        <v>2135</v>
      </c>
      <c r="AZ120" s="8" t="s">
        <v>2135</v>
      </c>
      <c r="BA120" s="8" t="s">
        <v>2135</v>
      </c>
      <c r="BB120" s="8">
        <v>1905.0</v>
      </c>
      <c r="BC120" s="8">
        <v>1915.0</v>
      </c>
      <c r="BD120" s="8" t="s">
        <v>2135</v>
      </c>
      <c r="BE120" s="8" t="s">
        <v>5434</v>
      </c>
      <c r="BF120" s="13" t="str">
        <f>HYPERLINK("http://dx.doi.org/10.1111/1365-2664.13379","http://dx.doi.org/10.1111/1365-2664.13379")</f>
        <v>http://dx.doi.org/10.1111/1365-2664.13379</v>
      </c>
      <c r="BG120" s="8" t="s">
        <v>2135</v>
      </c>
      <c r="BH120" s="8" t="s">
        <v>2135</v>
      </c>
      <c r="BI120" s="8">
        <v>11.0</v>
      </c>
      <c r="BJ120" s="8" t="s">
        <v>3558</v>
      </c>
      <c r="BK120" s="8" t="s">
        <v>3352</v>
      </c>
      <c r="BL120" s="8" t="s">
        <v>3353</v>
      </c>
      <c r="BM120" s="8" t="s">
        <v>5435</v>
      </c>
      <c r="BN120" s="8" t="s">
        <v>2135</v>
      </c>
      <c r="BO120" s="8" t="s">
        <v>3560</v>
      </c>
      <c r="BP120" s="8" t="s">
        <v>2135</v>
      </c>
      <c r="BQ120" s="8" t="s">
        <v>2135</v>
      </c>
      <c r="BR120" s="8" t="s">
        <v>3355</v>
      </c>
      <c r="BS120" s="8" t="s">
        <v>5436</v>
      </c>
      <c r="BU120" s="8" t="s">
        <v>2142</v>
      </c>
      <c r="BW120" s="8" t="s">
        <v>2218</v>
      </c>
      <c r="BX120" s="8" t="s">
        <v>2953</v>
      </c>
      <c r="BY120" s="8" t="s">
        <v>2954</v>
      </c>
      <c r="BZ120" s="8" t="str">
        <f>HYPERLINK("https%3A%2F%2Fwww.webofscience.com%2Fwos%2Fwoscc%2Ffull-record%2FWOS:000478601300005","View Full Record in Web of Science")</f>
        <v>View Full Record in Web of Science</v>
      </c>
    </row>
    <row r="121" ht="12.75" customHeight="1">
      <c r="A121" s="8" t="s">
        <v>3329</v>
      </c>
      <c r="B121" s="8" t="s">
        <v>5437</v>
      </c>
      <c r="C121" s="8" t="s">
        <v>2135</v>
      </c>
      <c r="D121" s="8" t="s">
        <v>2135</v>
      </c>
      <c r="E121" s="8" t="s">
        <v>2135</v>
      </c>
      <c r="F121" s="8" t="s">
        <v>5438</v>
      </c>
      <c r="G121" s="8" t="s">
        <v>2135</v>
      </c>
      <c r="H121" s="8" t="s">
        <v>2135</v>
      </c>
      <c r="I121" s="8" t="s">
        <v>876</v>
      </c>
      <c r="J121" s="8" t="s">
        <v>5439</v>
      </c>
      <c r="K121" s="8" t="s">
        <v>2135</v>
      </c>
      <c r="L121" s="8" t="s">
        <v>2135</v>
      </c>
      <c r="M121" s="8" t="s">
        <v>3332</v>
      </c>
      <c r="N121" s="8" t="s">
        <v>3333</v>
      </c>
      <c r="O121" s="8" t="s">
        <v>2135</v>
      </c>
      <c r="P121" s="8" t="s">
        <v>2135</v>
      </c>
      <c r="Q121" s="8" t="s">
        <v>2135</v>
      </c>
      <c r="R121" s="8" t="s">
        <v>2135</v>
      </c>
      <c r="S121" s="8" t="s">
        <v>2135</v>
      </c>
      <c r="T121" s="8" t="s">
        <v>5440</v>
      </c>
      <c r="U121" s="8" t="s">
        <v>5441</v>
      </c>
      <c r="V121" s="8" t="s">
        <v>5442</v>
      </c>
      <c r="W121" s="8" t="s">
        <v>5443</v>
      </c>
      <c r="X121" s="8" t="s">
        <v>5444</v>
      </c>
      <c r="Y121" s="8" t="s">
        <v>5445</v>
      </c>
      <c r="Z121" s="8" t="s">
        <v>5446</v>
      </c>
      <c r="AA121" s="8" t="s">
        <v>2135</v>
      </c>
      <c r="AB121" s="8" t="s">
        <v>2135</v>
      </c>
      <c r="AC121" s="8" t="s">
        <v>5447</v>
      </c>
      <c r="AD121" s="8" t="s">
        <v>5447</v>
      </c>
      <c r="AE121" s="8" t="s">
        <v>5448</v>
      </c>
      <c r="AF121" s="8" t="s">
        <v>2135</v>
      </c>
      <c r="AG121" s="8">
        <v>75.0</v>
      </c>
      <c r="AH121" s="8">
        <v>39.0</v>
      </c>
      <c r="AI121" s="8">
        <v>49.0</v>
      </c>
      <c r="AJ121" s="8">
        <v>0.0</v>
      </c>
      <c r="AK121" s="8">
        <v>26.0</v>
      </c>
      <c r="AL121" s="8" t="s">
        <v>5449</v>
      </c>
      <c r="AM121" s="8" t="s">
        <v>5450</v>
      </c>
      <c r="AN121" s="8" t="s">
        <v>5451</v>
      </c>
      <c r="AO121" s="8" t="s">
        <v>5452</v>
      </c>
      <c r="AP121" s="8" t="s">
        <v>5453</v>
      </c>
      <c r="AQ121" s="8" t="s">
        <v>2135</v>
      </c>
      <c r="AR121" s="8" t="s">
        <v>5454</v>
      </c>
      <c r="AS121" s="8" t="s">
        <v>5455</v>
      </c>
      <c r="AT121" s="8" t="s">
        <v>5456</v>
      </c>
      <c r="AU121" s="8">
        <v>2019.0</v>
      </c>
      <c r="AV121" s="8" t="s">
        <v>2135</v>
      </c>
      <c r="AW121" s="8">
        <v>36.0</v>
      </c>
      <c r="AX121" s="8" t="s">
        <v>2135</v>
      </c>
      <c r="AY121" s="8" t="s">
        <v>2135</v>
      </c>
      <c r="AZ121" s="8" t="s">
        <v>2135</v>
      </c>
      <c r="BA121" s="8" t="s">
        <v>2135</v>
      </c>
      <c r="BB121" s="8">
        <v>17.0</v>
      </c>
      <c r="BC121" s="8">
        <v>45.0</v>
      </c>
      <c r="BD121" s="8" t="s">
        <v>2135</v>
      </c>
      <c r="BE121" s="8" t="s">
        <v>5457</v>
      </c>
      <c r="BF121" s="13" t="str">
        <f>HYPERLINK("http://dx.doi.org/10.3897/natureconservation.36.33842","http://dx.doi.org/10.3897/natureconservation.36.33842")</f>
        <v>http://dx.doi.org/10.3897/natureconservation.36.33842</v>
      </c>
      <c r="BG121" s="8" t="s">
        <v>2135</v>
      </c>
      <c r="BH121" s="8" t="s">
        <v>2135</v>
      </c>
      <c r="BI121" s="8">
        <v>29.0</v>
      </c>
      <c r="BJ121" s="8" t="s">
        <v>3604</v>
      </c>
      <c r="BK121" s="8" t="s">
        <v>3352</v>
      </c>
      <c r="BL121" s="8" t="s">
        <v>3605</v>
      </c>
      <c r="BM121" s="8" t="s">
        <v>5458</v>
      </c>
      <c r="BN121" s="8" t="s">
        <v>2135</v>
      </c>
      <c r="BO121" s="8" t="s">
        <v>3659</v>
      </c>
      <c r="BP121" s="8" t="s">
        <v>2135</v>
      </c>
      <c r="BQ121" s="8" t="s">
        <v>2135</v>
      </c>
      <c r="BR121" s="8" t="s">
        <v>3355</v>
      </c>
      <c r="BS121" s="8" t="s">
        <v>5459</v>
      </c>
      <c r="BU121" s="8" t="s">
        <v>2283</v>
      </c>
      <c r="BW121" s="8" t="s">
        <v>2549</v>
      </c>
      <c r="BX121" s="8" t="s">
        <v>2953</v>
      </c>
      <c r="BY121" s="8" t="s">
        <v>2954</v>
      </c>
      <c r="BZ121" s="8" t="str">
        <f>HYPERLINK("https%3A%2F%2Fwww.webofscience.com%2Fwos%2Fwoscc%2Ffull-record%2FWOS:000487329100001","View Full Record in Web of Science")</f>
        <v>View Full Record in Web of Science</v>
      </c>
    </row>
    <row r="122" ht="12.75" customHeight="1">
      <c r="A122" s="8" t="s">
        <v>3329</v>
      </c>
      <c r="B122" s="8" t="s">
        <v>5460</v>
      </c>
      <c r="C122" s="8" t="s">
        <v>2135</v>
      </c>
      <c r="D122" s="8" t="s">
        <v>2135</v>
      </c>
      <c r="E122" s="8" t="s">
        <v>2135</v>
      </c>
      <c r="F122" s="8" t="s">
        <v>5461</v>
      </c>
      <c r="G122" s="8" t="s">
        <v>2135</v>
      </c>
      <c r="H122" s="8" t="s">
        <v>2135</v>
      </c>
      <c r="I122" s="8" t="s">
        <v>872</v>
      </c>
      <c r="J122" s="8" t="s">
        <v>5340</v>
      </c>
      <c r="K122" s="8" t="s">
        <v>2135</v>
      </c>
      <c r="L122" s="8" t="s">
        <v>2135</v>
      </c>
      <c r="M122" s="8" t="s">
        <v>3332</v>
      </c>
      <c r="N122" s="8" t="s">
        <v>3333</v>
      </c>
      <c r="O122" s="8" t="s">
        <v>2135</v>
      </c>
      <c r="P122" s="8" t="s">
        <v>2135</v>
      </c>
      <c r="Q122" s="8" t="s">
        <v>2135</v>
      </c>
      <c r="R122" s="8" t="s">
        <v>2135</v>
      </c>
      <c r="S122" s="8" t="s">
        <v>2135</v>
      </c>
      <c r="T122" s="8" t="s">
        <v>5462</v>
      </c>
      <c r="U122" s="8" t="s">
        <v>5463</v>
      </c>
      <c r="V122" s="8" t="s">
        <v>5464</v>
      </c>
      <c r="W122" s="8" t="s">
        <v>5465</v>
      </c>
      <c r="X122" s="8" t="s">
        <v>5466</v>
      </c>
      <c r="Y122" s="8" t="s">
        <v>5467</v>
      </c>
      <c r="Z122" s="8" t="s">
        <v>5468</v>
      </c>
      <c r="AA122" s="8" t="s">
        <v>2135</v>
      </c>
      <c r="AB122" s="8" t="s">
        <v>2135</v>
      </c>
      <c r="AC122" s="8" t="s">
        <v>5469</v>
      </c>
      <c r="AD122" s="8" t="s">
        <v>5469</v>
      </c>
      <c r="AE122" s="8" t="s">
        <v>5470</v>
      </c>
      <c r="AF122" s="8" t="s">
        <v>2135</v>
      </c>
      <c r="AG122" s="8">
        <v>87.0</v>
      </c>
      <c r="AH122" s="8">
        <v>4.0</v>
      </c>
      <c r="AI122" s="8">
        <v>4.0</v>
      </c>
      <c r="AJ122" s="8">
        <v>0.0</v>
      </c>
      <c r="AK122" s="8">
        <v>25.0</v>
      </c>
      <c r="AL122" s="8" t="s">
        <v>5390</v>
      </c>
      <c r="AM122" s="8" t="s">
        <v>5391</v>
      </c>
      <c r="AN122" s="8" t="s">
        <v>5392</v>
      </c>
      <c r="AO122" s="8" t="s">
        <v>5348</v>
      </c>
      <c r="AP122" s="8" t="s">
        <v>5393</v>
      </c>
      <c r="AQ122" s="8" t="s">
        <v>2135</v>
      </c>
      <c r="AR122" s="8" t="s">
        <v>5349</v>
      </c>
      <c r="AS122" s="8" t="s">
        <v>5350</v>
      </c>
      <c r="AT122" s="8" t="s">
        <v>3765</v>
      </c>
      <c r="AU122" s="8">
        <v>2019.0</v>
      </c>
      <c r="AV122" s="8">
        <v>93.0</v>
      </c>
      <c r="AW122" s="8">
        <v>1.0</v>
      </c>
      <c r="AX122" s="8" t="s">
        <v>2135</v>
      </c>
      <c r="AY122" s="8" t="s">
        <v>2135</v>
      </c>
      <c r="AZ122" s="8" t="s">
        <v>2135</v>
      </c>
      <c r="BA122" s="8" t="s">
        <v>2135</v>
      </c>
      <c r="BB122" s="8">
        <v>30.0</v>
      </c>
      <c r="BC122" s="8">
        <v>51.0</v>
      </c>
      <c r="BD122" s="8" t="s">
        <v>2135</v>
      </c>
      <c r="BE122" s="8" t="s">
        <v>5471</v>
      </c>
      <c r="BF122" s="13" t="str">
        <f>HYPERLINK("http://dx.doi.org/10.3955/046.093.0104","http://dx.doi.org/10.3955/046.093.0104")</f>
        <v>http://dx.doi.org/10.3955/046.093.0104</v>
      </c>
      <c r="BG122" s="8" t="s">
        <v>2135</v>
      </c>
      <c r="BH122" s="8" t="s">
        <v>2135</v>
      </c>
      <c r="BI122" s="8">
        <v>22.0</v>
      </c>
      <c r="BJ122" s="8" t="s">
        <v>3681</v>
      </c>
      <c r="BK122" s="8" t="s">
        <v>3352</v>
      </c>
      <c r="BL122" s="8" t="s">
        <v>3632</v>
      </c>
      <c r="BM122" s="8" t="s">
        <v>5472</v>
      </c>
      <c r="BN122" s="8" t="s">
        <v>2135</v>
      </c>
      <c r="BO122" s="8" t="s">
        <v>2135</v>
      </c>
      <c r="BP122" s="8" t="s">
        <v>2135</v>
      </c>
      <c r="BQ122" s="8" t="s">
        <v>2135</v>
      </c>
      <c r="BR122" s="8" t="s">
        <v>3355</v>
      </c>
      <c r="BS122" s="8" t="s">
        <v>5473</v>
      </c>
      <c r="BT122" s="8" t="s">
        <v>2600</v>
      </c>
      <c r="BU122" s="8" t="s">
        <v>2147</v>
      </c>
      <c r="BV122" s="8" t="s">
        <v>2217</v>
      </c>
      <c r="BW122" s="8" t="s">
        <v>2700</v>
      </c>
      <c r="BX122" s="8" t="s">
        <v>2971</v>
      </c>
      <c r="BY122" s="8" t="s">
        <v>2954</v>
      </c>
      <c r="BZ122" s="8" t="str">
        <f>HYPERLINK("https%3A%2F%2Fwww.webofscience.com%2Fwos%2Fwoscc%2Ffull-record%2FWOS:000469996800003","View Full Record in Web of Science")</f>
        <v>View Full Record in Web of Science</v>
      </c>
    </row>
    <row r="123" ht="12.75" customHeight="1">
      <c r="A123" s="8" t="s">
        <v>3329</v>
      </c>
      <c r="B123" s="8" t="s">
        <v>5474</v>
      </c>
      <c r="C123" s="8" t="s">
        <v>2135</v>
      </c>
      <c r="D123" s="8" t="s">
        <v>2135</v>
      </c>
      <c r="E123" s="8" t="s">
        <v>2135</v>
      </c>
      <c r="F123" s="8" t="s">
        <v>5475</v>
      </c>
      <c r="G123" s="8" t="s">
        <v>2135</v>
      </c>
      <c r="H123" s="8" t="s">
        <v>2135</v>
      </c>
      <c r="I123" s="8" t="s">
        <v>879</v>
      </c>
      <c r="J123" s="8" t="s">
        <v>5476</v>
      </c>
      <c r="K123" s="8" t="s">
        <v>2135</v>
      </c>
      <c r="L123" s="8" t="s">
        <v>2135</v>
      </c>
      <c r="M123" s="8" t="s">
        <v>3332</v>
      </c>
      <c r="N123" s="8" t="s">
        <v>3333</v>
      </c>
      <c r="O123" s="8" t="s">
        <v>2135</v>
      </c>
      <c r="P123" s="8" t="s">
        <v>2135</v>
      </c>
      <c r="Q123" s="8" t="s">
        <v>2135</v>
      </c>
      <c r="R123" s="8" t="s">
        <v>2135</v>
      </c>
      <c r="S123" s="8" t="s">
        <v>2135</v>
      </c>
      <c r="T123" s="8" t="s">
        <v>5477</v>
      </c>
      <c r="U123" s="8" t="s">
        <v>5478</v>
      </c>
      <c r="V123" s="8" t="s">
        <v>5479</v>
      </c>
      <c r="W123" s="8" t="s">
        <v>5480</v>
      </c>
      <c r="X123" s="8" t="s">
        <v>5481</v>
      </c>
      <c r="Y123" s="8" t="s">
        <v>5482</v>
      </c>
      <c r="Z123" s="8" t="s">
        <v>5483</v>
      </c>
      <c r="AA123" s="8" t="s">
        <v>5484</v>
      </c>
      <c r="AB123" s="8" t="s">
        <v>5485</v>
      </c>
      <c r="AC123" s="8" t="s">
        <v>5486</v>
      </c>
      <c r="AD123" s="8" t="s">
        <v>5486</v>
      </c>
      <c r="AE123" s="8" t="s">
        <v>5487</v>
      </c>
      <c r="AF123" s="8" t="s">
        <v>2135</v>
      </c>
      <c r="AG123" s="8">
        <v>32.0</v>
      </c>
      <c r="AH123" s="8">
        <v>2.0</v>
      </c>
      <c r="AI123" s="8">
        <v>2.0</v>
      </c>
      <c r="AJ123" s="8">
        <v>0.0</v>
      </c>
      <c r="AK123" s="8">
        <v>19.0</v>
      </c>
      <c r="AL123" s="8" t="s">
        <v>5073</v>
      </c>
      <c r="AM123" s="8" t="s">
        <v>5074</v>
      </c>
      <c r="AN123" s="8" t="s">
        <v>5488</v>
      </c>
      <c r="AO123" s="8" t="s">
        <v>2135</v>
      </c>
      <c r="AP123" s="8" t="s">
        <v>5489</v>
      </c>
      <c r="AQ123" s="8" t="s">
        <v>2135</v>
      </c>
      <c r="AR123" s="8" t="s">
        <v>5490</v>
      </c>
      <c r="AS123" s="8" t="s">
        <v>5491</v>
      </c>
      <c r="AT123" s="8" t="s">
        <v>5492</v>
      </c>
      <c r="AU123" s="8">
        <v>2019.0</v>
      </c>
      <c r="AV123" s="8">
        <v>4.0</v>
      </c>
      <c r="AW123" s="8">
        <v>1.0</v>
      </c>
      <c r="AX123" s="8" t="s">
        <v>2135</v>
      </c>
      <c r="AY123" s="8" t="s">
        <v>2135</v>
      </c>
      <c r="AZ123" s="8" t="s">
        <v>2135</v>
      </c>
      <c r="BA123" s="8" t="s">
        <v>2135</v>
      </c>
      <c r="BB123" s="8">
        <v>1172.0</v>
      </c>
      <c r="BC123" s="8">
        <v>1176.0</v>
      </c>
      <c r="BD123" s="8" t="s">
        <v>2135</v>
      </c>
      <c r="BE123" s="8" t="s">
        <v>5493</v>
      </c>
      <c r="BF123" s="13" t="str">
        <f>HYPERLINK("http://dx.doi.org/10.1080/23802359.2019.1591175","http://dx.doi.org/10.1080/23802359.2019.1591175")</f>
        <v>http://dx.doi.org/10.1080/23802359.2019.1591175</v>
      </c>
      <c r="BG123" s="8" t="s">
        <v>2135</v>
      </c>
      <c r="BH123" s="8" t="s">
        <v>2135</v>
      </c>
      <c r="BI123" s="8">
        <v>5.0</v>
      </c>
      <c r="BJ123" s="8" t="s">
        <v>4693</v>
      </c>
      <c r="BK123" s="8" t="s">
        <v>3352</v>
      </c>
      <c r="BL123" s="8" t="s">
        <v>4693</v>
      </c>
      <c r="BM123" s="8" t="s">
        <v>5494</v>
      </c>
      <c r="BN123" s="8" t="s">
        <v>2135</v>
      </c>
      <c r="BO123" s="8" t="s">
        <v>5131</v>
      </c>
      <c r="BP123" s="8" t="s">
        <v>2135</v>
      </c>
      <c r="BQ123" s="8" t="s">
        <v>2135</v>
      </c>
      <c r="BR123" s="8" t="s">
        <v>3355</v>
      </c>
      <c r="BS123" s="8" t="s">
        <v>5495</v>
      </c>
      <c r="BT123" s="8" t="s">
        <v>2438</v>
      </c>
      <c r="BU123" s="8" t="s">
        <v>2283</v>
      </c>
      <c r="BW123" s="8" t="s">
        <v>2291</v>
      </c>
      <c r="BX123" s="8" t="s">
        <v>2953</v>
      </c>
      <c r="BY123" s="8" t="s">
        <v>2954</v>
      </c>
      <c r="BZ123" s="8" t="str">
        <f>HYPERLINK("https%3A%2F%2Fwww.webofscience.com%2Fwos%2Fwoscc%2Ffull-record%2FWOS:000462007900001","View Full Record in Web of Science")</f>
        <v>View Full Record in Web of Science</v>
      </c>
    </row>
    <row r="124" ht="12.75" customHeight="1">
      <c r="A124" s="8" t="s">
        <v>3329</v>
      </c>
      <c r="B124" s="8" t="s">
        <v>5496</v>
      </c>
      <c r="C124" s="8" t="s">
        <v>2135</v>
      </c>
      <c r="D124" s="8" t="s">
        <v>2135</v>
      </c>
      <c r="E124" s="8" t="s">
        <v>2135</v>
      </c>
      <c r="F124" s="8" t="s">
        <v>5497</v>
      </c>
      <c r="G124" s="8" t="s">
        <v>2135</v>
      </c>
      <c r="H124" s="8" t="s">
        <v>2135</v>
      </c>
      <c r="I124" s="8" t="s">
        <v>874</v>
      </c>
      <c r="J124" s="8" t="s">
        <v>5174</v>
      </c>
      <c r="K124" s="8" t="s">
        <v>2135</v>
      </c>
      <c r="L124" s="8" t="s">
        <v>2135</v>
      </c>
      <c r="M124" s="8" t="s">
        <v>3332</v>
      </c>
      <c r="N124" s="8" t="s">
        <v>3333</v>
      </c>
      <c r="O124" s="8" t="s">
        <v>2135</v>
      </c>
      <c r="P124" s="8" t="s">
        <v>2135</v>
      </c>
      <c r="Q124" s="8" t="s">
        <v>2135</v>
      </c>
      <c r="R124" s="8" t="s">
        <v>2135</v>
      </c>
      <c r="S124" s="8" t="s">
        <v>2135</v>
      </c>
      <c r="T124" s="8" t="s">
        <v>5498</v>
      </c>
      <c r="U124" s="8" t="s">
        <v>5499</v>
      </c>
      <c r="V124" s="8" t="s">
        <v>5500</v>
      </c>
      <c r="W124" s="8" t="s">
        <v>5501</v>
      </c>
      <c r="X124" s="8" t="s">
        <v>5502</v>
      </c>
      <c r="Y124" s="8" t="s">
        <v>5503</v>
      </c>
      <c r="Z124" s="8" t="s">
        <v>5504</v>
      </c>
      <c r="AA124" s="8" t="s">
        <v>5505</v>
      </c>
      <c r="AB124" s="8" t="s">
        <v>5506</v>
      </c>
      <c r="AC124" s="8" t="s">
        <v>2135</v>
      </c>
      <c r="AD124" s="8" t="s">
        <v>2135</v>
      </c>
      <c r="AE124" s="8" t="s">
        <v>2135</v>
      </c>
      <c r="AF124" s="8" t="s">
        <v>2135</v>
      </c>
      <c r="AG124" s="8">
        <v>46.0</v>
      </c>
      <c r="AH124" s="8">
        <v>9.0</v>
      </c>
      <c r="AI124" s="8">
        <v>10.0</v>
      </c>
      <c r="AJ124" s="8">
        <v>1.0</v>
      </c>
      <c r="AK124" s="8">
        <v>25.0</v>
      </c>
      <c r="AL124" s="8" t="s">
        <v>3505</v>
      </c>
      <c r="AM124" s="8" t="s">
        <v>3506</v>
      </c>
      <c r="AN124" s="8" t="s">
        <v>3507</v>
      </c>
      <c r="AO124" s="8" t="s">
        <v>5187</v>
      </c>
      <c r="AP124" s="8" t="s">
        <v>5188</v>
      </c>
      <c r="AQ124" s="8" t="s">
        <v>2135</v>
      </c>
      <c r="AR124" s="8" t="s">
        <v>5189</v>
      </c>
      <c r="AS124" s="8" t="s">
        <v>5190</v>
      </c>
      <c r="AT124" s="8" t="s">
        <v>3629</v>
      </c>
      <c r="AU124" s="8">
        <v>2019.0</v>
      </c>
      <c r="AV124" s="8">
        <v>64.0</v>
      </c>
      <c r="AW124" s="8">
        <v>1.0</v>
      </c>
      <c r="AX124" s="8" t="s">
        <v>2135</v>
      </c>
      <c r="AY124" s="8" t="s">
        <v>2135</v>
      </c>
      <c r="AZ124" s="8" t="s">
        <v>2135</v>
      </c>
      <c r="BA124" s="8" t="s">
        <v>2135</v>
      </c>
      <c r="BB124" s="8">
        <v>87.0</v>
      </c>
      <c r="BC124" s="8">
        <v>97.0</v>
      </c>
      <c r="BD124" s="8" t="s">
        <v>2135</v>
      </c>
      <c r="BE124" s="8" t="s">
        <v>5507</v>
      </c>
      <c r="BF124" s="13" t="str">
        <f>HYPERLINK("http://dx.doi.org/10.1007/s13364-018-0398-5","http://dx.doi.org/10.1007/s13364-018-0398-5")</f>
        <v>http://dx.doi.org/10.1007/s13364-018-0398-5</v>
      </c>
      <c r="BG124" s="8" t="s">
        <v>2135</v>
      </c>
      <c r="BH124" s="8" t="s">
        <v>2135</v>
      </c>
      <c r="BI124" s="8">
        <v>11.0</v>
      </c>
      <c r="BJ124" s="8" t="s">
        <v>3397</v>
      </c>
      <c r="BK124" s="8" t="s">
        <v>3352</v>
      </c>
      <c r="BL124" s="8" t="s">
        <v>3397</v>
      </c>
      <c r="BM124" s="8" t="s">
        <v>5508</v>
      </c>
      <c r="BN124" s="8" t="s">
        <v>2135</v>
      </c>
      <c r="BO124" s="8" t="s">
        <v>4332</v>
      </c>
      <c r="BP124" s="8" t="s">
        <v>2135</v>
      </c>
      <c r="BQ124" s="8" t="s">
        <v>2135</v>
      </c>
      <c r="BR124" s="8" t="s">
        <v>3355</v>
      </c>
      <c r="BS124" s="8" t="s">
        <v>5509</v>
      </c>
      <c r="BT124" s="8" t="s">
        <v>2553</v>
      </c>
      <c r="BU124" s="8" t="s">
        <v>2142</v>
      </c>
      <c r="BW124" s="8" t="s">
        <v>2166</v>
      </c>
      <c r="BX124" s="8" t="s">
        <v>3022</v>
      </c>
      <c r="BY124" s="8" t="s">
        <v>2954</v>
      </c>
      <c r="BZ124" s="8" t="str">
        <f>HYPERLINK("https%3A%2F%2Fwww.webofscience.com%2Fwos%2Fwoscc%2Ffull-record%2FWOS:000455666000009","View Full Record in Web of Science")</f>
        <v>View Full Record in Web of Science</v>
      </c>
    </row>
    <row r="125" ht="12.75" customHeight="1">
      <c r="A125" s="8" t="s">
        <v>3329</v>
      </c>
      <c r="B125" s="8" t="s">
        <v>5510</v>
      </c>
      <c r="C125" s="8" t="s">
        <v>2135</v>
      </c>
      <c r="D125" s="8" t="s">
        <v>2135</v>
      </c>
      <c r="E125" s="8" t="s">
        <v>2135</v>
      </c>
      <c r="F125" s="8" t="s">
        <v>5511</v>
      </c>
      <c r="G125" s="8" t="s">
        <v>2135</v>
      </c>
      <c r="H125" s="8" t="s">
        <v>2135</v>
      </c>
      <c r="I125" s="8" t="s">
        <v>469</v>
      </c>
      <c r="J125" s="8" t="s">
        <v>5512</v>
      </c>
      <c r="K125" s="8" t="s">
        <v>2135</v>
      </c>
      <c r="L125" s="8" t="s">
        <v>2135</v>
      </c>
      <c r="M125" s="8" t="s">
        <v>4896</v>
      </c>
      <c r="N125" s="8" t="s">
        <v>3333</v>
      </c>
      <c r="O125" s="8" t="s">
        <v>2135</v>
      </c>
      <c r="P125" s="8" t="s">
        <v>2135</v>
      </c>
      <c r="Q125" s="8" t="s">
        <v>2135</v>
      </c>
      <c r="R125" s="8" t="s">
        <v>2135</v>
      </c>
      <c r="S125" s="8" t="s">
        <v>2135</v>
      </c>
      <c r="T125" s="8" t="s">
        <v>5513</v>
      </c>
      <c r="U125" s="8" t="s">
        <v>5514</v>
      </c>
      <c r="V125" s="8" t="s">
        <v>5515</v>
      </c>
      <c r="W125" s="8" t="s">
        <v>5516</v>
      </c>
      <c r="X125" s="8" t="s">
        <v>5517</v>
      </c>
      <c r="Y125" s="8" t="s">
        <v>5518</v>
      </c>
      <c r="Z125" s="8" t="s">
        <v>5519</v>
      </c>
      <c r="AA125" s="8" t="s">
        <v>5520</v>
      </c>
      <c r="AB125" s="8" t="s">
        <v>5521</v>
      </c>
      <c r="AC125" s="8" t="s">
        <v>2135</v>
      </c>
      <c r="AD125" s="8" t="s">
        <v>2135</v>
      </c>
      <c r="AE125" s="8" t="s">
        <v>2135</v>
      </c>
      <c r="AF125" s="8" t="s">
        <v>2135</v>
      </c>
      <c r="AG125" s="8">
        <v>27.0</v>
      </c>
      <c r="AH125" s="8">
        <v>7.0</v>
      </c>
      <c r="AI125" s="8">
        <v>15.0</v>
      </c>
      <c r="AJ125" s="8">
        <v>1.0</v>
      </c>
      <c r="AK125" s="8">
        <v>20.0</v>
      </c>
      <c r="AL125" s="8" t="s">
        <v>5522</v>
      </c>
      <c r="AM125" s="8" t="s">
        <v>5523</v>
      </c>
      <c r="AN125" s="8" t="s">
        <v>5524</v>
      </c>
      <c r="AO125" s="8" t="s">
        <v>5525</v>
      </c>
      <c r="AP125" s="8" t="s">
        <v>5526</v>
      </c>
      <c r="AQ125" s="8" t="s">
        <v>2135</v>
      </c>
      <c r="AR125" s="8" t="s">
        <v>5527</v>
      </c>
      <c r="AS125" s="8" t="s">
        <v>5528</v>
      </c>
      <c r="AT125" s="8" t="s">
        <v>3741</v>
      </c>
      <c r="AU125" s="8">
        <v>2018.0</v>
      </c>
      <c r="AV125" s="8">
        <v>89.0</v>
      </c>
      <c r="AW125" s="8">
        <v>4.0</v>
      </c>
      <c r="AX125" s="8" t="s">
        <v>2135</v>
      </c>
      <c r="AY125" s="8" t="s">
        <v>2135</v>
      </c>
      <c r="AZ125" s="8" t="s">
        <v>2135</v>
      </c>
      <c r="BA125" s="8" t="s">
        <v>2135</v>
      </c>
      <c r="BB125" s="8">
        <v>1245.0</v>
      </c>
      <c r="BC125" s="8">
        <v>1254.0</v>
      </c>
      <c r="BD125" s="8" t="s">
        <v>2135</v>
      </c>
      <c r="BE125" s="8" t="s">
        <v>5529</v>
      </c>
      <c r="BF125" s="13" t="str">
        <f>HYPERLINK("http://dx.doi.org/10.22201/ib.20078706e.2018.4.2476","http://dx.doi.org/10.22201/ib.20078706e.2018.4.2476")</f>
        <v>http://dx.doi.org/10.22201/ib.20078706e.2018.4.2476</v>
      </c>
      <c r="BG125" s="8" t="s">
        <v>2135</v>
      </c>
      <c r="BH125" s="8" t="s">
        <v>2135</v>
      </c>
      <c r="BI125" s="8">
        <v>10.0</v>
      </c>
      <c r="BJ125" s="8" t="s">
        <v>3604</v>
      </c>
      <c r="BK125" s="8" t="s">
        <v>3352</v>
      </c>
      <c r="BL125" s="8" t="s">
        <v>3605</v>
      </c>
      <c r="BM125" s="8" t="s">
        <v>5530</v>
      </c>
      <c r="BN125" s="8" t="s">
        <v>2135</v>
      </c>
      <c r="BO125" s="8" t="s">
        <v>5131</v>
      </c>
      <c r="BP125" s="8" t="s">
        <v>2135</v>
      </c>
      <c r="BQ125" s="8" t="s">
        <v>2135</v>
      </c>
      <c r="BR125" s="8" t="s">
        <v>3355</v>
      </c>
      <c r="BS125" s="8" t="s">
        <v>5531</v>
      </c>
      <c r="BT125" s="8" t="s">
        <v>2428</v>
      </c>
      <c r="BU125" s="8" t="s">
        <v>2147</v>
      </c>
      <c r="BW125" s="8" t="s">
        <v>2429</v>
      </c>
      <c r="BY125" s="8" t="s">
        <v>2954</v>
      </c>
      <c r="BZ125" s="8" t="str">
        <f>HYPERLINK("https%3A%2F%2Fwww.webofscience.com%2Fwos%2Fwoscc%2Ffull-record%2FWOS:000455163200024","View Full Record in Web of Science")</f>
        <v>View Full Record in Web of Science</v>
      </c>
    </row>
    <row r="126" ht="12.75" customHeight="1">
      <c r="A126" s="8" t="s">
        <v>3329</v>
      </c>
      <c r="B126" s="8" t="s">
        <v>5532</v>
      </c>
      <c r="C126" s="8" t="s">
        <v>2135</v>
      </c>
      <c r="D126" s="8" t="s">
        <v>2135</v>
      </c>
      <c r="E126" s="8" t="s">
        <v>2135</v>
      </c>
      <c r="F126" s="8" t="s">
        <v>5533</v>
      </c>
      <c r="G126" s="8" t="s">
        <v>2135</v>
      </c>
      <c r="H126" s="8" t="s">
        <v>2135</v>
      </c>
      <c r="I126" s="8" t="s">
        <v>857</v>
      </c>
      <c r="J126" s="8" t="s">
        <v>5534</v>
      </c>
      <c r="K126" s="8" t="s">
        <v>2135</v>
      </c>
      <c r="L126" s="8" t="s">
        <v>2135</v>
      </c>
      <c r="M126" s="8" t="s">
        <v>3332</v>
      </c>
      <c r="N126" s="8" t="s">
        <v>3333</v>
      </c>
      <c r="O126" s="8" t="s">
        <v>2135</v>
      </c>
      <c r="P126" s="8" t="s">
        <v>2135</v>
      </c>
      <c r="Q126" s="8" t="s">
        <v>2135</v>
      </c>
      <c r="R126" s="8" t="s">
        <v>2135</v>
      </c>
      <c r="S126" s="8" t="s">
        <v>2135</v>
      </c>
      <c r="T126" s="8" t="s">
        <v>5535</v>
      </c>
      <c r="U126" s="8" t="s">
        <v>5536</v>
      </c>
      <c r="V126" s="8" t="s">
        <v>5537</v>
      </c>
      <c r="W126" s="8" t="s">
        <v>5538</v>
      </c>
      <c r="X126" s="8" t="s">
        <v>2135</v>
      </c>
      <c r="Y126" s="8" t="s">
        <v>5539</v>
      </c>
      <c r="Z126" s="8" t="s">
        <v>5540</v>
      </c>
      <c r="AA126" s="8" t="s">
        <v>5541</v>
      </c>
      <c r="AB126" s="8" t="s">
        <v>5542</v>
      </c>
      <c r="AC126" s="8" t="s">
        <v>2135</v>
      </c>
      <c r="AD126" s="8" t="s">
        <v>2135</v>
      </c>
      <c r="AE126" s="8" t="s">
        <v>2135</v>
      </c>
      <c r="AF126" s="8" t="s">
        <v>2135</v>
      </c>
      <c r="AG126" s="8">
        <v>49.0</v>
      </c>
      <c r="AH126" s="8">
        <v>72.0</v>
      </c>
      <c r="AI126" s="8">
        <v>79.0</v>
      </c>
      <c r="AJ126" s="8">
        <v>1.0</v>
      </c>
      <c r="AK126" s="8">
        <v>39.0</v>
      </c>
      <c r="AL126" s="8" t="s">
        <v>5543</v>
      </c>
      <c r="AM126" s="8" t="s">
        <v>5544</v>
      </c>
      <c r="AN126" s="8" t="s">
        <v>5545</v>
      </c>
      <c r="AO126" s="8" t="s">
        <v>2135</v>
      </c>
      <c r="AP126" s="8" t="s">
        <v>5546</v>
      </c>
      <c r="AQ126" s="8" t="s">
        <v>2135</v>
      </c>
      <c r="AR126" s="8" t="s">
        <v>5547</v>
      </c>
      <c r="AS126" s="8" t="s">
        <v>5548</v>
      </c>
      <c r="AT126" s="8" t="s">
        <v>4023</v>
      </c>
      <c r="AU126" s="8">
        <v>2018.0</v>
      </c>
      <c r="AV126" s="8">
        <v>11.0</v>
      </c>
      <c r="AW126" s="8">
        <v>4.0</v>
      </c>
      <c r="AX126" s="8" t="s">
        <v>2135</v>
      </c>
      <c r="AY126" s="8" t="s">
        <v>2135</v>
      </c>
      <c r="AZ126" s="8" t="s">
        <v>2135</v>
      </c>
      <c r="BA126" s="8" t="s">
        <v>2135</v>
      </c>
      <c r="BB126" s="8">
        <v>469.0</v>
      </c>
      <c r="BC126" s="8">
        <v>475.0</v>
      </c>
      <c r="BD126" s="8" t="s">
        <v>2135</v>
      </c>
      <c r="BE126" s="8" t="s">
        <v>5549</v>
      </c>
      <c r="BF126" s="13" t="str">
        <f>HYPERLINK("http://dx.doi.org/10.1016/j.japb.2018.09.004","http://dx.doi.org/10.1016/j.japb.2018.09.004")</f>
        <v>http://dx.doi.org/10.1016/j.japb.2018.09.004</v>
      </c>
      <c r="BG126" s="8" t="s">
        <v>2135</v>
      </c>
      <c r="BH126" s="8" t="s">
        <v>2135</v>
      </c>
      <c r="BI126" s="8">
        <v>7.0</v>
      </c>
      <c r="BJ126" s="8" t="s">
        <v>5550</v>
      </c>
      <c r="BK126" s="8" t="s">
        <v>4654</v>
      </c>
      <c r="BL126" s="8" t="s">
        <v>5551</v>
      </c>
      <c r="BM126" s="8" t="s">
        <v>5552</v>
      </c>
      <c r="BN126" s="8" t="s">
        <v>2135</v>
      </c>
      <c r="BO126" s="8" t="s">
        <v>3659</v>
      </c>
      <c r="BP126" s="8" t="s">
        <v>2135</v>
      </c>
      <c r="BQ126" s="8" t="s">
        <v>2135</v>
      </c>
      <c r="BR126" s="8" t="s">
        <v>3355</v>
      </c>
      <c r="BS126" s="8" t="s">
        <v>5553</v>
      </c>
      <c r="BT126" s="8" t="s">
        <v>2548</v>
      </c>
      <c r="BU126" s="8" t="s">
        <v>2283</v>
      </c>
      <c r="BW126" s="8" t="s">
        <v>2549</v>
      </c>
      <c r="BX126" s="8" t="s">
        <v>2953</v>
      </c>
      <c r="BY126" s="8" t="s">
        <v>2954</v>
      </c>
      <c r="BZ126" s="8" t="str">
        <f>HYPERLINK("https%3A%2F%2Fwww.webofscience.com%2Fwos%2Fwoscc%2Ffull-record%2FWOS:000514194200001","View Full Record in Web of Science")</f>
        <v>View Full Record in Web of Science</v>
      </c>
    </row>
    <row r="127" ht="12.75" customHeight="1">
      <c r="A127" s="8" t="s">
        <v>3329</v>
      </c>
      <c r="B127" s="8" t="s">
        <v>5554</v>
      </c>
      <c r="C127" s="8" t="s">
        <v>2135</v>
      </c>
      <c r="D127" s="8" t="s">
        <v>2135</v>
      </c>
      <c r="E127" s="8" t="s">
        <v>2135</v>
      </c>
      <c r="F127" s="8" t="s">
        <v>5555</v>
      </c>
      <c r="G127" s="8" t="s">
        <v>2135</v>
      </c>
      <c r="H127" s="8" t="s">
        <v>2135</v>
      </c>
      <c r="I127" s="8" t="s">
        <v>855</v>
      </c>
      <c r="J127" s="8" t="s">
        <v>3747</v>
      </c>
      <c r="K127" s="8" t="s">
        <v>2135</v>
      </c>
      <c r="L127" s="8" t="s">
        <v>2135</v>
      </c>
      <c r="M127" s="8" t="s">
        <v>3332</v>
      </c>
      <c r="N127" s="8" t="s">
        <v>3333</v>
      </c>
      <c r="O127" s="8" t="s">
        <v>2135</v>
      </c>
      <c r="P127" s="8" t="s">
        <v>2135</v>
      </c>
      <c r="Q127" s="8" t="s">
        <v>2135</v>
      </c>
      <c r="R127" s="8" t="s">
        <v>2135</v>
      </c>
      <c r="S127" s="8" t="s">
        <v>2135</v>
      </c>
      <c r="T127" s="8" t="s">
        <v>5556</v>
      </c>
      <c r="U127" s="8" t="s">
        <v>5557</v>
      </c>
      <c r="V127" s="8" t="s">
        <v>5558</v>
      </c>
      <c r="W127" s="8" t="s">
        <v>5559</v>
      </c>
      <c r="X127" s="8" t="s">
        <v>5560</v>
      </c>
      <c r="Y127" s="8" t="s">
        <v>5561</v>
      </c>
      <c r="Z127" s="8" t="s">
        <v>5562</v>
      </c>
      <c r="AA127" s="8" t="s">
        <v>5563</v>
      </c>
      <c r="AB127" s="8" t="s">
        <v>5564</v>
      </c>
      <c r="AC127" s="8" t="s">
        <v>5565</v>
      </c>
      <c r="AD127" s="8" t="s">
        <v>5565</v>
      </c>
      <c r="AE127" s="8" t="s">
        <v>5566</v>
      </c>
      <c r="AF127" s="8" t="s">
        <v>2135</v>
      </c>
      <c r="AG127" s="8">
        <v>62.0</v>
      </c>
      <c r="AH127" s="8">
        <v>19.0</v>
      </c>
      <c r="AI127" s="8">
        <v>32.0</v>
      </c>
      <c r="AJ127" s="8">
        <v>11.0</v>
      </c>
      <c r="AK127" s="8">
        <v>90.0</v>
      </c>
      <c r="AL127" s="8" t="s">
        <v>3758</v>
      </c>
      <c r="AM127" s="8" t="s">
        <v>3759</v>
      </c>
      <c r="AN127" s="8" t="s">
        <v>3760</v>
      </c>
      <c r="AO127" s="8" t="s">
        <v>3761</v>
      </c>
      <c r="AP127" s="8" t="s">
        <v>3762</v>
      </c>
      <c r="AQ127" s="8" t="s">
        <v>2135</v>
      </c>
      <c r="AR127" s="8" t="s">
        <v>3763</v>
      </c>
      <c r="AS127" s="8" t="s">
        <v>3764</v>
      </c>
      <c r="AT127" s="8" t="s">
        <v>3741</v>
      </c>
      <c r="AU127" s="8">
        <v>2018.0</v>
      </c>
      <c r="AV127" s="8">
        <v>228.0</v>
      </c>
      <c r="AW127" s="8" t="s">
        <v>2135</v>
      </c>
      <c r="AX127" s="8" t="s">
        <v>2135</v>
      </c>
      <c r="AY127" s="8" t="s">
        <v>2135</v>
      </c>
      <c r="AZ127" s="8" t="s">
        <v>2135</v>
      </c>
      <c r="BA127" s="8" t="s">
        <v>2135</v>
      </c>
      <c r="BB127" s="8">
        <v>259.0</v>
      </c>
      <c r="BC127" s="8">
        <v>267.0</v>
      </c>
      <c r="BD127" s="8" t="s">
        <v>2135</v>
      </c>
      <c r="BE127" s="8" t="s">
        <v>5567</v>
      </c>
      <c r="BF127" s="13" t="str">
        <f>HYPERLINK("http://dx.doi.org/10.1016/j.biocon.2018.10.028","http://dx.doi.org/10.1016/j.biocon.2018.10.028")</f>
        <v>http://dx.doi.org/10.1016/j.biocon.2018.10.028</v>
      </c>
      <c r="BG127" s="8" t="s">
        <v>2135</v>
      </c>
      <c r="BH127" s="8" t="s">
        <v>2135</v>
      </c>
      <c r="BI127" s="8">
        <v>9.0</v>
      </c>
      <c r="BJ127" s="8" t="s">
        <v>3351</v>
      </c>
      <c r="BK127" s="8" t="s">
        <v>3352</v>
      </c>
      <c r="BL127" s="8" t="s">
        <v>3353</v>
      </c>
      <c r="BM127" s="8" t="s">
        <v>5568</v>
      </c>
      <c r="BN127" s="8" t="s">
        <v>2135</v>
      </c>
      <c r="BO127" s="8" t="s">
        <v>2135</v>
      </c>
      <c r="BP127" s="8" t="s">
        <v>2135</v>
      </c>
      <c r="BQ127" s="8" t="s">
        <v>2135</v>
      </c>
      <c r="BR127" s="8" t="s">
        <v>3355</v>
      </c>
      <c r="BS127" s="8" t="s">
        <v>5569</v>
      </c>
      <c r="BT127" s="8" t="s">
        <v>2282</v>
      </c>
      <c r="BU127" s="8" t="s">
        <v>2283</v>
      </c>
      <c r="BW127" s="8" t="s">
        <v>2295</v>
      </c>
      <c r="BX127" s="8" t="s">
        <v>2953</v>
      </c>
      <c r="BY127" s="8" t="s">
        <v>2954</v>
      </c>
      <c r="BZ127" s="8" t="str">
        <f>HYPERLINK("https%3A%2F%2Fwww.webofscience.com%2Fwos%2Fwoscc%2Ffull-record%2FWOS:000452815200029","View Full Record in Web of Science")</f>
        <v>View Full Record in Web of Science</v>
      </c>
    </row>
    <row r="128" ht="12.75" customHeight="1">
      <c r="A128" s="8" t="s">
        <v>3329</v>
      </c>
      <c r="B128" s="8" t="s">
        <v>5570</v>
      </c>
      <c r="C128" s="8" t="s">
        <v>2135</v>
      </c>
      <c r="D128" s="8" t="s">
        <v>2135</v>
      </c>
      <c r="E128" s="8" t="s">
        <v>2135</v>
      </c>
      <c r="F128" s="8" t="s">
        <v>5571</v>
      </c>
      <c r="G128" s="8" t="s">
        <v>2135</v>
      </c>
      <c r="H128" s="8" t="s">
        <v>2135</v>
      </c>
      <c r="I128" s="8" t="s">
        <v>467</v>
      </c>
      <c r="J128" s="8" t="s">
        <v>4162</v>
      </c>
      <c r="K128" s="8" t="s">
        <v>2135</v>
      </c>
      <c r="L128" s="8" t="s">
        <v>2135</v>
      </c>
      <c r="M128" s="8" t="s">
        <v>3332</v>
      </c>
      <c r="N128" s="8" t="s">
        <v>3333</v>
      </c>
      <c r="O128" s="8" t="s">
        <v>2135</v>
      </c>
      <c r="P128" s="8" t="s">
        <v>2135</v>
      </c>
      <c r="Q128" s="8" t="s">
        <v>2135</v>
      </c>
      <c r="R128" s="8" t="s">
        <v>2135</v>
      </c>
      <c r="S128" s="8" t="s">
        <v>2135</v>
      </c>
      <c r="T128" s="8" t="s">
        <v>5572</v>
      </c>
      <c r="U128" s="8" t="s">
        <v>5573</v>
      </c>
      <c r="V128" s="8" t="s">
        <v>5574</v>
      </c>
      <c r="W128" s="8" t="s">
        <v>5575</v>
      </c>
      <c r="X128" s="8" t="s">
        <v>5576</v>
      </c>
      <c r="Y128" s="8" t="s">
        <v>5577</v>
      </c>
      <c r="Z128" s="8" t="s">
        <v>5578</v>
      </c>
      <c r="AA128" s="8" t="s">
        <v>5579</v>
      </c>
      <c r="AB128" s="8" t="s">
        <v>5271</v>
      </c>
      <c r="AC128" s="8" t="s">
        <v>5580</v>
      </c>
      <c r="AD128" s="8" t="s">
        <v>5580</v>
      </c>
      <c r="AE128" s="8" t="s">
        <v>5581</v>
      </c>
      <c r="AF128" s="8" t="s">
        <v>2135</v>
      </c>
      <c r="AG128" s="8">
        <v>71.0</v>
      </c>
      <c r="AH128" s="8">
        <v>5.0</v>
      </c>
      <c r="AI128" s="8">
        <v>8.0</v>
      </c>
      <c r="AJ128" s="8">
        <v>0.0</v>
      </c>
      <c r="AK128" s="8">
        <v>24.0</v>
      </c>
      <c r="AL128" s="8" t="s">
        <v>3342</v>
      </c>
      <c r="AM128" s="8" t="s">
        <v>3343</v>
      </c>
      <c r="AN128" s="8" t="s">
        <v>3344</v>
      </c>
      <c r="AO128" s="8" t="s">
        <v>4175</v>
      </c>
      <c r="AP128" s="8" t="s">
        <v>4176</v>
      </c>
      <c r="AQ128" s="8" t="s">
        <v>2135</v>
      </c>
      <c r="AR128" s="8" t="s">
        <v>4177</v>
      </c>
      <c r="AS128" s="8" t="s">
        <v>4178</v>
      </c>
      <c r="AT128" s="8" t="s">
        <v>3462</v>
      </c>
      <c r="AU128" s="8">
        <v>2018.0</v>
      </c>
      <c r="AV128" s="8">
        <v>82.0</v>
      </c>
      <c r="AW128" s="8">
        <v>7.0</v>
      </c>
      <c r="AX128" s="8" t="s">
        <v>2135</v>
      </c>
      <c r="AY128" s="8" t="s">
        <v>2135</v>
      </c>
      <c r="AZ128" s="8" t="s">
        <v>2135</v>
      </c>
      <c r="BA128" s="8" t="s">
        <v>2135</v>
      </c>
      <c r="BB128" s="8">
        <v>1403.0</v>
      </c>
      <c r="BC128" s="8">
        <v>1416.0</v>
      </c>
      <c r="BD128" s="8" t="s">
        <v>2135</v>
      </c>
      <c r="BE128" s="8" t="s">
        <v>5582</v>
      </c>
      <c r="BF128" s="13" t="str">
        <f>HYPERLINK("http://dx.doi.org/10.1002/jwmg.21495","http://dx.doi.org/10.1002/jwmg.21495")</f>
        <v>http://dx.doi.org/10.1002/jwmg.21495</v>
      </c>
      <c r="BG128" s="8" t="s">
        <v>2135</v>
      </c>
      <c r="BH128" s="8" t="s">
        <v>2135</v>
      </c>
      <c r="BI128" s="8">
        <v>14.0</v>
      </c>
      <c r="BJ128" s="8" t="s">
        <v>3442</v>
      </c>
      <c r="BK128" s="8" t="s">
        <v>3352</v>
      </c>
      <c r="BL128" s="8" t="s">
        <v>3443</v>
      </c>
      <c r="BM128" s="8" t="s">
        <v>5583</v>
      </c>
      <c r="BN128" s="8" t="s">
        <v>2135</v>
      </c>
      <c r="BO128" s="8" t="s">
        <v>2135</v>
      </c>
      <c r="BP128" s="8" t="s">
        <v>2135</v>
      </c>
      <c r="BQ128" s="8" t="s">
        <v>2135</v>
      </c>
      <c r="BR128" s="8" t="s">
        <v>3355</v>
      </c>
      <c r="BS128" s="8" t="s">
        <v>5584</v>
      </c>
      <c r="BT128" s="8" t="s">
        <v>2216</v>
      </c>
      <c r="BU128" s="8" t="s">
        <v>2147</v>
      </c>
      <c r="BV128" s="8" t="s">
        <v>2217</v>
      </c>
      <c r="BW128" s="8" t="s">
        <v>2224</v>
      </c>
      <c r="BX128" s="8" t="s">
        <v>3022</v>
      </c>
      <c r="BY128" s="8" t="s">
        <v>2954</v>
      </c>
      <c r="BZ128" s="8" t="str">
        <f>HYPERLINK("https%3A%2F%2Fwww.webofscience.com%2Fwos%2Fwoscc%2Ffull-record%2FWOS:000442501700009","View Full Record in Web of Science")</f>
        <v>View Full Record in Web of Science</v>
      </c>
    </row>
    <row r="129" ht="12.75" customHeight="1">
      <c r="A129" s="8" t="s">
        <v>3329</v>
      </c>
      <c r="B129" s="8" t="s">
        <v>5585</v>
      </c>
      <c r="C129" s="8" t="s">
        <v>2135</v>
      </c>
      <c r="D129" s="8" t="s">
        <v>2135</v>
      </c>
      <c r="E129" s="8" t="s">
        <v>2135</v>
      </c>
      <c r="F129" s="8" t="s">
        <v>5586</v>
      </c>
      <c r="G129" s="8" t="s">
        <v>2135</v>
      </c>
      <c r="H129" s="8" t="s">
        <v>2135</v>
      </c>
      <c r="I129" s="8" t="s">
        <v>853</v>
      </c>
      <c r="J129" s="8" t="s">
        <v>3747</v>
      </c>
      <c r="K129" s="8" t="s">
        <v>2135</v>
      </c>
      <c r="L129" s="8" t="s">
        <v>2135</v>
      </c>
      <c r="M129" s="8" t="s">
        <v>3332</v>
      </c>
      <c r="N129" s="8" t="s">
        <v>3333</v>
      </c>
      <c r="O129" s="8" t="s">
        <v>2135</v>
      </c>
      <c r="P129" s="8" t="s">
        <v>2135</v>
      </c>
      <c r="Q129" s="8" t="s">
        <v>2135</v>
      </c>
      <c r="R129" s="8" t="s">
        <v>2135</v>
      </c>
      <c r="S129" s="8" t="s">
        <v>2135</v>
      </c>
      <c r="T129" s="8" t="s">
        <v>5587</v>
      </c>
      <c r="U129" s="8" t="s">
        <v>5588</v>
      </c>
      <c r="V129" s="8" t="s">
        <v>5589</v>
      </c>
      <c r="W129" s="8" t="s">
        <v>5590</v>
      </c>
      <c r="X129" s="8" t="s">
        <v>5591</v>
      </c>
      <c r="Y129" s="8" t="s">
        <v>5592</v>
      </c>
      <c r="Z129" s="8" t="s">
        <v>5593</v>
      </c>
      <c r="AA129" s="8" t="s">
        <v>5594</v>
      </c>
      <c r="AB129" s="8" t="s">
        <v>5595</v>
      </c>
      <c r="AC129" s="8" t="s">
        <v>5596</v>
      </c>
      <c r="AD129" s="8" t="s">
        <v>5597</v>
      </c>
      <c r="AE129" s="8" t="s">
        <v>5598</v>
      </c>
      <c r="AF129" s="8" t="s">
        <v>2135</v>
      </c>
      <c r="AG129" s="8">
        <v>80.0</v>
      </c>
      <c r="AH129" s="8">
        <v>9.0</v>
      </c>
      <c r="AI129" s="8">
        <v>11.0</v>
      </c>
      <c r="AJ129" s="8">
        <v>0.0</v>
      </c>
      <c r="AK129" s="8">
        <v>49.0</v>
      </c>
      <c r="AL129" s="8" t="s">
        <v>3758</v>
      </c>
      <c r="AM129" s="8" t="s">
        <v>3759</v>
      </c>
      <c r="AN129" s="8" t="s">
        <v>3760</v>
      </c>
      <c r="AO129" s="8" t="s">
        <v>3761</v>
      </c>
      <c r="AP129" s="8" t="s">
        <v>3762</v>
      </c>
      <c r="AQ129" s="8" t="s">
        <v>2135</v>
      </c>
      <c r="AR129" s="8" t="s">
        <v>3763</v>
      </c>
      <c r="AS129" s="8" t="s">
        <v>3764</v>
      </c>
      <c r="AT129" s="8" t="s">
        <v>3395</v>
      </c>
      <c r="AU129" s="8">
        <v>2018.0</v>
      </c>
      <c r="AV129" s="8">
        <v>224.0</v>
      </c>
      <c r="AW129" s="8" t="s">
        <v>2135</v>
      </c>
      <c r="AX129" s="8" t="s">
        <v>2135</v>
      </c>
      <c r="AY129" s="8" t="s">
        <v>2135</v>
      </c>
      <c r="AZ129" s="8" t="s">
        <v>2135</v>
      </c>
      <c r="BA129" s="8" t="s">
        <v>2135</v>
      </c>
      <c r="BB129" s="8">
        <v>318.0</v>
      </c>
      <c r="BC129" s="8">
        <v>326.0</v>
      </c>
      <c r="BD129" s="8" t="s">
        <v>2135</v>
      </c>
      <c r="BE129" s="8" t="s">
        <v>5599</v>
      </c>
      <c r="BF129" s="13" t="str">
        <f>HYPERLINK("http://dx.doi.org/10.1016/j.biocon.2018.06.015","http://dx.doi.org/10.1016/j.biocon.2018.06.015")</f>
        <v>http://dx.doi.org/10.1016/j.biocon.2018.06.015</v>
      </c>
      <c r="BG129" s="8" t="s">
        <v>2135</v>
      </c>
      <c r="BH129" s="8" t="s">
        <v>2135</v>
      </c>
      <c r="BI129" s="8">
        <v>9.0</v>
      </c>
      <c r="BJ129" s="8" t="s">
        <v>3351</v>
      </c>
      <c r="BK129" s="8" t="s">
        <v>3352</v>
      </c>
      <c r="BL129" s="8" t="s">
        <v>3353</v>
      </c>
      <c r="BM129" s="8" t="s">
        <v>5600</v>
      </c>
      <c r="BN129" s="8" t="s">
        <v>2135</v>
      </c>
      <c r="BO129" s="8" t="s">
        <v>2135</v>
      </c>
      <c r="BP129" s="8" t="s">
        <v>2135</v>
      </c>
      <c r="BQ129" s="8" t="s">
        <v>2135</v>
      </c>
      <c r="BR129" s="8" t="s">
        <v>3355</v>
      </c>
      <c r="BS129" s="8" t="s">
        <v>5601</v>
      </c>
      <c r="BT129" s="8" t="s">
        <v>2185</v>
      </c>
      <c r="BU129" s="8" t="s">
        <v>2147</v>
      </c>
      <c r="BW129" s="8" t="s">
        <v>2186</v>
      </c>
      <c r="BX129" s="8" t="s">
        <v>2953</v>
      </c>
      <c r="BY129" s="8" t="s">
        <v>2954</v>
      </c>
      <c r="BZ129" s="8" t="str">
        <f>HYPERLINK("https%3A%2F%2Fwww.webofscience.com%2Fwos%2Fwoscc%2Ffull-record%2FWOS:000439537600036","View Full Record in Web of Science")</f>
        <v>View Full Record in Web of Science</v>
      </c>
    </row>
    <row r="130" ht="12.75" customHeight="1">
      <c r="A130" s="8" t="s">
        <v>3329</v>
      </c>
      <c r="B130" s="8" t="s">
        <v>5602</v>
      </c>
      <c r="C130" s="8" t="s">
        <v>2135</v>
      </c>
      <c r="D130" s="8" t="s">
        <v>2135</v>
      </c>
      <c r="E130" s="8" t="s">
        <v>2135</v>
      </c>
      <c r="F130" s="8" t="s">
        <v>5603</v>
      </c>
      <c r="G130" s="8" t="s">
        <v>2135</v>
      </c>
      <c r="H130" s="8" t="s">
        <v>2135</v>
      </c>
      <c r="I130" s="8" t="s">
        <v>859</v>
      </c>
      <c r="J130" s="8" t="s">
        <v>4162</v>
      </c>
      <c r="K130" s="8" t="s">
        <v>2135</v>
      </c>
      <c r="L130" s="8" t="s">
        <v>2135</v>
      </c>
      <c r="M130" s="8" t="s">
        <v>3332</v>
      </c>
      <c r="N130" s="8" t="s">
        <v>3333</v>
      </c>
      <c r="O130" s="8" t="s">
        <v>2135</v>
      </c>
      <c r="P130" s="8" t="s">
        <v>2135</v>
      </c>
      <c r="Q130" s="8" t="s">
        <v>2135</v>
      </c>
      <c r="R130" s="8" t="s">
        <v>2135</v>
      </c>
      <c r="S130" s="8" t="s">
        <v>2135</v>
      </c>
      <c r="T130" s="8" t="s">
        <v>5604</v>
      </c>
      <c r="U130" s="8" t="s">
        <v>5605</v>
      </c>
      <c r="V130" s="8" t="s">
        <v>5606</v>
      </c>
      <c r="W130" s="8" t="s">
        <v>5607</v>
      </c>
      <c r="X130" s="8" t="s">
        <v>5608</v>
      </c>
      <c r="Y130" s="8" t="s">
        <v>5609</v>
      </c>
      <c r="Z130" s="8" t="s">
        <v>5610</v>
      </c>
      <c r="AA130" s="8" t="s">
        <v>2135</v>
      </c>
      <c r="AB130" s="8" t="s">
        <v>2135</v>
      </c>
      <c r="AC130" s="8" t="s">
        <v>5611</v>
      </c>
      <c r="AD130" s="8" t="s">
        <v>5611</v>
      </c>
      <c r="AE130" s="8" t="s">
        <v>5612</v>
      </c>
      <c r="AF130" s="8" t="s">
        <v>2135</v>
      </c>
      <c r="AG130" s="8">
        <v>34.0</v>
      </c>
      <c r="AH130" s="8">
        <v>13.0</v>
      </c>
      <c r="AI130" s="8">
        <v>15.0</v>
      </c>
      <c r="AJ130" s="8">
        <v>0.0</v>
      </c>
      <c r="AK130" s="8">
        <v>40.0</v>
      </c>
      <c r="AL130" s="8" t="s">
        <v>3342</v>
      </c>
      <c r="AM130" s="8" t="s">
        <v>3343</v>
      </c>
      <c r="AN130" s="8" t="s">
        <v>3344</v>
      </c>
      <c r="AO130" s="8" t="s">
        <v>4175</v>
      </c>
      <c r="AP130" s="8" t="s">
        <v>4176</v>
      </c>
      <c r="AQ130" s="8" t="s">
        <v>2135</v>
      </c>
      <c r="AR130" s="8" t="s">
        <v>4177</v>
      </c>
      <c r="AS130" s="8" t="s">
        <v>4178</v>
      </c>
      <c r="AT130" s="8" t="s">
        <v>3512</v>
      </c>
      <c r="AU130" s="8">
        <v>2018.0</v>
      </c>
      <c r="AV130" s="8">
        <v>82.0</v>
      </c>
      <c r="AW130" s="8">
        <v>5.0</v>
      </c>
      <c r="AX130" s="8" t="s">
        <v>2135</v>
      </c>
      <c r="AY130" s="8" t="s">
        <v>2135</v>
      </c>
      <c r="AZ130" s="8" t="s">
        <v>2135</v>
      </c>
      <c r="BA130" s="8" t="s">
        <v>2135</v>
      </c>
      <c r="BB130" s="8">
        <v>991.0</v>
      </c>
      <c r="BC130" s="8">
        <v>1002.0</v>
      </c>
      <c r="BD130" s="8" t="s">
        <v>2135</v>
      </c>
      <c r="BE130" s="8" t="s">
        <v>5613</v>
      </c>
      <c r="BF130" s="13" t="str">
        <f>HYPERLINK("http://dx.doi.org/10.1002/jwmg.21439","http://dx.doi.org/10.1002/jwmg.21439")</f>
        <v>http://dx.doi.org/10.1002/jwmg.21439</v>
      </c>
      <c r="BG130" s="8" t="s">
        <v>2135</v>
      </c>
      <c r="BH130" s="8" t="s">
        <v>2135</v>
      </c>
      <c r="BI130" s="8">
        <v>12.0</v>
      </c>
      <c r="BJ130" s="8" t="s">
        <v>3442</v>
      </c>
      <c r="BK130" s="8" t="s">
        <v>3352</v>
      </c>
      <c r="BL130" s="8" t="s">
        <v>3443</v>
      </c>
      <c r="BM130" s="8" t="s">
        <v>5614</v>
      </c>
      <c r="BN130" s="8" t="s">
        <v>2135</v>
      </c>
      <c r="BO130" s="8" t="s">
        <v>2135</v>
      </c>
      <c r="BP130" s="8" t="s">
        <v>2135</v>
      </c>
      <c r="BQ130" s="8" t="s">
        <v>2135</v>
      </c>
      <c r="BR130" s="8" t="s">
        <v>3355</v>
      </c>
      <c r="BS130" s="8" t="s">
        <v>5615</v>
      </c>
      <c r="BT130" s="8" t="s">
        <v>2600</v>
      </c>
      <c r="BU130" s="8" t="s">
        <v>2147</v>
      </c>
      <c r="BV130" s="8" t="s">
        <v>2217</v>
      </c>
      <c r="BW130" s="8" t="s">
        <v>2218</v>
      </c>
      <c r="BX130" s="8" t="s">
        <v>2953</v>
      </c>
      <c r="BY130" s="8" t="s">
        <v>2954</v>
      </c>
      <c r="BZ130" s="8" t="str">
        <f>HYPERLINK("https%3A%2F%2Fwww.webofscience.com%2Fwos%2Fwoscc%2Ffull-record%2FWOS:000435816100013","View Full Record in Web of Science")</f>
        <v>View Full Record in Web of Science</v>
      </c>
    </row>
    <row r="131" ht="12.75" customHeight="1">
      <c r="A131" s="8" t="s">
        <v>3329</v>
      </c>
      <c r="B131" s="8" t="s">
        <v>5616</v>
      </c>
      <c r="C131" s="8" t="s">
        <v>2135</v>
      </c>
      <c r="D131" s="8" t="s">
        <v>2135</v>
      </c>
      <c r="E131" s="8" t="s">
        <v>2135</v>
      </c>
      <c r="F131" s="8" t="s">
        <v>5617</v>
      </c>
      <c r="G131" s="8" t="s">
        <v>2135</v>
      </c>
      <c r="H131" s="8" t="s">
        <v>2135</v>
      </c>
      <c r="I131" s="8" t="s">
        <v>849</v>
      </c>
      <c r="J131" s="8" t="s">
        <v>4916</v>
      </c>
      <c r="K131" s="8" t="s">
        <v>2135</v>
      </c>
      <c r="L131" s="8" t="s">
        <v>2135</v>
      </c>
      <c r="M131" s="8" t="s">
        <v>3332</v>
      </c>
      <c r="N131" s="8" t="s">
        <v>3333</v>
      </c>
      <c r="O131" s="8" t="s">
        <v>2135</v>
      </c>
      <c r="P131" s="8" t="s">
        <v>2135</v>
      </c>
      <c r="Q131" s="8" t="s">
        <v>2135</v>
      </c>
      <c r="R131" s="8" t="s">
        <v>2135</v>
      </c>
      <c r="S131" s="8" t="s">
        <v>2135</v>
      </c>
      <c r="T131" s="8" t="s">
        <v>2135</v>
      </c>
      <c r="U131" s="8" t="s">
        <v>5618</v>
      </c>
      <c r="V131" s="8" t="s">
        <v>5619</v>
      </c>
      <c r="W131" s="8" t="s">
        <v>5620</v>
      </c>
      <c r="X131" s="8" t="s">
        <v>5621</v>
      </c>
      <c r="Y131" s="8" t="s">
        <v>5622</v>
      </c>
      <c r="Z131" s="8" t="s">
        <v>5623</v>
      </c>
      <c r="AA131" s="8" t="s">
        <v>5624</v>
      </c>
      <c r="AB131" s="8" t="s">
        <v>5625</v>
      </c>
      <c r="AC131" s="8" t="s">
        <v>5626</v>
      </c>
      <c r="AD131" s="8" t="s">
        <v>5627</v>
      </c>
      <c r="AE131" s="8" t="s">
        <v>5628</v>
      </c>
      <c r="AF131" s="8" t="s">
        <v>2135</v>
      </c>
      <c r="AG131" s="8">
        <v>23.0</v>
      </c>
      <c r="AH131" s="8">
        <v>3.0</v>
      </c>
      <c r="AI131" s="8">
        <v>4.0</v>
      </c>
      <c r="AJ131" s="8">
        <v>1.0</v>
      </c>
      <c r="AK131" s="8">
        <v>33.0</v>
      </c>
      <c r="AL131" s="8" t="s">
        <v>4928</v>
      </c>
      <c r="AM131" s="8" t="s">
        <v>4929</v>
      </c>
      <c r="AN131" s="8" t="s">
        <v>4930</v>
      </c>
      <c r="AO131" s="8" t="s">
        <v>4931</v>
      </c>
      <c r="AP131" s="8" t="s">
        <v>4932</v>
      </c>
      <c r="AQ131" s="8" t="s">
        <v>2135</v>
      </c>
      <c r="AR131" s="8" t="s">
        <v>4933</v>
      </c>
      <c r="AS131" s="8" t="s">
        <v>4934</v>
      </c>
      <c r="AT131" s="8" t="s">
        <v>3556</v>
      </c>
      <c r="AU131" s="8">
        <v>2018.0</v>
      </c>
      <c r="AV131" s="8">
        <v>179.0</v>
      </c>
      <c r="AW131" s="8">
        <v>2.0</v>
      </c>
      <c r="AX131" s="8" t="s">
        <v>2135</v>
      </c>
      <c r="AY131" s="8" t="s">
        <v>2135</v>
      </c>
      <c r="AZ131" s="8" t="s">
        <v>2135</v>
      </c>
      <c r="BA131" s="8" t="s">
        <v>2135</v>
      </c>
      <c r="BB131" s="8">
        <v>294.0</v>
      </c>
      <c r="BC131" s="8">
        <v>298.0</v>
      </c>
      <c r="BD131" s="8" t="s">
        <v>2135</v>
      </c>
      <c r="BE131" s="8" t="s">
        <v>2135</v>
      </c>
      <c r="BF131" s="8" t="s">
        <v>2135</v>
      </c>
      <c r="BG131" s="8" t="s">
        <v>2135</v>
      </c>
      <c r="BH131" s="8" t="s">
        <v>2135</v>
      </c>
      <c r="BI131" s="8">
        <v>5.0</v>
      </c>
      <c r="BJ131" s="8" t="s">
        <v>3558</v>
      </c>
      <c r="BK131" s="8" t="s">
        <v>3352</v>
      </c>
      <c r="BL131" s="8" t="s">
        <v>3353</v>
      </c>
      <c r="BM131" s="8" t="s">
        <v>5629</v>
      </c>
      <c r="BN131" s="8" t="s">
        <v>2135</v>
      </c>
      <c r="BO131" s="8" t="s">
        <v>2135</v>
      </c>
      <c r="BP131" s="8" t="s">
        <v>2135</v>
      </c>
      <c r="BQ131" s="8" t="s">
        <v>2135</v>
      </c>
      <c r="BR131" s="8" t="s">
        <v>3355</v>
      </c>
      <c r="BS131" s="8" t="s">
        <v>5630</v>
      </c>
      <c r="BT131" s="8" t="s">
        <v>2600</v>
      </c>
      <c r="BU131" s="8" t="s">
        <v>2147</v>
      </c>
      <c r="BV131" s="8" t="s">
        <v>2217</v>
      </c>
      <c r="BW131" s="8" t="s">
        <v>2221</v>
      </c>
      <c r="BX131" s="8" t="s">
        <v>3022</v>
      </c>
      <c r="BY131" s="8" t="s">
        <v>2954</v>
      </c>
      <c r="BZ131" s="8" t="str">
        <f>HYPERLINK("https%3A%2F%2Fwww.webofscience.com%2Fwos%2Fwoscc%2Ffull-record%2FWOS:000429137400010","View Full Record in Web of Science")</f>
        <v>View Full Record in Web of Science</v>
      </c>
    </row>
    <row r="132" ht="12.75" customHeight="1">
      <c r="A132" s="8" t="s">
        <v>3329</v>
      </c>
      <c r="B132" s="8" t="s">
        <v>5631</v>
      </c>
      <c r="C132" s="8" t="s">
        <v>2135</v>
      </c>
      <c r="D132" s="8" t="s">
        <v>2135</v>
      </c>
      <c r="E132" s="8" t="s">
        <v>2135</v>
      </c>
      <c r="F132" s="8" t="s">
        <v>5632</v>
      </c>
      <c r="G132" s="8" t="s">
        <v>2135</v>
      </c>
      <c r="H132" s="8" t="s">
        <v>2135</v>
      </c>
      <c r="I132" s="8" t="s">
        <v>861</v>
      </c>
      <c r="J132" s="8" t="s">
        <v>3637</v>
      </c>
      <c r="K132" s="8" t="s">
        <v>2135</v>
      </c>
      <c r="L132" s="8" t="s">
        <v>2135</v>
      </c>
      <c r="M132" s="8" t="s">
        <v>3332</v>
      </c>
      <c r="N132" s="8" t="s">
        <v>3333</v>
      </c>
      <c r="O132" s="8" t="s">
        <v>2135</v>
      </c>
      <c r="P132" s="8" t="s">
        <v>2135</v>
      </c>
      <c r="Q132" s="8" t="s">
        <v>2135</v>
      </c>
      <c r="R132" s="8" t="s">
        <v>2135</v>
      </c>
      <c r="S132" s="8" t="s">
        <v>2135</v>
      </c>
      <c r="T132" s="8" t="s">
        <v>2135</v>
      </c>
      <c r="U132" s="8" t="s">
        <v>5633</v>
      </c>
      <c r="V132" s="8" t="s">
        <v>5634</v>
      </c>
      <c r="W132" s="8" t="s">
        <v>5635</v>
      </c>
      <c r="X132" s="8" t="s">
        <v>5636</v>
      </c>
      <c r="Y132" s="8" t="s">
        <v>5637</v>
      </c>
      <c r="Z132" s="8" t="s">
        <v>5593</v>
      </c>
      <c r="AA132" s="8" t="s">
        <v>5638</v>
      </c>
      <c r="AB132" s="8" t="s">
        <v>5639</v>
      </c>
      <c r="AC132" s="8" t="s">
        <v>5640</v>
      </c>
      <c r="AD132" s="8" t="s">
        <v>5641</v>
      </c>
      <c r="AE132" s="8" t="s">
        <v>5642</v>
      </c>
      <c r="AF132" s="8" t="s">
        <v>2135</v>
      </c>
      <c r="AG132" s="8">
        <v>63.0</v>
      </c>
      <c r="AH132" s="8">
        <v>11.0</v>
      </c>
      <c r="AI132" s="8">
        <v>11.0</v>
      </c>
      <c r="AJ132" s="8">
        <v>1.0</v>
      </c>
      <c r="AK132" s="8">
        <v>21.0</v>
      </c>
      <c r="AL132" s="8" t="s">
        <v>3648</v>
      </c>
      <c r="AM132" s="8" t="s">
        <v>3649</v>
      </c>
      <c r="AN132" s="8" t="s">
        <v>3650</v>
      </c>
      <c r="AO132" s="8" t="s">
        <v>3651</v>
      </c>
      <c r="AP132" s="8" t="s">
        <v>2135</v>
      </c>
      <c r="AQ132" s="8" t="s">
        <v>2135</v>
      </c>
      <c r="AR132" s="8" t="s">
        <v>3637</v>
      </c>
      <c r="AS132" s="8" t="s">
        <v>3652</v>
      </c>
      <c r="AT132" s="8" t="s">
        <v>5643</v>
      </c>
      <c r="AU132" s="8">
        <v>2018.0</v>
      </c>
      <c r="AV132" s="8">
        <v>13.0</v>
      </c>
      <c r="AW132" s="8">
        <v>3.0</v>
      </c>
      <c r="AX132" s="8" t="s">
        <v>2135</v>
      </c>
      <c r="AY132" s="8" t="s">
        <v>2135</v>
      </c>
      <c r="AZ132" s="8" t="s">
        <v>2135</v>
      </c>
      <c r="BA132" s="8" t="s">
        <v>2135</v>
      </c>
      <c r="BB132" s="8" t="s">
        <v>2135</v>
      </c>
      <c r="BC132" s="8" t="s">
        <v>2135</v>
      </c>
      <c r="BD132" s="8" t="s">
        <v>5644</v>
      </c>
      <c r="BE132" s="8" t="s">
        <v>5645</v>
      </c>
      <c r="BF132" s="13" t="str">
        <f>HYPERLINK("http://dx.doi.org/10.1371/journal.pone.0193984","http://dx.doi.org/10.1371/journal.pone.0193984")</f>
        <v>http://dx.doi.org/10.1371/journal.pone.0193984</v>
      </c>
      <c r="BG132" s="8" t="s">
        <v>2135</v>
      </c>
      <c r="BH132" s="8" t="s">
        <v>2135</v>
      </c>
      <c r="BI132" s="8">
        <v>19.0</v>
      </c>
      <c r="BJ132" s="8" t="s">
        <v>3656</v>
      </c>
      <c r="BK132" s="8" t="s">
        <v>4060</v>
      </c>
      <c r="BL132" s="8" t="s">
        <v>3657</v>
      </c>
      <c r="BM132" s="8" t="s">
        <v>5646</v>
      </c>
      <c r="BN132" s="8">
        <v>2.960159E7</v>
      </c>
      <c r="BO132" s="8" t="s">
        <v>3659</v>
      </c>
      <c r="BP132" s="8" t="s">
        <v>2135</v>
      </c>
      <c r="BQ132" s="8" t="s">
        <v>2135</v>
      </c>
      <c r="BR132" s="8" t="s">
        <v>3355</v>
      </c>
      <c r="BS132" s="8" t="s">
        <v>5647</v>
      </c>
      <c r="BT132" s="8" t="s">
        <v>2185</v>
      </c>
      <c r="BU132" s="8" t="s">
        <v>2147</v>
      </c>
      <c r="BW132" s="8" t="s">
        <v>2203</v>
      </c>
      <c r="BX132" s="8" t="s">
        <v>2953</v>
      </c>
      <c r="BY132" s="8" t="s">
        <v>2954</v>
      </c>
      <c r="BZ132" s="8" t="str">
        <f>HYPERLINK("https%3A%2F%2Fwww.webofscience.com%2Fwos%2Fwoscc%2Ffull-record%2FWOS:000428845900003","View Full Record in Web of Science")</f>
        <v>View Full Record in Web of Science</v>
      </c>
    </row>
    <row r="133" ht="12.75" customHeight="1">
      <c r="A133" s="8" t="s">
        <v>3329</v>
      </c>
      <c r="B133" s="8" t="s">
        <v>5648</v>
      </c>
      <c r="C133" s="8" t="s">
        <v>2135</v>
      </c>
      <c r="D133" s="8" t="s">
        <v>2135</v>
      </c>
      <c r="E133" s="8" t="s">
        <v>2135</v>
      </c>
      <c r="F133" s="8" t="s">
        <v>5649</v>
      </c>
      <c r="G133" s="8" t="s">
        <v>2135</v>
      </c>
      <c r="H133" s="8" t="s">
        <v>2135</v>
      </c>
      <c r="I133" s="8" t="s">
        <v>471</v>
      </c>
      <c r="J133" s="8" t="s">
        <v>4958</v>
      </c>
      <c r="K133" s="8" t="s">
        <v>2135</v>
      </c>
      <c r="L133" s="8" t="s">
        <v>2135</v>
      </c>
      <c r="M133" s="8" t="s">
        <v>3332</v>
      </c>
      <c r="N133" s="8" t="s">
        <v>3333</v>
      </c>
      <c r="O133" s="8" t="s">
        <v>2135</v>
      </c>
      <c r="P133" s="8" t="s">
        <v>2135</v>
      </c>
      <c r="Q133" s="8" t="s">
        <v>2135</v>
      </c>
      <c r="R133" s="8" t="s">
        <v>2135</v>
      </c>
      <c r="S133" s="8" t="s">
        <v>2135</v>
      </c>
      <c r="T133" s="8" t="s">
        <v>5650</v>
      </c>
      <c r="U133" s="8" t="s">
        <v>5651</v>
      </c>
      <c r="V133" s="8" t="s">
        <v>5652</v>
      </c>
      <c r="W133" s="8" t="s">
        <v>5653</v>
      </c>
      <c r="X133" s="8" t="s">
        <v>5654</v>
      </c>
      <c r="Y133" s="8" t="s">
        <v>5655</v>
      </c>
      <c r="Z133" s="8" t="s">
        <v>5656</v>
      </c>
      <c r="AA133" s="8" t="s">
        <v>5657</v>
      </c>
      <c r="AB133" s="8" t="s">
        <v>2135</v>
      </c>
      <c r="AC133" s="8" t="s">
        <v>5658</v>
      </c>
      <c r="AD133" s="8" t="s">
        <v>5658</v>
      </c>
      <c r="AE133" s="8" t="s">
        <v>5659</v>
      </c>
      <c r="AF133" s="8" t="s">
        <v>2135</v>
      </c>
      <c r="AG133" s="8">
        <v>29.0</v>
      </c>
      <c r="AH133" s="8">
        <v>2.0</v>
      </c>
      <c r="AI133" s="8">
        <v>4.0</v>
      </c>
      <c r="AJ133" s="8">
        <v>1.0</v>
      </c>
      <c r="AK133" s="8">
        <v>35.0</v>
      </c>
      <c r="AL133" s="8" t="s">
        <v>3342</v>
      </c>
      <c r="AM133" s="8" t="s">
        <v>3343</v>
      </c>
      <c r="AN133" s="8" t="s">
        <v>3344</v>
      </c>
      <c r="AO133" s="8" t="s">
        <v>5660</v>
      </c>
      <c r="AP133" s="8" t="s">
        <v>2135</v>
      </c>
      <c r="AQ133" s="8" t="s">
        <v>2135</v>
      </c>
      <c r="AR133" s="8" t="s">
        <v>4966</v>
      </c>
      <c r="AS133" s="8" t="s">
        <v>4967</v>
      </c>
      <c r="AT133" s="8" t="s">
        <v>3721</v>
      </c>
      <c r="AU133" s="8">
        <v>2018.0</v>
      </c>
      <c r="AV133" s="8">
        <v>42.0</v>
      </c>
      <c r="AW133" s="8">
        <v>1.0</v>
      </c>
      <c r="AX133" s="8" t="s">
        <v>2135</v>
      </c>
      <c r="AY133" s="8" t="s">
        <v>2135</v>
      </c>
      <c r="AZ133" s="8" t="s">
        <v>2135</v>
      </c>
      <c r="BA133" s="8" t="s">
        <v>2135</v>
      </c>
      <c r="BB133" s="8">
        <v>136.0</v>
      </c>
      <c r="BC133" s="8">
        <v>143.0</v>
      </c>
      <c r="BD133" s="8" t="s">
        <v>2135</v>
      </c>
      <c r="BE133" s="8" t="s">
        <v>5661</v>
      </c>
      <c r="BF133" s="13" t="str">
        <f>HYPERLINK("http://dx.doi.org/10.1002/wsb.843","http://dx.doi.org/10.1002/wsb.843")</f>
        <v>http://dx.doi.org/10.1002/wsb.843</v>
      </c>
      <c r="BG133" s="8" t="s">
        <v>2135</v>
      </c>
      <c r="BH133" s="8" t="s">
        <v>2135</v>
      </c>
      <c r="BI133" s="8">
        <v>8.0</v>
      </c>
      <c r="BJ133" s="8" t="s">
        <v>3604</v>
      </c>
      <c r="BK133" s="8" t="s">
        <v>3352</v>
      </c>
      <c r="BL133" s="8" t="s">
        <v>3605</v>
      </c>
      <c r="BM133" s="8" t="s">
        <v>5662</v>
      </c>
      <c r="BN133" s="8" t="s">
        <v>2135</v>
      </c>
      <c r="BO133" s="8" t="s">
        <v>2135</v>
      </c>
      <c r="BP133" s="8" t="s">
        <v>2135</v>
      </c>
      <c r="BQ133" s="8" t="s">
        <v>2135</v>
      </c>
      <c r="BR133" s="8" t="s">
        <v>3355</v>
      </c>
      <c r="BS133" s="8" t="s">
        <v>5663</v>
      </c>
      <c r="BT133" s="8" t="s">
        <v>2600</v>
      </c>
      <c r="BU133" s="8" t="s">
        <v>2147</v>
      </c>
      <c r="BV133" s="8" t="s">
        <v>2217</v>
      </c>
      <c r="BW133" s="8" t="s">
        <v>2234</v>
      </c>
      <c r="BX133" s="8" t="s">
        <v>2953</v>
      </c>
      <c r="BY133" s="8" t="s">
        <v>2954</v>
      </c>
      <c r="BZ133" s="8" t="str">
        <f>HYPERLINK("https%3A%2F%2Fwww.webofscience.com%2Fwos%2Fwoscc%2Ffull-record%2FWOS:000428346100017","View Full Record in Web of Science")</f>
        <v>View Full Record in Web of Science</v>
      </c>
    </row>
    <row r="134" ht="12.75" customHeight="1">
      <c r="A134" s="8" t="s">
        <v>3329</v>
      </c>
      <c r="B134" s="8" t="s">
        <v>5664</v>
      </c>
      <c r="C134" s="8" t="s">
        <v>2135</v>
      </c>
      <c r="D134" s="8" t="s">
        <v>2135</v>
      </c>
      <c r="E134" s="8" t="s">
        <v>2135</v>
      </c>
      <c r="F134" s="8" t="s">
        <v>5665</v>
      </c>
      <c r="G134" s="8" t="s">
        <v>2135</v>
      </c>
      <c r="H134" s="8" t="s">
        <v>2135</v>
      </c>
      <c r="I134" s="8" t="s">
        <v>851</v>
      </c>
      <c r="J134" s="8" t="s">
        <v>4674</v>
      </c>
      <c r="K134" s="8" t="s">
        <v>2135</v>
      </c>
      <c r="L134" s="8" t="s">
        <v>2135</v>
      </c>
      <c r="M134" s="8" t="s">
        <v>3332</v>
      </c>
      <c r="N134" s="8" t="s">
        <v>3333</v>
      </c>
      <c r="O134" s="8" t="s">
        <v>2135</v>
      </c>
      <c r="P134" s="8" t="s">
        <v>2135</v>
      </c>
      <c r="Q134" s="8" t="s">
        <v>2135</v>
      </c>
      <c r="R134" s="8" t="s">
        <v>2135</v>
      </c>
      <c r="S134" s="8" t="s">
        <v>2135</v>
      </c>
      <c r="T134" s="8" t="s">
        <v>5666</v>
      </c>
      <c r="U134" s="8" t="s">
        <v>5667</v>
      </c>
      <c r="V134" s="8" t="s">
        <v>5668</v>
      </c>
      <c r="W134" s="8" t="s">
        <v>5669</v>
      </c>
      <c r="X134" s="8" t="s">
        <v>5670</v>
      </c>
      <c r="Y134" s="8" t="s">
        <v>5671</v>
      </c>
      <c r="Z134" s="8" t="s">
        <v>5672</v>
      </c>
      <c r="AA134" s="8" t="s">
        <v>5673</v>
      </c>
      <c r="AB134" s="8" t="s">
        <v>5674</v>
      </c>
      <c r="AC134" s="8" t="s">
        <v>5675</v>
      </c>
      <c r="AD134" s="8" t="s">
        <v>5676</v>
      </c>
      <c r="AE134" s="8" t="s">
        <v>5677</v>
      </c>
      <c r="AF134" s="8" t="s">
        <v>2135</v>
      </c>
      <c r="AG134" s="8">
        <v>24.0</v>
      </c>
      <c r="AH134" s="8">
        <v>5.0</v>
      </c>
      <c r="AI134" s="8">
        <v>5.0</v>
      </c>
      <c r="AJ134" s="8">
        <v>0.0</v>
      </c>
      <c r="AK134" s="8">
        <v>9.0</v>
      </c>
      <c r="AL134" s="8" t="s">
        <v>5678</v>
      </c>
      <c r="AM134" s="8" t="s">
        <v>3480</v>
      </c>
      <c r="AN134" s="8" t="s">
        <v>5679</v>
      </c>
      <c r="AO134" s="8" t="s">
        <v>4688</v>
      </c>
      <c r="AP134" s="8" t="s">
        <v>4689</v>
      </c>
      <c r="AQ134" s="8" t="s">
        <v>2135</v>
      </c>
      <c r="AR134" s="8" t="s">
        <v>4690</v>
      </c>
      <c r="AS134" s="8" t="s">
        <v>4691</v>
      </c>
      <c r="AT134" s="8" t="s">
        <v>3721</v>
      </c>
      <c r="AU134" s="8">
        <v>2018.0</v>
      </c>
      <c r="AV134" s="8">
        <v>54.0</v>
      </c>
      <c r="AW134" s="8">
        <v>3.0</v>
      </c>
      <c r="AX134" s="8" t="s">
        <v>2135</v>
      </c>
      <c r="AY134" s="8" t="s">
        <v>2135</v>
      </c>
      <c r="AZ134" s="8" t="s">
        <v>2135</v>
      </c>
      <c r="BA134" s="8" t="s">
        <v>2135</v>
      </c>
      <c r="BB134" s="8">
        <v>358.0</v>
      </c>
      <c r="BC134" s="8">
        <v>362.0</v>
      </c>
      <c r="BD134" s="8" t="s">
        <v>2135</v>
      </c>
      <c r="BE134" s="8" t="s">
        <v>5680</v>
      </c>
      <c r="BF134" s="13" t="str">
        <f>HYPERLINK("http://dx.doi.org/10.1134/S1022795418030079","http://dx.doi.org/10.1134/S1022795418030079")</f>
        <v>http://dx.doi.org/10.1134/S1022795418030079</v>
      </c>
      <c r="BG134" s="8" t="s">
        <v>2135</v>
      </c>
      <c r="BH134" s="8" t="s">
        <v>2135</v>
      </c>
      <c r="BI134" s="8">
        <v>5.0</v>
      </c>
      <c r="BJ134" s="8" t="s">
        <v>4693</v>
      </c>
      <c r="BK134" s="8" t="s">
        <v>3352</v>
      </c>
      <c r="BL134" s="8" t="s">
        <v>4693</v>
      </c>
      <c r="BM134" s="8" t="s">
        <v>5681</v>
      </c>
      <c r="BN134" s="8" t="s">
        <v>2135</v>
      </c>
      <c r="BO134" s="8" t="s">
        <v>2135</v>
      </c>
      <c r="BP134" s="8" t="s">
        <v>2135</v>
      </c>
      <c r="BQ134" s="8" t="s">
        <v>2135</v>
      </c>
      <c r="BR134" s="8" t="s">
        <v>3355</v>
      </c>
      <c r="BS134" s="8" t="s">
        <v>5682</v>
      </c>
      <c r="BT134" s="8" t="s">
        <v>2487</v>
      </c>
      <c r="BU134" s="8" t="s">
        <v>2142</v>
      </c>
      <c r="BW134" s="8" t="s">
        <v>2284</v>
      </c>
      <c r="BX134" s="8" t="s">
        <v>2953</v>
      </c>
      <c r="BY134" s="8" t="s">
        <v>2954</v>
      </c>
      <c r="BZ134" s="8" t="str">
        <f>HYPERLINK("https%3A%2F%2Fwww.webofscience.com%2Fwos%2Fwoscc%2Ffull-record%2FWOS:000428626500011","View Full Record in Web of Science")</f>
        <v>View Full Record in Web of Science</v>
      </c>
    </row>
    <row r="135" ht="12.75" customHeight="1">
      <c r="A135" s="8" t="s">
        <v>3329</v>
      </c>
      <c r="B135" s="8" t="s">
        <v>5683</v>
      </c>
      <c r="C135" s="8" t="s">
        <v>2135</v>
      </c>
      <c r="D135" s="8" t="s">
        <v>2135</v>
      </c>
      <c r="E135" s="8" t="s">
        <v>2135</v>
      </c>
      <c r="F135" s="8" t="s">
        <v>5684</v>
      </c>
      <c r="G135" s="8" t="s">
        <v>2135</v>
      </c>
      <c r="H135" s="8" t="s">
        <v>2135</v>
      </c>
      <c r="I135" s="8" t="s">
        <v>833</v>
      </c>
      <c r="J135" s="8" t="s">
        <v>4513</v>
      </c>
      <c r="K135" s="8" t="s">
        <v>2135</v>
      </c>
      <c r="L135" s="8" t="s">
        <v>2135</v>
      </c>
      <c r="M135" s="8" t="s">
        <v>3332</v>
      </c>
      <c r="N135" s="8" t="s">
        <v>3333</v>
      </c>
      <c r="O135" s="8" t="s">
        <v>2135</v>
      </c>
      <c r="P135" s="8" t="s">
        <v>2135</v>
      </c>
      <c r="Q135" s="8" t="s">
        <v>2135</v>
      </c>
      <c r="R135" s="8" t="s">
        <v>2135</v>
      </c>
      <c r="S135" s="8" t="s">
        <v>2135</v>
      </c>
      <c r="T135" s="8" t="s">
        <v>5685</v>
      </c>
      <c r="U135" s="8" t="s">
        <v>5686</v>
      </c>
      <c r="V135" s="8" t="s">
        <v>5687</v>
      </c>
      <c r="W135" s="8" t="s">
        <v>5688</v>
      </c>
      <c r="X135" s="8" t="s">
        <v>5689</v>
      </c>
      <c r="Y135" s="8" t="s">
        <v>5690</v>
      </c>
      <c r="Z135" s="8" t="s">
        <v>5691</v>
      </c>
      <c r="AA135" s="8" t="s">
        <v>2135</v>
      </c>
      <c r="AB135" s="8" t="s">
        <v>2135</v>
      </c>
      <c r="AC135" s="8" t="s">
        <v>5692</v>
      </c>
      <c r="AD135" s="8" t="s">
        <v>5692</v>
      </c>
      <c r="AE135" s="8" t="s">
        <v>5693</v>
      </c>
      <c r="AF135" s="8" t="s">
        <v>2135</v>
      </c>
      <c r="AG135" s="8">
        <v>39.0</v>
      </c>
      <c r="AH135" s="8">
        <v>4.0</v>
      </c>
      <c r="AI135" s="8">
        <v>4.0</v>
      </c>
      <c r="AJ135" s="8">
        <v>0.0</v>
      </c>
      <c r="AK135" s="8">
        <v>20.0</v>
      </c>
      <c r="AL135" s="8" t="s">
        <v>3366</v>
      </c>
      <c r="AM135" s="8" t="s">
        <v>3367</v>
      </c>
      <c r="AN135" s="8" t="s">
        <v>3368</v>
      </c>
      <c r="AO135" s="8" t="s">
        <v>4522</v>
      </c>
      <c r="AP135" s="8" t="s">
        <v>4523</v>
      </c>
      <c r="AQ135" s="8" t="s">
        <v>2135</v>
      </c>
      <c r="AR135" s="8" t="s">
        <v>4524</v>
      </c>
      <c r="AS135" s="8" t="s">
        <v>4525</v>
      </c>
      <c r="AT135" s="8" t="s">
        <v>5694</v>
      </c>
      <c r="AU135" s="8">
        <v>2017.0</v>
      </c>
      <c r="AV135" s="8">
        <v>402.0</v>
      </c>
      <c r="AW135" s="8" t="s">
        <v>2135</v>
      </c>
      <c r="AX135" s="8" t="s">
        <v>2135</v>
      </c>
      <c r="AY135" s="8" t="s">
        <v>2135</v>
      </c>
      <c r="AZ135" s="8" t="s">
        <v>2135</v>
      </c>
      <c r="BA135" s="8" t="s">
        <v>2135</v>
      </c>
      <c r="BB135" s="8">
        <v>194.0</v>
      </c>
      <c r="BC135" s="8">
        <v>203.0</v>
      </c>
      <c r="BD135" s="8" t="s">
        <v>2135</v>
      </c>
      <c r="BE135" s="8" t="s">
        <v>5695</v>
      </c>
      <c r="BF135" s="13" t="str">
        <f>HYPERLINK("http://dx.doi.org/10.1016/j.foreco.2017.07.045","http://dx.doi.org/10.1016/j.foreco.2017.07.045")</f>
        <v>http://dx.doi.org/10.1016/j.foreco.2017.07.045</v>
      </c>
      <c r="BG135" s="8" t="s">
        <v>2135</v>
      </c>
      <c r="BH135" s="8" t="s">
        <v>2135</v>
      </c>
      <c r="BI135" s="8">
        <v>10.0</v>
      </c>
      <c r="BJ135" s="8" t="s">
        <v>3423</v>
      </c>
      <c r="BK135" s="8" t="s">
        <v>3352</v>
      </c>
      <c r="BL135" s="8" t="s">
        <v>3423</v>
      </c>
      <c r="BM135" s="8" t="s">
        <v>5696</v>
      </c>
      <c r="BN135" s="8" t="s">
        <v>2135</v>
      </c>
      <c r="BO135" s="8" t="s">
        <v>2135</v>
      </c>
      <c r="BP135" s="8" t="s">
        <v>2135</v>
      </c>
      <c r="BQ135" s="8" t="s">
        <v>2135</v>
      </c>
      <c r="BR135" s="8" t="s">
        <v>3355</v>
      </c>
      <c r="BS135" s="8" t="s">
        <v>5697</v>
      </c>
      <c r="BT135" s="8" t="s">
        <v>2216</v>
      </c>
      <c r="BU135" s="8" t="s">
        <v>2147</v>
      </c>
      <c r="BV135" s="8" t="s">
        <v>2217</v>
      </c>
      <c r="BW135" s="8" t="s">
        <v>2221</v>
      </c>
      <c r="BX135" s="8" t="s">
        <v>2971</v>
      </c>
      <c r="BY135" s="8" t="s">
        <v>2954</v>
      </c>
      <c r="BZ135" s="8" t="str">
        <f>HYPERLINK("https%3A%2F%2Fwww.webofscience.com%2Fwos%2Fwoscc%2Ffull-record%2FWOS:000411534000019","View Full Record in Web of Science")</f>
        <v>View Full Record in Web of Science</v>
      </c>
    </row>
    <row r="136" ht="12.75" customHeight="1">
      <c r="A136" s="8" t="s">
        <v>3329</v>
      </c>
      <c r="B136" s="8" t="s">
        <v>5698</v>
      </c>
      <c r="C136" s="8" t="s">
        <v>2135</v>
      </c>
      <c r="D136" s="8" t="s">
        <v>2135</v>
      </c>
      <c r="E136" s="8" t="s">
        <v>2135</v>
      </c>
      <c r="F136" s="8" t="s">
        <v>5699</v>
      </c>
      <c r="G136" s="8" t="s">
        <v>2135</v>
      </c>
      <c r="H136" s="8" t="s">
        <v>2135</v>
      </c>
      <c r="I136" s="8" t="s">
        <v>841</v>
      </c>
      <c r="J136" s="8" t="s">
        <v>4715</v>
      </c>
      <c r="K136" s="8" t="s">
        <v>2135</v>
      </c>
      <c r="L136" s="8" t="s">
        <v>2135</v>
      </c>
      <c r="M136" s="8" t="s">
        <v>3332</v>
      </c>
      <c r="N136" s="8" t="s">
        <v>3333</v>
      </c>
      <c r="O136" s="8" t="s">
        <v>2135</v>
      </c>
      <c r="P136" s="8" t="s">
        <v>2135</v>
      </c>
      <c r="Q136" s="8" t="s">
        <v>2135</v>
      </c>
      <c r="R136" s="8" t="s">
        <v>2135</v>
      </c>
      <c r="S136" s="8" t="s">
        <v>2135</v>
      </c>
      <c r="T136" s="8" t="s">
        <v>5700</v>
      </c>
      <c r="U136" s="8" t="s">
        <v>5701</v>
      </c>
      <c r="V136" s="8" t="s">
        <v>5702</v>
      </c>
      <c r="W136" s="8" t="s">
        <v>5703</v>
      </c>
      <c r="X136" s="8" t="s">
        <v>5704</v>
      </c>
      <c r="Y136" s="8" t="s">
        <v>5705</v>
      </c>
      <c r="Z136" s="8" t="s">
        <v>5706</v>
      </c>
      <c r="AA136" s="8" t="s">
        <v>2135</v>
      </c>
      <c r="AB136" s="8" t="s">
        <v>2135</v>
      </c>
      <c r="AC136" s="8" t="s">
        <v>5707</v>
      </c>
      <c r="AD136" s="8" t="s">
        <v>5708</v>
      </c>
      <c r="AE136" s="8" t="s">
        <v>5709</v>
      </c>
      <c r="AF136" s="8" t="s">
        <v>2135</v>
      </c>
      <c r="AG136" s="8">
        <v>20.0</v>
      </c>
      <c r="AH136" s="8">
        <v>7.0</v>
      </c>
      <c r="AI136" s="8">
        <v>8.0</v>
      </c>
      <c r="AJ136" s="8">
        <v>0.0</v>
      </c>
      <c r="AK136" s="8">
        <v>16.0</v>
      </c>
      <c r="AL136" s="8" t="s">
        <v>4723</v>
      </c>
      <c r="AM136" s="8" t="s">
        <v>4724</v>
      </c>
      <c r="AN136" s="8" t="s">
        <v>4725</v>
      </c>
      <c r="AO136" s="8" t="s">
        <v>4726</v>
      </c>
      <c r="AP136" s="8" t="s">
        <v>2135</v>
      </c>
      <c r="AQ136" s="8" t="s">
        <v>2135</v>
      </c>
      <c r="AR136" s="8" t="s">
        <v>4727</v>
      </c>
      <c r="AS136" s="8" t="s">
        <v>4728</v>
      </c>
      <c r="AT136" s="8" t="s">
        <v>3580</v>
      </c>
      <c r="AU136" s="8">
        <v>2017.0</v>
      </c>
      <c r="AV136" s="8">
        <v>49.0</v>
      </c>
      <c r="AW136" s="8">
        <v>5.0</v>
      </c>
      <c r="AX136" s="8" t="s">
        <v>2135</v>
      </c>
      <c r="AY136" s="8" t="s">
        <v>2135</v>
      </c>
      <c r="AZ136" s="8" t="s">
        <v>2135</v>
      </c>
      <c r="BA136" s="8" t="s">
        <v>2135</v>
      </c>
      <c r="BB136" s="8">
        <v>1909.0</v>
      </c>
      <c r="BC136" s="8">
        <v>1912.0</v>
      </c>
      <c r="BD136" s="8" t="s">
        <v>2135</v>
      </c>
      <c r="BE136" s="8" t="s">
        <v>5710</v>
      </c>
      <c r="BF136" s="13" t="str">
        <f>HYPERLINK("http://dx.doi.org/10.17582/journal.pjz/2017.49.5.sc1","http://dx.doi.org/10.17582/journal.pjz/2017.49.5.sc1")</f>
        <v>http://dx.doi.org/10.17582/journal.pjz/2017.49.5.sc1</v>
      </c>
      <c r="BG136" s="8" t="s">
        <v>2135</v>
      </c>
      <c r="BH136" s="8" t="s">
        <v>2135</v>
      </c>
      <c r="BI136" s="8">
        <v>4.0</v>
      </c>
      <c r="BJ136" s="8" t="s">
        <v>3397</v>
      </c>
      <c r="BK136" s="8" t="s">
        <v>3352</v>
      </c>
      <c r="BL136" s="8" t="s">
        <v>3397</v>
      </c>
      <c r="BM136" s="8" t="s">
        <v>5711</v>
      </c>
      <c r="BN136" s="8" t="s">
        <v>2135</v>
      </c>
      <c r="BO136" s="8" t="s">
        <v>4332</v>
      </c>
      <c r="BP136" s="8" t="s">
        <v>2135</v>
      </c>
      <c r="BQ136" s="8" t="s">
        <v>2135</v>
      </c>
      <c r="BR136" s="8" t="s">
        <v>3355</v>
      </c>
      <c r="BS136" s="8" t="s">
        <v>5712</v>
      </c>
      <c r="BT136" s="8" t="s">
        <v>2282</v>
      </c>
      <c r="BU136" s="8" t="s">
        <v>2283</v>
      </c>
      <c r="BW136" s="8" t="s">
        <v>2284</v>
      </c>
      <c r="BX136" s="8" t="s">
        <v>2953</v>
      </c>
      <c r="BY136" s="8" t="s">
        <v>2954</v>
      </c>
      <c r="BZ136" s="8" t="str">
        <f>HYPERLINK("https%3A%2F%2Fwww.webofscience.com%2Fwos%2Fwoscc%2Ffull-record%2FWOS:000416295400044","View Full Record in Web of Science")</f>
        <v>View Full Record in Web of Science</v>
      </c>
    </row>
    <row r="137" ht="12.75" customHeight="1">
      <c r="A137" s="8" t="s">
        <v>3329</v>
      </c>
      <c r="B137" s="8" t="s">
        <v>5713</v>
      </c>
      <c r="C137" s="8" t="s">
        <v>2135</v>
      </c>
      <c r="D137" s="8" t="s">
        <v>2135</v>
      </c>
      <c r="E137" s="8" t="s">
        <v>2135</v>
      </c>
      <c r="F137" s="8" t="s">
        <v>5714</v>
      </c>
      <c r="G137" s="8" t="s">
        <v>2135</v>
      </c>
      <c r="H137" s="8" t="s">
        <v>2135</v>
      </c>
      <c r="I137" s="8" t="s">
        <v>837</v>
      </c>
      <c r="J137" s="8" t="s">
        <v>3704</v>
      </c>
      <c r="K137" s="8" t="s">
        <v>2135</v>
      </c>
      <c r="L137" s="8" t="s">
        <v>2135</v>
      </c>
      <c r="M137" s="8" t="s">
        <v>3332</v>
      </c>
      <c r="N137" s="8" t="s">
        <v>3333</v>
      </c>
      <c r="O137" s="8" t="s">
        <v>2135</v>
      </c>
      <c r="P137" s="8" t="s">
        <v>2135</v>
      </c>
      <c r="Q137" s="8" t="s">
        <v>2135</v>
      </c>
      <c r="R137" s="8" t="s">
        <v>2135</v>
      </c>
      <c r="S137" s="8" t="s">
        <v>2135</v>
      </c>
      <c r="T137" s="8" t="s">
        <v>5715</v>
      </c>
      <c r="U137" s="8" t="s">
        <v>5716</v>
      </c>
      <c r="V137" s="8" t="s">
        <v>5717</v>
      </c>
      <c r="W137" s="8" t="s">
        <v>5718</v>
      </c>
      <c r="X137" s="8" t="s">
        <v>5719</v>
      </c>
      <c r="Y137" s="8" t="s">
        <v>5720</v>
      </c>
      <c r="Z137" s="8" t="s">
        <v>4748</v>
      </c>
      <c r="AA137" s="8" t="s">
        <v>5721</v>
      </c>
      <c r="AB137" s="8" t="s">
        <v>5722</v>
      </c>
      <c r="AC137" s="8" t="s">
        <v>5723</v>
      </c>
      <c r="AD137" s="8" t="s">
        <v>5724</v>
      </c>
      <c r="AE137" s="8" t="s">
        <v>5725</v>
      </c>
      <c r="AF137" s="8" t="s">
        <v>2135</v>
      </c>
      <c r="AG137" s="8">
        <v>52.0</v>
      </c>
      <c r="AH137" s="8">
        <v>7.0</v>
      </c>
      <c r="AI137" s="8">
        <v>9.0</v>
      </c>
      <c r="AJ137" s="8">
        <v>0.0</v>
      </c>
      <c r="AK137" s="8">
        <v>59.0</v>
      </c>
      <c r="AL137" s="8" t="s">
        <v>3505</v>
      </c>
      <c r="AM137" s="8" t="s">
        <v>3506</v>
      </c>
      <c r="AN137" s="8" t="s">
        <v>3507</v>
      </c>
      <c r="AO137" s="8" t="s">
        <v>3717</v>
      </c>
      <c r="AP137" s="8" t="s">
        <v>3718</v>
      </c>
      <c r="AQ137" s="8" t="s">
        <v>2135</v>
      </c>
      <c r="AR137" s="8" t="s">
        <v>3719</v>
      </c>
      <c r="AS137" s="8" t="s">
        <v>3720</v>
      </c>
      <c r="AT137" s="8" t="s">
        <v>3462</v>
      </c>
      <c r="AU137" s="8">
        <v>2017.0</v>
      </c>
      <c r="AV137" s="8">
        <v>86.0</v>
      </c>
      <c r="AW137" s="8" t="s">
        <v>2135</v>
      </c>
      <c r="AX137" s="8" t="s">
        <v>2135</v>
      </c>
      <c r="AY137" s="8" t="s">
        <v>2135</v>
      </c>
      <c r="AZ137" s="8" t="s">
        <v>2135</v>
      </c>
      <c r="BA137" s="8" t="s">
        <v>2135</v>
      </c>
      <c r="BB137" s="8">
        <v>56.0</v>
      </c>
      <c r="BC137" s="8">
        <v>65.0</v>
      </c>
      <c r="BD137" s="8" t="s">
        <v>2135</v>
      </c>
      <c r="BE137" s="8" t="s">
        <v>5726</v>
      </c>
      <c r="BF137" s="13" t="str">
        <f>HYPERLINK("http://dx.doi.org/10.1016/j.mambio.2017.04.002","http://dx.doi.org/10.1016/j.mambio.2017.04.002")</f>
        <v>http://dx.doi.org/10.1016/j.mambio.2017.04.002</v>
      </c>
      <c r="BG137" s="8" t="s">
        <v>2135</v>
      </c>
      <c r="BH137" s="8" t="s">
        <v>2135</v>
      </c>
      <c r="BI137" s="8">
        <v>10.0</v>
      </c>
      <c r="BJ137" s="8" t="s">
        <v>3397</v>
      </c>
      <c r="BK137" s="8" t="s">
        <v>3352</v>
      </c>
      <c r="BL137" s="8" t="s">
        <v>3397</v>
      </c>
      <c r="BM137" s="8" t="s">
        <v>4842</v>
      </c>
      <c r="BN137" s="8" t="s">
        <v>2135</v>
      </c>
      <c r="BO137" s="8" t="s">
        <v>2135</v>
      </c>
      <c r="BP137" s="8" t="s">
        <v>2135</v>
      </c>
      <c r="BQ137" s="8" t="s">
        <v>2135</v>
      </c>
      <c r="BR137" s="8" t="s">
        <v>3355</v>
      </c>
      <c r="BS137" s="8" t="s">
        <v>5727</v>
      </c>
      <c r="BT137" s="8" t="s">
        <v>2420</v>
      </c>
      <c r="BU137" s="8" t="s">
        <v>2283</v>
      </c>
      <c r="BW137" s="8" t="s">
        <v>2401</v>
      </c>
      <c r="BX137" s="8" t="s">
        <v>3131</v>
      </c>
      <c r="BY137" s="8" t="s">
        <v>2954</v>
      </c>
      <c r="BZ137" s="8" t="str">
        <f>HYPERLINK("https%3A%2F%2Fwww.webofscience.com%2Fwos%2Fwoscc%2Ffull-record%2FWOS:000413132400009","View Full Record in Web of Science")</f>
        <v>View Full Record in Web of Science</v>
      </c>
    </row>
    <row r="138" ht="12.75" customHeight="1">
      <c r="A138" s="8" t="s">
        <v>3329</v>
      </c>
      <c r="B138" s="8" t="s">
        <v>5728</v>
      </c>
      <c r="C138" s="8" t="s">
        <v>2135</v>
      </c>
      <c r="D138" s="8" t="s">
        <v>2135</v>
      </c>
      <c r="E138" s="8" t="s">
        <v>2135</v>
      </c>
      <c r="F138" s="8" t="s">
        <v>5729</v>
      </c>
      <c r="G138" s="8" t="s">
        <v>2135</v>
      </c>
      <c r="H138" s="8" t="s">
        <v>2135</v>
      </c>
      <c r="I138" s="8" t="s">
        <v>835</v>
      </c>
      <c r="J138" s="8" t="s">
        <v>3380</v>
      </c>
      <c r="K138" s="8" t="s">
        <v>2135</v>
      </c>
      <c r="L138" s="8" t="s">
        <v>2135</v>
      </c>
      <c r="M138" s="8" t="s">
        <v>3332</v>
      </c>
      <c r="N138" s="8" t="s">
        <v>3333</v>
      </c>
      <c r="O138" s="8" t="s">
        <v>2135</v>
      </c>
      <c r="P138" s="8" t="s">
        <v>2135</v>
      </c>
      <c r="Q138" s="8" t="s">
        <v>2135</v>
      </c>
      <c r="R138" s="8" t="s">
        <v>2135</v>
      </c>
      <c r="S138" s="8" t="s">
        <v>2135</v>
      </c>
      <c r="T138" s="8" t="s">
        <v>5730</v>
      </c>
      <c r="U138" s="8" t="s">
        <v>5731</v>
      </c>
      <c r="V138" s="8" t="s">
        <v>5732</v>
      </c>
      <c r="W138" s="8" t="s">
        <v>5733</v>
      </c>
      <c r="X138" s="8" t="s">
        <v>5734</v>
      </c>
      <c r="Y138" s="8" t="s">
        <v>5735</v>
      </c>
      <c r="Z138" s="8" t="s">
        <v>5736</v>
      </c>
      <c r="AA138" s="8" t="s">
        <v>5315</v>
      </c>
      <c r="AB138" s="8" t="s">
        <v>2135</v>
      </c>
      <c r="AC138" s="8" t="s">
        <v>5737</v>
      </c>
      <c r="AD138" s="8" t="s">
        <v>5738</v>
      </c>
      <c r="AE138" s="8" t="s">
        <v>5739</v>
      </c>
      <c r="AF138" s="8" t="s">
        <v>2135</v>
      </c>
      <c r="AG138" s="8">
        <v>133.0</v>
      </c>
      <c r="AH138" s="8">
        <v>21.0</v>
      </c>
      <c r="AI138" s="8">
        <v>26.0</v>
      </c>
      <c r="AJ138" s="8">
        <v>1.0</v>
      </c>
      <c r="AK138" s="8">
        <v>37.0</v>
      </c>
      <c r="AL138" s="8" t="s">
        <v>3921</v>
      </c>
      <c r="AM138" s="8" t="s">
        <v>3922</v>
      </c>
      <c r="AN138" s="8" t="s">
        <v>3923</v>
      </c>
      <c r="AO138" s="8" t="s">
        <v>3392</v>
      </c>
      <c r="AP138" s="8" t="s">
        <v>4022</v>
      </c>
      <c r="AQ138" s="8" t="s">
        <v>2135</v>
      </c>
      <c r="AR138" s="8" t="s">
        <v>3393</v>
      </c>
      <c r="AS138" s="8" t="s">
        <v>3394</v>
      </c>
      <c r="AT138" s="8" t="s">
        <v>5740</v>
      </c>
      <c r="AU138" s="8">
        <v>2017.0</v>
      </c>
      <c r="AV138" s="8">
        <v>98.0</v>
      </c>
      <c r="AW138" s="8">
        <v>3.0</v>
      </c>
      <c r="AX138" s="8" t="s">
        <v>2135</v>
      </c>
      <c r="AY138" s="8" t="s">
        <v>2135</v>
      </c>
      <c r="AZ138" s="8" t="s">
        <v>2135</v>
      </c>
      <c r="BA138" s="8" t="s">
        <v>2135</v>
      </c>
      <c r="BB138" s="8">
        <v>715.0</v>
      </c>
      <c r="BC138" s="8">
        <v>730.0</v>
      </c>
      <c r="BD138" s="8" t="s">
        <v>2135</v>
      </c>
      <c r="BE138" s="8" t="s">
        <v>5741</v>
      </c>
      <c r="BF138" s="13" t="str">
        <f>HYPERLINK("http://dx.doi.org/10.1093/jmammal/gyx047","http://dx.doi.org/10.1093/jmammal/gyx047")</f>
        <v>http://dx.doi.org/10.1093/jmammal/gyx047</v>
      </c>
      <c r="BG138" s="8" t="s">
        <v>2135</v>
      </c>
      <c r="BH138" s="8" t="s">
        <v>2135</v>
      </c>
      <c r="BI138" s="8">
        <v>16.0</v>
      </c>
      <c r="BJ138" s="8" t="s">
        <v>3397</v>
      </c>
      <c r="BK138" s="8" t="s">
        <v>3352</v>
      </c>
      <c r="BL138" s="8" t="s">
        <v>3397</v>
      </c>
      <c r="BM138" s="8" t="s">
        <v>5742</v>
      </c>
      <c r="BN138" s="8" t="s">
        <v>2135</v>
      </c>
      <c r="BO138" s="8" t="s">
        <v>3445</v>
      </c>
      <c r="BP138" s="8" t="s">
        <v>2135</v>
      </c>
      <c r="BQ138" s="8" t="s">
        <v>2135</v>
      </c>
      <c r="BR138" s="8" t="s">
        <v>3355</v>
      </c>
      <c r="BS138" s="8" t="s">
        <v>5743</v>
      </c>
      <c r="BT138" s="8" t="s">
        <v>2600</v>
      </c>
      <c r="BU138" s="8" t="s">
        <v>2147</v>
      </c>
      <c r="BV138" s="8" t="s">
        <v>2217</v>
      </c>
      <c r="BW138" s="8" t="s">
        <v>2221</v>
      </c>
      <c r="BX138" s="8" t="s">
        <v>2971</v>
      </c>
      <c r="BY138" s="8" t="s">
        <v>2954</v>
      </c>
      <c r="BZ138" s="8" t="str">
        <f>HYPERLINK("https%3A%2F%2Fwww.webofscience.com%2Fwos%2Fwoscc%2Ffull-record%2FWOS:000403818600014","View Full Record in Web of Science")</f>
        <v>View Full Record in Web of Science</v>
      </c>
    </row>
    <row r="139" ht="12.75" customHeight="1">
      <c r="A139" s="8" t="s">
        <v>3329</v>
      </c>
      <c r="B139" s="8" t="s">
        <v>5744</v>
      </c>
      <c r="C139" s="8" t="s">
        <v>2135</v>
      </c>
      <c r="D139" s="8" t="s">
        <v>2135</v>
      </c>
      <c r="E139" s="8" t="s">
        <v>2135</v>
      </c>
      <c r="F139" s="8" t="s">
        <v>5745</v>
      </c>
      <c r="G139" s="8" t="s">
        <v>2135</v>
      </c>
      <c r="H139" s="8" t="s">
        <v>2135</v>
      </c>
      <c r="I139" s="8" t="s">
        <v>847</v>
      </c>
      <c r="J139" s="8" t="s">
        <v>5746</v>
      </c>
      <c r="K139" s="8" t="s">
        <v>2135</v>
      </c>
      <c r="L139" s="8" t="s">
        <v>2135</v>
      </c>
      <c r="M139" s="8" t="s">
        <v>3332</v>
      </c>
      <c r="N139" s="8" t="s">
        <v>3492</v>
      </c>
      <c r="O139" s="8" t="s">
        <v>2135</v>
      </c>
      <c r="P139" s="8" t="s">
        <v>2135</v>
      </c>
      <c r="Q139" s="8" t="s">
        <v>2135</v>
      </c>
      <c r="R139" s="8" t="s">
        <v>2135</v>
      </c>
      <c r="S139" s="8" t="s">
        <v>2135</v>
      </c>
      <c r="T139" s="8" t="s">
        <v>5747</v>
      </c>
      <c r="U139" s="8" t="s">
        <v>5748</v>
      </c>
      <c r="V139" s="8" t="s">
        <v>5749</v>
      </c>
      <c r="W139" s="8" t="s">
        <v>5750</v>
      </c>
      <c r="X139" s="8" t="s">
        <v>5751</v>
      </c>
      <c r="Y139" s="8" t="s">
        <v>5752</v>
      </c>
      <c r="Z139" s="8" t="s">
        <v>5753</v>
      </c>
      <c r="AA139" s="8" t="s">
        <v>5754</v>
      </c>
      <c r="AB139" s="8" t="s">
        <v>5755</v>
      </c>
      <c r="AC139" s="8" t="s">
        <v>5756</v>
      </c>
      <c r="AD139" s="8" t="s">
        <v>5757</v>
      </c>
      <c r="AE139" s="8" t="s">
        <v>5758</v>
      </c>
      <c r="AF139" s="8" t="s">
        <v>2135</v>
      </c>
      <c r="AG139" s="8">
        <v>116.0</v>
      </c>
      <c r="AH139" s="8">
        <v>100.0</v>
      </c>
      <c r="AI139" s="8">
        <v>111.0</v>
      </c>
      <c r="AJ139" s="8">
        <v>1.0</v>
      </c>
      <c r="AK139" s="8">
        <v>86.0</v>
      </c>
      <c r="AL139" s="8" t="s">
        <v>3479</v>
      </c>
      <c r="AM139" s="8" t="s">
        <v>4500</v>
      </c>
      <c r="AN139" s="8" t="s">
        <v>4501</v>
      </c>
      <c r="AO139" s="8" t="s">
        <v>5759</v>
      </c>
      <c r="AP139" s="8" t="s">
        <v>5760</v>
      </c>
      <c r="AQ139" s="8" t="s">
        <v>2135</v>
      </c>
      <c r="AR139" s="8" t="s">
        <v>5746</v>
      </c>
      <c r="AS139" s="8" t="s">
        <v>5761</v>
      </c>
      <c r="AT139" s="8" t="s">
        <v>3556</v>
      </c>
      <c r="AU139" s="8">
        <v>2017.0</v>
      </c>
      <c r="AV139" s="8">
        <v>46.0</v>
      </c>
      <c r="AW139" s="8">
        <v>3.0</v>
      </c>
      <c r="AX139" s="8" t="s">
        <v>2135</v>
      </c>
      <c r="AY139" s="8" t="s">
        <v>2135</v>
      </c>
      <c r="AZ139" s="8" t="s">
        <v>2135</v>
      </c>
      <c r="BA139" s="8" t="s">
        <v>2135</v>
      </c>
      <c r="BB139" s="8">
        <v>251.0</v>
      </c>
      <c r="BC139" s="8">
        <v>264.0</v>
      </c>
      <c r="BD139" s="8" t="s">
        <v>2135</v>
      </c>
      <c r="BE139" s="8" t="s">
        <v>5762</v>
      </c>
      <c r="BF139" s="13" t="str">
        <f>HYPERLINK("http://dx.doi.org/10.1007/s13280-016-0852-z","http://dx.doi.org/10.1007/s13280-016-0852-z")</f>
        <v>http://dx.doi.org/10.1007/s13280-016-0852-z</v>
      </c>
      <c r="BG139" s="8" t="s">
        <v>2135</v>
      </c>
      <c r="BH139" s="8" t="s">
        <v>2135</v>
      </c>
      <c r="BI139" s="8">
        <v>14.0</v>
      </c>
      <c r="BJ139" s="8" t="s">
        <v>5763</v>
      </c>
      <c r="BK139" s="8" t="s">
        <v>4060</v>
      </c>
      <c r="BL139" s="8" t="s">
        <v>5764</v>
      </c>
      <c r="BM139" s="8" t="s">
        <v>5765</v>
      </c>
      <c r="BN139" s="8">
        <v>2.7854069E7</v>
      </c>
      <c r="BO139" s="8" t="s">
        <v>3583</v>
      </c>
      <c r="BP139" s="8" t="s">
        <v>2135</v>
      </c>
      <c r="BQ139" s="8" t="s">
        <v>2135</v>
      </c>
      <c r="BR139" s="8" t="s">
        <v>3355</v>
      </c>
      <c r="BS139" s="8" t="s">
        <v>5766</v>
      </c>
      <c r="BT139" s="8" t="s">
        <v>2538</v>
      </c>
      <c r="BU139" s="8" t="s">
        <v>2142</v>
      </c>
      <c r="BW139" s="8" t="s">
        <v>2218</v>
      </c>
      <c r="BX139" s="8" t="s">
        <v>2953</v>
      </c>
      <c r="BY139" s="8" t="s">
        <v>2954</v>
      </c>
      <c r="BZ139" s="8" t="str">
        <f>HYPERLINK("https%3A%2F%2Fwww.webofscience.com%2Fwos%2Fwoscc%2Ffull-record%2FWOS:000397818800001","View Full Record in Web of Science")</f>
        <v>View Full Record in Web of Science</v>
      </c>
    </row>
    <row r="140" ht="12.75" customHeight="1">
      <c r="A140" s="8" t="s">
        <v>3329</v>
      </c>
      <c r="B140" s="8" t="s">
        <v>5767</v>
      </c>
      <c r="C140" s="8" t="s">
        <v>2135</v>
      </c>
      <c r="D140" s="8" t="s">
        <v>2135</v>
      </c>
      <c r="E140" s="8" t="s">
        <v>2135</v>
      </c>
      <c r="F140" s="8" t="s">
        <v>5768</v>
      </c>
      <c r="G140" s="8" t="s">
        <v>2135</v>
      </c>
      <c r="H140" s="8" t="s">
        <v>2135</v>
      </c>
      <c r="I140" s="8" t="s">
        <v>839</v>
      </c>
      <c r="J140" s="8" t="s">
        <v>5769</v>
      </c>
      <c r="K140" s="8" t="s">
        <v>2135</v>
      </c>
      <c r="L140" s="8" t="s">
        <v>2135</v>
      </c>
      <c r="M140" s="8" t="s">
        <v>3332</v>
      </c>
      <c r="N140" s="8" t="s">
        <v>3333</v>
      </c>
      <c r="O140" s="8" t="s">
        <v>2135</v>
      </c>
      <c r="P140" s="8" t="s">
        <v>2135</v>
      </c>
      <c r="Q140" s="8" t="s">
        <v>2135</v>
      </c>
      <c r="R140" s="8" t="s">
        <v>2135</v>
      </c>
      <c r="S140" s="8" t="s">
        <v>2135</v>
      </c>
      <c r="T140" s="8" t="s">
        <v>5770</v>
      </c>
      <c r="U140" s="8" t="s">
        <v>5771</v>
      </c>
      <c r="V140" s="8" t="s">
        <v>5772</v>
      </c>
      <c r="W140" s="8" t="s">
        <v>5773</v>
      </c>
      <c r="X140" s="8" t="s">
        <v>5774</v>
      </c>
      <c r="Y140" s="8" t="s">
        <v>5775</v>
      </c>
      <c r="Z140" s="8" t="s">
        <v>5776</v>
      </c>
      <c r="AA140" s="8" t="s">
        <v>2135</v>
      </c>
      <c r="AB140" s="8" t="s">
        <v>5777</v>
      </c>
      <c r="AC140" s="8" t="s">
        <v>5778</v>
      </c>
      <c r="AD140" s="8" t="s">
        <v>5779</v>
      </c>
      <c r="AE140" s="8" t="s">
        <v>5780</v>
      </c>
      <c r="AF140" s="8" t="s">
        <v>2135</v>
      </c>
      <c r="AG140" s="8">
        <v>7.0</v>
      </c>
      <c r="AH140" s="8">
        <v>1.0</v>
      </c>
      <c r="AI140" s="8">
        <v>2.0</v>
      </c>
      <c r="AJ140" s="8">
        <v>1.0</v>
      </c>
      <c r="AK140" s="8">
        <v>11.0</v>
      </c>
      <c r="AL140" s="8" t="s">
        <v>5073</v>
      </c>
      <c r="AM140" s="8" t="s">
        <v>5074</v>
      </c>
      <c r="AN140" s="8" t="s">
        <v>5488</v>
      </c>
      <c r="AO140" s="8" t="s">
        <v>5781</v>
      </c>
      <c r="AP140" s="8" t="s">
        <v>5782</v>
      </c>
      <c r="AQ140" s="8" t="s">
        <v>2135</v>
      </c>
      <c r="AR140" s="8" t="s">
        <v>5783</v>
      </c>
      <c r="AS140" s="8" t="s">
        <v>5784</v>
      </c>
      <c r="AT140" s="8" t="s">
        <v>3721</v>
      </c>
      <c r="AU140" s="8">
        <v>2017.0</v>
      </c>
      <c r="AV140" s="8">
        <v>28.0</v>
      </c>
      <c r="AW140" s="8" t="s">
        <v>4482</v>
      </c>
      <c r="AX140" s="8" t="s">
        <v>2135</v>
      </c>
      <c r="AY140" s="8" t="s">
        <v>2135</v>
      </c>
      <c r="AZ140" s="8" t="s">
        <v>2135</v>
      </c>
      <c r="BA140" s="8" t="s">
        <v>2135</v>
      </c>
      <c r="BB140" s="8">
        <v>263.0</v>
      </c>
      <c r="BC140" s="8">
        <v>264.0</v>
      </c>
      <c r="BD140" s="8" t="s">
        <v>2135</v>
      </c>
      <c r="BE140" s="8" t="s">
        <v>5785</v>
      </c>
      <c r="BF140" s="13" t="str">
        <f>HYPERLINK("http://dx.doi.org/10.3109/19401736.2015.1118070","http://dx.doi.org/10.3109/19401736.2015.1118070")</f>
        <v>http://dx.doi.org/10.3109/19401736.2015.1118070</v>
      </c>
      <c r="BG140" s="8" t="s">
        <v>2135</v>
      </c>
      <c r="BH140" s="8" t="s">
        <v>2135</v>
      </c>
      <c r="BI140" s="8">
        <v>2.0</v>
      </c>
      <c r="BJ140" s="8" t="s">
        <v>4693</v>
      </c>
      <c r="BK140" s="8" t="s">
        <v>3352</v>
      </c>
      <c r="BL140" s="8" t="s">
        <v>4693</v>
      </c>
      <c r="BM140" s="8" t="s">
        <v>5786</v>
      </c>
      <c r="BN140" s="8">
        <v>2.6714004E7</v>
      </c>
      <c r="BO140" s="8" t="s">
        <v>2135</v>
      </c>
      <c r="BP140" s="8" t="s">
        <v>2135</v>
      </c>
      <c r="BQ140" s="8" t="s">
        <v>2135</v>
      </c>
      <c r="BR140" s="8" t="s">
        <v>3355</v>
      </c>
      <c r="BS140" s="8" t="s">
        <v>5787</v>
      </c>
      <c r="BT140" s="8" t="s">
        <v>2282</v>
      </c>
      <c r="BU140" s="8" t="s">
        <v>2283</v>
      </c>
      <c r="BW140" s="8" t="s">
        <v>2284</v>
      </c>
      <c r="BX140" s="8" t="s">
        <v>2953</v>
      </c>
      <c r="BY140" s="8" t="s">
        <v>2954</v>
      </c>
      <c r="BZ140" s="8" t="str">
        <f>HYPERLINK("https%3A%2F%2Fwww.webofscience.com%2Fwos%2Fwoscc%2Ffull-record%2FWOS:000395598600099","View Full Record in Web of Science")</f>
        <v>View Full Record in Web of Science</v>
      </c>
    </row>
    <row r="141" ht="12.75" customHeight="1">
      <c r="A141" s="8" t="s">
        <v>3329</v>
      </c>
      <c r="B141" s="8" t="s">
        <v>5788</v>
      </c>
      <c r="C141" s="8" t="s">
        <v>2135</v>
      </c>
      <c r="D141" s="8" t="s">
        <v>2135</v>
      </c>
      <c r="E141" s="8" t="s">
        <v>2135</v>
      </c>
      <c r="F141" s="8" t="s">
        <v>5789</v>
      </c>
      <c r="G141" s="8" t="s">
        <v>2135</v>
      </c>
      <c r="H141" s="8" t="s">
        <v>2135</v>
      </c>
      <c r="I141" s="8" t="s">
        <v>845</v>
      </c>
      <c r="J141" s="8" t="s">
        <v>5790</v>
      </c>
      <c r="K141" s="8" t="s">
        <v>2135</v>
      </c>
      <c r="L141" s="8" t="s">
        <v>2135</v>
      </c>
      <c r="M141" s="8" t="s">
        <v>3332</v>
      </c>
      <c r="N141" s="8" t="s">
        <v>3333</v>
      </c>
      <c r="O141" s="8" t="s">
        <v>2135</v>
      </c>
      <c r="P141" s="8" t="s">
        <v>2135</v>
      </c>
      <c r="Q141" s="8" t="s">
        <v>2135</v>
      </c>
      <c r="R141" s="8" t="s">
        <v>2135</v>
      </c>
      <c r="S141" s="8" t="s">
        <v>2135</v>
      </c>
      <c r="T141" s="8" t="s">
        <v>5791</v>
      </c>
      <c r="U141" s="8" t="s">
        <v>5792</v>
      </c>
      <c r="V141" s="8" t="s">
        <v>5793</v>
      </c>
      <c r="W141" s="8" t="s">
        <v>5794</v>
      </c>
      <c r="X141" s="8" t="s">
        <v>5795</v>
      </c>
      <c r="Y141" s="8" t="s">
        <v>5796</v>
      </c>
      <c r="Z141" s="8" t="s">
        <v>5797</v>
      </c>
      <c r="AA141" s="8" t="s">
        <v>5798</v>
      </c>
      <c r="AB141" s="8" t="s">
        <v>5799</v>
      </c>
      <c r="AC141" s="8" t="s">
        <v>5800</v>
      </c>
      <c r="AD141" s="8" t="s">
        <v>5800</v>
      </c>
      <c r="AE141" s="8" t="s">
        <v>5801</v>
      </c>
      <c r="AF141" s="8" t="s">
        <v>2135</v>
      </c>
      <c r="AG141" s="8">
        <v>56.0</v>
      </c>
      <c r="AH141" s="8">
        <v>25.0</v>
      </c>
      <c r="AI141" s="8">
        <v>25.0</v>
      </c>
      <c r="AJ141" s="8">
        <v>0.0</v>
      </c>
      <c r="AK141" s="8">
        <v>25.0</v>
      </c>
      <c r="AL141" s="8" t="s">
        <v>5802</v>
      </c>
      <c r="AM141" s="8" t="s">
        <v>5803</v>
      </c>
      <c r="AN141" s="8" t="s">
        <v>5804</v>
      </c>
      <c r="AO141" s="8" t="s">
        <v>5805</v>
      </c>
      <c r="AP141" s="8" t="s">
        <v>5806</v>
      </c>
      <c r="AQ141" s="8" t="s">
        <v>2135</v>
      </c>
      <c r="AR141" s="8" t="s">
        <v>5807</v>
      </c>
      <c r="AS141" s="8" t="s">
        <v>5808</v>
      </c>
      <c r="AT141" s="8" t="s">
        <v>2135</v>
      </c>
      <c r="AU141" s="8">
        <v>2017.0</v>
      </c>
      <c r="AV141" s="8">
        <v>44.0</v>
      </c>
      <c r="AW141" s="8" t="s">
        <v>5809</v>
      </c>
      <c r="AX141" s="8" t="s">
        <v>2135</v>
      </c>
      <c r="AY141" s="8" t="s">
        <v>2135</v>
      </c>
      <c r="AZ141" s="8" t="s">
        <v>2135</v>
      </c>
      <c r="BA141" s="8" t="s">
        <v>2135</v>
      </c>
      <c r="BB141" s="8">
        <v>497.0</v>
      </c>
      <c r="BC141" s="8">
        <v>503.0</v>
      </c>
      <c r="BD141" s="8" t="s">
        <v>2135</v>
      </c>
      <c r="BE141" s="8" t="s">
        <v>5810</v>
      </c>
      <c r="BF141" s="13" t="str">
        <f>HYPERLINK("http://dx.doi.org/10.1071/WR17063","http://dx.doi.org/10.1071/WR17063")</f>
        <v>http://dx.doi.org/10.1071/WR17063</v>
      </c>
      <c r="BG141" s="8" t="s">
        <v>2135</v>
      </c>
      <c r="BH141" s="8" t="s">
        <v>2135</v>
      </c>
      <c r="BI141" s="8">
        <v>7.0</v>
      </c>
      <c r="BJ141" s="8" t="s">
        <v>3442</v>
      </c>
      <c r="BK141" s="8" t="s">
        <v>3352</v>
      </c>
      <c r="BL141" s="8" t="s">
        <v>3443</v>
      </c>
      <c r="BM141" s="8" t="s">
        <v>5811</v>
      </c>
      <c r="BN141" s="8" t="s">
        <v>2135</v>
      </c>
      <c r="BO141" s="8" t="s">
        <v>2135</v>
      </c>
      <c r="BP141" s="8" t="s">
        <v>2135</v>
      </c>
      <c r="BQ141" s="8" t="s">
        <v>2135</v>
      </c>
      <c r="BR141" s="8" t="s">
        <v>3355</v>
      </c>
      <c r="BS141" s="8" t="s">
        <v>5812</v>
      </c>
      <c r="BT141" s="8" t="s">
        <v>2216</v>
      </c>
      <c r="BU141" s="8" t="s">
        <v>2147</v>
      </c>
      <c r="BV141" s="8" t="s">
        <v>2217</v>
      </c>
      <c r="BW141" s="8" t="s">
        <v>2218</v>
      </c>
      <c r="BX141" s="8" t="s">
        <v>2953</v>
      </c>
      <c r="BY141" s="8" t="s">
        <v>2954</v>
      </c>
      <c r="BZ141" s="8" t="str">
        <f>HYPERLINK("https%3A%2F%2Fwww.webofscience.com%2Fwos%2Fwoscc%2Ffull-record%2FWOS:000418348700006","View Full Record in Web of Science")</f>
        <v>View Full Record in Web of Science</v>
      </c>
    </row>
    <row r="142" ht="12.75" customHeight="1">
      <c r="A142" s="8" t="s">
        <v>3329</v>
      </c>
      <c r="B142" s="8" t="s">
        <v>5813</v>
      </c>
      <c r="C142" s="8" t="s">
        <v>2135</v>
      </c>
      <c r="D142" s="8" t="s">
        <v>2135</v>
      </c>
      <c r="E142" s="8" t="s">
        <v>2135</v>
      </c>
      <c r="F142" s="8" t="s">
        <v>5814</v>
      </c>
      <c r="G142" s="8" t="s">
        <v>2135</v>
      </c>
      <c r="H142" s="8" t="s">
        <v>2135</v>
      </c>
      <c r="I142" s="8" t="s">
        <v>843</v>
      </c>
      <c r="J142" s="8" t="s">
        <v>5815</v>
      </c>
      <c r="K142" s="8" t="s">
        <v>2135</v>
      </c>
      <c r="L142" s="8" t="s">
        <v>2135</v>
      </c>
      <c r="M142" s="8" t="s">
        <v>3332</v>
      </c>
      <c r="N142" s="8" t="s">
        <v>3333</v>
      </c>
      <c r="O142" s="8" t="s">
        <v>2135</v>
      </c>
      <c r="P142" s="8" t="s">
        <v>2135</v>
      </c>
      <c r="Q142" s="8" t="s">
        <v>2135</v>
      </c>
      <c r="R142" s="8" t="s">
        <v>2135</v>
      </c>
      <c r="S142" s="8" t="s">
        <v>2135</v>
      </c>
      <c r="T142" s="8" t="s">
        <v>5816</v>
      </c>
      <c r="U142" s="8" t="s">
        <v>5817</v>
      </c>
      <c r="V142" s="8" t="s">
        <v>5818</v>
      </c>
      <c r="W142" s="8" t="s">
        <v>5819</v>
      </c>
      <c r="X142" s="8" t="s">
        <v>5820</v>
      </c>
      <c r="Y142" s="8" t="s">
        <v>5821</v>
      </c>
      <c r="Z142" s="8" t="s">
        <v>5822</v>
      </c>
      <c r="AA142" s="8" t="s">
        <v>5823</v>
      </c>
      <c r="AB142" s="8" t="s">
        <v>5824</v>
      </c>
      <c r="AC142" s="8" t="s">
        <v>5825</v>
      </c>
      <c r="AD142" s="8" t="s">
        <v>5825</v>
      </c>
      <c r="AE142" s="8" t="s">
        <v>5826</v>
      </c>
      <c r="AF142" s="8" t="s">
        <v>2135</v>
      </c>
      <c r="AG142" s="8">
        <v>33.0</v>
      </c>
      <c r="AH142" s="8">
        <v>14.0</v>
      </c>
      <c r="AI142" s="8">
        <v>15.0</v>
      </c>
      <c r="AJ142" s="8">
        <v>0.0</v>
      </c>
      <c r="AK142" s="8">
        <v>27.0</v>
      </c>
      <c r="AL142" s="8" t="s">
        <v>5073</v>
      </c>
      <c r="AM142" s="8" t="s">
        <v>5074</v>
      </c>
      <c r="AN142" s="8" t="s">
        <v>5488</v>
      </c>
      <c r="AO142" s="8" t="s">
        <v>5827</v>
      </c>
      <c r="AP142" s="8" t="s">
        <v>5828</v>
      </c>
      <c r="AQ142" s="8" t="s">
        <v>2135</v>
      </c>
      <c r="AR142" s="8" t="s">
        <v>5829</v>
      </c>
      <c r="AS142" s="8" t="s">
        <v>5830</v>
      </c>
      <c r="AT142" s="8" t="s">
        <v>2135</v>
      </c>
      <c r="AU142" s="8">
        <v>2017.0</v>
      </c>
      <c r="AV142" s="8">
        <v>21.0</v>
      </c>
      <c r="AW142" s="8">
        <v>1.0</v>
      </c>
      <c r="AX142" s="8" t="s">
        <v>2135</v>
      </c>
      <c r="AY142" s="8" t="s">
        <v>2135</v>
      </c>
      <c r="AZ142" s="8" t="s">
        <v>2135</v>
      </c>
      <c r="BA142" s="8" t="s">
        <v>2135</v>
      </c>
      <c r="BB142" s="8">
        <v>70.0</v>
      </c>
      <c r="BC142" s="8">
        <v>75.0</v>
      </c>
      <c r="BD142" s="8" t="s">
        <v>2135</v>
      </c>
      <c r="BE142" s="8" t="s">
        <v>5831</v>
      </c>
      <c r="BF142" s="13" t="str">
        <f>HYPERLINK("http://dx.doi.org/10.1080/19768354.2016.1276961","http://dx.doi.org/10.1080/19768354.2016.1276961")</f>
        <v>http://dx.doi.org/10.1080/19768354.2016.1276961</v>
      </c>
      <c r="BG142" s="8" t="s">
        <v>2135</v>
      </c>
      <c r="BH142" s="8" t="s">
        <v>2135</v>
      </c>
      <c r="BI142" s="8">
        <v>6.0</v>
      </c>
      <c r="BJ142" s="8" t="s">
        <v>5832</v>
      </c>
      <c r="BK142" s="8" t="s">
        <v>3352</v>
      </c>
      <c r="BL142" s="8" t="s">
        <v>5832</v>
      </c>
      <c r="BM142" s="8" t="s">
        <v>5833</v>
      </c>
      <c r="BN142" s="8">
        <v>3.0460053E7</v>
      </c>
      <c r="BO142" s="8" t="s">
        <v>5131</v>
      </c>
      <c r="BP142" s="8" t="s">
        <v>2135</v>
      </c>
      <c r="BQ142" s="8" t="s">
        <v>2135</v>
      </c>
      <c r="BR142" s="8" t="s">
        <v>3355</v>
      </c>
      <c r="BS142" s="8" t="s">
        <v>5834</v>
      </c>
      <c r="BT142" s="8" t="s">
        <v>2396</v>
      </c>
      <c r="BU142" s="8" t="s">
        <v>2283</v>
      </c>
      <c r="BW142" s="8" t="s">
        <v>2311</v>
      </c>
      <c r="BX142" s="8" t="s">
        <v>2971</v>
      </c>
      <c r="BY142" s="8" t="s">
        <v>2954</v>
      </c>
      <c r="BZ142" s="8" t="str">
        <f>HYPERLINK("https%3A%2F%2Fwww.webofscience.com%2Fwos%2Fwoscc%2Ffull-record%2FWOS:000396557700010","View Full Record in Web of Science")</f>
        <v>View Full Record in Web of Science</v>
      </c>
    </row>
    <row r="143" ht="12.75" customHeight="1">
      <c r="A143" s="8" t="s">
        <v>3329</v>
      </c>
      <c r="B143" s="8" t="s">
        <v>5835</v>
      </c>
      <c r="C143" s="8" t="s">
        <v>2135</v>
      </c>
      <c r="D143" s="8" t="s">
        <v>2135</v>
      </c>
      <c r="E143" s="8" t="s">
        <v>2135</v>
      </c>
      <c r="F143" s="8" t="s">
        <v>5836</v>
      </c>
      <c r="G143" s="8" t="s">
        <v>2135</v>
      </c>
      <c r="H143" s="8" t="s">
        <v>2135</v>
      </c>
      <c r="I143" s="8" t="s">
        <v>831</v>
      </c>
      <c r="J143" s="8" t="s">
        <v>5837</v>
      </c>
      <c r="K143" s="8" t="s">
        <v>2135</v>
      </c>
      <c r="L143" s="8" t="s">
        <v>2135</v>
      </c>
      <c r="M143" s="8" t="s">
        <v>4896</v>
      </c>
      <c r="N143" s="8" t="s">
        <v>3333</v>
      </c>
      <c r="O143" s="8" t="s">
        <v>2135</v>
      </c>
      <c r="P143" s="8" t="s">
        <v>2135</v>
      </c>
      <c r="Q143" s="8" t="s">
        <v>2135</v>
      </c>
      <c r="R143" s="8" t="s">
        <v>2135</v>
      </c>
      <c r="S143" s="8" t="s">
        <v>2135</v>
      </c>
      <c r="T143" s="8" t="s">
        <v>5838</v>
      </c>
      <c r="U143" s="8" t="s">
        <v>5839</v>
      </c>
      <c r="V143" s="8" t="s">
        <v>5840</v>
      </c>
      <c r="W143" s="8" t="s">
        <v>5841</v>
      </c>
      <c r="X143" s="8" t="s">
        <v>5842</v>
      </c>
      <c r="Y143" s="8" t="s">
        <v>5843</v>
      </c>
      <c r="Z143" s="8" t="s">
        <v>5844</v>
      </c>
      <c r="AA143" s="8" t="s">
        <v>5845</v>
      </c>
      <c r="AB143" s="8" t="s">
        <v>5846</v>
      </c>
      <c r="AC143" s="8" t="s">
        <v>2135</v>
      </c>
      <c r="AD143" s="8" t="s">
        <v>2135</v>
      </c>
      <c r="AE143" s="8" t="s">
        <v>2135</v>
      </c>
      <c r="AF143" s="8" t="s">
        <v>2135</v>
      </c>
      <c r="AG143" s="8">
        <v>29.0</v>
      </c>
      <c r="AH143" s="8">
        <v>4.0</v>
      </c>
      <c r="AI143" s="8">
        <v>4.0</v>
      </c>
      <c r="AJ143" s="8">
        <v>1.0</v>
      </c>
      <c r="AK143" s="8">
        <v>33.0</v>
      </c>
      <c r="AL143" s="8" t="s">
        <v>5847</v>
      </c>
      <c r="AM143" s="8" t="s">
        <v>5848</v>
      </c>
      <c r="AN143" s="8" t="s">
        <v>5849</v>
      </c>
      <c r="AO143" s="8" t="s">
        <v>5850</v>
      </c>
      <c r="AP143" s="8" t="s">
        <v>5851</v>
      </c>
      <c r="AQ143" s="8" t="s">
        <v>2135</v>
      </c>
      <c r="AR143" s="8" t="s">
        <v>5852</v>
      </c>
      <c r="AS143" s="8" t="s">
        <v>5853</v>
      </c>
      <c r="AT143" s="8" t="s">
        <v>3741</v>
      </c>
      <c r="AU143" s="8">
        <v>2016.0</v>
      </c>
      <c r="AV143" s="8">
        <v>51.0</v>
      </c>
      <c r="AW143" s="8">
        <v>3.0</v>
      </c>
      <c r="AX143" s="8" t="s">
        <v>2135</v>
      </c>
      <c r="AY143" s="8" t="s">
        <v>2135</v>
      </c>
      <c r="AZ143" s="8" t="s">
        <v>2135</v>
      </c>
      <c r="BA143" s="8" t="s">
        <v>2135</v>
      </c>
      <c r="BB143" s="8">
        <v>621.0</v>
      </c>
      <c r="BC143" s="8">
        <v>627.0</v>
      </c>
      <c r="BD143" s="8" t="s">
        <v>2135</v>
      </c>
      <c r="BE143" s="8" t="s">
        <v>5854</v>
      </c>
      <c r="BF143" s="13" t="str">
        <f>HYPERLINK("http://dx.doi.org/10.4067/S0718-19572016000300013","http://dx.doi.org/10.4067/S0718-19572016000300013")</f>
        <v>http://dx.doi.org/10.4067/S0718-19572016000300013</v>
      </c>
      <c r="BG143" s="8" t="s">
        <v>2135</v>
      </c>
      <c r="BH143" s="8" t="s">
        <v>2135</v>
      </c>
      <c r="BI143" s="8">
        <v>7.0</v>
      </c>
      <c r="BJ143" s="8" t="s">
        <v>5855</v>
      </c>
      <c r="BK143" s="8" t="s">
        <v>3352</v>
      </c>
      <c r="BL143" s="8" t="s">
        <v>5855</v>
      </c>
      <c r="BM143" s="8" t="s">
        <v>5856</v>
      </c>
      <c r="BN143" s="8" t="s">
        <v>2135</v>
      </c>
      <c r="BO143" s="8" t="s">
        <v>5131</v>
      </c>
      <c r="BP143" s="8" t="s">
        <v>2135</v>
      </c>
      <c r="BQ143" s="8" t="s">
        <v>2135</v>
      </c>
      <c r="BR143" s="8" t="s">
        <v>3355</v>
      </c>
      <c r="BS143" s="8" t="s">
        <v>5857</v>
      </c>
      <c r="BT143" s="8" t="s">
        <v>2272</v>
      </c>
      <c r="BU143" s="8" t="s">
        <v>2147</v>
      </c>
      <c r="BW143" s="8" t="s">
        <v>2275</v>
      </c>
      <c r="BX143" s="8" t="s">
        <v>2953</v>
      </c>
      <c r="BY143" s="8" t="s">
        <v>2954</v>
      </c>
      <c r="BZ143" s="8" t="str">
        <f>HYPERLINK("https%3A%2F%2Fwww.webofscience.com%2Fwos%2Fwoscc%2Ffull-record%2FWOS:000391864900013","View Full Record in Web of Science")</f>
        <v>View Full Record in Web of Science</v>
      </c>
    </row>
    <row r="144" ht="12.75" customHeight="1">
      <c r="A144" s="8" t="s">
        <v>3329</v>
      </c>
      <c r="B144" s="8" t="s">
        <v>5858</v>
      </c>
      <c r="C144" s="8" t="s">
        <v>2135</v>
      </c>
      <c r="D144" s="8" t="s">
        <v>2135</v>
      </c>
      <c r="E144" s="8" t="s">
        <v>2135</v>
      </c>
      <c r="F144" s="8" t="s">
        <v>5859</v>
      </c>
      <c r="G144" s="8" t="s">
        <v>2135</v>
      </c>
      <c r="H144" s="8" t="s">
        <v>2135</v>
      </c>
      <c r="I144" s="8" t="s">
        <v>827</v>
      </c>
      <c r="J144" s="8" t="s">
        <v>3467</v>
      </c>
      <c r="K144" s="8" t="s">
        <v>2135</v>
      </c>
      <c r="L144" s="8" t="s">
        <v>2135</v>
      </c>
      <c r="M144" s="8" t="s">
        <v>3332</v>
      </c>
      <c r="N144" s="8" t="s">
        <v>3333</v>
      </c>
      <c r="O144" s="8" t="s">
        <v>2135</v>
      </c>
      <c r="P144" s="8" t="s">
        <v>2135</v>
      </c>
      <c r="Q144" s="8" t="s">
        <v>2135</v>
      </c>
      <c r="R144" s="8" t="s">
        <v>2135</v>
      </c>
      <c r="S144" s="8" t="s">
        <v>2135</v>
      </c>
      <c r="T144" s="8" t="s">
        <v>5860</v>
      </c>
      <c r="U144" s="8" t="s">
        <v>5861</v>
      </c>
      <c r="V144" s="8" t="s">
        <v>5862</v>
      </c>
      <c r="W144" s="8" t="s">
        <v>5863</v>
      </c>
      <c r="X144" s="8" t="s">
        <v>5864</v>
      </c>
      <c r="Y144" s="8" t="s">
        <v>5865</v>
      </c>
      <c r="Z144" s="8" t="s">
        <v>5866</v>
      </c>
      <c r="AA144" s="8" t="s">
        <v>5867</v>
      </c>
      <c r="AB144" s="8" t="s">
        <v>5868</v>
      </c>
      <c r="AC144" s="8" t="s">
        <v>5869</v>
      </c>
      <c r="AD144" s="8" t="s">
        <v>5869</v>
      </c>
      <c r="AE144" s="8" t="s">
        <v>5870</v>
      </c>
      <c r="AF144" s="8" t="s">
        <v>2135</v>
      </c>
      <c r="AG144" s="8">
        <v>68.0</v>
      </c>
      <c r="AH144" s="8">
        <v>31.0</v>
      </c>
      <c r="AI144" s="8">
        <v>41.0</v>
      </c>
      <c r="AJ144" s="8">
        <v>0.0</v>
      </c>
      <c r="AK144" s="8">
        <v>116.0</v>
      </c>
      <c r="AL144" s="8" t="s">
        <v>3479</v>
      </c>
      <c r="AM144" s="8" t="s">
        <v>3480</v>
      </c>
      <c r="AN144" s="8" t="s">
        <v>3739</v>
      </c>
      <c r="AO144" s="8" t="s">
        <v>3482</v>
      </c>
      <c r="AP144" s="8" t="s">
        <v>3740</v>
      </c>
      <c r="AQ144" s="8" t="s">
        <v>2135</v>
      </c>
      <c r="AR144" s="8" t="s">
        <v>3483</v>
      </c>
      <c r="AS144" s="8" t="s">
        <v>3484</v>
      </c>
      <c r="AT144" s="8" t="s">
        <v>3580</v>
      </c>
      <c r="AU144" s="8">
        <v>2016.0</v>
      </c>
      <c r="AV144" s="8">
        <v>62.0</v>
      </c>
      <c r="AW144" s="8">
        <v>5.0</v>
      </c>
      <c r="AX144" s="8" t="s">
        <v>2135</v>
      </c>
      <c r="AY144" s="8" t="s">
        <v>2135</v>
      </c>
      <c r="AZ144" s="8" t="s">
        <v>2135</v>
      </c>
      <c r="BA144" s="8" t="s">
        <v>2135</v>
      </c>
      <c r="BB144" s="8">
        <v>565.0</v>
      </c>
      <c r="BC144" s="8">
        <v>576.0</v>
      </c>
      <c r="BD144" s="8" t="s">
        <v>2135</v>
      </c>
      <c r="BE144" s="8" t="s">
        <v>5871</v>
      </c>
      <c r="BF144" s="13" t="str">
        <f>HYPERLINK("http://dx.doi.org/10.1007/s10344-016-1029-6","http://dx.doi.org/10.1007/s10344-016-1029-6")</f>
        <v>http://dx.doi.org/10.1007/s10344-016-1029-6</v>
      </c>
      <c r="BG144" s="8" t="s">
        <v>2135</v>
      </c>
      <c r="BH144" s="8" t="s">
        <v>2135</v>
      </c>
      <c r="BI144" s="8">
        <v>12.0</v>
      </c>
      <c r="BJ144" s="8" t="s">
        <v>3442</v>
      </c>
      <c r="BK144" s="8" t="s">
        <v>3352</v>
      </c>
      <c r="BL144" s="8" t="s">
        <v>3443</v>
      </c>
      <c r="BM144" s="8" t="s">
        <v>5872</v>
      </c>
      <c r="BN144" s="8" t="s">
        <v>2135</v>
      </c>
      <c r="BO144" s="8" t="s">
        <v>2135</v>
      </c>
      <c r="BP144" s="8" t="s">
        <v>2135</v>
      </c>
      <c r="BQ144" s="8" t="s">
        <v>2135</v>
      </c>
      <c r="BR144" s="8" t="s">
        <v>3355</v>
      </c>
      <c r="BS144" s="8" t="s">
        <v>5873</v>
      </c>
      <c r="BT144" s="8" t="s">
        <v>2456</v>
      </c>
      <c r="BU144" s="8" t="s">
        <v>2283</v>
      </c>
      <c r="BV144" s="8" t="s">
        <v>2357</v>
      </c>
      <c r="BW144" s="8" t="s">
        <v>2460</v>
      </c>
      <c r="BX144" s="8" t="s">
        <v>2953</v>
      </c>
      <c r="BY144" s="8" t="s">
        <v>2954</v>
      </c>
      <c r="BZ144" s="8" t="str">
        <f>HYPERLINK("https%3A%2F%2Fwww.webofscience.com%2Fwos%2Fwoscc%2Ffull-record%2FWOS:000383861000006","View Full Record in Web of Science")</f>
        <v>View Full Record in Web of Science</v>
      </c>
    </row>
    <row r="145" ht="12.75" customHeight="1">
      <c r="A145" s="8" t="s">
        <v>3329</v>
      </c>
      <c r="B145" s="8" t="s">
        <v>5874</v>
      </c>
      <c r="C145" s="8" t="s">
        <v>2135</v>
      </c>
      <c r="D145" s="8" t="s">
        <v>2135</v>
      </c>
      <c r="E145" s="8" t="s">
        <v>2135</v>
      </c>
      <c r="F145" s="8" t="s">
        <v>5875</v>
      </c>
      <c r="G145" s="8" t="s">
        <v>2135</v>
      </c>
      <c r="H145" s="8" t="s">
        <v>2135</v>
      </c>
      <c r="I145" s="8" t="s">
        <v>829</v>
      </c>
      <c r="J145" s="8" t="s">
        <v>4513</v>
      </c>
      <c r="K145" s="8" t="s">
        <v>2135</v>
      </c>
      <c r="L145" s="8" t="s">
        <v>2135</v>
      </c>
      <c r="M145" s="8" t="s">
        <v>3332</v>
      </c>
      <c r="N145" s="8" t="s">
        <v>3492</v>
      </c>
      <c r="O145" s="8" t="s">
        <v>2135</v>
      </c>
      <c r="P145" s="8" t="s">
        <v>2135</v>
      </c>
      <c r="Q145" s="8" t="s">
        <v>2135</v>
      </c>
      <c r="R145" s="8" t="s">
        <v>2135</v>
      </c>
      <c r="S145" s="8" t="s">
        <v>2135</v>
      </c>
      <c r="T145" s="8" t="s">
        <v>5876</v>
      </c>
      <c r="U145" s="8" t="s">
        <v>5877</v>
      </c>
      <c r="V145" s="8" t="s">
        <v>5878</v>
      </c>
      <c r="W145" s="8" t="s">
        <v>5879</v>
      </c>
      <c r="X145" s="8" t="s">
        <v>5880</v>
      </c>
      <c r="Y145" s="8" t="s">
        <v>5881</v>
      </c>
      <c r="Z145" s="8" t="s">
        <v>5882</v>
      </c>
      <c r="AA145" s="8" t="s">
        <v>2135</v>
      </c>
      <c r="AB145" s="8" t="s">
        <v>2135</v>
      </c>
      <c r="AC145" s="8" t="s">
        <v>5883</v>
      </c>
      <c r="AD145" s="8" t="s">
        <v>5884</v>
      </c>
      <c r="AE145" s="8" t="s">
        <v>5885</v>
      </c>
      <c r="AF145" s="8" t="s">
        <v>2135</v>
      </c>
      <c r="AG145" s="8">
        <v>86.0</v>
      </c>
      <c r="AH145" s="8">
        <v>18.0</v>
      </c>
      <c r="AI145" s="8">
        <v>25.0</v>
      </c>
      <c r="AJ145" s="8">
        <v>0.0</v>
      </c>
      <c r="AK145" s="8">
        <v>73.0</v>
      </c>
      <c r="AL145" s="8" t="s">
        <v>4394</v>
      </c>
      <c r="AM145" s="8" t="s">
        <v>3367</v>
      </c>
      <c r="AN145" s="8" t="s">
        <v>4395</v>
      </c>
      <c r="AO145" s="8" t="s">
        <v>4522</v>
      </c>
      <c r="AP145" s="8" t="s">
        <v>4523</v>
      </c>
      <c r="AQ145" s="8" t="s">
        <v>2135</v>
      </c>
      <c r="AR145" s="8" t="s">
        <v>4524</v>
      </c>
      <c r="AS145" s="8" t="s">
        <v>4525</v>
      </c>
      <c r="AT145" s="8" t="s">
        <v>5886</v>
      </c>
      <c r="AU145" s="8">
        <v>2016.0</v>
      </c>
      <c r="AV145" s="8">
        <v>369.0</v>
      </c>
      <c r="AW145" s="8" t="s">
        <v>2135</v>
      </c>
      <c r="AX145" s="8" t="s">
        <v>2135</v>
      </c>
      <c r="AY145" s="8" t="s">
        <v>2135</v>
      </c>
      <c r="AZ145" s="8" t="s">
        <v>2135</v>
      </c>
      <c r="BA145" s="8" t="s">
        <v>2135</v>
      </c>
      <c r="BB145" s="8">
        <v>170.0</v>
      </c>
      <c r="BC145" s="8">
        <v>183.0</v>
      </c>
      <c r="BD145" s="8" t="s">
        <v>2135</v>
      </c>
      <c r="BE145" s="8" t="s">
        <v>5887</v>
      </c>
      <c r="BF145" s="13" t="str">
        <f>HYPERLINK("http://dx.doi.org/10.1016/j.foreco.2016.02.032","http://dx.doi.org/10.1016/j.foreco.2016.02.032")</f>
        <v>http://dx.doi.org/10.1016/j.foreco.2016.02.032</v>
      </c>
      <c r="BG145" s="8" t="s">
        <v>2135</v>
      </c>
      <c r="BH145" s="8" t="s">
        <v>2135</v>
      </c>
      <c r="BI145" s="8">
        <v>14.0</v>
      </c>
      <c r="BJ145" s="8" t="s">
        <v>3423</v>
      </c>
      <c r="BK145" s="8" t="s">
        <v>3352</v>
      </c>
      <c r="BL145" s="8" t="s">
        <v>3423</v>
      </c>
      <c r="BM145" s="8" t="s">
        <v>5888</v>
      </c>
      <c r="BN145" s="8" t="s">
        <v>2135</v>
      </c>
      <c r="BO145" s="8" t="s">
        <v>2135</v>
      </c>
      <c r="BP145" s="8" t="s">
        <v>2135</v>
      </c>
      <c r="BQ145" s="8" t="s">
        <v>2135</v>
      </c>
      <c r="BR145" s="8" t="s">
        <v>3355</v>
      </c>
      <c r="BS145" s="8" t="s">
        <v>5889</v>
      </c>
      <c r="BU145" s="8" t="s">
        <v>2147</v>
      </c>
      <c r="BV145" s="8" t="s">
        <v>2217</v>
      </c>
      <c r="BW145" s="8" t="s">
        <v>2224</v>
      </c>
      <c r="BX145" s="8" t="s">
        <v>2971</v>
      </c>
      <c r="BY145" s="8" t="s">
        <v>2954</v>
      </c>
      <c r="BZ145" s="8" t="str">
        <f>HYPERLINK("https%3A%2F%2Fwww.webofscience.com%2Fwos%2Fwoscc%2Ffull-record%2FWOS:000375169500018","View Full Record in Web of Science")</f>
        <v>View Full Record in Web of Science</v>
      </c>
    </row>
    <row r="146" ht="12.75" customHeight="1">
      <c r="A146" s="8" t="s">
        <v>3329</v>
      </c>
      <c r="B146" s="8" t="s">
        <v>5890</v>
      </c>
      <c r="C146" s="8" t="s">
        <v>2135</v>
      </c>
      <c r="D146" s="8" t="s">
        <v>2135</v>
      </c>
      <c r="E146" s="8" t="s">
        <v>2135</v>
      </c>
      <c r="F146" s="8" t="s">
        <v>5891</v>
      </c>
      <c r="G146" s="8" t="s">
        <v>2135</v>
      </c>
      <c r="H146" s="8" t="s">
        <v>2135</v>
      </c>
      <c r="I146" s="8" t="s">
        <v>825</v>
      </c>
      <c r="J146" s="8" t="s">
        <v>4065</v>
      </c>
      <c r="K146" s="8" t="s">
        <v>2135</v>
      </c>
      <c r="L146" s="8" t="s">
        <v>2135</v>
      </c>
      <c r="M146" s="8" t="s">
        <v>3332</v>
      </c>
      <c r="N146" s="8" t="s">
        <v>3333</v>
      </c>
      <c r="O146" s="8" t="s">
        <v>2135</v>
      </c>
      <c r="P146" s="8" t="s">
        <v>2135</v>
      </c>
      <c r="Q146" s="8" t="s">
        <v>2135</v>
      </c>
      <c r="R146" s="8" t="s">
        <v>2135</v>
      </c>
      <c r="S146" s="8" t="s">
        <v>2135</v>
      </c>
      <c r="T146" s="8" t="s">
        <v>4066</v>
      </c>
      <c r="U146" s="8" t="s">
        <v>5892</v>
      </c>
      <c r="V146" s="8" t="s">
        <v>5893</v>
      </c>
      <c r="W146" s="8" t="s">
        <v>5894</v>
      </c>
      <c r="X146" s="8" t="s">
        <v>5895</v>
      </c>
      <c r="Y146" s="8" t="s">
        <v>5896</v>
      </c>
      <c r="Z146" s="8" t="s">
        <v>5897</v>
      </c>
      <c r="AA146" s="8" t="s">
        <v>5898</v>
      </c>
      <c r="AB146" s="8" t="s">
        <v>5899</v>
      </c>
      <c r="AC146" s="8" t="s">
        <v>2135</v>
      </c>
      <c r="AD146" s="8" t="s">
        <v>2135</v>
      </c>
      <c r="AE146" s="8" t="s">
        <v>2135</v>
      </c>
      <c r="AF146" s="8" t="s">
        <v>2135</v>
      </c>
      <c r="AG146" s="8">
        <v>52.0</v>
      </c>
      <c r="AH146" s="8">
        <v>5.0</v>
      </c>
      <c r="AI146" s="8">
        <v>7.0</v>
      </c>
      <c r="AJ146" s="8">
        <v>0.0</v>
      </c>
      <c r="AK146" s="8">
        <v>17.0</v>
      </c>
      <c r="AL146" s="8" t="s">
        <v>4074</v>
      </c>
      <c r="AM146" s="8" t="s">
        <v>4075</v>
      </c>
      <c r="AN146" s="8" t="s">
        <v>4076</v>
      </c>
      <c r="AO146" s="8" t="s">
        <v>4077</v>
      </c>
      <c r="AP146" s="8" t="s">
        <v>2135</v>
      </c>
      <c r="AQ146" s="8" t="s">
        <v>2135</v>
      </c>
      <c r="AR146" s="8" t="s">
        <v>4078</v>
      </c>
      <c r="AS146" s="8" t="s">
        <v>4079</v>
      </c>
      <c r="AT146" s="8" t="s">
        <v>4080</v>
      </c>
      <c r="AU146" s="8">
        <v>2016.0</v>
      </c>
      <c r="AV146" s="8" t="s">
        <v>2135</v>
      </c>
      <c r="AW146" s="8" t="s">
        <v>2135</v>
      </c>
      <c r="AX146" s="8" t="s">
        <v>2135</v>
      </c>
      <c r="AY146" s="8">
        <v>33.0</v>
      </c>
      <c r="AZ146" s="8" t="s">
        <v>2135</v>
      </c>
      <c r="BA146" s="8" t="s">
        <v>2135</v>
      </c>
      <c r="BB146" s="8">
        <v>42.0</v>
      </c>
      <c r="BC146" s="8">
        <v>49.0</v>
      </c>
      <c r="BD146" s="8" t="s">
        <v>2135</v>
      </c>
      <c r="BE146" s="8" t="s">
        <v>2135</v>
      </c>
      <c r="BF146" s="8" t="s">
        <v>2135</v>
      </c>
      <c r="BG146" s="8" t="s">
        <v>2135</v>
      </c>
      <c r="BH146" s="8" t="s">
        <v>2135</v>
      </c>
      <c r="BI146" s="8">
        <v>8.0</v>
      </c>
      <c r="BJ146" s="8" t="s">
        <v>3397</v>
      </c>
      <c r="BK146" s="8" t="s">
        <v>3352</v>
      </c>
      <c r="BL146" s="8" t="s">
        <v>3397</v>
      </c>
      <c r="BM146" s="8" t="s">
        <v>4081</v>
      </c>
      <c r="BN146" s="8" t="s">
        <v>2135</v>
      </c>
      <c r="BO146" s="8" t="s">
        <v>2135</v>
      </c>
      <c r="BP146" s="8" t="s">
        <v>2135</v>
      </c>
      <c r="BQ146" s="8" t="s">
        <v>2135</v>
      </c>
      <c r="BR146" s="8" t="s">
        <v>3355</v>
      </c>
      <c r="BS146" s="8" t="s">
        <v>5900</v>
      </c>
      <c r="BT146" s="8" t="s">
        <v>2420</v>
      </c>
      <c r="BU146" s="8" t="s">
        <v>2283</v>
      </c>
      <c r="BW146" s="8" t="s">
        <v>2401</v>
      </c>
      <c r="BX146" s="8" t="s">
        <v>2971</v>
      </c>
      <c r="BY146" s="8" t="s">
        <v>2954</v>
      </c>
      <c r="BZ146" s="8" t="str">
        <f>HYPERLINK("https%3A%2F%2Fwww.webofscience.com%2Fwos%2Fwoscc%2Ffull-record%2FWOS:000393214300004","View Full Record in Web of Science")</f>
        <v>View Full Record in Web of Science</v>
      </c>
    </row>
    <row r="147" ht="12.75" customHeight="1">
      <c r="A147" s="8" t="s">
        <v>3329</v>
      </c>
      <c r="B147" s="8" t="s">
        <v>5901</v>
      </c>
      <c r="C147" s="8" t="s">
        <v>2135</v>
      </c>
      <c r="D147" s="8" t="s">
        <v>2135</v>
      </c>
      <c r="E147" s="8" t="s">
        <v>2135</v>
      </c>
      <c r="F147" s="8" t="s">
        <v>5902</v>
      </c>
      <c r="G147" s="8" t="s">
        <v>2135</v>
      </c>
      <c r="H147" s="8" t="s">
        <v>2135</v>
      </c>
      <c r="I147" s="8" t="s">
        <v>823</v>
      </c>
      <c r="J147" s="8" t="s">
        <v>3747</v>
      </c>
      <c r="K147" s="8" t="s">
        <v>2135</v>
      </c>
      <c r="L147" s="8" t="s">
        <v>2135</v>
      </c>
      <c r="M147" s="8" t="s">
        <v>3332</v>
      </c>
      <c r="N147" s="8" t="s">
        <v>3333</v>
      </c>
      <c r="O147" s="8" t="s">
        <v>2135</v>
      </c>
      <c r="P147" s="8" t="s">
        <v>2135</v>
      </c>
      <c r="Q147" s="8" t="s">
        <v>2135</v>
      </c>
      <c r="R147" s="8" t="s">
        <v>2135</v>
      </c>
      <c r="S147" s="8" t="s">
        <v>2135</v>
      </c>
      <c r="T147" s="8" t="s">
        <v>5903</v>
      </c>
      <c r="U147" s="8" t="s">
        <v>5904</v>
      </c>
      <c r="V147" s="8" t="s">
        <v>5905</v>
      </c>
      <c r="W147" s="8" t="s">
        <v>5906</v>
      </c>
      <c r="X147" s="8" t="s">
        <v>5907</v>
      </c>
      <c r="Y147" s="8" t="s">
        <v>5908</v>
      </c>
      <c r="Z147" s="8" t="s">
        <v>5909</v>
      </c>
      <c r="AA147" s="8" t="s">
        <v>5910</v>
      </c>
      <c r="AB147" s="8" t="s">
        <v>5911</v>
      </c>
      <c r="AC147" s="8" t="s">
        <v>5912</v>
      </c>
      <c r="AD147" s="8" t="s">
        <v>5913</v>
      </c>
      <c r="AE147" s="8" t="s">
        <v>5914</v>
      </c>
      <c r="AF147" s="8" t="s">
        <v>2135</v>
      </c>
      <c r="AG147" s="8">
        <v>34.0</v>
      </c>
      <c r="AH147" s="8">
        <v>39.0</v>
      </c>
      <c r="AI147" s="8">
        <v>43.0</v>
      </c>
      <c r="AJ147" s="8">
        <v>0.0</v>
      </c>
      <c r="AK147" s="8">
        <v>77.0</v>
      </c>
      <c r="AL147" s="8" t="s">
        <v>3758</v>
      </c>
      <c r="AM147" s="8" t="s">
        <v>3759</v>
      </c>
      <c r="AN147" s="8" t="s">
        <v>3760</v>
      </c>
      <c r="AO147" s="8" t="s">
        <v>3761</v>
      </c>
      <c r="AP147" s="8" t="s">
        <v>3762</v>
      </c>
      <c r="AQ147" s="8" t="s">
        <v>2135</v>
      </c>
      <c r="AR147" s="8" t="s">
        <v>3763</v>
      </c>
      <c r="AS147" s="8" t="s">
        <v>3764</v>
      </c>
      <c r="AT147" s="8" t="s">
        <v>3440</v>
      </c>
      <c r="AU147" s="8">
        <v>2015.0</v>
      </c>
      <c r="AV147" s="8">
        <v>191.0</v>
      </c>
      <c r="AW147" s="8" t="s">
        <v>2135</v>
      </c>
      <c r="AX147" s="8" t="s">
        <v>2135</v>
      </c>
      <c r="AY147" s="8" t="s">
        <v>2135</v>
      </c>
      <c r="AZ147" s="8" t="s">
        <v>2135</v>
      </c>
      <c r="BA147" s="8" t="s">
        <v>2135</v>
      </c>
      <c r="BB147" s="8">
        <v>632.0</v>
      </c>
      <c r="BC147" s="8">
        <v>639.0</v>
      </c>
      <c r="BD147" s="8" t="s">
        <v>2135</v>
      </c>
      <c r="BE147" s="8" t="s">
        <v>5915</v>
      </c>
      <c r="BF147" s="13" t="str">
        <f>HYPERLINK("http://dx.doi.org/10.1016/j.biocon.2015.07.024","http://dx.doi.org/10.1016/j.biocon.2015.07.024")</f>
        <v>http://dx.doi.org/10.1016/j.biocon.2015.07.024</v>
      </c>
      <c r="BG147" s="8" t="s">
        <v>2135</v>
      </c>
      <c r="BH147" s="8" t="s">
        <v>2135</v>
      </c>
      <c r="BI147" s="8">
        <v>8.0</v>
      </c>
      <c r="BJ147" s="8" t="s">
        <v>3351</v>
      </c>
      <c r="BK147" s="8" t="s">
        <v>3352</v>
      </c>
      <c r="BL147" s="8" t="s">
        <v>3353</v>
      </c>
      <c r="BM147" s="8" t="s">
        <v>5916</v>
      </c>
      <c r="BN147" s="8" t="s">
        <v>2135</v>
      </c>
      <c r="BO147" s="8" t="s">
        <v>2135</v>
      </c>
      <c r="BP147" s="8" t="s">
        <v>2135</v>
      </c>
      <c r="BQ147" s="8" t="s">
        <v>2135</v>
      </c>
      <c r="BR147" s="8" t="s">
        <v>3355</v>
      </c>
      <c r="BS147" s="8" t="s">
        <v>5917</v>
      </c>
      <c r="BU147" s="8" t="s">
        <v>2142</v>
      </c>
      <c r="BW147" s="8" t="s">
        <v>2218</v>
      </c>
      <c r="BX147" s="8" t="s">
        <v>2953</v>
      </c>
      <c r="BY147" s="8" t="s">
        <v>2954</v>
      </c>
      <c r="BZ147" s="8" t="str">
        <f>HYPERLINK("https%3A%2F%2Fwww.webofscience.com%2Fwos%2Fwoscc%2Ffull-record%2FWOS:000364257100071","View Full Record in Web of Science")</f>
        <v>View Full Record in Web of Science</v>
      </c>
    </row>
    <row r="148" ht="12.75" customHeight="1">
      <c r="A148" s="8" t="s">
        <v>3329</v>
      </c>
      <c r="B148" s="8" t="s">
        <v>5918</v>
      </c>
      <c r="C148" s="8" t="s">
        <v>2135</v>
      </c>
      <c r="D148" s="8" t="s">
        <v>2135</v>
      </c>
      <c r="E148" s="8" t="s">
        <v>2135</v>
      </c>
      <c r="F148" s="8" t="s">
        <v>5919</v>
      </c>
      <c r="G148" s="8" t="s">
        <v>2135</v>
      </c>
      <c r="H148" s="8" t="s">
        <v>2135</v>
      </c>
      <c r="I148" s="8" t="s">
        <v>819</v>
      </c>
      <c r="J148" s="8" t="s">
        <v>3771</v>
      </c>
      <c r="K148" s="8" t="s">
        <v>2135</v>
      </c>
      <c r="L148" s="8" t="s">
        <v>2135</v>
      </c>
      <c r="M148" s="8" t="s">
        <v>3332</v>
      </c>
      <c r="N148" s="8" t="s">
        <v>3333</v>
      </c>
      <c r="O148" s="8" t="s">
        <v>2135</v>
      </c>
      <c r="P148" s="8" t="s">
        <v>2135</v>
      </c>
      <c r="Q148" s="8" t="s">
        <v>2135</v>
      </c>
      <c r="R148" s="8" t="s">
        <v>2135</v>
      </c>
      <c r="S148" s="8" t="s">
        <v>2135</v>
      </c>
      <c r="T148" s="8" t="s">
        <v>5920</v>
      </c>
      <c r="U148" s="8" t="s">
        <v>5921</v>
      </c>
      <c r="V148" s="8" t="s">
        <v>5922</v>
      </c>
      <c r="W148" s="8" t="s">
        <v>5923</v>
      </c>
      <c r="X148" s="8" t="s">
        <v>5924</v>
      </c>
      <c r="Y148" s="8" t="s">
        <v>5925</v>
      </c>
      <c r="Z148" s="8" t="s">
        <v>5926</v>
      </c>
      <c r="AA148" s="8" t="s">
        <v>5927</v>
      </c>
      <c r="AB148" s="8" t="s">
        <v>2135</v>
      </c>
      <c r="AC148" s="8" t="s">
        <v>5928</v>
      </c>
      <c r="AD148" s="8" t="s">
        <v>5929</v>
      </c>
      <c r="AE148" s="8" t="s">
        <v>5930</v>
      </c>
      <c r="AF148" s="8" t="s">
        <v>2135</v>
      </c>
      <c r="AG148" s="8">
        <v>37.0</v>
      </c>
      <c r="AH148" s="8">
        <v>18.0</v>
      </c>
      <c r="AI148" s="8">
        <v>18.0</v>
      </c>
      <c r="AJ148" s="8">
        <v>1.0</v>
      </c>
      <c r="AK148" s="8">
        <v>19.0</v>
      </c>
      <c r="AL148" s="8" t="s">
        <v>3784</v>
      </c>
      <c r="AM148" s="8" t="s">
        <v>3785</v>
      </c>
      <c r="AN148" s="8" t="s">
        <v>3786</v>
      </c>
      <c r="AO148" s="8" t="s">
        <v>3787</v>
      </c>
      <c r="AP148" s="8" t="s">
        <v>3788</v>
      </c>
      <c r="AQ148" s="8" t="s">
        <v>2135</v>
      </c>
      <c r="AR148" s="8" t="s">
        <v>3789</v>
      </c>
      <c r="AS148" s="8" t="s">
        <v>3790</v>
      </c>
      <c r="AT148" s="8" t="s">
        <v>3462</v>
      </c>
      <c r="AU148" s="8">
        <v>2015.0</v>
      </c>
      <c r="AV148" s="8">
        <v>27.0</v>
      </c>
      <c r="AW148" s="8" t="s">
        <v>2135</v>
      </c>
      <c r="AX148" s="8" t="s">
        <v>2135</v>
      </c>
      <c r="AY148" s="8" t="s">
        <v>2135</v>
      </c>
      <c r="AZ148" s="8" t="s">
        <v>2135</v>
      </c>
      <c r="BA148" s="8" t="s">
        <v>2135</v>
      </c>
      <c r="BB148" s="8">
        <v>63.0</v>
      </c>
      <c r="BC148" s="8">
        <v>71.0</v>
      </c>
      <c r="BD148" s="8" t="s">
        <v>2135</v>
      </c>
      <c r="BE148" s="8" t="s">
        <v>5931</v>
      </c>
      <c r="BF148" s="13" t="str">
        <f>HYPERLINK("http://dx.doi.org/10.1016/j.jnc.2015.06.007","http://dx.doi.org/10.1016/j.jnc.2015.06.007")</f>
        <v>http://dx.doi.org/10.1016/j.jnc.2015.06.007</v>
      </c>
      <c r="BG148" s="8" t="s">
        <v>2135</v>
      </c>
      <c r="BH148" s="8" t="s">
        <v>2135</v>
      </c>
      <c r="BI148" s="8">
        <v>9.0</v>
      </c>
      <c r="BJ148" s="8" t="s">
        <v>3558</v>
      </c>
      <c r="BK148" s="8" t="s">
        <v>3352</v>
      </c>
      <c r="BL148" s="8" t="s">
        <v>3353</v>
      </c>
      <c r="BM148" s="8" t="s">
        <v>5932</v>
      </c>
      <c r="BN148" s="8" t="s">
        <v>2135</v>
      </c>
      <c r="BO148" s="8" t="s">
        <v>2135</v>
      </c>
      <c r="BP148" s="8" t="s">
        <v>2135</v>
      </c>
      <c r="BQ148" s="8" t="s">
        <v>2135</v>
      </c>
      <c r="BR148" s="8" t="s">
        <v>3355</v>
      </c>
      <c r="BS148" s="8" t="s">
        <v>5933</v>
      </c>
      <c r="BT148" s="8" t="s">
        <v>2182</v>
      </c>
      <c r="BU148" s="8" t="s">
        <v>2136</v>
      </c>
      <c r="BW148" s="8" t="s">
        <v>2183</v>
      </c>
      <c r="BX148" s="8" t="s">
        <v>2981</v>
      </c>
      <c r="BY148" s="8" t="s">
        <v>2954</v>
      </c>
      <c r="BZ148" s="8" t="str">
        <f>HYPERLINK("https%3A%2F%2Fwww.webofscience.com%2Fwos%2Fwoscc%2Ffull-record%2FWOS:000360202300008","View Full Record in Web of Science")</f>
        <v>View Full Record in Web of Science</v>
      </c>
    </row>
    <row r="149" ht="12.75" customHeight="1">
      <c r="A149" s="8" t="s">
        <v>3329</v>
      </c>
      <c r="B149" s="8" t="s">
        <v>5934</v>
      </c>
      <c r="C149" s="8" t="s">
        <v>2135</v>
      </c>
      <c r="D149" s="8" t="s">
        <v>2135</v>
      </c>
      <c r="E149" s="8" t="s">
        <v>2135</v>
      </c>
      <c r="F149" s="8" t="s">
        <v>5935</v>
      </c>
      <c r="G149" s="8" t="s">
        <v>2135</v>
      </c>
      <c r="H149" s="8" t="s">
        <v>2135</v>
      </c>
      <c r="I149" s="8" t="s">
        <v>821</v>
      </c>
      <c r="J149" s="8" t="s">
        <v>5936</v>
      </c>
      <c r="K149" s="8" t="s">
        <v>2135</v>
      </c>
      <c r="L149" s="8" t="s">
        <v>2135</v>
      </c>
      <c r="M149" s="8" t="s">
        <v>3332</v>
      </c>
      <c r="N149" s="8" t="s">
        <v>3333</v>
      </c>
      <c r="O149" s="8" t="s">
        <v>2135</v>
      </c>
      <c r="P149" s="8" t="s">
        <v>2135</v>
      </c>
      <c r="Q149" s="8" t="s">
        <v>2135</v>
      </c>
      <c r="R149" s="8" t="s">
        <v>2135</v>
      </c>
      <c r="S149" s="8" t="s">
        <v>2135</v>
      </c>
      <c r="T149" s="8" t="s">
        <v>5937</v>
      </c>
      <c r="U149" s="8" t="s">
        <v>5938</v>
      </c>
      <c r="V149" s="8" t="s">
        <v>5939</v>
      </c>
      <c r="W149" s="8" t="s">
        <v>5940</v>
      </c>
      <c r="X149" s="8" t="s">
        <v>5941</v>
      </c>
      <c r="Y149" s="8" t="s">
        <v>5942</v>
      </c>
      <c r="Z149" s="8" t="s">
        <v>5943</v>
      </c>
      <c r="AA149" s="8" t="s">
        <v>5944</v>
      </c>
      <c r="AB149" s="8" t="s">
        <v>5945</v>
      </c>
      <c r="AC149" s="8" t="s">
        <v>5946</v>
      </c>
      <c r="AD149" s="8" t="s">
        <v>5947</v>
      </c>
      <c r="AE149" s="8" t="s">
        <v>5948</v>
      </c>
      <c r="AF149" s="8" t="s">
        <v>2135</v>
      </c>
      <c r="AG149" s="8">
        <v>46.0</v>
      </c>
      <c r="AH149" s="8">
        <v>7.0</v>
      </c>
      <c r="AI149" s="8">
        <v>7.0</v>
      </c>
      <c r="AJ149" s="8">
        <v>0.0</v>
      </c>
      <c r="AK149" s="8">
        <v>50.0</v>
      </c>
      <c r="AL149" s="8" t="s">
        <v>3479</v>
      </c>
      <c r="AM149" s="8" t="s">
        <v>4500</v>
      </c>
      <c r="AN149" s="8" t="s">
        <v>4501</v>
      </c>
      <c r="AO149" s="8" t="s">
        <v>5949</v>
      </c>
      <c r="AP149" s="8" t="s">
        <v>5950</v>
      </c>
      <c r="AQ149" s="8" t="s">
        <v>2135</v>
      </c>
      <c r="AR149" s="8" t="s">
        <v>5951</v>
      </c>
      <c r="AS149" s="8" t="s">
        <v>5952</v>
      </c>
      <c r="AT149" s="8" t="s">
        <v>3462</v>
      </c>
      <c r="AU149" s="8">
        <v>2015.0</v>
      </c>
      <c r="AV149" s="8">
        <v>7.0</v>
      </c>
      <c r="AW149" s="8">
        <v>3.0</v>
      </c>
      <c r="AX149" s="8" t="s">
        <v>2135</v>
      </c>
      <c r="AY149" s="8" t="s">
        <v>2135</v>
      </c>
      <c r="AZ149" s="8" t="s">
        <v>2135</v>
      </c>
      <c r="BA149" s="8" t="s">
        <v>2135</v>
      </c>
      <c r="BB149" s="8">
        <v>697.0</v>
      </c>
      <c r="BC149" s="8">
        <v>704.0</v>
      </c>
      <c r="BD149" s="8" t="s">
        <v>2135</v>
      </c>
      <c r="BE149" s="8" t="s">
        <v>5953</v>
      </c>
      <c r="BF149" s="13" t="str">
        <f>HYPERLINK("http://dx.doi.org/10.1007/s12686-015-0467-x","http://dx.doi.org/10.1007/s12686-015-0467-x")</f>
        <v>http://dx.doi.org/10.1007/s12686-015-0467-x</v>
      </c>
      <c r="BG149" s="8" t="s">
        <v>2135</v>
      </c>
      <c r="BH149" s="8" t="s">
        <v>2135</v>
      </c>
      <c r="BI149" s="8">
        <v>8.0</v>
      </c>
      <c r="BJ149" s="8" t="s">
        <v>4631</v>
      </c>
      <c r="BK149" s="8" t="s">
        <v>3352</v>
      </c>
      <c r="BL149" s="8" t="s">
        <v>4632</v>
      </c>
      <c r="BM149" s="8" t="s">
        <v>5954</v>
      </c>
      <c r="BN149" s="8" t="s">
        <v>2135</v>
      </c>
      <c r="BO149" s="8" t="s">
        <v>2135</v>
      </c>
      <c r="BP149" s="8" t="s">
        <v>2135</v>
      </c>
      <c r="BQ149" s="8" t="s">
        <v>2135</v>
      </c>
      <c r="BR149" s="8" t="s">
        <v>3355</v>
      </c>
      <c r="BS149" s="8" t="s">
        <v>5955</v>
      </c>
      <c r="BT149" s="8" t="s">
        <v>2282</v>
      </c>
      <c r="BU149" s="8" t="s">
        <v>2283</v>
      </c>
      <c r="BW149" s="8" t="s">
        <v>2291</v>
      </c>
      <c r="BX149" s="8" t="s">
        <v>2953</v>
      </c>
      <c r="BY149" s="8" t="s">
        <v>2954</v>
      </c>
      <c r="BZ149" s="8" t="str">
        <f>HYPERLINK("https%3A%2F%2Fwww.webofscience.com%2Fwos%2Fwoscc%2Ffull-record%2FWOS:000359521500022","View Full Record in Web of Science")</f>
        <v>View Full Record in Web of Science</v>
      </c>
    </row>
    <row r="150" ht="12.75" customHeight="1">
      <c r="A150" s="8" t="s">
        <v>3329</v>
      </c>
      <c r="B150" s="8" t="s">
        <v>5956</v>
      </c>
      <c r="C150" s="8" t="s">
        <v>2135</v>
      </c>
      <c r="D150" s="8" t="s">
        <v>2135</v>
      </c>
      <c r="E150" s="8" t="s">
        <v>2135</v>
      </c>
      <c r="F150" s="8" t="s">
        <v>5957</v>
      </c>
      <c r="G150" s="8" t="s">
        <v>2135</v>
      </c>
      <c r="H150" s="8" t="s">
        <v>2135</v>
      </c>
      <c r="I150" s="8" t="s">
        <v>809</v>
      </c>
      <c r="J150" s="8" t="s">
        <v>5064</v>
      </c>
      <c r="K150" s="8" t="s">
        <v>2135</v>
      </c>
      <c r="L150" s="8" t="s">
        <v>2135</v>
      </c>
      <c r="M150" s="8" t="s">
        <v>3332</v>
      </c>
      <c r="N150" s="8" t="s">
        <v>3333</v>
      </c>
      <c r="O150" s="8" t="s">
        <v>2135</v>
      </c>
      <c r="P150" s="8" t="s">
        <v>2135</v>
      </c>
      <c r="Q150" s="8" t="s">
        <v>2135</v>
      </c>
      <c r="R150" s="8" t="s">
        <v>2135</v>
      </c>
      <c r="S150" s="8" t="s">
        <v>2135</v>
      </c>
      <c r="T150" s="8" t="s">
        <v>5958</v>
      </c>
      <c r="U150" s="8" t="s">
        <v>5959</v>
      </c>
      <c r="V150" s="8" t="s">
        <v>5960</v>
      </c>
      <c r="W150" s="8" t="s">
        <v>5961</v>
      </c>
      <c r="X150" s="8" t="s">
        <v>5962</v>
      </c>
      <c r="Y150" s="8" t="s">
        <v>5963</v>
      </c>
      <c r="Z150" s="8" t="s">
        <v>5964</v>
      </c>
      <c r="AA150" s="8" t="s">
        <v>5965</v>
      </c>
      <c r="AB150" s="8" t="s">
        <v>5966</v>
      </c>
      <c r="AC150" s="8" t="s">
        <v>5967</v>
      </c>
      <c r="AD150" s="8" t="s">
        <v>5968</v>
      </c>
      <c r="AE150" s="8" t="s">
        <v>5969</v>
      </c>
      <c r="AF150" s="8" t="s">
        <v>2135</v>
      </c>
      <c r="AG150" s="8">
        <v>72.0</v>
      </c>
      <c r="AH150" s="8">
        <v>2.0</v>
      </c>
      <c r="AI150" s="8">
        <v>2.0</v>
      </c>
      <c r="AJ150" s="8">
        <v>1.0</v>
      </c>
      <c r="AK150" s="8">
        <v>29.0</v>
      </c>
      <c r="AL150" s="8" t="s">
        <v>5073</v>
      </c>
      <c r="AM150" s="8" t="s">
        <v>5074</v>
      </c>
      <c r="AN150" s="8" t="s">
        <v>5488</v>
      </c>
      <c r="AO150" s="8" t="s">
        <v>5076</v>
      </c>
      <c r="AP150" s="8" t="s">
        <v>5970</v>
      </c>
      <c r="AQ150" s="8" t="s">
        <v>2135</v>
      </c>
      <c r="AR150" s="8" t="s">
        <v>5077</v>
      </c>
      <c r="AS150" s="8" t="s">
        <v>5078</v>
      </c>
      <c r="AT150" s="8" t="s">
        <v>3349</v>
      </c>
      <c r="AU150" s="8">
        <v>2014.0</v>
      </c>
      <c r="AV150" s="8">
        <v>81.0</v>
      </c>
      <c r="AW150" s="8">
        <v>2.0</v>
      </c>
      <c r="AX150" s="8" t="s">
        <v>2135</v>
      </c>
      <c r="AY150" s="8" t="s">
        <v>2135</v>
      </c>
      <c r="AZ150" s="8" t="s">
        <v>2135</v>
      </c>
      <c r="BA150" s="8" t="s">
        <v>2135</v>
      </c>
      <c r="BB150" s="8">
        <v>271.0</v>
      </c>
      <c r="BC150" s="8">
        <v>279.0</v>
      </c>
      <c r="BD150" s="8" t="s">
        <v>2135</v>
      </c>
      <c r="BE150" s="8" t="s">
        <v>5971</v>
      </c>
      <c r="BF150" s="13" t="str">
        <f>HYPERLINK("http://dx.doi.org/10.1080/11250003.2014.893378","http://dx.doi.org/10.1080/11250003.2014.893378")</f>
        <v>http://dx.doi.org/10.1080/11250003.2014.893378</v>
      </c>
      <c r="BG150" s="8" t="s">
        <v>2135</v>
      </c>
      <c r="BH150" s="8" t="s">
        <v>2135</v>
      </c>
      <c r="BI150" s="8">
        <v>9.0</v>
      </c>
      <c r="BJ150" s="8" t="s">
        <v>3397</v>
      </c>
      <c r="BK150" s="8" t="s">
        <v>3352</v>
      </c>
      <c r="BL150" s="8" t="s">
        <v>3397</v>
      </c>
      <c r="BM150" s="8" t="s">
        <v>5972</v>
      </c>
      <c r="BN150" s="8" t="s">
        <v>2135</v>
      </c>
      <c r="BO150" s="8" t="s">
        <v>3445</v>
      </c>
      <c r="BP150" s="8" t="s">
        <v>2135</v>
      </c>
      <c r="BQ150" s="8" t="s">
        <v>2135</v>
      </c>
      <c r="BR150" s="8" t="s">
        <v>3355</v>
      </c>
      <c r="BS150" s="8" t="s">
        <v>5973</v>
      </c>
      <c r="BT150" s="8" t="s">
        <v>2497</v>
      </c>
      <c r="BU150" s="8" t="s">
        <v>2142</v>
      </c>
      <c r="BW150" s="8" t="s">
        <v>2517</v>
      </c>
      <c r="BX150" s="8" t="s">
        <v>2953</v>
      </c>
      <c r="BY150" s="8" t="s">
        <v>2954</v>
      </c>
      <c r="BZ150" s="8" t="str">
        <f>HYPERLINK("https%3A%2F%2Fwww.webofscience.com%2Fwos%2Fwoscc%2Ffull-record%2FWOS:000338989400013","View Full Record in Web of Science")</f>
        <v>View Full Record in Web of Science</v>
      </c>
    </row>
    <row r="151" ht="12.75" customHeight="1">
      <c r="A151" s="8" t="s">
        <v>3329</v>
      </c>
      <c r="B151" s="8" t="s">
        <v>4657</v>
      </c>
      <c r="C151" s="8" t="s">
        <v>2135</v>
      </c>
      <c r="D151" s="8" t="s">
        <v>2135</v>
      </c>
      <c r="E151" s="8" t="s">
        <v>2135</v>
      </c>
      <c r="F151" s="8" t="s">
        <v>4658</v>
      </c>
      <c r="G151" s="8" t="s">
        <v>2135</v>
      </c>
      <c r="H151" s="8" t="s">
        <v>2135</v>
      </c>
      <c r="I151" s="8" t="s">
        <v>810</v>
      </c>
      <c r="J151" s="8" t="s">
        <v>4513</v>
      </c>
      <c r="K151" s="8" t="s">
        <v>2135</v>
      </c>
      <c r="L151" s="8" t="s">
        <v>2135</v>
      </c>
      <c r="M151" s="8" t="s">
        <v>3332</v>
      </c>
      <c r="N151" s="8" t="s">
        <v>3333</v>
      </c>
      <c r="O151" s="8" t="s">
        <v>2135</v>
      </c>
      <c r="P151" s="8" t="s">
        <v>2135</v>
      </c>
      <c r="Q151" s="8" t="s">
        <v>2135</v>
      </c>
      <c r="R151" s="8" t="s">
        <v>2135</v>
      </c>
      <c r="S151" s="8" t="s">
        <v>2135</v>
      </c>
      <c r="T151" s="8" t="s">
        <v>5974</v>
      </c>
      <c r="U151" s="8" t="s">
        <v>5975</v>
      </c>
      <c r="V151" s="8" t="s">
        <v>5976</v>
      </c>
      <c r="W151" s="8" t="s">
        <v>5977</v>
      </c>
      <c r="X151" s="8" t="s">
        <v>4663</v>
      </c>
      <c r="Y151" s="8" t="s">
        <v>5978</v>
      </c>
      <c r="Z151" s="8" t="s">
        <v>4665</v>
      </c>
      <c r="AA151" s="8" t="s">
        <v>2135</v>
      </c>
      <c r="AB151" s="8" t="s">
        <v>2135</v>
      </c>
      <c r="AC151" s="8" t="s">
        <v>4666</v>
      </c>
      <c r="AD151" s="8" t="s">
        <v>4666</v>
      </c>
      <c r="AE151" s="8" t="s">
        <v>5979</v>
      </c>
      <c r="AF151" s="8" t="s">
        <v>2135</v>
      </c>
      <c r="AG151" s="8">
        <v>71.0</v>
      </c>
      <c r="AH151" s="8">
        <v>33.0</v>
      </c>
      <c r="AI151" s="8">
        <v>46.0</v>
      </c>
      <c r="AJ151" s="8">
        <v>1.0</v>
      </c>
      <c r="AK151" s="8">
        <v>82.0</v>
      </c>
      <c r="AL151" s="8" t="s">
        <v>4394</v>
      </c>
      <c r="AM151" s="8" t="s">
        <v>3367</v>
      </c>
      <c r="AN151" s="8" t="s">
        <v>4395</v>
      </c>
      <c r="AO151" s="8" t="s">
        <v>4522</v>
      </c>
      <c r="AP151" s="8" t="s">
        <v>4523</v>
      </c>
      <c r="AQ151" s="8" t="s">
        <v>2135</v>
      </c>
      <c r="AR151" s="8" t="s">
        <v>4524</v>
      </c>
      <c r="AS151" s="8" t="s">
        <v>4525</v>
      </c>
      <c r="AT151" s="8" t="s">
        <v>5980</v>
      </c>
      <c r="AU151" s="8">
        <v>2014.0</v>
      </c>
      <c r="AV151" s="8">
        <v>314.0</v>
      </c>
      <c r="AW151" s="8" t="s">
        <v>2135</v>
      </c>
      <c r="AX151" s="8" t="s">
        <v>2135</v>
      </c>
      <c r="AY151" s="8" t="s">
        <v>2135</v>
      </c>
      <c r="AZ151" s="8" t="s">
        <v>2135</v>
      </c>
      <c r="BA151" s="8" t="s">
        <v>2135</v>
      </c>
      <c r="BB151" s="8">
        <v>75.0</v>
      </c>
      <c r="BC151" s="8">
        <v>84.0</v>
      </c>
      <c r="BD151" s="8" t="s">
        <v>2135</v>
      </c>
      <c r="BE151" s="8" t="s">
        <v>5981</v>
      </c>
      <c r="BF151" s="13" t="str">
        <f>HYPERLINK("http://dx.doi.org/10.1016/j.foreco.2013.11.029","http://dx.doi.org/10.1016/j.foreco.2013.11.029")</f>
        <v>http://dx.doi.org/10.1016/j.foreco.2013.11.029</v>
      </c>
      <c r="BG151" s="8" t="s">
        <v>2135</v>
      </c>
      <c r="BH151" s="8" t="s">
        <v>2135</v>
      </c>
      <c r="BI151" s="8">
        <v>10.0</v>
      </c>
      <c r="BJ151" s="8" t="s">
        <v>3423</v>
      </c>
      <c r="BK151" s="8" t="s">
        <v>3352</v>
      </c>
      <c r="BL151" s="8" t="s">
        <v>3423</v>
      </c>
      <c r="BM151" s="8" t="s">
        <v>5982</v>
      </c>
      <c r="BN151" s="8" t="s">
        <v>2135</v>
      </c>
      <c r="BO151" s="8" t="s">
        <v>2135</v>
      </c>
      <c r="BP151" s="8" t="s">
        <v>2135</v>
      </c>
      <c r="BQ151" s="8" t="s">
        <v>2135</v>
      </c>
      <c r="BR151" s="8" t="s">
        <v>3355</v>
      </c>
      <c r="BS151" s="8" t="s">
        <v>5983</v>
      </c>
      <c r="BT151" s="8" t="s">
        <v>2600</v>
      </c>
      <c r="BU151" s="8" t="s">
        <v>2147</v>
      </c>
      <c r="BV151" s="8" t="s">
        <v>2217</v>
      </c>
      <c r="BW151" s="8" t="s">
        <v>2224</v>
      </c>
      <c r="BX151" s="8" t="s">
        <v>2971</v>
      </c>
      <c r="BY151" s="8" t="s">
        <v>2954</v>
      </c>
      <c r="BZ151" s="8" t="str">
        <f>HYPERLINK("https%3A%2F%2Fwww.webofscience.com%2Fwos%2Fwoscc%2Ffull-record%2FWOS:000331851100009","View Full Record in Web of Science")</f>
        <v>View Full Record in Web of Science</v>
      </c>
    </row>
    <row r="152" ht="12.75" customHeight="1">
      <c r="A152" s="8" t="s">
        <v>3329</v>
      </c>
      <c r="B152" s="8" t="s">
        <v>5984</v>
      </c>
      <c r="C152" s="8" t="s">
        <v>2135</v>
      </c>
      <c r="D152" s="8" t="s">
        <v>2135</v>
      </c>
      <c r="E152" s="8" t="s">
        <v>2135</v>
      </c>
      <c r="F152" s="8" t="s">
        <v>5985</v>
      </c>
      <c r="G152" s="8" t="s">
        <v>2135</v>
      </c>
      <c r="H152" s="8" t="s">
        <v>2135</v>
      </c>
      <c r="I152" s="8" t="s">
        <v>465</v>
      </c>
      <c r="J152" s="8" t="s">
        <v>3941</v>
      </c>
      <c r="K152" s="8" t="s">
        <v>2135</v>
      </c>
      <c r="L152" s="8" t="s">
        <v>2135</v>
      </c>
      <c r="M152" s="8" t="s">
        <v>3332</v>
      </c>
      <c r="N152" s="8" t="s">
        <v>3333</v>
      </c>
      <c r="O152" s="8" t="s">
        <v>2135</v>
      </c>
      <c r="P152" s="8" t="s">
        <v>2135</v>
      </c>
      <c r="Q152" s="8" t="s">
        <v>2135</v>
      </c>
      <c r="R152" s="8" t="s">
        <v>2135</v>
      </c>
      <c r="S152" s="8" t="s">
        <v>2135</v>
      </c>
      <c r="T152" s="8" t="s">
        <v>5986</v>
      </c>
      <c r="U152" s="8" t="s">
        <v>5987</v>
      </c>
      <c r="V152" s="8" t="s">
        <v>5988</v>
      </c>
      <c r="W152" s="8" t="s">
        <v>5989</v>
      </c>
      <c r="X152" s="8" t="s">
        <v>5990</v>
      </c>
      <c r="Y152" s="8" t="s">
        <v>5991</v>
      </c>
      <c r="Z152" s="8" t="s">
        <v>5992</v>
      </c>
      <c r="AA152" s="8" t="s">
        <v>5993</v>
      </c>
      <c r="AB152" s="8" t="s">
        <v>5994</v>
      </c>
      <c r="AC152" s="8" t="s">
        <v>5995</v>
      </c>
      <c r="AD152" s="8" t="s">
        <v>5996</v>
      </c>
      <c r="AE152" s="8" t="s">
        <v>5997</v>
      </c>
      <c r="AF152" s="8" t="s">
        <v>2135</v>
      </c>
      <c r="AG152" s="8">
        <v>57.0</v>
      </c>
      <c r="AH152" s="8">
        <v>6.0</v>
      </c>
      <c r="AI152" s="8">
        <v>10.0</v>
      </c>
      <c r="AJ152" s="8">
        <v>2.0</v>
      </c>
      <c r="AK152" s="8">
        <v>74.0</v>
      </c>
      <c r="AL152" s="8" t="s">
        <v>3921</v>
      </c>
      <c r="AM152" s="8" t="s">
        <v>3922</v>
      </c>
      <c r="AN152" s="8" t="s">
        <v>3923</v>
      </c>
      <c r="AO152" s="8" t="s">
        <v>3953</v>
      </c>
      <c r="AP152" s="8" t="s">
        <v>3954</v>
      </c>
      <c r="AQ152" s="8" t="s">
        <v>2135</v>
      </c>
      <c r="AR152" s="8" t="s">
        <v>3955</v>
      </c>
      <c r="AS152" s="8" t="s">
        <v>3956</v>
      </c>
      <c r="AT152" s="8" t="s">
        <v>5998</v>
      </c>
      <c r="AU152" s="8">
        <v>2014.0</v>
      </c>
      <c r="AV152" s="8">
        <v>105.0</v>
      </c>
      <c r="AW152" s="8">
        <v>1.0</v>
      </c>
      <c r="AX152" s="8" t="s">
        <v>2135</v>
      </c>
      <c r="AY152" s="8" t="s">
        <v>2135</v>
      </c>
      <c r="AZ152" s="8" t="s">
        <v>2135</v>
      </c>
      <c r="BA152" s="8" t="s">
        <v>2135</v>
      </c>
      <c r="BB152" s="8">
        <v>39.0</v>
      </c>
      <c r="BC152" s="8">
        <v>47.0</v>
      </c>
      <c r="BD152" s="8" t="s">
        <v>2135</v>
      </c>
      <c r="BE152" s="8" t="s">
        <v>5999</v>
      </c>
      <c r="BF152" s="13" t="str">
        <f>HYPERLINK("http://dx.doi.org/10.1093/jhered/est069","http://dx.doi.org/10.1093/jhered/est069")</f>
        <v>http://dx.doi.org/10.1093/jhered/est069</v>
      </c>
      <c r="BG152" s="8" t="s">
        <v>2135</v>
      </c>
      <c r="BH152" s="8" t="s">
        <v>2135</v>
      </c>
      <c r="BI152" s="8">
        <v>9.0</v>
      </c>
      <c r="BJ152" s="8" t="s">
        <v>3958</v>
      </c>
      <c r="BK152" s="8" t="s">
        <v>3352</v>
      </c>
      <c r="BL152" s="8" t="s">
        <v>3958</v>
      </c>
      <c r="BM152" s="8" t="s">
        <v>6000</v>
      </c>
      <c r="BN152" s="8">
        <v>2.4154534E7</v>
      </c>
      <c r="BO152" s="8" t="s">
        <v>3445</v>
      </c>
      <c r="BP152" s="8" t="s">
        <v>2135</v>
      </c>
      <c r="BQ152" s="8" t="s">
        <v>2135</v>
      </c>
      <c r="BR152" s="8" t="s">
        <v>3355</v>
      </c>
      <c r="BS152" s="8" t="s">
        <v>6001</v>
      </c>
      <c r="BT152" s="8" t="s">
        <v>2216</v>
      </c>
      <c r="BU152" s="8" t="s">
        <v>2147</v>
      </c>
      <c r="BV152" s="8" t="s">
        <v>2217</v>
      </c>
      <c r="BW152" s="8" t="s">
        <v>2234</v>
      </c>
      <c r="BX152" s="8" t="s">
        <v>2953</v>
      </c>
      <c r="BY152" s="8" t="s">
        <v>2954</v>
      </c>
      <c r="BZ152" s="8" t="str">
        <f>HYPERLINK("https%3A%2F%2Fwww.webofscience.com%2Fwos%2Fwoscc%2Ffull-record%2FWOS:000328427800004","View Full Record in Web of Science")</f>
        <v>View Full Record in Web of Science</v>
      </c>
    </row>
    <row r="153" ht="12.75" customHeight="1">
      <c r="A153" s="8" t="s">
        <v>3329</v>
      </c>
      <c r="B153" s="8" t="s">
        <v>6002</v>
      </c>
      <c r="C153" s="8" t="s">
        <v>2135</v>
      </c>
      <c r="D153" s="8" t="s">
        <v>2135</v>
      </c>
      <c r="E153" s="8" t="s">
        <v>2135</v>
      </c>
      <c r="F153" s="8" t="s">
        <v>6003</v>
      </c>
      <c r="G153" s="8" t="s">
        <v>2135</v>
      </c>
      <c r="H153" s="8" t="s">
        <v>2135</v>
      </c>
      <c r="I153" s="8" t="s">
        <v>812</v>
      </c>
      <c r="J153" s="8" t="s">
        <v>4065</v>
      </c>
      <c r="K153" s="8" t="s">
        <v>2135</v>
      </c>
      <c r="L153" s="8" t="s">
        <v>2135</v>
      </c>
      <c r="M153" s="8" t="s">
        <v>3332</v>
      </c>
      <c r="N153" s="8" t="s">
        <v>3333</v>
      </c>
      <c r="O153" s="8" t="s">
        <v>2135</v>
      </c>
      <c r="P153" s="8" t="s">
        <v>2135</v>
      </c>
      <c r="Q153" s="8" t="s">
        <v>2135</v>
      </c>
      <c r="R153" s="8" t="s">
        <v>2135</v>
      </c>
      <c r="S153" s="8" t="s">
        <v>2135</v>
      </c>
      <c r="T153" s="8" t="s">
        <v>6004</v>
      </c>
      <c r="U153" s="8" t="s">
        <v>6005</v>
      </c>
      <c r="V153" s="8" t="s">
        <v>6006</v>
      </c>
      <c r="W153" s="8" t="s">
        <v>6007</v>
      </c>
      <c r="X153" s="8" t="s">
        <v>6008</v>
      </c>
      <c r="Y153" s="8" t="s">
        <v>6009</v>
      </c>
      <c r="Z153" s="8" t="s">
        <v>6010</v>
      </c>
      <c r="AA153" s="8" t="s">
        <v>2135</v>
      </c>
      <c r="AB153" s="8" t="s">
        <v>2135</v>
      </c>
      <c r="AC153" s="8" t="s">
        <v>2135</v>
      </c>
      <c r="AD153" s="8" t="s">
        <v>2135</v>
      </c>
      <c r="AE153" s="8" t="s">
        <v>2135</v>
      </c>
      <c r="AF153" s="8" t="s">
        <v>2135</v>
      </c>
      <c r="AG153" s="8">
        <v>65.0</v>
      </c>
      <c r="AH153" s="8">
        <v>10.0</v>
      </c>
      <c r="AI153" s="8">
        <v>19.0</v>
      </c>
      <c r="AJ153" s="8">
        <v>0.0</v>
      </c>
      <c r="AK153" s="8">
        <v>48.0</v>
      </c>
      <c r="AL153" s="8" t="s">
        <v>4751</v>
      </c>
      <c r="AM153" s="8" t="s">
        <v>1288</v>
      </c>
      <c r="AN153" s="8" t="s">
        <v>4752</v>
      </c>
      <c r="AO153" s="8" t="s">
        <v>4077</v>
      </c>
      <c r="AP153" s="8" t="s">
        <v>4753</v>
      </c>
      <c r="AQ153" s="8" t="s">
        <v>2135</v>
      </c>
      <c r="AR153" s="8" t="s">
        <v>4078</v>
      </c>
      <c r="AS153" s="8" t="s">
        <v>4079</v>
      </c>
      <c r="AT153" s="8" t="s">
        <v>2135</v>
      </c>
      <c r="AU153" s="8">
        <v>2014.0</v>
      </c>
      <c r="AV153" s="8">
        <v>62.0</v>
      </c>
      <c r="AW153" s="8" t="s">
        <v>2135</v>
      </c>
      <c r="AX153" s="8" t="s">
        <v>2135</v>
      </c>
      <c r="AY153" s="8" t="s">
        <v>2135</v>
      </c>
      <c r="AZ153" s="8" t="s">
        <v>2135</v>
      </c>
      <c r="BA153" s="8" t="s">
        <v>2135</v>
      </c>
      <c r="BB153" s="8">
        <v>31.0</v>
      </c>
      <c r="BC153" s="8">
        <v>49.0</v>
      </c>
      <c r="BD153" s="8" t="s">
        <v>2135</v>
      </c>
      <c r="BE153" s="8" t="s">
        <v>2135</v>
      </c>
      <c r="BF153" s="8" t="s">
        <v>2135</v>
      </c>
      <c r="BG153" s="8" t="s">
        <v>2135</v>
      </c>
      <c r="BH153" s="8" t="s">
        <v>2135</v>
      </c>
      <c r="BI153" s="8">
        <v>19.0</v>
      </c>
      <c r="BJ153" s="8" t="s">
        <v>3397</v>
      </c>
      <c r="BK153" s="8" t="s">
        <v>3352</v>
      </c>
      <c r="BL153" s="8" t="s">
        <v>3397</v>
      </c>
      <c r="BM153" s="8" t="s">
        <v>6011</v>
      </c>
      <c r="BN153" s="8" t="s">
        <v>2135</v>
      </c>
      <c r="BO153" s="8" t="s">
        <v>2135</v>
      </c>
      <c r="BP153" s="8" t="s">
        <v>2135</v>
      </c>
      <c r="BQ153" s="8" t="s">
        <v>2135</v>
      </c>
      <c r="BR153" s="8" t="s">
        <v>3355</v>
      </c>
      <c r="BS153" s="8" t="s">
        <v>6012</v>
      </c>
      <c r="BT153" s="8" t="s">
        <v>2406</v>
      </c>
      <c r="BU153" s="8" t="s">
        <v>2283</v>
      </c>
      <c r="BW153" s="8" t="s">
        <v>2409</v>
      </c>
      <c r="BX153" s="8" t="s">
        <v>2953</v>
      </c>
      <c r="BY153" s="8" t="s">
        <v>2954</v>
      </c>
      <c r="BZ153" s="8" t="str">
        <f>HYPERLINK("https%3A%2F%2Fwww.webofscience.com%2Fwos%2Fwoscc%2Ffull-record%2FWOS:000342864800007","View Full Record in Web of Science")</f>
        <v>View Full Record in Web of Science</v>
      </c>
    </row>
    <row r="154" ht="12.75" customHeight="1">
      <c r="A154" s="8" t="s">
        <v>3329</v>
      </c>
      <c r="B154" s="8" t="s">
        <v>6013</v>
      </c>
      <c r="C154" s="8" t="s">
        <v>2135</v>
      </c>
      <c r="D154" s="8" t="s">
        <v>2135</v>
      </c>
      <c r="E154" s="8" t="s">
        <v>2135</v>
      </c>
      <c r="F154" s="8" t="s">
        <v>6014</v>
      </c>
      <c r="G154" s="8" t="s">
        <v>2135</v>
      </c>
      <c r="H154" s="8" t="s">
        <v>2135</v>
      </c>
      <c r="I154" s="8" t="s">
        <v>815</v>
      </c>
      <c r="J154" s="8" t="s">
        <v>5790</v>
      </c>
      <c r="K154" s="8" t="s">
        <v>2135</v>
      </c>
      <c r="L154" s="8" t="s">
        <v>2135</v>
      </c>
      <c r="M154" s="8" t="s">
        <v>3332</v>
      </c>
      <c r="N154" s="8" t="s">
        <v>3333</v>
      </c>
      <c r="O154" s="8" t="s">
        <v>2135</v>
      </c>
      <c r="P154" s="8" t="s">
        <v>2135</v>
      </c>
      <c r="Q154" s="8" t="s">
        <v>2135</v>
      </c>
      <c r="R154" s="8" t="s">
        <v>2135</v>
      </c>
      <c r="S154" s="8" t="s">
        <v>2135</v>
      </c>
      <c r="T154" s="8" t="s">
        <v>6015</v>
      </c>
      <c r="U154" s="8" t="s">
        <v>6016</v>
      </c>
      <c r="V154" s="8" t="s">
        <v>6017</v>
      </c>
      <c r="W154" s="8" t="s">
        <v>6018</v>
      </c>
      <c r="X154" s="8" t="s">
        <v>6019</v>
      </c>
      <c r="Y154" s="8" t="s">
        <v>6020</v>
      </c>
      <c r="Z154" s="8" t="s">
        <v>6021</v>
      </c>
      <c r="AA154" s="8" t="s">
        <v>6022</v>
      </c>
      <c r="AB154" s="8" t="s">
        <v>6023</v>
      </c>
      <c r="AC154" s="8" t="s">
        <v>6024</v>
      </c>
      <c r="AD154" s="8" t="s">
        <v>6024</v>
      </c>
      <c r="AE154" s="8" t="s">
        <v>6025</v>
      </c>
      <c r="AF154" s="8" t="s">
        <v>2135</v>
      </c>
      <c r="AG154" s="8">
        <v>59.0</v>
      </c>
      <c r="AH154" s="8">
        <v>7.0</v>
      </c>
      <c r="AI154" s="8">
        <v>10.0</v>
      </c>
      <c r="AJ154" s="8">
        <v>0.0</v>
      </c>
      <c r="AK154" s="8">
        <v>68.0</v>
      </c>
      <c r="AL154" s="8" t="s">
        <v>5802</v>
      </c>
      <c r="AM154" s="8" t="s">
        <v>5803</v>
      </c>
      <c r="AN154" s="8" t="s">
        <v>5804</v>
      </c>
      <c r="AO154" s="8" t="s">
        <v>5805</v>
      </c>
      <c r="AP154" s="8" t="s">
        <v>5806</v>
      </c>
      <c r="AQ154" s="8" t="s">
        <v>2135</v>
      </c>
      <c r="AR154" s="8" t="s">
        <v>5807</v>
      </c>
      <c r="AS154" s="8" t="s">
        <v>5808</v>
      </c>
      <c r="AT154" s="8" t="s">
        <v>2135</v>
      </c>
      <c r="AU154" s="8">
        <v>2014.0</v>
      </c>
      <c r="AV154" s="8">
        <v>41.0</v>
      </c>
      <c r="AW154" s="8">
        <v>6.0</v>
      </c>
      <c r="AX154" s="8" t="s">
        <v>2135</v>
      </c>
      <c r="AY154" s="8" t="s">
        <v>2135</v>
      </c>
      <c r="AZ154" s="8" t="s">
        <v>2135</v>
      </c>
      <c r="BA154" s="8" t="s">
        <v>2135</v>
      </c>
      <c r="BB154" s="8">
        <v>490.0</v>
      </c>
      <c r="BC154" s="8">
        <v>498.0</v>
      </c>
      <c r="BD154" s="8" t="s">
        <v>2135</v>
      </c>
      <c r="BE154" s="8" t="s">
        <v>6026</v>
      </c>
      <c r="BF154" s="13" t="str">
        <f>HYPERLINK("http://dx.doi.org/10.1071/WR14032","http://dx.doi.org/10.1071/WR14032")</f>
        <v>http://dx.doi.org/10.1071/WR14032</v>
      </c>
      <c r="BG154" s="8" t="s">
        <v>2135</v>
      </c>
      <c r="BH154" s="8" t="s">
        <v>2135</v>
      </c>
      <c r="BI154" s="8">
        <v>9.0</v>
      </c>
      <c r="BJ154" s="8" t="s">
        <v>3442</v>
      </c>
      <c r="BK154" s="8" t="s">
        <v>4060</v>
      </c>
      <c r="BL154" s="8" t="s">
        <v>3443</v>
      </c>
      <c r="BM154" s="8" t="s">
        <v>6027</v>
      </c>
      <c r="BN154" s="8" t="s">
        <v>2135</v>
      </c>
      <c r="BO154" s="8" t="s">
        <v>2135</v>
      </c>
      <c r="BP154" s="8" t="s">
        <v>2135</v>
      </c>
      <c r="BQ154" s="8" t="s">
        <v>2135</v>
      </c>
      <c r="BR154" s="8" t="s">
        <v>3355</v>
      </c>
      <c r="BS154" s="8" t="s">
        <v>6028</v>
      </c>
      <c r="BT154" s="8" t="s">
        <v>2462</v>
      </c>
      <c r="BU154" s="8" t="s">
        <v>2147</v>
      </c>
      <c r="BW154" s="8" t="s">
        <v>2186</v>
      </c>
      <c r="BX154" s="8" t="s">
        <v>2953</v>
      </c>
      <c r="BY154" s="8" t="s">
        <v>2954</v>
      </c>
      <c r="BZ154" s="8" t="str">
        <f>HYPERLINK("https%3A%2F%2Fwww.webofscience.com%2Fwos%2Fwoscc%2Ffull-record%2FWOS:000350284200004","View Full Record in Web of Science")</f>
        <v>View Full Record in Web of Science</v>
      </c>
    </row>
    <row r="155" ht="12.75" customHeight="1">
      <c r="A155" s="8" t="s">
        <v>3329</v>
      </c>
      <c r="B155" s="8" t="s">
        <v>6029</v>
      </c>
      <c r="C155" s="8" t="s">
        <v>2135</v>
      </c>
      <c r="D155" s="8" t="s">
        <v>2135</v>
      </c>
      <c r="E155" s="8" t="s">
        <v>2135</v>
      </c>
      <c r="F155" s="8" t="s">
        <v>6030</v>
      </c>
      <c r="G155" s="8" t="s">
        <v>2135</v>
      </c>
      <c r="H155" s="8" t="s">
        <v>2135</v>
      </c>
      <c r="I155" s="8" t="s">
        <v>463</v>
      </c>
      <c r="J155" s="8" t="s">
        <v>4162</v>
      </c>
      <c r="K155" s="8" t="s">
        <v>2135</v>
      </c>
      <c r="L155" s="8" t="s">
        <v>2135</v>
      </c>
      <c r="M155" s="8" t="s">
        <v>3332</v>
      </c>
      <c r="N155" s="8" t="s">
        <v>3333</v>
      </c>
      <c r="O155" s="8" t="s">
        <v>2135</v>
      </c>
      <c r="P155" s="8" t="s">
        <v>2135</v>
      </c>
      <c r="Q155" s="8" t="s">
        <v>2135</v>
      </c>
      <c r="R155" s="8" t="s">
        <v>2135</v>
      </c>
      <c r="S155" s="8" t="s">
        <v>2135</v>
      </c>
      <c r="T155" s="8" t="s">
        <v>6031</v>
      </c>
      <c r="U155" s="8" t="s">
        <v>6032</v>
      </c>
      <c r="V155" s="8" t="s">
        <v>6033</v>
      </c>
      <c r="W155" s="8" t="s">
        <v>6034</v>
      </c>
      <c r="X155" s="8" t="s">
        <v>6035</v>
      </c>
      <c r="Y155" s="8" t="s">
        <v>6036</v>
      </c>
      <c r="Z155" s="8" t="s">
        <v>6037</v>
      </c>
      <c r="AA155" s="8" t="s">
        <v>2135</v>
      </c>
      <c r="AB155" s="8" t="s">
        <v>6038</v>
      </c>
      <c r="AC155" s="8" t="s">
        <v>6039</v>
      </c>
      <c r="AD155" s="8" t="s">
        <v>6039</v>
      </c>
      <c r="AE155" s="8" t="s">
        <v>6040</v>
      </c>
      <c r="AF155" s="8" t="s">
        <v>2135</v>
      </c>
      <c r="AG155" s="8">
        <v>80.0</v>
      </c>
      <c r="AH155" s="8">
        <v>23.0</v>
      </c>
      <c r="AI155" s="8">
        <v>31.0</v>
      </c>
      <c r="AJ155" s="8">
        <v>3.0</v>
      </c>
      <c r="AK155" s="8">
        <v>141.0</v>
      </c>
      <c r="AL155" s="8" t="s">
        <v>3342</v>
      </c>
      <c r="AM155" s="8" t="s">
        <v>3343</v>
      </c>
      <c r="AN155" s="8" t="s">
        <v>3344</v>
      </c>
      <c r="AO155" s="8" t="s">
        <v>4175</v>
      </c>
      <c r="AP155" s="8" t="s">
        <v>4176</v>
      </c>
      <c r="AQ155" s="8" t="s">
        <v>2135</v>
      </c>
      <c r="AR155" s="8" t="s">
        <v>4177</v>
      </c>
      <c r="AS155" s="8" t="s">
        <v>4178</v>
      </c>
      <c r="AT155" s="8" t="s">
        <v>3440</v>
      </c>
      <c r="AU155" s="8">
        <v>2013.0</v>
      </c>
      <c r="AV155" s="8">
        <v>77.0</v>
      </c>
      <c r="AW155" s="8">
        <v>8.0</v>
      </c>
      <c r="AX155" s="8" t="s">
        <v>2135</v>
      </c>
      <c r="AY155" s="8" t="s">
        <v>2135</v>
      </c>
      <c r="AZ155" s="8" t="s">
        <v>2135</v>
      </c>
      <c r="BA155" s="8" t="s">
        <v>2135</v>
      </c>
      <c r="BB155" s="8">
        <v>1523.0</v>
      </c>
      <c r="BC155" s="8">
        <v>1531.0</v>
      </c>
      <c r="BD155" s="8" t="s">
        <v>2135</v>
      </c>
      <c r="BE155" s="8" t="s">
        <v>6041</v>
      </c>
      <c r="BF155" s="13" t="str">
        <f>HYPERLINK("http://dx.doi.org/10.1002/jwmg.610","http://dx.doi.org/10.1002/jwmg.610")</f>
        <v>http://dx.doi.org/10.1002/jwmg.610</v>
      </c>
      <c r="BG155" s="8" t="s">
        <v>2135</v>
      </c>
      <c r="BH155" s="8" t="s">
        <v>2135</v>
      </c>
      <c r="BI155" s="8">
        <v>9.0</v>
      </c>
      <c r="BJ155" s="8" t="s">
        <v>3442</v>
      </c>
      <c r="BK155" s="8" t="s">
        <v>3352</v>
      </c>
      <c r="BL155" s="8" t="s">
        <v>3443</v>
      </c>
      <c r="BM155" s="8" t="s">
        <v>6042</v>
      </c>
      <c r="BN155" s="8" t="s">
        <v>2135</v>
      </c>
      <c r="BO155" s="8" t="s">
        <v>2135</v>
      </c>
      <c r="BP155" s="8" t="s">
        <v>2135</v>
      </c>
      <c r="BQ155" s="8" t="s">
        <v>2135</v>
      </c>
      <c r="BR155" s="8" t="s">
        <v>3355</v>
      </c>
      <c r="BS155" s="8" t="s">
        <v>6043</v>
      </c>
      <c r="BT155" s="8" t="s">
        <v>2600</v>
      </c>
      <c r="BU155" s="8" t="s">
        <v>2147</v>
      </c>
      <c r="BV155" s="8" t="s">
        <v>2217</v>
      </c>
      <c r="BW155" s="8" t="s">
        <v>2234</v>
      </c>
      <c r="BX155" s="8" t="s">
        <v>2953</v>
      </c>
      <c r="BY155" s="8" t="s">
        <v>2954</v>
      </c>
      <c r="BZ155" s="8" t="str">
        <f>HYPERLINK("https%3A%2F%2Fwww.webofscience.com%2Fwos%2Fwoscc%2Ffull-record%2FWOS:000326011100005","View Full Record in Web of Science")</f>
        <v>View Full Record in Web of Science</v>
      </c>
    </row>
    <row r="156" ht="12.75" customHeight="1">
      <c r="A156" s="8" t="s">
        <v>3329</v>
      </c>
      <c r="B156" s="8" t="s">
        <v>6044</v>
      </c>
      <c r="C156" s="8" t="s">
        <v>2135</v>
      </c>
      <c r="D156" s="8" t="s">
        <v>2135</v>
      </c>
      <c r="E156" s="8" t="s">
        <v>2135</v>
      </c>
      <c r="F156" s="8" t="s">
        <v>6045</v>
      </c>
      <c r="G156" s="8" t="s">
        <v>2135</v>
      </c>
      <c r="H156" s="8" t="s">
        <v>2135</v>
      </c>
      <c r="I156" s="8" t="s">
        <v>807</v>
      </c>
      <c r="J156" s="8" t="s">
        <v>3537</v>
      </c>
      <c r="K156" s="8" t="s">
        <v>2135</v>
      </c>
      <c r="L156" s="8" t="s">
        <v>2135</v>
      </c>
      <c r="M156" s="8" t="s">
        <v>3332</v>
      </c>
      <c r="N156" s="8" t="s">
        <v>3333</v>
      </c>
      <c r="O156" s="8" t="s">
        <v>2135</v>
      </c>
      <c r="P156" s="8" t="s">
        <v>2135</v>
      </c>
      <c r="Q156" s="8" t="s">
        <v>2135</v>
      </c>
      <c r="R156" s="8" t="s">
        <v>2135</v>
      </c>
      <c r="S156" s="8" t="s">
        <v>2135</v>
      </c>
      <c r="T156" s="8" t="s">
        <v>6046</v>
      </c>
      <c r="U156" s="8" t="s">
        <v>6047</v>
      </c>
      <c r="V156" s="8" t="s">
        <v>6048</v>
      </c>
      <c r="W156" s="8" t="s">
        <v>6049</v>
      </c>
      <c r="X156" s="8" t="s">
        <v>6050</v>
      </c>
      <c r="Y156" s="8" t="s">
        <v>6051</v>
      </c>
      <c r="Z156" s="8" t="s">
        <v>6052</v>
      </c>
      <c r="AA156" s="8" t="s">
        <v>6053</v>
      </c>
      <c r="AB156" s="8" t="s">
        <v>6054</v>
      </c>
      <c r="AC156" s="8" t="s">
        <v>6055</v>
      </c>
      <c r="AD156" s="8" t="s">
        <v>6056</v>
      </c>
      <c r="AE156" s="8" t="s">
        <v>6057</v>
      </c>
      <c r="AF156" s="8" t="s">
        <v>2135</v>
      </c>
      <c r="AG156" s="8">
        <v>33.0</v>
      </c>
      <c r="AH156" s="8">
        <v>13.0</v>
      </c>
      <c r="AI156" s="8">
        <v>13.0</v>
      </c>
      <c r="AJ156" s="8">
        <v>0.0</v>
      </c>
      <c r="AK156" s="8">
        <v>106.0</v>
      </c>
      <c r="AL156" s="8" t="s">
        <v>3550</v>
      </c>
      <c r="AM156" s="8" t="s">
        <v>3480</v>
      </c>
      <c r="AN156" s="8" t="s">
        <v>6058</v>
      </c>
      <c r="AO156" s="8" t="s">
        <v>3553</v>
      </c>
      <c r="AP156" s="8" t="s">
        <v>2135</v>
      </c>
      <c r="AQ156" s="8" t="s">
        <v>2135</v>
      </c>
      <c r="AR156" s="8" t="s">
        <v>3537</v>
      </c>
      <c r="AS156" s="8" t="s">
        <v>3555</v>
      </c>
      <c r="AT156" s="8" t="s">
        <v>3556</v>
      </c>
      <c r="AU156" s="8">
        <v>2013.0</v>
      </c>
      <c r="AV156" s="8">
        <v>47.0</v>
      </c>
      <c r="AW156" s="8">
        <v>2.0</v>
      </c>
      <c r="AX156" s="8" t="s">
        <v>2135</v>
      </c>
      <c r="AY156" s="8" t="s">
        <v>2135</v>
      </c>
      <c r="AZ156" s="8" t="s">
        <v>2135</v>
      </c>
      <c r="BA156" s="8" t="s">
        <v>2135</v>
      </c>
      <c r="BB156" s="8">
        <v>177.0</v>
      </c>
      <c r="BC156" s="8">
        <v>183.0</v>
      </c>
      <c r="BD156" s="8" t="s">
        <v>2135</v>
      </c>
      <c r="BE156" s="8" t="s">
        <v>6059</v>
      </c>
      <c r="BF156" s="13" t="str">
        <f>HYPERLINK("http://dx.doi.org/10.1017/S0030605311001669","http://dx.doi.org/10.1017/S0030605311001669")</f>
        <v>http://dx.doi.org/10.1017/S0030605311001669</v>
      </c>
      <c r="BG156" s="8" t="s">
        <v>2135</v>
      </c>
      <c r="BH156" s="8" t="s">
        <v>2135</v>
      </c>
      <c r="BI156" s="8">
        <v>7.0</v>
      </c>
      <c r="BJ156" s="8" t="s">
        <v>3558</v>
      </c>
      <c r="BK156" s="8" t="s">
        <v>3352</v>
      </c>
      <c r="BL156" s="8" t="s">
        <v>3353</v>
      </c>
      <c r="BM156" s="8" t="s">
        <v>6060</v>
      </c>
      <c r="BN156" s="8" t="s">
        <v>2135</v>
      </c>
      <c r="BO156" s="8" t="s">
        <v>3445</v>
      </c>
      <c r="BP156" s="8" t="s">
        <v>2135</v>
      </c>
      <c r="BQ156" s="8" t="s">
        <v>2135</v>
      </c>
      <c r="BR156" s="8" t="s">
        <v>3355</v>
      </c>
      <c r="BS156" s="8" t="s">
        <v>6061</v>
      </c>
      <c r="BT156" s="8" t="s">
        <v>2832</v>
      </c>
      <c r="BU156" s="8" t="s">
        <v>2283</v>
      </c>
      <c r="BW156" s="8" t="s">
        <v>2833</v>
      </c>
      <c r="BX156" s="8" t="s">
        <v>3022</v>
      </c>
      <c r="BY156" s="8" t="s">
        <v>2954</v>
      </c>
      <c r="BZ156" s="8" t="str">
        <f>HYPERLINK("https%3A%2F%2Fwww.webofscience.com%2Fwos%2Fwoscc%2Ffull-record%2FWOS:000319247100008","View Full Record in Web of Science")</f>
        <v>View Full Record in Web of Science</v>
      </c>
    </row>
    <row r="157" ht="12.75" customHeight="1">
      <c r="A157" s="8" t="s">
        <v>3329</v>
      </c>
      <c r="B157" s="8" t="s">
        <v>6062</v>
      </c>
      <c r="C157" s="8" t="s">
        <v>2135</v>
      </c>
      <c r="D157" s="8" t="s">
        <v>2135</v>
      </c>
      <c r="E157" s="8" t="s">
        <v>2135</v>
      </c>
      <c r="F157" s="8" t="s">
        <v>6063</v>
      </c>
      <c r="G157" s="8" t="s">
        <v>2135</v>
      </c>
      <c r="H157" s="8" t="s">
        <v>2135</v>
      </c>
      <c r="I157" s="8" t="s">
        <v>803</v>
      </c>
      <c r="J157" s="8" t="s">
        <v>3467</v>
      </c>
      <c r="K157" s="8" t="s">
        <v>2135</v>
      </c>
      <c r="L157" s="8" t="s">
        <v>2135</v>
      </c>
      <c r="M157" s="8" t="s">
        <v>3332</v>
      </c>
      <c r="N157" s="8" t="s">
        <v>3333</v>
      </c>
      <c r="O157" s="8" t="s">
        <v>2135</v>
      </c>
      <c r="P157" s="8" t="s">
        <v>2135</v>
      </c>
      <c r="Q157" s="8" t="s">
        <v>2135</v>
      </c>
      <c r="R157" s="8" t="s">
        <v>2135</v>
      </c>
      <c r="S157" s="8" t="s">
        <v>2135</v>
      </c>
      <c r="T157" s="8" t="s">
        <v>6064</v>
      </c>
      <c r="U157" s="8" t="s">
        <v>6065</v>
      </c>
      <c r="V157" s="8" t="s">
        <v>6066</v>
      </c>
      <c r="W157" s="8" t="s">
        <v>6067</v>
      </c>
      <c r="X157" s="8" t="s">
        <v>6068</v>
      </c>
      <c r="Y157" s="8" t="s">
        <v>6069</v>
      </c>
      <c r="Z157" s="8" t="s">
        <v>6070</v>
      </c>
      <c r="AA157" s="8" t="s">
        <v>6071</v>
      </c>
      <c r="AB157" s="8" t="s">
        <v>6072</v>
      </c>
      <c r="AC157" s="8" t="s">
        <v>6073</v>
      </c>
      <c r="AD157" s="8" t="s">
        <v>6073</v>
      </c>
      <c r="AE157" s="8" t="s">
        <v>6074</v>
      </c>
      <c r="AF157" s="8" t="s">
        <v>2135</v>
      </c>
      <c r="AG157" s="8">
        <v>51.0</v>
      </c>
      <c r="AH157" s="8">
        <v>21.0</v>
      </c>
      <c r="AI157" s="8">
        <v>23.0</v>
      </c>
      <c r="AJ157" s="8">
        <v>0.0</v>
      </c>
      <c r="AK157" s="8">
        <v>83.0</v>
      </c>
      <c r="AL157" s="8" t="s">
        <v>3479</v>
      </c>
      <c r="AM157" s="8" t="s">
        <v>3480</v>
      </c>
      <c r="AN157" s="8" t="s">
        <v>3481</v>
      </c>
      <c r="AO157" s="8" t="s">
        <v>3482</v>
      </c>
      <c r="AP157" s="8" t="s">
        <v>3740</v>
      </c>
      <c r="AQ157" s="8" t="s">
        <v>2135</v>
      </c>
      <c r="AR157" s="8" t="s">
        <v>3483</v>
      </c>
      <c r="AS157" s="8" t="s">
        <v>3484</v>
      </c>
      <c r="AT157" s="8" t="s">
        <v>3485</v>
      </c>
      <c r="AU157" s="8">
        <v>2013.0</v>
      </c>
      <c r="AV157" s="8">
        <v>59.0</v>
      </c>
      <c r="AW157" s="8">
        <v>1.0</v>
      </c>
      <c r="AX157" s="8" t="s">
        <v>2135</v>
      </c>
      <c r="AY157" s="8" t="s">
        <v>2135</v>
      </c>
      <c r="AZ157" s="8" t="s">
        <v>2135</v>
      </c>
      <c r="BA157" s="8" t="s">
        <v>2135</v>
      </c>
      <c r="BB157" s="8">
        <v>25.0</v>
      </c>
      <c r="BC157" s="8">
        <v>37.0</v>
      </c>
      <c r="BD157" s="8" t="s">
        <v>2135</v>
      </c>
      <c r="BE157" s="8" t="s">
        <v>6075</v>
      </c>
      <c r="BF157" s="13" t="str">
        <f>HYPERLINK("http://dx.doi.org/10.1007/s10344-012-0643-1","http://dx.doi.org/10.1007/s10344-012-0643-1")</f>
        <v>http://dx.doi.org/10.1007/s10344-012-0643-1</v>
      </c>
      <c r="BG157" s="8" t="s">
        <v>2135</v>
      </c>
      <c r="BH157" s="8" t="s">
        <v>2135</v>
      </c>
      <c r="BI157" s="8">
        <v>13.0</v>
      </c>
      <c r="BJ157" s="8" t="s">
        <v>3442</v>
      </c>
      <c r="BK157" s="8" t="s">
        <v>3352</v>
      </c>
      <c r="BL157" s="8" t="s">
        <v>3443</v>
      </c>
      <c r="BM157" s="8" t="s">
        <v>6076</v>
      </c>
      <c r="BN157" s="8" t="s">
        <v>2135</v>
      </c>
      <c r="BO157" s="8" t="s">
        <v>2135</v>
      </c>
      <c r="BP157" s="8" t="s">
        <v>2135</v>
      </c>
      <c r="BQ157" s="8" t="s">
        <v>2135</v>
      </c>
      <c r="BR157" s="8" t="s">
        <v>3355</v>
      </c>
      <c r="BS157" s="8" t="s">
        <v>6077</v>
      </c>
      <c r="BT157" s="8" t="s">
        <v>2373</v>
      </c>
      <c r="BU157" s="8" t="s">
        <v>2142</v>
      </c>
      <c r="BW157" s="8" t="s">
        <v>2311</v>
      </c>
      <c r="BX157" s="8" t="s">
        <v>2953</v>
      </c>
      <c r="BY157" s="8" t="s">
        <v>2954</v>
      </c>
      <c r="BZ157" s="8" t="str">
        <f>HYPERLINK("https%3A%2F%2Fwww.webofscience.com%2Fwos%2Fwoscc%2Ffull-record%2FWOS:000316329500003","View Full Record in Web of Science")</f>
        <v>View Full Record in Web of Science</v>
      </c>
    </row>
    <row r="158" ht="12.75" customHeight="1">
      <c r="A158" s="8" t="s">
        <v>3329</v>
      </c>
      <c r="B158" s="8" t="s">
        <v>6078</v>
      </c>
      <c r="C158" s="8" t="s">
        <v>2135</v>
      </c>
      <c r="D158" s="8" t="s">
        <v>2135</v>
      </c>
      <c r="E158" s="8" t="s">
        <v>2135</v>
      </c>
      <c r="F158" s="8" t="s">
        <v>6079</v>
      </c>
      <c r="G158" s="8" t="s">
        <v>2135</v>
      </c>
      <c r="H158" s="8" t="s">
        <v>2135</v>
      </c>
      <c r="I158" s="8" t="s">
        <v>801</v>
      </c>
      <c r="J158" s="8" t="s">
        <v>3637</v>
      </c>
      <c r="K158" s="8" t="s">
        <v>2135</v>
      </c>
      <c r="L158" s="8" t="s">
        <v>2135</v>
      </c>
      <c r="M158" s="8" t="s">
        <v>3332</v>
      </c>
      <c r="N158" s="8" t="s">
        <v>3333</v>
      </c>
      <c r="O158" s="8" t="s">
        <v>2135</v>
      </c>
      <c r="P158" s="8" t="s">
        <v>2135</v>
      </c>
      <c r="Q158" s="8" t="s">
        <v>2135</v>
      </c>
      <c r="R158" s="8" t="s">
        <v>2135</v>
      </c>
      <c r="S158" s="8" t="s">
        <v>2135</v>
      </c>
      <c r="T158" s="8" t="s">
        <v>2135</v>
      </c>
      <c r="U158" s="8" t="s">
        <v>6080</v>
      </c>
      <c r="V158" s="8" t="s">
        <v>6081</v>
      </c>
      <c r="W158" s="8" t="s">
        <v>6082</v>
      </c>
      <c r="X158" s="8" t="s">
        <v>6083</v>
      </c>
      <c r="Y158" s="8" t="s">
        <v>6084</v>
      </c>
      <c r="Z158" s="8" t="s">
        <v>6085</v>
      </c>
      <c r="AA158" s="8" t="s">
        <v>6086</v>
      </c>
      <c r="AB158" s="8" t="s">
        <v>6087</v>
      </c>
      <c r="AC158" s="8" t="s">
        <v>6088</v>
      </c>
      <c r="AD158" s="8" t="s">
        <v>6089</v>
      </c>
      <c r="AE158" s="8" t="s">
        <v>6090</v>
      </c>
      <c r="AF158" s="8" t="s">
        <v>2135</v>
      </c>
      <c r="AG158" s="8">
        <v>62.0</v>
      </c>
      <c r="AH158" s="8">
        <v>17.0</v>
      </c>
      <c r="AI158" s="8">
        <v>20.0</v>
      </c>
      <c r="AJ158" s="8">
        <v>1.0</v>
      </c>
      <c r="AK158" s="8">
        <v>85.0</v>
      </c>
      <c r="AL158" s="8" t="s">
        <v>3648</v>
      </c>
      <c r="AM158" s="8" t="s">
        <v>3649</v>
      </c>
      <c r="AN158" s="8" t="s">
        <v>3650</v>
      </c>
      <c r="AO158" s="8" t="s">
        <v>3651</v>
      </c>
      <c r="AP158" s="8" t="s">
        <v>2135</v>
      </c>
      <c r="AQ158" s="8" t="s">
        <v>2135</v>
      </c>
      <c r="AR158" s="8" t="s">
        <v>3637</v>
      </c>
      <c r="AS158" s="8" t="s">
        <v>3652</v>
      </c>
      <c r="AT158" s="8" t="s">
        <v>6091</v>
      </c>
      <c r="AU158" s="8">
        <v>2013.0</v>
      </c>
      <c r="AV158" s="8">
        <v>8.0</v>
      </c>
      <c r="AW158" s="8">
        <v>1.0</v>
      </c>
      <c r="AX158" s="8" t="s">
        <v>2135</v>
      </c>
      <c r="AY158" s="8" t="s">
        <v>2135</v>
      </c>
      <c r="AZ158" s="8" t="s">
        <v>2135</v>
      </c>
      <c r="BA158" s="8" t="s">
        <v>2135</v>
      </c>
      <c r="BB158" s="8" t="s">
        <v>2135</v>
      </c>
      <c r="BC158" s="8" t="s">
        <v>2135</v>
      </c>
      <c r="BD158" s="8" t="s">
        <v>6092</v>
      </c>
      <c r="BE158" s="8" t="s">
        <v>6093</v>
      </c>
      <c r="BF158" s="13" t="str">
        <f>HYPERLINK("http://dx.doi.org/10.1371/journal.pone.0053681","http://dx.doi.org/10.1371/journal.pone.0053681")</f>
        <v>http://dx.doi.org/10.1371/journal.pone.0053681</v>
      </c>
      <c r="BG158" s="8" t="s">
        <v>2135</v>
      </c>
      <c r="BH158" s="8" t="s">
        <v>2135</v>
      </c>
      <c r="BI158" s="8">
        <v>6.0</v>
      </c>
      <c r="BJ158" s="8" t="s">
        <v>3656</v>
      </c>
      <c r="BK158" s="8" t="s">
        <v>4060</v>
      </c>
      <c r="BL158" s="8" t="s">
        <v>3657</v>
      </c>
      <c r="BM158" s="8" t="s">
        <v>6094</v>
      </c>
      <c r="BN158" s="8">
        <v>2.3341973E7</v>
      </c>
      <c r="BO158" s="8" t="s">
        <v>3659</v>
      </c>
      <c r="BP158" s="8" t="s">
        <v>2135</v>
      </c>
      <c r="BQ158" s="8" t="s">
        <v>2135</v>
      </c>
      <c r="BR158" s="8" t="s">
        <v>3355</v>
      </c>
      <c r="BS158" s="8" t="s">
        <v>6095</v>
      </c>
      <c r="BT158" s="8" t="s">
        <v>2553</v>
      </c>
      <c r="BU158" s="8" t="s">
        <v>2142</v>
      </c>
      <c r="BW158" s="8" t="s">
        <v>2311</v>
      </c>
      <c r="BX158" s="8" t="s">
        <v>2953</v>
      </c>
      <c r="BY158" s="8" t="s">
        <v>2954</v>
      </c>
      <c r="BZ158" s="8" t="str">
        <f>HYPERLINK("https%3A%2F%2Fwww.webofscience.com%2Fwos%2Fwoscc%2Ffull-record%2FWOS:000313682700035","View Full Record in Web of Science")</f>
        <v>View Full Record in Web of Science</v>
      </c>
    </row>
    <row r="159" ht="12.75" customHeight="1">
      <c r="A159" s="8" t="s">
        <v>3329</v>
      </c>
      <c r="B159" s="8" t="s">
        <v>6096</v>
      </c>
      <c r="C159" s="8" t="s">
        <v>2135</v>
      </c>
      <c r="D159" s="8" t="s">
        <v>2135</v>
      </c>
      <c r="E159" s="8" t="s">
        <v>2135</v>
      </c>
      <c r="F159" s="8" t="s">
        <v>6097</v>
      </c>
      <c r="G159" s="8" t="s">
        <v>2135</v>
      </c>
      <c r="H159" s="8" t="s">
        <v>2135</v>
      </c>
      <c r="I159" s="8" t="s">
        <v>805</v>
      </c>
      <c r="J159" s="8" t="s">
        <v>6098</v>
      </c>
      <c r="K159" s="8" t="s">
        <v>2135</v>
      </c>
      <c r="L159" s="8" t="s">
        <v>2135</v>
      </c>
      <c r="M159" s="8" t="s">
        <v>3332</v>
      </c>
      <c r="N159" s="8" t="s">
        <v>3492</v>
      </c>
      <c r="O159" s="8" t="s">
        <v>2135</v>
      </c>
      <c r="P159" s="8" t="s">
        <v>2135</v>
      </c>
      <c r="Q159" s="8" t="s">
        <v>2135</v>
      </c>
      <c r="R159" s="8" t="s">
        <v>2135</v>
      </c>
      <c r="S159" s="8" t="s">
        <v>2135</v>
      </c>
      <c r="T159" s="8" t="s">
        <v>2135</v>
      </c>
      <c r="U159" s="8" t="s">
        <v>6099</v>
      </c>
      <c r="V159" s="8" t="s">
        <v>6100</v>
      </c>
      <c r="W159" s="8" t="s">
        <v>2135</v>
      </c>
      <c r="X159" s="8" t="s">
        <v>2135</v>
      </c>
      <c r="Y159" s="8" t="s">
        <v>6101</v>
      </c>
      <c r="Z159" s="8" t="s">
        <v>6102</v>
      </c>
      <c r="AA159" s="8" t="s">
        <v>2135</v>
      </c>
      <c r="AB159" s="8" t="s">
        <v>2135</v>
      </c>
      <c r="AC159" s="8" t="s">
        <v>2135</v>
      </c>
      <c r="AD159" s="8" t="s">
        <v>2135</v>
      </c>
      <c r="AE159" s="8" t="s">
        <v>2135</v>
      </c>
      <c r="AF159" s="8" t="s">
        <v>2135</v>
      </c>
      <c r="AG159" s="8">
        <v>669.0</v>
      </c>
      <c r="AH159" s="8">
        <v>291.0</v>
      </c>
      <c r="AI159" s="8">
        <v>329.0</v>
      </c>
      <c r="AJ159" s="8">
        <v>4.0</v>
      </c>
      <c r="AK159" s="8">
        <v>112.0</v>
      </c>
      <c r="AL159" s="8" t="s">
        <v>6103</v>
      </c>
      <c r="AM159" s="8" t="s">
        <v>6104</v>
      </c>
      <c r="AN159" s="8" t="s">
        <v>6105</v>
      </c>
      <c r="AO159" s="8" t="s">
        <v>6106</v>
      </c>
      <c r="AP159" s="8" t="s">
        <v>6107</v>
      </c>
      <c r="AQ159" s="8" t="s">
        <v>2135</v>
      </c>
      <c r="AR159" s="8" t="s">
        <v>6108</v>
      </c>
      <c r="AS159" s="8" t="s">
        <v>6109</v>
      </c>
      <c r="AT159" s="8" t="s">
        <v>2135</v>
      </c>
      <c r="AU159" s="8">
        <v>2013.0</v>
      </c>
      <c r="AV159" s="8">
        <v>20.0</v>
      </c>
      <c r="AW159" s="8">
        <v>1.0</v>
      </c>
      <c r="AX159" s="8" t="s">
        <v>2135</v>
      </c>
      <c r="AY159" s="8" t="s">
        <v>2135</v>
      </c>
      <c r="AZ159" s="8" t="s">
        <v>2135</v>
      </c>
      <c r="BA159" s="8" t="s">
        <v>2135</v>
      </c>
      <c r="BB159" s="8">
        <v>71.0</v>
      </c>
      <c r="BC159" s="8" t="s">
        <v>6110</v>
      </c>
      <c r="BD159" s="8" t="s">
        <v>2135</v>
      </c>
      <c r="BE159" s="8" t="s">
        <v>6111</v>
      </c>
      <c r="BF159" s="13" t="str">
        <f>HYPERLINK("http://dx.doi.org/10.3354/esr00481","http://dx.doi.org/10.3354/esr00481")</f>
        <v>http://dx.doi.org/10.3354/esr00481</v>
      </c>
      <c r="BG159" s="8" t="s">
        <v>2135</v>
      </c>
      <c r="BH159" s="8" t="s">
        <v>2135</v>
      </c>
      <c r="BI159" s="8">
        <v>67.0</v>
      </c>
      <c r="BJ159" s="8" t="s">
        <v>3604</v>
      </c>
      <c r="BK159" s="8" t="s">
        <v>3352</v>
      </c>
      <c r="BL159" s="8" t="s">
        <v>3605</v>
      </c>
      <c r="BM159" s="8" t="s">
        <v>6112</v>
      </c>
      <c r="BN159" s="8" t="s">
        <v>2135</v>
      </c>
      <c r="BO159" s="8" t="s">
        <v>3560</v>
      </c>
      <c r="BP159" s="8" t="s">
        <v>2135</v>
      </c>
      <c r="BQ159" s="8" t="s">
        <v>2135</v>
      </c>
      <c r="BR159" s="8" t="s">
        <v>3355</v>
      </c>
      <c r="BS159" s="8" t="s">
        <v>6113</v>
      </c>
      <c r="BU159" s="8" t="s">
        <v>2943</v>
      </c>
      <c r="BW159" s="8" t="s">
        <v>2944</v>
      </c>
      <c r="BX159" s="8" t="s">
        <v>2953</v>
      </c>
      <c r="BY159" s="8" t="s">
        <v>2954</v>
      </c>
      <c r="BZ159" s="8" t="str">
        <f>HYPERLINK("https%3A%2F%2Fwww.webofscience.com%2Fwos%2Fwoscc%2Ffull-record%2FWOS:000316495000007","View Full Record in Web of Science")</f>
        <v>View Full Record in Web of Science</v>
      </c>
    </row>
    <row r="160" ht="12.75" customHeight="1">
      <c r="A160" s="8" t="s">
        <v>3329</v>
      </c>
      <c r="B160" s="8" t="s">
        <v>6114</v>
      </c>
      <c r="C160" s="8" t="s">
        <v>2135</v>
      </c>
      <c r="D160" s="8" t="s">
        <v>2135</v>
      </c>
      <c r="E160" s="8" t="s">
        <v>2135</v>
      </c>
      <c r="F160" s="8" t="s">
        <v>6115</v>
      </c>
      <c r="G160" s="8" t="s">
        <v>2135</v>
      </c>
      <c r="H160" s="8" t="s">
        <v>2135</v>
      </c>
      <c r="I160" s="8" t="s">
        <v>791</v>
      </c>
      <c r="J160" s="8" t="s">
        <v>3637</v>
      </c>
      <c r="K160" s="8" t="s">
        <v>2135</v>
      </c>
      <c r="L160" s="8" t="s">
        <v>2135</v>
      </c>
      <c r="M160" s="8" t="s">
        <v>3332</v>
      </c>
      <c r="N160" s="8" t="s">
        <v>3333</v>
      </c>
      <c r="O160" s="8" t="s">
        <v>2135</v>
      </c>
      <c r="P160" s="8" t="s">
        <v>2135</v>
      </c>
      <c r="Q160" s="8" t="s">
        <v>2135</v>
      </c>
      <c r="R160" s="8" t="s">
        <v>2135</v>
      </c>
      <c r="S160" s="8" t="s">
        <v>2135</v>
      </c>
      <c r="T160" s="8" t="s">
        <v>2135</v>
      </c>
      <c r="U160" s="8" t="s">
        <v>6116</v>
      </c>
      <c r="V160" s="8" t="s">
        <v>6117</v>
      </c>
      <c r="W160" s="8" t="s">
        <v>6118</v>
      </c>
      <c r="X160" s="8" t="s">
        <v>6119</v>
      </c>
      <c r="Y160" s="8" t="s">
        <v>6120</v>
      </c>
      <c r="Z160" s="8" t="s">
        <v>6121</v>
      </c>
      <c r="AA160" s="8" t="s">
        <v>4274</v>
      </c>
      <c r="AB160" s="8" t="s">
        <v>4275</v>
      </c>
      <c r="AC160" s="8" t="s">
        <v>6122</v>
      </c>
      <c r="AD160" s="8" t="s">
        <v>6123</v>
      </c>
      <c r="AE160" s="8" t="s">
        <v>6124</v>
      </c>
      <c r="AF160" s="8" t="s">
        <v>2135</v>
      </c>
      <c r="AG160" s="8">
        <v>115.0</v>
      </c>
      <c r="AH160" s="8">
        <v>29.0</v>
      </c>
      <c r="AI160" s="8">
        <v>39.0</v>
      </c>
      <c r="AJ160" s="8">
        <v>0.0</v>
      </c>
      <c r="AK160" s="8">
        <v>61.0</v>
      </c>
      <c r="AL160" s="8" t="s">
        <v>3648</v>
      </c>
      <c r="AM160" s="8" t="s">
        <v>3649</v>
      </c>
      <c r="AN160" s="8" t="s">
        <v>3650</v>
      </c>
      <c r="AO160" s="8" t="s">
        <v>2135</v>
      </c>
      <c r="AP160" s="8" t="s">
        <v>3651</v>
      </c>
      <c r="AQ160" s="8" t="s">
        <v>2135</v>
      </c>
      <c r="AR160" s="8" t="s">
        <v>3637</v>
      </c>
      <c r="AS160" s="8" t="s">
        <v>3652</v>
      </c>
      <c r="AT160" s="8" t="s">
        <v>6125</v>
      </c>
      <c r="AU160" s="8">
        <v>2012.0</v>
      </c>
      <c r="AV160" s="8">
        <v>7.0</v>
      </c>
      <c r="AW160" s="8">
        <v>12.0</v>
      </c>
      <c r="AX160" s="8" t="s">
        <v>2135</v>
      </c>
      <c r="AY160" s="8" t="s">
        <v>2135</v>
      </c>
      <c r="AZ160" s="8" t="s">
        <v>2135</v>
      </c>
      <c r="BA160" s="8" t="s">
        <v>2135</v>
      </c>
      <c r="BB160" s="8" t="s">
        <v>2135</v>
      </c>
      <c r="BC160" s="8" t="s">
        <v>2135</v>
      </c>
      <c r="BD160" s="8" t="s">
        <v>6126</v>
      </c>
      <c r="BE160" s="8" t="s">
        <v>6127</v>
      </c>
      <c r="BF160" s="13" t="str">
        <f>HYPERLINK("http://dx.doi.org/10.1371/journal.pone.0052803","http://dx.doi.org/10.1371/journal.pone.0052803")</f>
        <v>http://dx.doi.org/10.1371/journal.pone.0052803</v>
      </c>
      <c r="BG160" s="8" t="s">
        <v>2135</v>
      </c>
      <c r="BH160" s="8" t="s">
        <v>2135</v>
      </c>
      <c r="BI160" s="8">
        <v>13.0</v>
      </c>
      <c r="BJ160" s="8" t="s">
        <v>3656</v>
      </c>
      <c r="BK160" s="8" t="s">
        <v>3352</v>
      </c>
      <c r="BL160" s="8" t="s">
        <v>3657</v>
      </c>
      <c r="BM160" s="8" t="s">
        <v>6128</v>
      </c>
      <c r="BN160" s="8">
        <v>2.3300783E7</v>
      </c>
      <c r="BO160" s="8" t="s">
        <v>3659</v>
      </c>
      <c r="BP160" s="8" t="s">
        <v>2135</v>
      </c>
      <c r="BQ160" s="8" t="s">
        <v>2135</v>
      </c>
      <c r="BR160" s="8" t="s">
        <v>3355</v>
      </c>
      <c r="BS160" s="8" t="s">
        <v>6129</v>
      </c>
      <c r="BT160" s="8" t="s">
        <v>2600</v>
      </c>
      <c r="BU160" s="8" t="s">
        <v>2147</v>
      </c>
      <c r="BV160" s="8" t="s">
        <v>2217</v>
      </c>
      <c r="BW160" s="8" t="s">
        <v>2224</v>
      </c>
      <c r="BX160" s="8" t="s">
        <v>3022</v>
      </c>
      <c r="BY160" s="8" t="s">
        <v>2954</v>
      </c>
      <c r="BZ160" s="8" t="str">
        <f>HYPERLINK("https%3A%2F%2Fwww.webofscience.com%2Fwos%2Fwoscc%2Ffull-record%2FWOS:000313618800150","View Full Record in Web of Science")</f>
        <v>View Full Record in Web of Science</v>
      </c>
    </row>
    <row r="161" ht="12.75" customHeight="1">
      <c r="A161" s="8" t="s">
        <v>3329</v>
      </c>
      <c r="B161" s="8" t="s">
        <v>6130</v>
      </c>
      <c r="C161" s="8" t="s">
        <v>2135</v>
      </c>
      <c r="D161" s="8" t="s">
        <v>2135</v>
      </c>
      <c r="E161" s="8" t="s">
        <v>2135</v>
      </c>
      <c r="F161" s="8" t="s">
        <v>6131</v>
      </c>
      <c r="G161" s="8" t="s">
        <v>2135</v>
      </c>
      <c r="H161" s="8" t="s">
        <v>2135</v>
      </c>
      <c r="I161" s="8" t="s">
        <v>795</v>
      </c>
      <c r="J161" s="8" t="s">
        <v>5512</v>
      </c>
      <c r="K161" s="8" t="s">
        <v>2135</v>
      </c>
      <c r="L161" s="8" t="s">
        <v>2135</v>
      </c>
      <c r="M161" s="8" t="s">
        <v>4896</v>
      </c>
      <c r="N161" s="8" t="s">
        <v>3333</v>
      </c>
      <c r="O161" s="8" t="s">
        <v>2135</v>
      </c>
      <c r="P161" s="8" t="s">
        <v>2135</v>
      </c>
      <c r="Q161" s="8" t="s">
        <v>2135</v>
      </c>
      <c r="R161" s="8" t="s">
        <v>2135</v>
      </c>
      <c r="S161" s="8" t="s">
        <v>2135</v>
      </c>
      <c r="T161" s="8" t="s">
        <v>6132</v>
      </c>
      <c r="U161" s="8" t="s">
        <v>6133</v>
      </c>
      <c r="V161" s="8" t="s">
        <v>6134</v>
      </c>
      <c r="W161" s="8" t="s">
        <v>6135</v>
      </c>
      <c r="X161" s="8" t="s">
        <v>6136</v>
      </c>
      <c r="Y161" s="8" t="s">
        <v>6137</v>
      </c>
      <c r="Z161" s="8" t="s">
        <v>6138</v>
      </c>
      <c r="AA161" s="8" t="s">
        <v>2135</v>
      </c>
      <c r="AB161" s="8" t="s">
        <v>2135</v>
      </c>
      <c r="AC161" s="8" t="s">
        <v>2135</v>
      </c>
      <c r="AD161" s="8" t="s">
        <v>2135</v>
      </c>
      <c r="AE161" s="8" t="s">
        <v>2135</v>
      </c>
      <c r="AF161" s="8" t="s">
        <v>2135</v>
      </c>
      <c r="AG161" s="8">
        <v>24.0</v>
      </c>
      <c r="AH161" s="8">
        <v>2.0</v>
      </c>
      <c r="AI161" s="8">
        <v>3.0</v>
      </c>
      <c r="AJ161" s="8">
        <v>0.0</v>
      </c>
      <c r="AK161" s="8">
        <v>15.0</v>
      </c>
      <c r="AL161" s="8" t="s">
        <v>5522</v>
      </c>
      <c r="AM161" s="8" t="s">
        <v>5523</v>
      </c>
      <c r="AN161" s="8" t="s">
        <v>5524</v>
      </c>
      <c r="AO161" s="8" t="s">
        <v>5525</v>
      </c>
      <c r="AP161" s="8" t="s">
        <v>2135</v>
      </c>
      <c r="AQ161" s="8" t="s">
        <v>2135</v>
      </c>
      <c r="AR161" s="8" t="s">
        <v>5527</v>
      </c>
      <c r="AS161" s="8" t="s">
        <v>5528</v>
      </c>
      <c r="AT161" s="8" t="s">
        <v>3741</v>
      </c>
      <c r="AU161" s="8">
        <v>2012.0</v>
      </c>
      <c r="AV161" s="8">
        <v>83.0</v>
      </c>
      <c r="AW161" s="8">
        <v>4.0</v>
      </c>
      <c r="AX161" s="8" t="s">
        <v>2135</v>
      </c>
      <c r="AY161" s="8" t="s">
        <v>2135</v>
      </c>
      <c r="AZ161" s="8" t="s">
        <v>2135</v>
      </c>
      <c r="BA161" s="8" t="s">
        <v>2135</v>
      </c>
      <c r="BB161" s="8">
        <v>1254.0</v>
      </c>
      <c r="BC161" s="8">
        <v>1259.0</v>
      </c>
      <c r="BD161" s="8" t="s">
        <v>2135</v>
      </c>
      <c r="BE161" s="8" t="s">
        <v>6139</v>
      </c>
      <c r="BF161" s="13" t="str">
        <f>HYPERLINK("http://dx.doi.org/10.7550/rmb.26950","http://dx.doi.org/10.7550/rmb.26950")</f>
        <v>http://dx.doi.org/10.7550/rmb.26950</v>
      </c>
      <c r="BG161" s="8" t="s">
        <v>2135</v>
      </c>
      <c r="BH161" s="8" t="s">
        <v>2135</v>
      </c>
      <c r="BI161" s="8">
        <v>6.0</v>
      </c>
      <c r="BJ161" s="8" t="s">
        <v>3604</v>
      </c>
      <c r="BK161" s="8" t="s">
        <v>3352</v>
      </c>
      <c r="BL161" s="8" t="s">
        <v>3605</v>
      </c>
      <c r="BM161" s="8" t="s">
        <v>6140</v>
      </c>
      <c r="BN161" s="8" t="s">
        <v>2135</v>
      </c>
      <c r="BO161" s="8" t="s">
        <v>2135</v>
      </c>
      <c r="BP161" s="8" t="s">
        <v>2135</v>
      </c>
      <c r="BQ161" s="8" t="s">
        <v>2135</v>
      </c>
      <c r="BR161" s="8" t="s">
        <v>3355</v>
      </c>
      <c r="BS161" s="8" t="s">
        <v>6141</v>
      </c>
      <c r="BT161" s="8" t="s">
        <v>2146</v>
      </c>
      <c r="BU161" s="8" t="s">
        <v>2147</v>
      </c>
      <c r="BW161" s="8" t="s">
        <v>2150</v>
      </c>
      <c r="BX161" s="8" t="s">
        <v>2953</v>
      </c>
      <c r="BY161" s="8" t="s">
        <v>2954</v>
      </c>
      <c r="BZ161" s="8" t="str">
        <f>HYPERLINK("https%3A%2F%2Fwww.webofscience.com%2Fwos%2Fwoscc%2Ffull-record%2FWOS:000313932200035","View Full Record in Web of Science")</f>
        <v>View Full Record in Web of Science</v>
      </c>
    </row>
    <row r="162" ht="12.75" customHeight="1">
      <c r="A162" s="8" t="s">
        <v>3329</v>
      </c>
      <c r="B162" s="8" t="s">
        <v>6142</v>
      </c>
      <c r="C162" s="8" t="s">
        <v>2135</v>
      </c>
      <c r="D162" s="8" t="s">
        <v>2135</v>
      </c>
      <c r="E162" s="8" t="s">
        <v>2135</v>
      </c>
      <c r="F162" s="8" t="s">
        <v>6143</v>
      </c>
      <c r="G162" s="8" t="s">
        <v>2135</v>
      </c>
      <c r="H162" s="8" t="s">
        <v>2135</v>
      </c>
      <c r="I162" s="8" t="s">
        <v>460</v>
      </c>
      <c r="J162" s="8" t="s">
        <v>5837</v>
      </c>
      <c r="K162" s="8" t="s">
        <v>2135</v>
      </c>
      <c r="L162" s="8" t="s">
        <v>2135</v>
      </c>
      <c r="M162" s="8" t="s">
        <v>4896</v>
      </c>
      <c r="N162" s="8" t="s">
        <v>3333</v>
      </c>
      <c r="O162" s="8" t="s">
        <v>2135</v>
      </c>
      <c r="P162" s="8" t="s">
        <v>2135</v>
      </c>
      <c r="Q162" s="8" t="s">
        <v>2135</v>
      </c>
      <c r="R162" s="8" t="s">
        <v>2135</v>
      </c>
      <c r="S162" s="8" t="s">
        <v>2135</v>
      </c>
      <c r="T162" s="8" t="s">
        <v>6144</v>
      </c>
      <c r="U162" s="8" t="s">
        <v>6145</v>
      </c>
      <c r="V162" s="8" t="s">
        <v>6146</v>
      </c>
      <c r="W162" s="8" t="s">
        <v>6147</v>
      </c>
      <c r="X162" s="8" t="s">
        <v>6148</v>
      </c>
      <c r="Y162" s="8" t="s">
        <v>6149</v>
      </c>
      <c r="Z162" s="8" t="s">
        <v>6150</v>
      </c>
      <c r="AA162" s="8" t="s">
        <v>6151</v>
      </c>
      <c r="AB162" s="8" t="s">
        <v>6152</v>
      </c>
      <c r="AC162" s="8" t="s">
        <v>2135</v>
      </c>
      <c r="AD162" s="8" t="s">
        <v>2135</v>
      </c>
      <c r="AE162" s="8" t="s">
        <v>2135</v>
      </c>
      <c r="AF162" s="8" t="s">
        <v>2135</v>
      </c>
      <c r="AG162" s="8">
        <v>22.0</v>
      </c>
      <c r="AH162" s="8">
        <v>10.0</v>
      </c>
      <c r="AI162" s="8">
        <v>13.0</v>
      </c>
      <c r="AJ162" s="8">
        <v>1.0</v>
      </c>
      <c r="AK162" s="8">
        <v>54.0</v>
      </c>
      <c r="AL162" s="8" t="s">
        <v>5847</v>
      </c>
      <c r="AM162" s="8" t="s">
        <v>5848</v>
      </c>
      <c r="AN162" s="8" t="s">
        <v>5849</v>
      </c>
      <c r="AO162" s="8" t="s">
        <v>5850</v>
      </c>
      <c r="AP162" s="8" t="s">
        <v>5851</v>
      </c>
      <c r="AQ162" s="8" t="s">
        <v>2135</v>
      </c>
      <c r="AR162" s="8" t="s">
        <v>5852</v>
      </c>
      <c r="AS162" s="8" t="s">
        <v>5853</v>
      </c>
      <c r="AT162" s="8" t="s">
        <v>3741</v>
      </c>
      <c r="AU162" s="8">
        <v>2012.0</v>
      </c>
      <c r="AV162" s="8">
        <v>47.0</v>
      </c>
      <c r="AW162" s="8">
        <v>3.0</v>
      </c>
      <c r="AX162" s="8" t="s">
        <v>2135</v>
      </c>
      <c r="AY162" s="8" t="s">
        <v>2135</v>
      </c>
      <c r="AZ162" s="8" t="s">
        <v>2135</v>
      </c>
      <c r="BA162" s="8" t="s">
        <v>2135</v>
      </c>
      <c r="BB162" s="8">
        <v>593.0</v>
      </c>
      <c r="BC162" s="8">
        <v>597.0</v>
      </c>
      <c r="BD162" s="8" t="s">
        <v>2135</v>
      </c>
      <c r="BE162" s="8" t="s">
        <v>6153</v>
      </c>
      <c r="BF162" s="13" t="str">
        <f>HYPERLINK("http://dx.doi.org/10.4067/S0718-19572012000300022","http://dx.doi.org/10.4067/S0718-19572012000300022")</f>
        <v>http://dx.doi.org/10.4067/S0718-19572012000300022</v>
      </c>
      <c r="BG162" s="8" t="s">
        <v>2135</v>
      </c>
      <c r="BH162" s="8" t="s">
        <v>2135</v>
      </c>
      <c r="BI162" s="8">
        <v>5.0</v>
      </c>
      <c r="BJ162" s="8" t="s">
        <v>5855</v>
      </c>
      <c r="BK162" s="8" t="s">
        <v>3352</v>
      </c>
      <c r="BL162" s="8" t="s">
        <v>5855</v>
      </c>
      <c r="BM162" s="8" t="s">
        <v>6154</v>
      </c>
      <c r="BN162" s="8" t="s">
        <v>2135</v>
      </c>
      <c r="BO162" s="8" t="s">
        <v>5131</v>
      </c>
      <c r="BP162" s="8" t="s">
        <v>2135</v>
      </c>
      <c r="BQ162" s="8" t="s">
        <v>2135</v>
      </c>
      <c r="BR162" s="8" t="s">
        <v>3355</v>
      </c>
      <c r="BS162" s="8" t="s">
        <v>6155</v>
      </c>
      <c r="BT162" s="8" t="s">
        <v>2272</v>
      </c>
      <c r="BU162" s="8" t="s">
        <v>2147</v>
      </c>
      <c r="BW162" s="8" t="s">
        <v>2275</v>
      </c>
      <c r="BX162" s="8" t="s">
        <v>3035</v>
      </c>
      <c r="BY162" s="8" t="s">
        <v>2954</v>
      </c>
      <c r="BZ162" s="8" t="str">
        <f>HYPERLINK("https%3A%2F%2Fwww.webofscience.com%2Fwos%2Fwoscc%2Ffull-record%2FWOS:000315586800022","View Full Record in Web of Science")</f>
        <v>View Full Record in Web of Science</v>
      </c>
    </row>
    <row r="163" ht="12.75" customHeight="1">
      <c r="A163" s="8" t="s">
        <v>3329</v>
      </c>
      <c r="B163" s="8" t="s">
        <v>6156</v>
      </c>
      <c r="C163" s="8" t="s">
        <v>2135</v>
      </c>
      <c r="D163" s="8" t="s">
        <v>2135</v>
      </c>
      <c r="E163" s="8" t="s">
        <v>2135</v>
      </c>
      <c r="F163" s="8" t="s">
        <v>6157</v>
      </c>
      <c r="G163" s="8" t="s">
        <v>2135</v>
      </c>
      <c r="H163" s="8" t="s">
        <v>2135</v>
      </c>
      <c r="I163" s="8" t="s">
        <v>799</v>
      </c>
      <c r="J163" s="8" t="s">
        <v>3467</v>
      </c>
      <c r="K163" s="8" t="s">
        <v>2135</v>
      </c>
      <c r="L163" s="8" t="s">
        <v>2135</v>
      </c>
      <c r="M163" s="8" t="s">
        <v>3332</v>
      </c>
      <c r="N163" s="8" t="s">
        <v>3333</v>
      </c>
      <c r="O163" s="8" t="s">
        <v>2135</v>
      </c>
      <c r="P163" s="8" t="s">
        <v>2135</v>
      </c>
      <c r="Q163" s="8" t="s">
        <v>2135</v>
      </c>
      <c r="R163" s="8" t="s">
        <v>2135</v>
      </c>
      <c r="S163" s="8" t="s">
        <v>2135</v>
      </c>
      <c r="T163" s="8" t="s">
        <v>6158</v>
      </c>
      <c r="U163" s="8" t="s">
        <v>6159</v>
      </c>
      <c r="V163" s="8" t="s">
        <v>6160</v>
      </c>
      <c r="W163" s="8" t="s">
        <v>6161</v>
      </c>
      <c r="X163" s="8" t="s">
        <v>6162</v>
      </c>
      <c r="Y163" s="8" t="s">
        <v>6163</v>
      </c>
      <c r="Z163" s="8" t="s">
        <v>6164</v>
      </c>
      <c r="AA163" s="8" t="s">
        <v>6165</v>
      </c>
      <c r="AB163" s="8" t="s">
        <v>6166</v>
      </c>
      <c r="AC163" s="8" t="s">
        <v>2135</v>
      </c>
      <c r="AD163" s="8" t="s">
        <v>2135</v>
      </c>
      <c r="AE163" s="8" t="s">
        <v>2135</v>
      </c>
      <c r="AF163" s="8" t="s">
        <v>2135</v>
      </c>
      <c r="AG163" s="8">
        <v>35.0</v>
      </c>
      <c r="AH163" s="8">
        <v>6.0</v>
      </c>
      <c r="AI163" s="8">
        <v>6.0</v>
      </c>
      <c r="AJ163" s="8">
        <v>1.0</v>
      </c>
      <c r="AK163" s="8">
        <v>36.0</v>
      </c>
      <c r="AL163" s="8" t="s">
        <v>3479</v>
      </c>
      <c r="AM163" s="8" t="s">
        <v>3480</v>
      </c>
      <c r="AN163" s="8" t="s">
        <v>3739</v>
      </c>
      <c r="AO163" s="8" t="s">
        <v>3482</v>
      </c>
      <c r="AP163" s="8" t="s">
        <v>3740</v>
      </c>
      <c r="AQ163" s="8" t="s">
        <v>2135</v>
      </c>
      <c r="AR163" s="8" t="s">
        <v>3483</v>
      </c>
      <c r="AS163" s="8" t="s">
        <v>3484</v>
      </c>
      <c r="AT163" s="8" t="s">
        <v>3395</v>
      </c>
      <c r="AU163" s="8">
        <v>2012.0</v>
      </c>
      <c r="AV163" s="8">
        <v>58.0</v>
      </c>
      <c r="AW163" s="8">
        <v>4.0</v>
      </c>
      <c r="AX163" s="8" t="s">
        <v>2135</v>
      </c>
      <c r="AY163" s="8" t="s">
        <v>2135</v>
      </c>
      <c r="AZ163" s="8" t="s">
        <v>2135</v>
      </c>
      <c r="BA163" s="8" t="s">
        <v>2135</v>
      </c>
      <c r="BB163" s="8">
        <v>715.0</v>
      </c>
      <c r="BC163" s="8">
        <v>719.0</v>
      </c>
      <c r="BD163" s="8" t="s">
        <v>2135</v>
      </c>
      <c r="BE163" s="8" t="s">
        <v>6167</v>
      </c>
      <c r="BF163" s="13" t="str">
        <f>HYPERLINK("http://dx.doi.org/10.1007/s10344-012-0621-7","http://dx.doi.org/10.1007/s10344-012-0621-7")</f>
        <v>http://dx.doi.org/10.1007/s10344-012-0621-7</v>
      </c>
      <c r="BG163" s="8" t="s">
        <v>2135</v>
      </c>
      <c r="BH163" s="8" t="s">
        <v>2135</v>
      </c>
      <c r="BI163" s="8">
        <v>5.0</v>
      </c>
      <c r="BJ163" s="8" t="s">
        <v>3442</v>
      </c>
      <c r="BK163" s="8" t="s">
        <v>3352</v>
      </c>
      <c r="BL163" s="8" t="s">
        <v>3443</v>
      </c>
      <c r="BM163" s="8" t="s">
        <v>6168</v>
      </c>
      <c r="BN163" s="8" t="s">
        <v>2135</v>
      </c>
      <c r="BO163" s="8" t="s">
        <v>2135</v>
      </c>
      <c r="BP163" s="8" t="s">
        <v>2135</v>
      </c>
      <c r="BQ163" s="8" t="s">
        <v>2135</v>
      </c>
      <c r="BR163" s="8" t="s">
        <v>3355</v>
      </c>
      <c r="BS163" s="8" t="s">
        <v>6169</v>
      </c>
      <c r="BT163" s="8" t="s">
        <v>2307</v>
      </c>
      <c r="BU163" s="8" t="s">
        <v>2142</v>
      </c>
      <c r="BW163" s="8" t="s">
        <v>2309</v>
      </c>
      <c r="BX163" s="8" t="s">
        <v>2953</v>
      </c>
      <c r="BY163" s="8" t="s">
        <v>2954</v>
      </c>
      <c r="BZ163" s="8" t="str">
        <f>HYPERLINK("https%3A%2F%2Fwww.webofscience.com%2Fwos%2Fwoscc%2Ffull-record%2FWOS:000306696100010","View Full Record in Web of Science")</f>
        <v>View Full Record in Web of Science</v>
      </c>
    </row>
    <row r="164" ht="12.75" customHeight="1">
      <c r="A164" s="8" t="s">
        <v>3329</v>
      </c>
      <c r="B164" s="8" t="s">
        <v>6170</v>
      </c>
      <c r="C164" s="8" t="s">
        <v>2135</v>
      </c>
      <c r="D164" s="8" t="s">
        <v>2135</v>
      </c>
      <c r="E164" s="8" t="s">
        <v>2135</v>
      </c>
      <c r="F164" s="8" t="s">
        <v>6171</v>
      </c>
      <c r="G164" s="8" t="s">
        <v>2135</v>
      </c>
      <c r="H164" s="8" t="s">
        <v>2135</v>
      </c>
      <c r="I164" s="8" t="s">
        <v>797</v>
      </c>
      <c r="J164" s="8" t="s">
        <v>6172</v>
      </c>
      <c r="K164" s="8" t="s">
        <v>2135</v>
      </c>
      <c r="L164" s="8" t="s">
        <v>2135</v>
      </c>
      <c r="M164" s="8" t="s">
        <v>3332</v>
      </c>
      <c r="N164" s="8" t="s">
        <v>3333</v>
      </c>
      <c r="O164" s="8" t="s">
        <v>2135</v>
      </c>
      <c r="P164" s="8" t="s">
        <v>2135</v>
      </c>
      <c r="Q164" s="8" t="s">
        <v>2135</v>
      </c>
      <c r="R164" s="8" t="s">
        <v>2135</v>
      </c>
      <c r="S164" s="8" t="s">
        <v>2135</v>
      </c>
      <c r="T164" s="8" t="s">
        <v>2135</v>
      </c>
      <c r="U164" s="8" t="s">
        <v>6173</v>
      </c>
      <c r="V164" s="8" t="s">
        <v>6174</v>
      </c>
      <c r="W164" s="8" t="s">
        <v>6175</v>
      </c>
      <c r="X164" s="8" t="s">
        <v>6176</v>
      </c>
      <c r="Y164" s="8" t="s">
        <v>6177</v>
      </c>
      <c r="Z164" s="8" t="s">
        <v>6178</v>
      </c>
      <c r="AA164" s="8" t="s">
        <v>6179</v>
      </c>
      <c r="AB164" s="8" t="s">
        <v>6180</v>
      </c>
      <c r="AC164" s="8" t="s">
        <v>6181</v>
      </c>
      <c r="AD164" s="8" t="s">
        <v>6181</v>
      </c>
      <c r="AE164" s="8" t="s">
        <v>6182</v>
      </c>
      <c r="AF164" s="8" t="s">
        <v>2135</v>
      </c>
      <c r="AG164" s="8">
        <v>77.0</v>
      </c>
      <c r="AH164" s="8">
        <v>28.0</v>
      </c>
      <c r="AI164" s="8">
        <v>31.0</v>
      </c>
      <c r="AJ164" s="8">
        <v>0.0</v>
      </c>
      <c r="AK164" s="8">
        <v>23.0</v>
      </c>
      <c r="AL164" s="8" t="s">
        <v>3758</v>
      </c>
      <c r="AM164" s="8" t="s">
        <v>3759</v>
      </c>
      <c r="AN164" s="8" t="s">
        <v>3760</v>
      </c>
      <c r="AO164" s="8" t="s">
        <v>6183</v>
      </c>
      <c r="AP164" s="8" t="s">
        <v>6184</v>
      </c>
      <c r="AQ164" s="8" t="s">
        <v>2135</v>
      </c>
      <c r="AR164" s="8" t="s">
        <v>6185</v>
      </c>
      <c r="AS164" s="8" t="s">
        <v>6186</v>
      </c>
      <c r="AT164" s="8" t="s">
        <v>3512</v>
      </c>
      <c r="AU164" s="8">
        <v>2012.0</v>
      </c>
      <c r="AV164" s="8">
        <v>63.0</v>
      </c>
      <c r="AW164" s="8" t="s">
        <v>2135</v>
      </c>
      <c r="AX164" s="8" t="s">
        <v>2135</v>
      </c>
      <c r="AY164" s="8" t="s">
        <v>2135</v>
      </c>
      <c r="AZ164" s="8" t="s">
        <v>2135</v>
      </c>
      <c r="BA164" s="8" t="s">
        <v>2135</v>
      </c>
      <c r="BB164" s="8">
        <v>16.0</v>
      </c>
      <c r="BC164" s="8">
        <v>23.0</v>
      </c>
      <c r="BD164" s="8" t="s">
        <v>2135</v>
      </c>
      <c r="BE164" s="8" t="s">
        <v>6187</v>
      </c>
      <c r="BF164" s="13" t="str">
        <f>HYPERLINK("http://dx.doi.org/10.1016/j.ocecoaman.2012.03.007","http://dx.doi.org/10.1016/j.ocecoaman.2012.03.007")</f>
        <v>http://dx.doi.org/10.1016/j.ocecoaman.2012.03.007</v>
      </c>
      <c r="BG164" s="8" t="s">
        <v>2135</v>
      </c>
      <c r="BH164" s="8" t="s">
        <v>2135</v>
      </c>
      <c r="BI164" s="8">
        <v>8.0</v>
      </c>
      <c r="BJ164" s="8" t="s">
        <v>6188</v>
      </c>
      <c r="BK164" s="8" t="s">
        <v>3352</v>
      </c>
      <c r="BL164" s="8" t="s">
        <v>6188</v>
      </c>
      <c r="BM164" s="8" t="s">
        <v>6189</v>
      </c>
      <c r="BN164" s="8" t="s">
        <v>2135</v>
      </c>
      <c r="BO164" s="8" t="s">
        <v>2135</v>
      </c>
      <c r="BP164" s="8" t="s">
        <v>2135</v>
      </c>
      <c r="BQ164" s="8" t="s">
        <v>2135</v>
      </c>
      <c r="BR164" s="8" t="s">
        <v>3355</v>
      </c>
      <c r="BS164" s="8" t="s">
        <v>6190</v>
      </c>
      <c r="BT164" s="8" t="s">
        <v>2185</v>
      </c>
      <c r="BU164" s="8" t="s">
        <v>2147</v>
      </c>
      <c r="BW164" s="8" t="s">
        <v>2157</v>
      </c>
      <c r="BX164" s="8" t="s">
        <v>2953</v>
      </c>
      <c r="BY164" s="8" t="s">
        <v>2954</v>
      </c>
      <c r="BZ164" s="8" t="str">
        <f>HYPERLINK("https%3A%2F%2Fwww.webofscience.com%2Fwos%2Fwoscc%2Ffull-record%2FWOS:000305262100002","View Full Record in Web of Science")</f>
        <v>View Full Record in Web of Science</v>
      </c>
    </row>
    <row r="165" ht="12.75" customHeight="1">
      <c r="A165" s="8" t="s">
        <v>3329</v>
      </c>
      <c r="B165" s="8" t="s">
        <v>6191</v>
      </c>
      <c r="C165" s="8" t="s">
        <v>2135</v>
      </c>
      <c r="D165" s="8" t="s">
        <v>2135</v>
      </c>
      <c r="E165" s="8" t="s">
        <v>2135</v>
      </c>
      <c r="F165" s="8" t="s">
        <v>6192</v>
      </c>
      <c r="G165" s="8" t="s">
        <v>2135</v>
      </c>
      <c r="H165" s="8" t="s">
        <v>2135</v>
      </c>
      <c r="I165" s="8" t="s">
        <v>793</v>
      </c>
      <c r="J165" s="8" t="s">
        <v>3663</v>
      </c>
      <c r="K165" s="8" t="s">
        <v>2135</v>
      </c>
      <c r="L165" s="8" t="s">
        <v>2135</v>
      </c>
      <c r="M165" s="8" t="s">
        <v>3332</v>
      </c>
      <c r="N165" s="8" t="s">
        <v>3333</v>
      </c>
      <c r="O165" s="8" t="s">
        <v>2135</v>
      </c>
      <c r="P165" s="8" t="s">
        <v>2135</v>
      </c>
      <c r="Q165" s="8" t="s">
        <v>2135</v>
      </c>
      <c r="R165" s="8" t="s">
        <v>2135</v>
      </c>
      <c r="S165" s="8" t="s">
        <v>2135</v>
      </c>
      <c r="T165" s="8" t="s">
        <v>6193</v>
      </c>
      <c r="U165" s="8" t="s">
        <v>6194</v>
      </c>
      <c r="V165" s="8" t="s">
        <v>6195</v>
      </c>
      <c r="W165" s="8" t="s">
        <v>6196</v>
      </c>
      <c r="X165" s="8" t="s">
        <v>6197</v>
      </c>
      <c r="Y165" s="8" t="s">
        <v>5963</v>
      </c>
      <c r="Z165" s="8" t="s">
        <v>5964</v>
      </c>
      <c r="AA165" s="8" t="s">
        <v>5965</v>
      </c>
      <c r="AB165" s="8" t="s">
        <v>6198</v>
      </c>
      <c r="AC165" s="8" t="s">
        <v>2135</v>
      </c>
      <c r="AD165" s="8" t="s">
        <v>2135</v>
      </c>
      <c r="AE165" s="8" t="s">
        <v>2135</v>
      </c>
      <c r="AF165" s="8" t="s">
        <v>2135</v>
      </c>
      <c r="AG165" s="8">
        <v>62.0</v>
      </c>
      <c r="AH165" s="8">
        <v>12.0</v>
      </c>
      <c r="AI165" s="8">
        <v>13.0</v>
      </c>
      <c r="AJ165" s="8">
        <v>1.0</v>
      </c>
      <c r="AK165" s="8">
        <v>68.0</v>
      </c>
      <c r="AL165" s="8" t="s">
        <v>6199</v>
      </c>
      <c r="AM165" s="8" t="s">
        <v>6200</v>
      </c>
      <c r="AN165" s="8" t="s">
        <v>6201</v>
      </c>
      <c r="AO165" s="8" t="s">
        <v>3676</v>
      </c>
      <c r="AP165" s="8" t="s">
        <v>2135</v>
      </c>
      <c r="AQ165" s="8" t="s">
        <v>2135</v>
      </c>
      <c r="AR165" s="8" t="s">
        <v>3678</v>
      </c>
      <c r="AS165" s="8" t="s">
        <v>3679</v>
      </c>
      <c r="AT165" s="8" t="s">
        <v>3765</v>
      </c>
      <c r="AU165" s="8">
        <v>2012.0</v>
      </c>
      <c r="AV165" s="8">
        <v>27.0</v>
      </c>
      <c r="AW165" s="8">
        <v>3.0</v>
      </c>
      <c r="AX165" s="8" t="s">
        <v>2135</v>
      </c>
      <c r="AY165" s="8" t="s">
        <v>2135</v>
      </c>
      <c r="AZ165" s="8" t="s">
        <v>2135</v>
      </c>
      <c r="BA165" s="8" t="s">
        <v>2135</v>
      </c>
      <c r="BB165" s="8">
        <v>603.0</v>
      </c>
      <c r="BC165" s="8">
        <v>614.0</v>
      </c>
      <c r="BD165" s="8" t="s">
        <v>2135</v>
      </c>
      <c r="BE165" s="8" t="s">
        <v>6202</v>
      </c>
      <c r="BF165" s="13" t="str">
        <f>HYPERLINK("http://dx.doi.org/10.1007/s11284-012-0931-y","http://dx.doi.org/10.1007/s11284-012-0931-y")</f>
        <v>http://dx.doi.org/10.1007/s11284-012-0931-y</v>
      </c>
      <c r="BG165" s="8" t="s">
        <v>2135</v>
      </c>
      <c r="BH165" s="8" t="s">
        <v>2135</v>
      </c>
      <c r="BI165" s="8">
        <v>12.0</v>
      </c>
      <c r="BJ165" s="8" t="s">
        <v>3681</v>
      </c>
      <c r="BK165" s="8" t="s">
        <v>3352</v>
      </c>
      <c r="BL165" s="8" t="s">
        <v>3632</v>
      </c>
      <c r="BM165" s="8" t="s">
        <v>6203</v>
      </c>
      <c r="BN165" s="8" t="s">
        <v>2135</v>
      </c>
      <c r="BO165" s="8" t="s">
        <v>2135</v>
      </c>
      <c r="BP165" s="8" t="s">
        <v>2135</v>
      </c>
      <c r="BQ165" s="8" t="s">
        <v>2135</v>
      </c>
      <c r="BR165" s="8" t="s">
        <v>3355</v>
      </c>
      <c r="BS165" s="8" t="s">
        <v>6204</v>
      </c>
      <c r="BU165" s="8" t="s">
        <v>2142</v>
      </c>
      <c r="BW165" s="8" t="s">
        <v>2515</v>
      </c>
      <c r="BX165" s="8" t="s">
        <v>2953</v>
      </c>
      <c r="BY165" s="8" t="s">
        <v>2954</v>
      </c>
      <c r="BZ165" s="8" t="str">
        <f>HYPERLINK("https%3A%2F%2Fwww.webofscience.com%2Fwos%2Fwoscc%2Ffull-record%2FWOS:000304204800013","View Full Record in Web of Science")</f>
        <v>View Full Record in Web of Science</v>
      </c>
    </row>
    <row r="166" ht="12.75" customHeight="1">
      <c r="A166" s="8" t="s">
        <v>3329</v>
      </c>
      <c r="B166" s="8" t="s">
        <v>6205</v>
      </c>
      <c r="C166" s="8" t="s">
        <v>2135</v>
      </c>
      <c r="D166" s="8" t="s">
        <v>2135</v>
      </c>
      <c r="E166" s="8" t="s">
        <v>2135</v>
      </c>
      <c r="F166" s="8" t="s">
        <v>6206</v>
      </c>
      <c r="G166" s="8" t="s">
        <v>2135</v>
      </c>
      <c r="H166" s="8" t="s">
        <v>2135</v>
      </c>
      <c r="I166" s="8" t="s">
        <v>789</v>
      </c>
      <c r="J166" s="8" t="s">
        <v>6207</v>
      </c>
      <c r="K166" s="8" t="s">
        <v>2135</v>
      </c>
      <c r="L166" s="8" t="s">
        <v>2135</v>
      </c>
      <c r="M166" s="8" t="s">
        <v>3332</v>
      </c>
      <c r="N166" s="8" t="s">
        <v>3333</v>
      </c>
      <c r="O166" s="8" t="s">
        <v>2135</v>
      </c>
      <c r="P166" s="8" t="s">
        <v>2135</v>
      </c>
      <c r="Q166" s="8" t="s">
        <v>2135</v>
      </c>
      <c r="R166" s="8" t="s">
        <v>2135</v>
      </c>
      <c r="S166" s="8" t="s">
        <v>2135</v>
      </c>
      <c r="T166" s="8" t="s">
        <v>6208</v>
      </c>
      <c r="U166" s="8" t="s">
        <v>6209</v>
      </c>
      <c r="V166" s="8" t="s">
        <v>6210</v>
      </c>
      <c r="W166" s="8" t="s">
        <v>6211</v>
      </c>
      <c r="X166" s="8" t="s">
        <v>6212</v>
      </c>
      <c r="Y166" s="8" t="s">
        <v>6213</v>
      </c>
      <c r="Z166" s="8" t="s">
        <v>6214</v>
      </c>
      <c r="AA166" s="8" t="s">
        <v>6215</v>
      </c>
      <c r="AB166" s="8" t="s">
        <v>6216</v>
      </c>
      <c r="AC166" s="8" t="s">
        <v>6217</v>
      </c>
      <c r="AD166" s="8" t="s">
        <v>6218</v>
      </c>
      <c r="AE166" s="8" t="s">
        <v>6219</v>
      </c>
      <c r="AF166" s="8" t="s">
        <v>2135</v>
      </c>
      <c r="AG166" s="8">
        <v>44.0</v>
      </c>
      <c r="AH166" s="8">
        <v>35.0</v>
      </c>
      <c r="AI166" s="8">
        <v>40.0</v>
      </c>
      <c r="AJ166" s="8">
        <v>0.0</v>
      </c>
      <c r="AK166" s="8">
        <v>83.0</v>
      </c>
      <c r="AL166" s="8" t="s">
        <v>3342</v>
      </c>
      <c r="AM166" s="8" t="s">
        <v>3343</v>
      </c>
      <c r="AN166" s="8" t="s">
        <v>3344</v>
      </c>
      <c r="AO166" s="8" t="s">
        <v>6220</v>
      </c>
      <c r="AP166" s="8" t="s">
        <v>6221</v>
      </c>
      <c r="AQ166" s="8" t="s">
        <v>2135</v>
      </c>
      <c r="AR166" s="8" t="s">
        <v>6207</v>
      </c>
      <c r="AS166" s="8" t="s">
        <v>6222</v>
      </c>
      <c r="AT166" s="8" t="s">
        <v>3765</v>
      </c>
      <c r="AU166" s="8">
        <v>2012.0</v>
      </c>
      <c r="AV166" s="8">
        <v>44.0</v>
      </c>
      <c r="AW166" s="8">
        <v>3.0</v>
      </c>
      <c r="AX166" s="8" t="s">
        <v>2135</v>
      </c>
      <c r="AY166" s="8" t="s">
        <v>2135</v>
      </c>
      <c r="AZ166" s="8" t="s">
        <v>2135</v>
      </c>
      <c r="BA166" s="8" t="s">
        <v>2135</v>
      </c>
      <c r="BB166" s="8">
        <v>437.0</v>
      </c>
      <c r="BC166" s="8">
        <v>444.0</v>
      </c>
      <c r="BD166" s="8" t="s">
        <v>2135</v>
      </c>
      <c r="BE166" s="8" t="s">
        <v>6223</v>
      </c>
      <c r="BF166" s="13" t="str">
        <f>HYPERLINK("http://dx.doi.org/10.1111/j.1744-7429.2011.00828.x","http://dx.doi.org/10.1111/j.1744-7429.2011.00828.x")</f>
        <v>http://dx.doi.org/10.1111/j.1744-7429.2011.00828.x</v>
      </c>
      <c r="BG166" s="8" t="s">
        <v>2135</v>
      </c>
      <c r="BH166" s="8" t="s">
        <v>2135</v>
      </c>
      <c r="BI166" s="8">
        <v>8.0</v>
      </c>
      <c r="BJ166" s="8" t="s">
        <v>3681</v>
      </c>
      <c r="BK166" s="8" t="s">
        <v>3352</v>
      </c>
      <c r="BL166" s="8" t="s">
        <v>3632</v>
      </c>
      <c r="BM166" s="8" t="s">
        <v>6224</v>
      </c>
      <c r="BN166" s="8" t="s">
        <v>2135</v>
      </c>
      <c r="BO166" s="8" t="s">
        <v>2135</v>
      </c>
      <c r="BP166" s="8" t="s">
        <v>2135</v>
      </c>
      <c r="BQ166" s="8" t="s">
        <v>2135</v>
      </c>
      <c r="BR166" s="8" t="s">
        <v>3355</v>
      </c>
      <c r="BS166" s="8" t="s">
        <v>6225</v>
      </c>
      <c r="BT166" s="8" t="s">
        <v>2185</v>
      </c>
      <c r="BU166" s="8" t="s">
        <v>2147</v>
      </c>
      <c r="BW166" s="8" t="s">
        <v>2186</v>
      </c>
      <c r="BX166" s="8" t="s">
        <v>2981</v>
      </c>
      <c r="BY166" s="8" t="s">
        <v>2954</v>
      </c>
      <c r="BZ166" s="8" t="str">
        <f>HYPERLINK("https%3A%2F%2Fwww.webofscience.com%2Fwos%2Fwoscc%2Ffull-record%2FWOS:000303496500020","View Full Record in Web of Science")</f>
        <v>View Full Record in Web of Science</v>
      </c>
    </row>
    <row r="167" ht="12.75" customHeight="1">
      <c r="A167" s="8" t="s">
        <v>3329</v>
      </c>
      <c r="B167" s="8" t="s">
        <v>6226</v>
      </c>
      <c r="C167" s="8" t="s">
        <v>2135</v>
      </c>
      <c r="D167" s="8" t="s">
        <v>2135</v>
      </c>
      <c r="E167" s="8" t="s">
        <v>2135</v>
      </c>
      <c r="F167" s="8" t="s">
        <v>6227</v>
      </c>
      <c r="G167" s="8" t="s">
        <v>2135</v>
      </c>
      <c r="H167" s="8" t="s">
        <v>2135</v>
      </c>
      <c r="I167" s="8" t="s">
        <v>457</v>
      </c>
      <c r="J167" s="8" t="s">
        <v>3704</v>
      </c>
      <c r="K167" s="8" t="s">
        <v>2135</v>
      </c>
      <c r="L167" s="8" t="s">
        <v>2135</v>
      </c>
      <c r="M167" s="8" t="s">
        <v>3332</v>
      </c>
      <c r="N167" s="8" t="s">
        <v>3333</v>
      </c>
      <c r="O167" s="8" t="s">
        <v>2135</v>
      </c>
      <c r="P167" s="8" t="s">
        <v>2135</v>
      </c>
      <c r="Q167" s="8" t="s">
        <v>2135</v>
      </c>
      <c r="R167" s="8" t="s">
        <v>2135</v>
      </c>
      <c r="S167" s="8" t="s">
        <v>2135</v>
      </c>
      <c r="T167" s="8" t="s">
        <v>6228</v>
      </c>
      <c r="U167" s="8" t="s">
        <v>6229</v>
      </c>
      <c r="V167" s="8" t="s">
        <v>6230</v>
      </c>
      <c r="W167" s="8" t="s">
        <v>6231</v>
      </c>
      <c r="X167" s="8" t="s">
        <v>6232</v>
      </c>
      <c r="Y167" s="8" t="s">
        <v>6233</v>
      </c>
      <c r="Z167" s="8" t="s">
        <v>6234</v>
      </c>
      <c r="AA167" s="8" t="s">
        <v>2135</v>
      </c>
      <c r="AB167" s="8" t="s">
        <v>2135</v>
      </c>
      <c r="AC167" s="8" t="s">
        <v>6235</v>
      </c>
      <c r="AD167" s="8" t="s">
        <v>6235</v>
      </c>
      <c r="AE167" s="8" t="s">
        <v>6236</v>
      </c>
      <c r="AF167" s="8" t="s">
        <v>2135</v>
      </c>
      <c r="AG167" s="8">
        <v>62.0</v>
      </c>
      <c r="AH167" s="8">
        <v>18.0</v>
      </c>
      <c r="AI167" s="8">
        <v>19.0</v>
      </c>
      <c r="AJ167" s="8">
        <v>0.0</v>
      </c>
      <c r="AK167" s="8">
        <v>73.0</v>
      </c>
      <c r="AL167" s="8" t="s">
        <v>3505</v>
      </c>
      <c r="AM167" s="8" t="s">
        <v>3506</v>
      </c>
      <c r="AN167" s="8" t="s">
        <v>3507</v>
      </c>
      <c r="AO167" s="8" t="s">
        <v>3717</v>
      </c>
      <c r="AP167" s="8" t="s">
        <v>3718</v>
      </c>
      <c r="AQ167" s="8" t="s">
        <v>2135</v>
      </c>
      <c r="AR167" s="8" t="s">
        <v>3719</v>
      </c>
      <c r="AS167" s="8" t="s">
        <v>3720</v>
      </c>
      <c r="AT167" s="8" t="s">
        <v>2135</v>
      </c>
      <c r="AU167" s="8">
        <v>2012.0</v>
      </c>
      <c r="AV167" s="8">
        <v>77.0</v>
      </c>
      <c r="AW167" s="8">
        <v>5.0</v>
      </c>
      <c r="AX167" s="8" t="s">
        <v>2135</v>
      </c>
      <c r="AY167" s="8" t="s">
        <v>2135</v>
      </c>
      <c r="AZ167" s="8" t="s">
        <v>2135</v>
      </c>
      <c r="BA167" s="8" t="s">
        <v>2135</v>
      </c>
      <c r="BB167" s="8">
        <v>351.0</v>
      </c>
      <c r="BC167" s="8">
        <v>357.0</v>
      </c>
      <c r="BD167" s="8" t="s">
        <v>2135</v>
      </c>
      <c r="BE167" s="8" t="s">
        <v>6237</v>
      </c>
      <c r="BF167" s="13" t="str">
        <f>HYPERLINK("http://dx.doi.org/10.1016/j.mambio.2012.04.001","http://dx.doi.org/10.1016/j.mambio.2012.04.001")</f>
        <v>http://dx.doi.org/10.1016/j.mambio.2012.04.001</v>
      </c>
      <c r="BG167" s="8" t="s">
        <v>2135</v>
      </c>
      <c r="BH167" s="8" t="s">
        <v>2135</v>
      </c>
      <c r="BI167" s="8">
        <v>7.0</v>
      </c>
      <c r="BJ167" s="8" t="s">
        <v>3397</v>
      </c>
      <c r="BK167" s="8" t="s">
        <v>3352</v>
      </c>
      <c r="BL167" s="8" t="s">
        <v>3397</v>
      </c>
      <c r="BM167" s="8" t="s">
        <v>6238</v>
      </c>
      <c r="BN167" s="8" t="s">
        <v>2135</v>
      </c>
      <c r="BO167" s="8" t="s">
        <v>2135</v>
      </c>
      <c r="BP167" s="8" t="s">
        <v>2135</v>
      </c>
      <c r="BQ167" s="8" t="s">
        <v>2135</v>
      </c>
      <c r="BR167" s="8" t="s">
        <v>3355</v>
      </c>
      <c r="BS167" s="8" t="s">
        <v>6239</v>
      </c>
      <c r="BT167" s="8" t="s">
        <v>2373</v>
      </c>
      <c r="BU167" s="8" t="s">
        <v>2142</v>
      </c>
      <c r="BW167" s="8" t="s">
        <v>2166</v>
      </c>
      <c r="BX167" s="8" t="s">
        <v>2971</v>
      </c>
      <c r="BY167" s="8" t="s">
        <v>2954</v>
      </c>
      <c r="BZ167" s="8" t="str">
        <f>HYPERLINK("https%3A%2F%2Fwww.webofscience.com%2Fwos%2Fwoscc%2Ffull-record%2FWOS:000309023900007","View Full Record in Web of Science")</f>
        <v>View Full Record in Web of Science</v>
      </c>
    </row>
    <row r="168" ht="12.75" customHeight="1">
      <c r="A168" s="8" t="s">
        <v>3329</v>
      </c>
      <c r="B168" s="8" t="s">
        <v>6240</v>
      </c>
      <c r="C168" s="8" t="s">
        <v>2135</v>
      </c>
      <c r="D168" s="8" t="s">
        <v>2135</v>
      </c>
      <c r="E168" s="8" t="s">
        <v>2135</v>
      </c>
      <c r="F168" s="8" t="s">
        <v>6241</v>
      </c>
      <c r="G168" s="8" t="s">
        <v>2135</v>
      </c>
      <c r="H168" s="8" t="s">
        <v>2135</v>
      </c>
      <c r="I168" s="8" t="s">
        <v>781</v>
      </c>
      <c r="J168" s="8" t="s">
        <v>4162</v>
      </c>
      <c r="K168" s="8" t="s">
        <v>2135</v>
      </c>
      <c r="L168" s="8" t="s">
        <v>2135</v>
      </c>
      <c r="M168" s="8" t="s">
        <v>3332</v>
      </c>
      <c r="N168" s="8" t="s">
        <v>3333</v>
      </c>
      <c r="O168" s="8" t="s">
        <v>2135</v>
      </c>
      <c r="P168" s="8" t="s">
        <v>2135</v>
      </c>
      <c r="Q168" s="8" t="s">
        <v>2135</v>
      </c>
      <c r="R168" s="8" t="s">
        <v>2135</v>
      </c>
      <c r="S168" s="8" t="s">
        <v>2135</v>
      </c>
      <c r="T168" s="8" t="s">
        <v>6242</v>
      </c>
      <c r="U168" s="8" t="s">
        <v>6243</v>
      </c>
      <c r="V168" s="8" t="s">
        <v>6244</v>
      </c>
      <c r="W168" s="8" t="s">
        <v>6245</v>
      </c>
      <c r="X168" s="8" t="s">
        <v>6246</v>
      </c>
      <c r="Y168" s="8" t="s">
        <v>6247</v>
      </c>
      <c r="Z168" s="8" t="s">
        <v>6248</v>
      </c>
      <c r="AA168" s="8" t="s">
        <v>2135</v>
      </c>
      <c r="AB168" s="8" t="s">
        <v>6249</v>
      </c>
      <c r="AC168" s="8" t="s">
        <v>6250</v>
      </c>
      <c r="AD168" s="8" t="s">
        <v>6251</v>
      </c>
      <c r="AE168" s="8" t="s">
        <v>6252</v>
      </c>
      <c r="AF168" s="8" t="s">
        <v>2135</v>
      </c>
      <c r="AG168" s="8">
        <v>73.0</v>
      </c>
      <c r="AH168" s="8">
        <v>20.0</v>
      </c>
      <c r="AI168" s="8">
        <v>24.0</v>
      </c>
      <c r="AJ168" s="8">
        <v>0.0</v>
      </c>
      <c r="AK168" s="8">
        <v>45.0</v>
      </c>
      <c r="AL168" s="8" t="s">
        <v>3342</v>
      </c>
      <c r="AM168" s="8" t="s">
        <v>3343</v>
      </c>
      <c r="AN168" s="8" t="s">
        <v>3344</v>
      </c>
      <c r="AO168" s="8" t="s">
        <v>4175</v>
      </c>
      <c r="AP168" s="8" t="s">
        <v>4176</v>
      </c>
      <c r="AQ168" s="8" t="s">
        <v>2135</v>
      </c>
      <c r="AR168" s="8" t="s">
        <v>4177</v>
      </c>
      <c r="AS168" s="8" t="s">
        <v>4178</v>
      </c>
      <c r="AT168" s="8" t="s">
        <v>3440</v>
      </c>
      <c r="AU168" s="8">
        <v>2011.0</v>
      </c>
      <c r="AV168" s="8">
        <v>75.0</v>
      </c>
      <c r="AW168" s="8">
        <v>8.0</v>
      </c>
      <c r="AX168" s="8" t="s">
        <v>2135</v>
      </c>
      <c r="AY168" s="8" t="s">
        <v>2135</v>
      </c>
      <c r="AZ168" s="8" t="s">
        <v>2135</v>
      </c>
      <c r="BA168" s="8" t="s">
        <v>2135</v>
      </c>
      <c r="BB168" s="8">
        <v>1774.0</v>
      </c>
      <c r="BC168" s="8">
        <v>1787.0</v>
      </c>
      <c r="BD168" s="8" t="s">
        <v>2135</v>
      </c>
      <c r="BE168" s="8" t="s">
        <v>6253</v>
      </c>
      <c r="BF168" s="13" t="str">
        <f>HYPERLINK("http://dx.doi.org/10.1002/jwmg.228","http://dx.doi.org/10.1002/jwmg.228")</f>
        <v>http://dx.doi.org/10.1002/jwmg.228</v>
      </c>
      <c r="BG168" s="8" t="s">
        <v>2135</v>
      </c>
      <c r="BH168" s="8" t="s">
        <v>2135</v>
      </c>
      <c r="BI168" s="8">
        <v>14.0</v>
      </c>
      <c r="BJ168" s="8" t="s">
        <v>3442</v>
      </c>
      <c r="BK168" s="8" t="s">
        <v>3352</v>
      </c>
      <c r="BL168" s="8" t="s">
        <v>3443</v>
      </c>
      <c r="BM168" s="8" t="s">
        <v>6254</v>
      </c>
      <c r="BN168" s="8" t="s">
        <v>2135</v>
      </c>
      <c r="BO168" s="8" t="s">
        <v>2135</v>
      </c>
      <c r="BP168" s="8" t="s">
        <v>2135</v>
      </c>
      <c r="BQ168" s="8" t="s">
        <v>2135</v>
      </c>
      <c r="BR168" s="8" t="s">
        <v>3355</v>
      </c>
      <c r="BS168" s="8" t="s">
        <v>6255</v>
      </c>
      <c r="BT168" s="8" t="s">
        <v>2600</v>
      </c>
      <c r="BU168" s="8" t="s">
        <v>2147</v>
      </c>
      <c r="BV168" s="8" t="s">
        <v>2217</v>
      </c>
      <c r="BW168" s="8" t="s">
        <v>2221</v>
      </c>
      <c r="BX168" s="8" t="s">
        <v>2971</v>
      </c>
      <c r="BY168" s="8" t="s">
        <v>2954</v>
      </c>
      <c r="BZ168" s="8" t="str">
        <f>HYPERLINK("https%3A%2F%2Fwww.webofscience.com%2Fwos%2Fwoscc%2Ffull-record%2FWOS:000296424900012","View Full Record in Web of Science")</f>
        <v>View Full Record in Web of Science</v>
      </c>
    </row>
    <row r="169" ht="12.75" customHeight="1">
      <c r="A169" s="8" t="s">
        <v>3329</v>
      </c>
      <c r="B169" s="8" t="s">
        <v>6256</v>
      </c>
      <c r="C169" s="8" t="s">
        <v>2135</v>
      </c>
      <c r="D169" s="8" t="s">
        <v>2135</v>
      </c>
      <c r="E169" s="8" t="s">
        <v>2135</v>
      </c>
      <c r="F169" s="8" t="s">
        <v>6257</v>
      </c>
      <c r="G169" s="8" t="s">
        <v>2135</v>
      </c>
      <c r="H169" s="8" t="s">
        <v>2135</v>
      </c>
      <c r="I169" s="8" t="s">
        <v>783</v>
      </c>
      <c r="J169" s="8" t="s">
        <v>4162</v>
      </c>
      <c r="K169" s="8" t="s">
        <v>2135</v>
      </c>
      <c r="L169" s="8" t="s">
        <v>2135</v>
      </c>
      <c r="M169" s="8" t="s">
        <v>3332</v>
      </c>
      <c r="N169" s="8" t="s">
        <v>3333</v>
      </c>
      <c r="O169" s="8" t="s">
        <v>2135</v>
      </c>
      <c r="P169" s="8" t="s">
        <v>2135</v>
      </c>
      <c r="Q169" s="8" t="s">
        <v>2135</v>
      </c>
      <c r="R169" s="8" t="s">
        <v>2135</v>
      </c>
      <c r="S169" s="8" t="s">
        <v>2135</v>
      </c>
      <c r="T169" s="8" t="s">
        <v>6258</v>
      </c>
      <c r="U169" s="8" t="s">
        <v>6259</v>
      </c>
      <c r="V169" s="8" t="s">
        <v>6260</v>
      </c>
      <c r="W169" s="8" t="s">
        <v>6261</v>
      </c>
      <c r="X169" s="8" t="s">
        <v>6262</v>
      </c>
      <c r="Y169" s="8" t="s">
        <v>6263</v>
      </c>
      <c r="Z169" s="8" t="s">
        <v>6264</v>
      </c>
      <c r="AA169" s="8" t="s">
        <v>6265</v>
      </c>
      <c r="AB169" s="8" t="s">
        <v>6266</v>
      </c>
      <c r="AC169" s="8" t="s">
        <v>6267</v>
      </c>
      <c r="AD169" s="8" t="s">
        <v>6268</v>
      </c>
      <c r="AE169" s="8" t="s">
        <v>6269</v>
      </c>
      <c r="AF169" s="8" t="s">
        <v>2135</v>
      </c>
      <c r="AG169" s="8">
        <v>30.0</v>
      </c>
      <c r="AH169" s="8">
        <v>31.0</v>
      </c>
      <c r="AI169" s="8">
        <v>45.0</v>
      </c>
      <c r="AJ169" s="8">
        <v>1.0</v>
      </c>
      <c r="AK169" s="8">
        <v>52.0</v>
      </c>
      <c r="AL169" s="8" t="s">
        <v>3342</v>
      </c>
      <c r="AM169" s="8" t="s">
        <v>3343</v>
      </c>
      <c r="AN169" s="8" t="s">
        <v>3344</v>
      </c>
      <c r="AO169" s="8" t="s">
        <v>4175</v>
      </c>
      <c r="AP169" s="8" t="s">
        <v>4176</v>
      </c>
      <c r="AQ169" s="8" t="s">
        <v>2135</v>
      </c>
      <c r="AR169" s="8" t="s">
        <v>4177</v>
      </c>
      <c r="AS169" s="8" t="s">
        <v>4178</v>
      </c>
      <c r="AT169" s="8" t="s">
        <v>3440</v>
      </c>
      <c r="AU169" s="8">
        <v>2011.0</v>
      </c>
      <c r="AV169" s="8">
        <v>75.0</v>
      </c>
      <c r="AW169" s="8">
        <v>8.0</v>
      </c>
      <c r="AX169" s="8" t="s">
        <v>2135</v>
      </c>
      <c r="AY169" s="8" t="s">
        <v>2135</v>
      </c>
      <c r="AZ169" s="8" t="s">
        <v>2135</v>
      </c>
      <c r="BA169" s="8" t="s">
        <v>2135</v>
      </c>
      <c r="BB169" s="8">
        <v>1767.0</v>
      </c>
      <c r="BC169" s="8">
        <v>1773.0</v>
      </c>
      <c r="BD169" s="8" t="s">
        <v>2135</v>
      </c>
      <c r="BE169" s="8" t="s">
        <v>6270</v>
      </c>
      <c r="BF169" s="13" t="str">
        <f>HYPERLINK("http://dx.doi.org/10.1002/jwmg.227","http://dx.doi.org/10.1002/jwmg.227")</f>
        <v>http://dx.doi.org/10.1002/jwmg.227</v>
      </c>
      <c r="BG169" s="8" t="s">
        <v>2135</v>
      </c>
      <c r="BH169" s="8" t="s">
        <v>2135</v>
      </c>
      <c r="BI169" s="8">
        <v>7.0</v>
      </c>
      <c r="BJ169" s="8" t="s">
        <v>3442</v>
      </c>
      <c r="BK169" s="8" t="s">
        <v>3352</v>
      </c>
      <c r="BL169" s="8" t="s">
        <v>3443</v>
      </c>
      <c r="BM169" s="8" t="s">
        <v>6254</v>
      </c>
      <c r="BN169" s="8" t="s">
        <v>2135</v>
      </c>
      <c r="BO169" s="8" t="s">
        <v>2135</v>
      </c>
      <c r="BP169" s="8" t="s">
        <v>2135</v>
      </c>
      <c r="BQ169" s="8" t="s">
        <v>2135</v>
      </c>
      <c r="BR169" s="8" t="s">
        <v>3355</v>
      </c>
      <c r="BS169" s="8" t="s">
        <v>6271</v>
      </c>
      <c r="BT169" s="8" t="s">
        <v>2600</v>
      </c>
      <c r="BU169" s="8" t="s">
        <v>2147</v>
      </c>
      <c r="BV169" s="8" t="s">
        <v>2217</v>
      </c>
      <c r="BW169" s="8" t="s">
        <v>2221</v>
      </c>
      <c r="BX169" s="8" t="s">
        <v>2953</v>
      </c>
      <c r="BY169" s="8" t="s">
        <v>2954</v>
      </c>
      <c r="BZ169" s="8" t="str">
        <f>HYPERLINK("https%3A%2F%2Fwww.webofscience.com%2Fwos%2Fwoscc%2Ffull-record%2FWOS:000296424900011","View Full Record in Web of Science")</f>
        <v>View Full Record in Web of Science</v>
      </c>
    </row>
    <row r="170" ht="12.75" customHeight="1">
      <c r="A170" s="8" t="s">
        <v>3329</v>
      </c>
      <c r="B170" s="8" t="s">
        <v>6272</v>
      </c>
      <c r="C170" s="8" t="s">
        <v>2135</v>
      </c>
      <c r="D170" s="8" t="s">
        <v>2135</v>
      </c>
      <c r="E170" s="8" t="s">
        <v>2135</v>
      </c>
      <c r="F170" s="8" t="s">
        <v>6273</v>
      </c>
      <c r="G170" s="8" t="s">
        <v>2135</v>
      </c>
      <c r="H170" s="8" t="s">
        <v>2135</v>
      </c>
      <c r="I170" s="8" t="s">
        <v>787</v>
      </c>
      <c r="J170" s="8" t="s">
        <v>4162</v>
      </c>
      <c r="K170" s="8" t="s">
        <v>2135</v>
      </c>
      <c r="L170" s="8" t="s">
        <v>2135</v>
      </c>
      <c r="M170" s="8" t="s">
        <v>3332</v>
      </c>
      <c r="N170" s="8" t="s">
        <v>3333</v>
      </c>
      <c r="O170" s="8" t="s">
        <v>2135</v>
      </c>
      <c r="P170" s="8" t="s">
        <v>2135</v>
      </c>
      <c r="Q170" s="8" t="s">
        <v>2135</v>
      </c>
      <c r="R170" s="8" t="s">
        <v>2135</v>
      </c>
      <c r="S170" s="8" t="s">
        <v>2135</v>
      </c>
      <c r="T170" s="8" t="s">
        <v>6274</v>
      </c>
      <c r="U170" s="8" t="s">
        <v>6275</v>
      </c>
      <c r="V170" s="8" t="s">
        <v>6276</v>
      </c>
      <c r="W170" s="8" t="s">
        <v>6277</v>
      </c>
      <c r="X170" s="8" t="s">
        <v>6278</v>
      </c>
      <c r="Y170" s="8" t="s">
        <v>6279</v>
      </c>
      <c r="Z170" s="8" t="s">
        <v>6280</v>
      </c>
      <c r="AA170" s="8" t="s">
        <v>6281</v>
      </c>
      <c r="AB170" s="8" t="s">
        <v>2135</v>
      </c>
      <c r="AC170" s="8" t="s">
        <v>6282</v>
      </c>
      <c r="AD170" s="8" t="s">
        <v>6282</v>
      </c>
      <c r="AE170" s="8" t="s">
        <v>6283</v>
      </c>
      <c r="AF170" s="8" t="s">
        <v>2135</v>
      </c>
      <c r="AG170" s="8">
        <v>61.0</v>
      </c>
      <c r="AH170" s="8">
        <v>44.0</v>
      </c>
      <c r="AI170" s="8">
        <v>58.0</v>
      </c>
      <c r="AJ170" s="8">
        <v>4.0</v>
      </c>
      <c r="AK170" s="8">
        <v>115.0</v>
      </c>
      <c r="AL170" s="8" t="s">
        <v>3342</v>
      </c>
      <c r="AM170" s="8" t="s">
        <v>3343</v>
      </c>
      <c r="AN170" s="8" t="s">
        <v>3344</v>
      </c>
      <c r="AO170" s="8" t="s">
        <v>4175</v>
      </c>
      <c r="AP170" s="8" t="s">
        <v>4176</v>
      </c>
      <c r="AQ170" s="8" t="s">
        <v>2135</v>
      </c>
      <c r="AR170" s="8" t="s">
        <v>4177</v>
      </c>
      <c r="AS170" s="8" t="s">
        <v>4178</v>
      </c>
      <c r="AT170" s="8" t="s">
        <v>3462</v>
      </c>
      <c r="AU170" s="8">
        <v>2011.0</v>
      </c>
      <c r="AV170" s="8">
        <v>75.0</v>
      </c>
      <c r="AW170" s="8">
        <v>7.0</v>
      </c>
      <c r="AX170" s="8" t="s">
        <v>2135</v>
      </c>
      <c r="AY170" s="8" t="s">
        <v>2135</v>
      </c>
      <c r="AZ170" s="8" t="s">
        <v>2135</v>
      </c>
      <c r="BA170" s="8" t="s">
        <v>2135</v>
      </c>
      <c r="BB170" s="8">
        <v>1625.0</v>
      </c>
      <c r="BC170" s="8">
        <v>1636.0</v>
      </c>
      <c r="BD170" s="8" t="s">
        <v>2135</v>
      </c>
      <c r="BE170" s="8" t="s">
        <v>6284</v>
      </c>
      <c r="BF170" s="13" t="str">
        <f>HYPERLINK("http://dx.doi.org/10.1002/jwmg.193","http://dx.doi.org/10.1002/jwmg.193")</f>
        <v>http://dx.doi.org/10.1002/jwmg.193</v>
      </c>
      <c r="BG170" s="8" t="s">
        <v>2135</v>
      </c>
      <c r="BH170" s="8" t="s">
        <v>2135</v>
      </c>
      <c r="BI170" s="8">
        <v>12.0</v>
      </c>
      <c r="BJ170" s="8" t="s">
        <v>3442</v>
      </c>
      <c r="BK170" s="8" t="s">
        <v>3352</v>
      </c>
      <c r="BL170" s="8" t="s">
        <v>3443</v>
      </c>
      <c r="BM170" s="8" t="s">
        <v>6285</v>
      </c>
      <c r="BN170" s="8" t="s">
        <v>2135</v>
      </c>
      <c r="BO170" s="8" t="s">
        <v>2135</v>
      </c>
      <c r="BP170" s="8" t="s">
        <v>2135</v>
      </c>
      <c r="BQ170" s="8" t="s">
        <v>2135</v>
      </c>
      <c r="BR170" s="8" t="s">
        <v>3355</v>
      </c>
      <c r="BS170" s="8" t="s">
        <v>6286</v>
      </c>
      <c r="BT170" s="8" t="s">
        <v>2600</v>
      </c>
      <c r="BU170" s="8" t="s">
        <v>2147</v>
      </c>
      <c r="BV170" s="8" t="s">
        <v>2217</v>
      </c>
      <c r="BW170" s="8" t="s">
        <v>2234</v>
      </c>
      <c r="BX170" s="8" t="s">
        <v>2953</v>
      </c>
      <c r="BY170" s="8" t="s">
        <v>2954</v>
      </c>
      <c r="BZ170" s="8" t="str">
        <f>HYPERLINK("https%3A%2F%2Fwww.webofscience.com%2Fwos%2Fwoscc%2Ffull-record%2FWOS:000294349600012","View Full Record in Web of Science")</f>
        <v>View Full Record in Web of Science</v>
      </c>
    </row>
    <row r="171" ht="12.75" customHeight="1">
      <c r="A171" s="8" t="s">
        <v>3329</v>
      </c>
      <c r="B171" s="8" t="s">
        <v>6287</v>
      </c>
      <c r="C171" s="8" t="s">
        <v>2135</v>
      </c>
      <c r="D171" s="8" t="s">
        <v>2135</v>
      </c>
      <c r="E171" s="8" t="s">
        <v>2135</v>
      </c>
      <c r="F171" s="8" t="s">
        <v>6288</v>
      </c>
      <c r="G171" s="8" t="s">
        <v>2135</v>
      </c>
      <c r="H171" s="8" t="s">
        <v>2135</v>
      </c>
      <c r="I171" s="8" t="s">
        <v>773</v>
      </c>
      <c r="J171" s="8" t="s">
        <v>4715</v>
      </c>
      <c r="K171" s="8" t="s">
        <v>2135</v>
      </c>
      <c r="L171" s="8" t="s">
        <v>2135</v>
      </c>
      <c r="M171" s="8" t="s">
        <v>3332</v>
      </c>
      <c r="N171" s="8" t="s">
        <v>3333</v>
      </c>
      <c r="O171" s="8" t="s">
        <v>2135</v>
      </c>
      <c r="P171" s="8" t="s">
        <v>2135</v>
      </c>
      <c r="Q171" s="8" t="s">
        <v>2135</v>
      </c>
      <c r="R171" s="8" t="s">
        <v>2135</v>
      </c>
      <c r="S171" s="8" t="s">
        <v>2135</v>
      </c>
      <c r="T171" s="8" t="s">
        <v>6289</v>
      </c>
      <c r="U171" s="8" t="s">
        <v>6290</v>
      </c>
      <c r="V171" s="8" t="s">
        <v>6291</v>
      </c>
      <c r="W171" s="8" t="s">
        <v>6292</v>
      </c>
      <c r="X171" s="8" t="s">
        <v>6293</v>
      </c>
      <c r="Y171" s="8" t="s">
        <v>6294</v>
      </c>
      <c r="Z171" s="8" t="s">
        <v>6295</v>
      </c>
      <c r="AA171" s="8" t="s">
        <v>6296</v>
      </c>
      <c r="AB171" s="8" t="s">
        <v>6297</v>
      </c>
      <c r="AC171" s="8" t="s">
        <v>6298</v>
      </c>
      <c r="AD171" s="8" t="s">
        <v>6298</v>
      </c>
      <c r="AE171" s="8" t="s">
        <v>6299</v>
      </c>
      <c r="AF171" s="8" t="s">
        <v>2135</v>
      </c>
      <c r="AG171" s="8">
        <v>65.0</v>
      </c>
      <c r="AH171" s="8">
        <v>9.0</v>
      </c>
      <c r="AI171" s="8">
        <v>12.0</v>
      </c>
      <c r="AJ171" s="8">
        <v>0.0</v>
      </c>
      <c r="AK171" s="8">
        <v>23.0</v>
      </c>
      <c r="AL171" s="8" t="s">
        <v>4723</v>
      </c>
      <c r="AM171" s="8" t="s">
        <v>4724</v>
      </c>
      <c r="AN171" s="8" t="s">
        <v>4725</v>
      </c>
      <c r="AO171" s="8" t="s">
        <v>4726</v>
      </c>
      <c r="AP171" s="8" t="s">
        <v>2135</v>
      </c>
      <c r="AQ171" s="8" t="s">
        <v>2135</v>
      </c>
      <c r="AR171" s="8" t="s">
        <v>4727</v>
      </c>
      <c r="AS171" s="8" t="s">
        <v>4728</v>
      </c>
      <c r="AT171" s="8" t="s">
        <v>3741</v>
      </c>
      <c r="AU171" s="8">
        <v>2010.0</v>
      </c>
      <c r="AV171" s="8">
        <v>42.0</v>
      </c>
      <c r="AW171" s="8">
        <v>6.0</v>
      </c>
      <c r="AX171" s="8" t="s">
        <v>2135</v>
      </c>
      <c r="AY171" s="8" t="s">
        <v>2135</v>
      </c>
      <c r="AZ171" s="8" t="s">
        <v>2135</v>
      </c>
      <c r="BA171" s="8" t="s">
        <v>2135</v>
      </c>
      <c r="BB171" s="8">
        <v>817.0</v>
      </c>
      <c r="BC171" s="8">
        <v>824.0</v>
      </c>
      <c r="BD171" s="8" t="s">
        <v>2135</v>
      </c>
      <c r="BE171" s="8" t="s">
        <v>2135</v>
      </c>
      <c r="BF171" s="8" t="s">
        <v>2135</v>
      </c>
      <c r="BG171" s="8" t="s">
        <v>2135</v>
      </c>
      <c r="BH171" s="8" t="s">
        <v>2135</v>
      </c>
      <c r="BI171" s="8">
        <v>8.0</v>
      </c>
      <c r="BJ171" s="8" t="s">
        <v>3397</v>
      </c>
      <c r="BK171" s="8" t="s">
        <v>3352</v>
      </c>
      <c r="BL171" s="8" t="s">
        <v>3397</v>
      </c>
      <c r="BM171" s="8" t="s">
        <v>6300</v>
      </c>
      <c r="BN171" s="8" t="s">
        <v>2135</v>
      </c>
      <c r="BO171" s="8" t="s">
        <v>2135</v>
      </c>
      <c r="BP171" s="8" t="s">
        <v>2135</v>
      </c>
      <c r="BQ171" s="8" t="s">
        <v>2135</v>
      </c>
      <c r="BR171" s="8" t="s">
        <v>3355</v>
      </c>
      <c r="BS171" s="8" t="s">
        <v>6301</v>
      </c>
      <c r="BT171" s="8" t="s">
        <v>2456</v>
      </c>
      <c r="BU171" s="8" t="s">
        <v>2283</v>
      </c>
      <c r="BV171" s="8" t="s">
        <v>2357</v>
      </c>
      <c r="BW171" s="8" t="s">
        <v>2361</v>
      </c>
      <c r="BX171" s="8" t="s">
        <v>2953</v>
      </c>
      <c r="BY171" s="8" t="s">
        <v>2954</v>
      </c>
      <c r="BZ171" s="8" t="str">
        <f>HYPERLINK("https%3A%2F%2Fwww.webofscience.com%2Fwos%2Fwoscc%2Ffull-record%2FWOS:000281369100025","View Full Record in Web of Science")</f>
        <v>View Full Record in Web of Science</v>
      </c>
    </row>
    <row r="172" ht="12.75" customHeight="1">
      <c r="A172" s="8" t="s">
        <v>3329</v>
      </c>
      <c r="B172" s="8" t="s">
        <v>6302</v>
      </c>
      <c r="C172" s="8" t="s">
        <v>2135</v>
      </c>
      <c r="D172" s="8" t="s">
        <v>2135</v>
      </c>
      <c r="E172" s="8" t="s">
        <v>2135</v>
      </c>
      <c r="F172" s="8" t="s">
        <v>6303</v>
      </c>
      <c r="G172" s="8" t="s">
        <v>2135</v>
      </c>
      <c r="H172" s="8" t="s">
        <v>2135</v>
      </c>
      <c r="I172" s="8" t="s">
        <v>775</v>
      </c>
      <c r="J172" s="8" t="s">
        <v>4162</v>
      </c>
      <c r="K172" s="8" t="s">
        <v>2135</v>
      </c>
      <c r="L172" s="8" t="s">
        <v>2135</v>
      </c>
      <c r="M172" s="8" t="s">
        <v>3332</v>
      </c>
      <c r="N172" s="8" t="s">
        <v>3333</v>
      </c>
      <c r="O172" s="8" t="s">
        <v>2135</v>
      </c>
      <c r="P172" s="8" t="s">
        <v>2135</v>
      </c>
      <c r="Q172" s="8" t="s">
        <v>2135</v>
      </c>
      <c r="R172" s="8" t="s">
        <v>2135</v>
      </c>
      <c r="S172" s="8" t="s">
        <v>2135</v>
      </c>
      <c r="T172" s="8" t="s">
        <v>6304</v>
      </c>
      <c r="U172" s="8" t="s">
        <v>6305</v>
      </c>
      <c r="V172" s="8" t="s">
        <v>6306</v>
      </c>
      <c r="W172" s="8" t="s">
        <v>6307</v>
      </c>
      <c r="X172" s="8" t="s">
        <v>6308</v>
      </c>
      <c r="Y172" s="8" t="s">
        <v>6309</v>
      </c>
      <c r="Z172" s="8" t="s">
        <v>6310</v>
      </c>
      <c r="AA172" s="8" t="s">
        <v>2135</v>
      </c>
      <c r="AB172" s="8" t="s">
        <v>2135</v>
      </c>
      <c r="AC172" s="8" t="s">
        <v>6311</v>
      </c>
      <c r="AD172" s="8" t="s">
        <v>6312</v>
      </c>
      <c r="AE172" s="8" t="s">
        <v>6313</v>
      </c>
      <c r="AF172" s="8" t="s">
        <v>2135</v>
      </c>
      <c r="AG172" s="8">
        <v>72.0</v>
      </c>
      <c r="AH172" s="8">
        <v>10.0</v>
      </c>
      <c r="AI172" s="8">
        <v>14.0</v>
      </c>
      <c r="AJ172" s="8">
        <v>0.0</v>
      </c>
      <c r="AK172" s="8">
        <v>57.0</v>
      </c>
      <c r="AL172" s="8" t="s">
        <v>3342</v>
      </c>
      <c r="AM172" s="8" t="s">
        <v>3343</v>
      </c>
      <c r="AN172" s="8" t="s">
        <v>3344</v>
      </c>
      <c r="AO172" s="8" t="s">
        <v>4175</v>
      </c>
      <c r="AP172" s="8" t="s">
        <v>4176</v>
      </c>
      <c r="AQ172" s="8" t="s">
        <v>2135</v>
      </c>
      <c r="AR172" s="8" t="s">
        <v>4177</v>
      </c>
      <c r="AS172" s="8" t="s">
        <v>4178</v>
      </c>
      <c r="AT172" s="8" t="s">
        <v>3765</v>
      </c>
      <c r="AU172" s="8">
        <v>2010.0</v>
      </c>
      <c r="AV172" s="8">
        <v>74.0</v>
      </c>
      <c r="AW172" s="8">
        <v>4.0</v>
      </c>
      <c r="AX172" s="8" t="s">
        <v>2135</v>
      </c>
      <c r="AY172" s="8" t="s">
        <v>2135</v>
      </c>
      <c r="AZ172" s="8" t="s">
        <v>2135</v>
      </c>
      <c r="BA172" s="8" t="s">
        <v>2135</v>
      </c>
      <c r="BB172" s="8">
        <v>719.0</v>
      </c>
      <c r="BC172" s="8">
        <v>728.0</v>
      </c>
      <c r="BD172" s="8" t="s">
        <v>2135</v>
      </c>
      <c r="BE172" s="8" t="s">
        <v>6314</v>
      </c>
      <c r="BF172" s="13" t="str">
        <f>HYPERLINK("http://dx.doi.org/10.2193/2009-138","http://dx.doi.org/10.2193/2009-138")</f>
        <v>http://dx.doi.org/10.2193/2009-138</v>
      </c>
      <c r="BG172" s="8" t="s">
        <v>2135</v>
      </c>
      <c r="BH172" s="8" t="s">
        <v>2135</v>
      </c>
      <c r="BI172" s="8">
        <v>10.0</v>
      </c>
      <c r="BJ172" s="8" t="s">
        <v>3442</v>
      </c>
      <c r="BK172" s="8" t="s">
        <v>3352</v>
      </c>
      <c r="BL172" s="8" t="s">
        <v>3443</v>
      </c>
      <c r="BM172" s="8" t="s">
        <v>6315</v>
      </c>
      <c r="BN172" s="8" t="s">
        <v>2135</v>
      </c>
      <c r="BO172" s="8" t="s">
        <v>2135</v>
      </c>
      <c r="BP172" s="8" t="s">
        <v>2135</v>
      </c>
      <c r="BQ172" s="8" t="s">
        <v>2135</v>
      </c>
      <c r="BR172" s="8" t="s">
        <v>3355</v>
      </c>
      <c r="BS172" s="8" t="s">
        <v>6316</v>
      </c>
      <c r="BT172" s="8" t="s">
        <v>2216</v>
      </c>
      <c r="BU172" s="8" t="s">
        <v>2147</v>
      </c>
      <c r="BV172" s="8" t="s">
        <v>2217</v>
      </c>
      <c r="BW172" s="8" t="s">
        <v>2221</v>
      </c>
      <c r="BX172" s="8" t="s">
        <v>2971</v>
      </c>
      <c r="BY172" s="8" t="s">
        <v>2954</v>
      </c>
      <c r="BZ172" s="8" t="str">
        <f>HYPERLINK("https%3A%2F%2Fwww.webofscience.com%2Fwos%2Fwoscc%2Ffull-record%2FWOS:000277305800012","View Full Record in Web of Science")</f>
        <v>View Full Record in Web of Science</v>
      </c>
    </row>
    <row r="173" ht="12.75" customHeight="1">
      <c r="A173" s="8" t="s">
        <v>3329</v>
      </c>
      <c r="B173" s="8" t="s">
        <v>6317</v>
      </c>
      <c r="C173" s="8" t="s">
        <v>2135</v>
      </c>
      <c r="D173" s="8" t="s">
        <v>2135</v>
      </c>
      <c r="E173" s="8" t="s">
        <v>2135</v>
      </c>
      <c r="F173" s="8" t="s">
        <v>6318</v>
      </c>
      <c r="G173" s="8" t="s">
        <v>2135</v>
      </c>
      <c r="H173" s="8" t="s">
        <v>2135</v>
      </c>
      <c r="I173" s="8" t="s">
        <v>779</v>
      </c>
      <c r="J173" s="8" t="s">
        <v>3537</v>
      </c>
      <c r="K173" s="8" t="s">
        <v>2135</v>
      </c>
      <c r="L173" s="8" t="s">
        <v>2135</v>
      </c>
      <c r="M173" s="8" t="s">
        <v>3332</v>
      </c>
      <c r="N173" s="8" t="s">
        <v>3333</v>
      </c>
      <c r="O173" s="8" t="s">
        <v>2135</v>
      </c>
      <c r="P173" s="8" t="s">
        <v>2135</v>
      </c>
      <c r="Q173" s="8" t="s">
        <v>2135</v>
      </c>
      <c r="R173" s="8" t="s">
        <v>2135</v>
      </c>
      <c r="S173" s="8" t="s">
        <v>2135</v>
      </c>
      <c r="T173" s="8" t="s">
        <v>6319</v>
      </c>
      <c r="U173" s="8" t="s">
        <v>6320</v>
      </c>
      <c r="V173" s="8" t="s">
        <v>6321</v>
      </c>
      <c r="W173" s="8" t="s">
        <v>6322</v>
      </c>
      <c r="X173" s="8" t="s">
        <v>6323</v>
      </c>
      <c r="Y173" s="8" t="s">
        <v>6324</v>
      </c>
      <c r="Z173" s="8" t="s">
        <v>6021</v>
      </c>
      <c r="AA173" s="8" t="s">
        <v>2135</v>
      </c>
      <c r="AB173" s="8" t="s">
        <v>6325</v>
      </c>
      <c r="AC173" s="8" t="s">
        <v>2135</v>
      </c>
      <c r="AD173" s="8" t="s">
        <v>2135</v>
      </c>
      <c r="AE173" s="8" t="s">
        <v>2135</v>
      </c>
      <c r="AF173" s="8" t="s">
        <v>2135</v>
      </c>
      <c r="AG173" s="8">
        <v>21.0</v>
      </c>
      <c r="AH173" s="8">
        <v>28.0</v>
      </c>
      <c r="AI173" s="8">
        <v>32.0</v>
      </c>
      <c r="AJ173" s="8">
        <v>0.0</v>
      </c>
      <c r="AK173" s="8">
        <v>71.0</v>
      </c>
      <c r="AL173" s="8" t="s">
        <v>3550</v>
      </c>
      <c r="AM173" s="8" t="s">
        <v>3480</v>
      </c>
      <c r="AN173" s="8" t="s">
        <v>6058</v>
      </c>
      <c r="AO173" s="8" t="s">
        <v>3553</v>
      </c>
      <c r="AP173" s="8" t="s">
        <v>2135</v>
      </c>
      <c r="AQ173" s="8" t="s">
        <v>2135</v>
      </c>
      <c r="AR173" s="8" t="s">
        <v>3537</v>
      </c>
      <c r="AS173" s="8" t="s">
        <v>3555</v>
      </c>
      <c r="AT173" s="8" t="s">
        <v>3629</v>
      </c>
      <c r="AU173" s="8">
        <v>2010.0</v>
      </c>
      <c r="AV173" s="8">
        <v>44.0</v>
      </c>
      <c r="AW173" s="8">
        <v>1.0</v>
      </c>
      <c r="AX173" s="8" t="s">
        <v>2135</v>
      </c>
      <c r="AY173" s="8" t="s">
        <v>2135</v>
      </c>
      <c r="AZ173" s="8" t="s">
        <v>2135</v>
      </c>
      <c r="BA173" s="8" t="s">
        <v>2135</v>
      </c>
      <c r="BB173" s="8">
        <v>83.0</v>
      </c>
      <c r="BC173" s="8">
        <v>88.0</v>
      </c>
      <c r="BD173" s="8" t="s">
        <v>2135</v>
      </c>
      <c r="BE173" s="8" t="s">
        <v>6326</v>
      </c>
      <c r="BF173" s="13" t="str">
        <f>HYPERLINK("http://dx.doi.org/10.1017/S0030605309990196","http://dx.doi.org/10.1017/S0030605309990196")</f>
        <v>http://dx.doi.org/10.1017/S0030605309990196</v>
      </c>
      <c r="BG173" s="8" t="s">
        <v>2135</v>
      </c>
      <c r="BH173" s="8" t="s">
        <v>2135</v>
      </c>
      <c r="BI173" s="8">
        <v>6.0</v>
      </c>
      <c r="BJ173" s="8" t="s">
        <v>3558</v>
      </c>
      <c r="BK173" s="8" t="s">
        <v>3352</v>
      </c>
      <c r="BL173" s="8" t="s">
        <v>3353</v>
      </c>
      <c r="BM173" s="8" t="s">
        <v>6327</v>
      </c>
      <c r="BN173" s="8" t="s">
        <v>2135</v>
      </c>
      <c r="BO173" s="8" t="s">
        <v>3445</v>
      </c>
      <c r="BP173" s="8" t="s">
        <v>2135</v>
      </c>
      <c r="BQ173" s="8" t="s">
        <v>2135</v>
      </c>
      <c r="BR173" s="8" t="s">
        <v>3355</v>
      </c>
      <c r="BS173" s="8" t="s">
        <v>6328</v>
      </c>
      <c r="BT173" s="8" t="s">
        <v>2185</v>
      </c>
      <c r="BU173" s="8" t="s">
        <v>2147</v>
      </c>
      <c r="BW173" s="8" t="s">
        <v>2186</v>
      </c>
      <c r="BX173" s="8" t="s">
        <v>2953</v>
      </c>
      <c r="BY173" s="8" t="s">
        <v>2954</v>
      </c>
      <c r="BZ173" s="8" t="str">
        <f>HYPERLINK("https%3A%2F%2Fwww.webofscience.com%2Fwos%2Fwoscc%2Ffull-record%2FWOS:000274770200014","View Full Record in Web of Science")</f>
        <v>View Full Record in Web of Science</v>
      </c>
    </row>
    <row r="174" ht="12.75" customHeight="1">
      <c r="A174" s="8" t="s">
        <v>3329</v>
      </c>
      <c r="B174" s="8" t="s">
        <v>6329</v>
      </c>
      <c r="C174" s="8" t="s">
        <v>2135</v>
      </c>
      <c r="D174" s="8" t="s">
        <v>2135</v>
      </c>
      <c r="E174" s="8" t="s">
        <v>2135</v>
      </c>
      <c r="F174" s="8" t="s">
        <v>6330</v>
      </c>
      <c r="G174" s="8" t="s">
        <v>2135</v>
      </c>
      <c r="H174" s="8" t="s">
        <v>2135</v>
      </c>
      <c r="I174" s="8" t="s">
        <v>765</v>
      </c>
      <c r="J174" s="8" t="s">
        <v>4162</v>
      </c>
      <c r="K174" s="8" t="s">
        <v>2135</v>
      </c>
      <c r="L174" s="8" t="s">
        <v>2135</v>
      </c>
      <c r="M174" s="8" t="s">
        <v>3332</v>
      </c>
      <c r="N174" s="8" t="s">
        <v>3333</v>
      </c>
      <c r="O174" s="8" t="s">
        <v>2135</v>
      </c>
      <c r="P174" s="8" t="s">
        <v>2135</v>
      </c>
      <c r="Q174" s="8" t="s">
        <v>2135</v>
      </c>
      <c r="R174" s="8" t="s">
        <v>2135</v>
      </c>
      <c r="S174" s="8" t="s">
        <v>2135</v>
      </c>
      <c r="T174" s="8" t="s">
        <v>6331</v>
      </c>
      <c r="U174" s="8" t="s">
        <v>6332</v>
      </c>
      <c r="V174" s="8" t="s">
        <v>6333</v>
      </c>
      <c r="W174" s="8" t="s">
        <v>6334</v>
      </c>
      <c r="X174" s="8" t="s">
        <v>6335</v>
      </c>
      <c r="Y174" s="8" t="s">
        <v>6336</v>
      </c>
      <c r="Z174" s="8" t="s">
        <v>6337</v>
      </c>
      <c r="AA174" s="8" t="s">
        <v>2135</v>
      </c>
      <c r="AB174" s="8" t="s">
        <v>2135</v>
      </c>
      <c r="AC174" s="8" t="s">
        <v>6338</v>
      </c>
      <c r="AD174" s="8" t="s">
        <v>6339</v>
      </c>
      <c r="AE174" s="8" t="s">
        <v>6340</v>
      </c>
      <c r="AF174" s="8" t="s">
        <v>2135</v>
      </c>
      <c r="AG174" s="8">
        <v>48.0</v>
      </c>
      <c r="AH174" s="8">
        <v>20.0</v>
      </c>
      <c r="AI174" s="8">
        <v>28.0</v>
      </c>
      <c r="AJ174" s="8">
        <v>0.0</v>
      </c>
      <c r="AK174" s="8">
        <v>138.0</v>
      </c>
      <c r="AL174" s="8" t="s">
        <v>3342</v>
      </c>
      <c r="AM174" s="8" t="s">
        <v>3343</v>
      </c>
      <c r="AN174" s="8" t="s">
        <v>3344</v>
      </c>
      <c r="AO174" s="8" t="s">
        <v>4175</v>
      </c>
      <c r="AP174" s="8" t="s">
        <v>4176</v>
      </c>
      <c r="AQ174" s="8" t="s">
        <v>2135</v>
      </c>
      <c r="AR174" s="8" t="s">
        <v>4177</v>
      </c>
      <c r="AS174" s="8" t="s">
        <v>4178</v>
      </c>
      <c r="AT174" s="8" t="s">
        <v>3440</v>
      </c>
      <c r="AU174" s="8">
        <v>2009.0</v>
      </c>
      <c r="AV174" s="8">
        <v>73.0</v>
      </c>
      <c r="AW174" s="8">
        <v>8.0</v>
      </c>
      <c r="AX174" s="8" t="s">
        <v>2135</v>
      </c>
      <c r="AY174" s="8" t="s">
        <v>2135</v>
      </c>
      <c r="AZ174" s="8" t="s">
        <v>2135</v>
      </c>
      <c r="BA174" s="8" t="s">
        <v>2135</v>
      </c>
      <c r="BB174" s="8">
        <v>1269.0</v>
      </c>
      <c r="BC174" s="8">
        <v>1281.0</v>
      </c>
      <c r="BD174" s="8" t="s">
        <v>2135</v>
      </c>
      <c r="BE174" s="8" t="s">
        <v>6341</v>
      </c>
      <c r="BF174" s="13" t="str">
        <f>HYPERLINK("http://dx.doi.org/10.2193/2008-169","http://dx.doi.org/10.2193/2008-169")</f>
        <v>http://dx.doi.org/10.2193/2008-169</v>
      </c>
      <c r="BG174" s="8" t="s">
        <v>2135</v>
      </c>
      <c r="BH174" s="8" t="s">
        <v>2135</v>
      </c>
      <c r="BI174" s="8">
        <v>13.0</v>
      </c>
      <c r="BJ174" s="8" t="s">
        <v>3442</v>
      </c>
      <c r="BK174" s="8" t="s">
        <v>3352</v>
      </c>
      <c r="BL174" s="8" t="s">
        <v>3443</v>
      </c>
      <c r="BM174" s="8" t="s">
        <v>6342</v>
      </c>
      <c r="BN174" s="8" t="s">
        <v>2135</v>
      </c>
      <c r="BO174" s="8" t="s">
        <v>2135</v>
      </c>
      <c r="BP174" s="8" t="s">
        <v>2135</v>
      </c>
      <c r="BQ174" s="8" t="s">
        <v>2135</v>
      </c>
      <c r="BR174" s="8" t="s">
        <v>3355</v>
      </c>
      <c r="BS174" s="8" t="s">
        <v>6343</v>
      </c>
      <c r="BT174" s="8" t="s">
        <v>2600</v>
      </c>
      <c r="BU174" s="8" t="s">
        <v>2147</v>
      </c>
      <c r="BV174" s="8" t="s">
        <v>2217</v>
      </c>
      <c r="BW174" s="8" t="s">
        <v>2221</v>
      </c>
      <c r="BX174" s="8" t="s">
        <v>2953</v>
      </c>
      <c r="BY174" s="8" t="s">
        <v>2954</v>
      </c>
      <c r="BZ174" s="8" t="str">
        <f>HYPERLINK("https%3A%2F%2Fwww.webofscience.com%2Fwos%2Fwoscc%2Ffull-record%2FWOS:000271437400003","View Full Record in Web of Science")</f>
        <v>View Full Record in Web of Science</v>
      </c>
    </row>
    <row r="175" ht="12.75" customHeight="1">
      <c r="A175" s="8" t="s">
        <v>3329</v>
      </c>
      <c r="B175" s="8" t="s">
        <v>6344</v>
      </c>
      <c r="C175" s="8" t="s">
        <v>2135</v>
      </c>
      <c r="D175" s="8" t="s">
        <v>2135</v>
      </c>
      <c r="E175" s="8" t="s">
        <v>2135</v>
      </c>
      <c r="F175" s="8" t="s">
        <v>6345</v>
      </c>
      <c r="G175" s="8" t="s">
        <v>2135</v>
      </c>
      <c r="H175" s="8" t="s">
        <v>2135</v>
      </c>
      <c r="I175" s="8" t="s">
        <v>767</v>
      </c>
      <c r="J175" s="8" t="s">
        <v>3537</v>
      </c>
      <c r="K175" s="8" t="s">
        <v>2135</v>
      </c>
      <c r="L175" s="8" t="s">
        <v>2135</v>
      </c>
      <c r="M175" s="8" t="s">
        <v>3332</v>
      </c>
      <c r="N175" s="8" t="s">
        <v>3333</v>
      </c>
      <c r="O175" s="8" t="s">
        <v>2135</v>
      </c>
      <c r="P175" s="8" t="s">
        <v>2135</v>
      </c>
      <c r="Q175" s="8" t="s">
        <v>2135</v>
      </c>
      <c r="R175" s="8" t="s">
        <v>2135</v>
      </c>
      <c r="S175" s="8" t="s">
        <v>2135</v>
      </c>
      <c r="T175" s="8" t="s">
        <v>6346</v>
      </c>
      <c r="U175" s="8" t="s">
        <v>6347</v>
      </c>
      <c r="V175" s="8" t="s">
        <v>6348</v>
      </c>
      <c r="W175" s="8" t="s">
        <v>6349</v>
      </c>
      <c r="X175" s="8" t="s">
        <v>2135</v>
      </c>
      <c r="Y175" s="8" t="s">
        <v>6350</v>
      </c>
      <c r="Z175" s="8" t="s">
        <v>6351</v>
      </c>
      <c r="AA175" s="8" t="s">
        <v>6352</v>
      </c>
      <c r="AB175" s="8" t="s">
        <v>2135</v>
      </c>
      <c r="AC175" s="8" t="s">
        <v>2135</v>
      </c>
      <c r="AD175" s="8" t="s">
        <v>2135</v>
      </c>
      <c r="AE175" s="8" t="s">
        <v>2135</v>
      </c>
      <c r="AF175" s="8" t="s">
        <v>2135</v>
      </c>
      <c r="AG175" s="8">
        <v>29.0</v>
      </c>
      <c r="AH175" s="8">
        <v>48.0</v>
      </c>
      <c r="AI175" s="8">
        <v>69.0</v>
      </c>
      <c r="AJ175" s="8">
        <v>0.0</v>
      </c>
      <c r="AK175" s="8">
        <v>65.0</v>
      </c>
      <c r="AL175" s="8" t="s">
        <v>3550</v>
      </c>
      <c r="AM175" s="8" t="s">
        <v>3480</v>
      </c>
      <c r="AN175" s="8" t="s">
        <v>6058</v>
      </c>
      <c r="AO175" s="8" t="s">
        <v>3553</v>
      </c>
      <c r="AP175" s="8" t="s">
        <v>2135</v>
      </c>
      <c r="AQ175" s="8" t="s">
        <v>2135</v>
      </c>
      <c r="AR175" s="8" t="s">
        <v>3537</v>
      </c>
      <c r="AS175" s="8" t="s">
        <v>3555</v>
      </c>
      <c r="AT175" s="8" t="s">
        <v>3580</v>
      </c>
      <c r="AU175" s="8">
        <v>2009.0</v>
      </c>
      <c r="AV175" s="8">
        <v>43.0</v>
      </c>
      <c r="AW175" s="8">
        <v>4.0</v>
      </c>
      <c r="AX175" s="8" t="s">
        <v>2135</v>
      </c>
      <c r="AY175" s="8" t="s">
        <v>2135</v>
      </c>
      <c r="AZ175" s="8" t="s">
        <v>2135</v>
      </c>
      <c r="BA175" s="8" t="s">
        <v>2135</v>
      </c>
      <c r="BB175" s="8">
        <v>626.0</v>
      </c>
      <c r="BC175" s="8">
        <v>633.0</v>
      </c>
      <c r="BD175" s="8" t="s">
        <v>2135</v>
      </c>
      <c r="BE175" s="8" t="s">
        <v>6353</v>
      </c>
      <c r="BF175" s="13" t="str">
        <f>HYPERLINK("http://dx.doi.org/10.1017/S0030605309990238","http://dx.doi.org/10.1017/S0030605309990238")</f>
        <v>http://dx.doi.org/10.1017/S0030605309990238</v>
      </c>
      <c r="BG175" s="8" t="s">
        <v>2135</v>
      </c>
      <c r="BH175" s="8" t="s">
        <v>2135</v>
      </c>
      <c r="BI175" s="8">
        <v>8.0</v>
      </c>
      <c r="BJ175" s="8" t="s">
        <v>3558</v>
      </c>
      <c r="BK175" s="8" t="s">
        <v>3352</v>
      </c>
      <c r="BL175" s="8" t="s">
        <v>3353</v>
      </c>
      <c r="BM175" s="8" t="s">
        <v>6354</v>
      </c>
      <c r="BN175" s="8" t="s">
        <v>2135</v>
      </c>
      <c r="BO175" s="8" t="s">
        <v>3445</v>
      </c>
      <c r="BP175" s="8" t="s">
        <v>2135</v>
      </c>
      <c r="BQ175" s="8" t="s">
        <v>2135</v>
      </c>
      <c r="BR175" s="8" t="s">
        <v>3355</v>
      </c>
      <c r="BS175" s="8" t="s">
        <v>6355</v>
      </c>
      <c r="BT175" s="8" t="s">
        <v>2406</v>
      </c>
      <c r="BU175" s="8" t="s">
        <v>2283</v>
      </c>
      <c r="BW175" s="8" t="s">
        <v>2407</v>
      </c>
      <c r="BX175" s="8" t="s">
        <v>2953</v>
      </c>
      <c r="BY175" s="8" t="s">
        <v>2954</v>
      </c>
      <c r="BZ175" s="8" t="str">
        <f>HYPERLINK("https%3A%2F%2Fwww.webofscience.com%2Fwos%2Fwoscc%2Ffull-record%2FWOS:000271732400026","View Full Record in Web of Science")</f>
        <v>View Full Record in Web of Science</v>
      </c>
    </row>
    <row r="176" ht="12.75" customHeight="1">
      <c r="A176" s="8" t="s">
        <v>3329</v>
      </c>
      <c r="B176" s="8" t="s">
        <v>6356</v>
      </c>
      <c r="C176" s="8" t="s">
        <v>2135</v>
      </c>
      <c r="D176" s="8" t="s">
        <v>2135</v>
      </c>
      <c r="E176" s="8" t="s">
        <v>2135</v>
      </c>
      <c r="F176" s="8" t="s">
        <v>6357</v>
      </c>
      <c r="G176" s="8" t="s">
        <v>2135</v>
      </c>
      <c r="H176" s="8" t="s">
        <v>2135</v>
      </c>
      <c r="I176" s="8" t="s">
        <v>771</v>
      </c>
      <c r="J176" s="8" t="s">
        <v>3747</v>
      </c>
      <c r="K176" s="8" t="s">
        <v>2135</v>
      </c>
      <c r="L176" s="8" t="s">
        <v>2135</v>
      </c>
      <c r="M176" s="8" t="s">
        <v>3332</v>
      </c>
      <c r="N176" s="8" t="s">
        <v>3333</v>
      </c>
      <c r="O176" s="8" t="s">
        <v>2135</v>
      </c>
      <c r="P176" s="8" t="s">
        <v>2135</v>
      </c>
      <c r="Q176" s="8" t="s">
        <v>2135</v>
      </c>
      <c r="R176" s="8" t="s">
        <v>2135</v>
      </c>
      <c r="S176" s="8" t="s">
        <v>2135</v>
      </c>
      <c r="T176" s="8" t="s">
        <v>6358</v>
      </c>
      <c r="U176" s="8" t="s">
        <v>6359</v>
      </c>
      <c r="V176" s="8" t="s">
        <v>6360</v>
      </c>
      <c r="W176" s="8" t="s">
        <v>6361</v>
      </c>
      <c r="X176" s="8" t="s">
        <v>6362</v>
      </c>
      <c r="Y176" s="8" t="s">
        <v>6363</v>
      </c>
      <c r="Z176" s="8" t="s">
        <v>6364</v>
      </c>
      <c r="AA176" s="8" t="s">
        <v>2135</v>
      </c>
      <c r="AB176" s="8" t="s">
        <v>6365</v>
      </c>
      <c r="AC176" s="8" t="s">
        <v>6366</v>
      </c>
      <c r="AD176" s="8" t="s">
        <v>6366</v>
      </c>
      <c r="AE176" s="8" t="s">
        <v>6367</v>
      </c>
      <c r="AF176" s="8" t="s">
        <v>2135</v>
      </c>
      <c r="AG176" s="8">
        <v>42.0</v>
      </c>
      <c r="AH176" s="8">
        <v>68.0</v>
      </c>
      <c r="AI176" s="8">
        <v>69.0</v>
      </c>
      <c r="AJ176" s="8">
        <v>2.0</v>
      </c>
      <c r="AK176" s="8">
        <v>69.0</v>
      </c>
      <c r="AL176" s="8" t="s">
        <v>3758</v>
      </c>
      <c r="AM176" s="8" t="s">
        <v>3759</v>
      </c>
      <c r="AN176" s="8" t="s">
        <v>3760</v>
      </c>
      <c r="AO176" s="8" t="s">
        <v>3761</v>
      </c>
      <c r="AP176" s="8" t="s">
        <v>3762</v>
      </c>
      <c r="AQ176" s="8" t="s">
        <v>2135</v>
      </c>
      <c r="AR176" s="8" t="s">
        <v>3763</v>
      </c>
      <c r="AS176" s="8" t="s">
        <v>3764</v>
      </c>
      <c r="AT176" s="8" t="s">
        <v>3485</v>
      </c>
      <c r="AU176" s="8">
        <v>2009.0</v>
      </c>
      <c r="AV176" s="8">
        <v>142.0</v>
      </c>
      <c r="AW176" s="8">
        <v>2.0</v>
      </c>
      <c r="AX176" s="8" t="s">
        <v>2135</v>
      </c>
      <c r="AY176" s="8" t="s">
        <v>2135</v>
      </c>
      <c r="AZ176" s="8" t="s">
        <v>2135</v>
      </c>
      <c r="BA176" s="8" t="s">
        <v>2135</v>
      </c>
      <c r="BB176" s="8">
        <v>325.0</v>
      </c>
      <c r="BC176" s="8">
        <v>331.0</v>
      </c>
      <c r="BD176" s="8" t="s">
        <v>2135</v>
      </c>
      <c r="BE176" s="8" t="s">
        <v>6368</v>
      </c>
      <c r="BF176" s="13" t="str">
        <f>HYPERLINK("http://dx.doi.org/10.1016/j.biocon.2008.10.028","http://dx.doi.org/10.1016/j.biocon.2008.10.028")</f>
        <v>http://dx.doi.org/10.1016/j.biocon.2008.10.028</v>
      </c>
      <c r="BG176" s="8" t="s">
        <v>2135</v>
      </c>
      <c r="BH176" s="8" t="s">
        <v>2135</v>
      </c>
      <c r="BI176" s="8">
        <v>7.0</v>
      </c>
      <c r="BJ176" s="8" t="s">
        <v>3351</v>
      </c>
      <c r="BK176" s="8" t="s">
        <v>3352</v>
      </c>
      <c r="BL176" s="8" t="s">
        <v>3353</v>
      </c>
      <c r="BM176" s="8" t="s">
        <v>6369</v>
      </c>
      <c r="BN176" s="8" t="s">
        <v>2135</v>
      </c>
      <c r="BO176" s="8" t="s">
        <v>2135</v>
      </c>
      <c r="BP176" s="8" t="s">
        <v>2135</v>
      </c>
      <c r="BQ176" s="8" t="s">
        <v>2135</v>
      </c>
      <c r="BR176" s="8" t="s">
        <v>3355</v>
      </c>
      <c r="BS176" s="8" t="s">
        <v>6370</v>
      </c>
      <c r="BU176" s="8" t="s">
        <v>2142</v>
      </c>
      <c r="BW176" s="8" t="s">
        <v>2218</v>
      </c>
      <c r="BX176" s="8" t="s">
        <v>2953</v>
      </c>
      <c r="BY176" s="8" t="s">
        <v>2954</v>
      </c>
      <c r="BZ176" s="8" t="str">
        <f>HYPERLINK("https%3A%2F%2Fwww.webofscience.com%2Fwos%2Fwoscc%2Ffull-record%2FWOS:000263303600008","View Full Record in Web of Science")</f>
        <v>View Full Record in Web of Science</v>
      </c>
    </row>
    <row r="177" ht="12.75" customHeight="1">
      <c r="A177" s="8" t="s">
        <v>3329</v>
      </c>
      <c r="B177" s="8" t="s">
        <v>6371</v>
      </c>
      <c r="C177" s="8" t="s">
        <v>2135</v>
      </c>
      <c r="D177" s="8" t="s">
        <v>2135</v>
      </c>
      <c r="E177" s="8" t="s">
        <v>2135</v>
      </c>
      <c r="F177" s="8" t="s">
        <v>6372</v>
      </c>
      <c r="G177" s="8" t="s">
        <v>2135</v>
      </c>
      <c r="H177" s="8" t="s">
        <v>2135</v>
      </c>
      <c r="I177" s="8" t="s">
        <v>763</v>
      </c>
      <c r="J177" s="8" t="s">
        <v>4162</v>
      </c>
      <c r="K177" s="8" t="s">
        <v>2135</v>
      </c>
      <c r="L177" s="8" t="s">
        <v>2135</v>
      </c>
      <c r="M177" s="8" t="s">
        <v>3332</v>
      </c>
      <c r="N177" s="8" t="s">
        <v>3333</v>
      </c>
      <c r="O177" s="8" t="s">
        <v>2135</v>
      </c>
      <c r="P177" s="8" t="s">
        <v>2135</v>
      </c>
      <c r="Q177" s="8" t="s">
        <v>2135</v>
      </c>
      <c r="R177" s="8" t="s">
        <v>2135</v>
      </c>
      <c r="S177" s="8" t="s">
        <v>2135</v>
      </c>
      <c r="T177" s="8" t="s">
        <v>6373</v>
      </c>
      <c r="U177" s="8" t="s">
        <v>6374</v>
      </c>
      <c r="V177" s="8" t="s">
        <v>6375</v>
      </c>
      <c r="W177" s="8" t="s">
        <v>6376</v>
      </c>
      <c r="X177" s="8" t="s">
        <v>6377</v>
      </c>
      <c r="Y177" s="8" t="s">
        <v>6378</v>
      </c>
      <c r="Z177" s="8" t="s">
        <v>6379</v>
      </c>
      <c r="AA177" s="8" t="s">
        <v>6380</v>
      </c>
      <c r="AB177" s="8" t="s">
        <v>6381</v>
      </c>
      <c r="AC177" s="8" t="s">
        <v>2135</v>
      </c>
      <c r="AD177" s="8" t="s">
        <v>2135</v>
      </c>
      <c r="AE177" s="8" t="s">
        <v>2135</v>
      </c>
      <c r="AF177" s="8" t="s">
        <v>2135</v>
      </c>
      <c r="AG177" s="8">
        <v>39.0</v>
      </c>
      <c r="AH177" s="8">
        <v>32.0</v>
      </c>
      <c r="AI177" s="8">
        <v>33.0</v>
      </c>
      <c r="AJ177" s="8">
        <v>0.0</v>
      </c>
      <c r="AK177" s="8">
        <v>49.0</v>
      </c>
      <c r="AL177" s="8" t="s">
        <v>3342</v>
      </c>
      <c r="AM177" s="8" t="s">
        <v>3343</v>
      </c>
      <c r="AN177" s="8" t="s">
        <v>3344</v>
      </c>
      <c r="AO177" s="8" t="s">
        <v>4175</v>
      </c>
      <c r="AP177" s="8" t="s">
        <v>4176</v>
      </c>
      <c r="AQ177" s="8" t="s">
        <v>2135</v>
      </c>
      <c r="AR177" s="8" t="s">
        <v>4177</v>
      </c>
      <c r="AS177" s="8" t="s">
        <v>4178</v>
      </c>
      <c r="AT177" s="8" t="s">
        <v>3512</v>
      </c>
      <c r="AU177" s="8">
        <v>2008.0</v>
      </c>
      <c r="AV177" s="8">
        <v>72.0</v>
      </c>
      <c r="AW177" s="8">
        <v>5.0</v>
      </c>
      <c r="AX177" s="8" t="s">
        <v>2135</v>
      </c>
      <c r="AY177" s="8" t="s">
        <v>2135</v>
      </c>
      <c r="AZ177" s="8" t="s">
        <v>2135</v>
      </c>
      <c r="BA177" s="8" t="s">
        <v>2135</v>
      </c>
      <c r="BB177" s="8">
        <v>1125.0</v>
      </c>
      <c r="BC177" s="8">
        <v>1132.0</v>
      </c>
      <c r="BD177" s="8" t="s">
        <v>2135</v>
      </c>
      <c r="BE177" s="8" t="s">
        <v>6382</v>
      </c>
      <c r="BF177" s="13" t="str">
        <f>HYPERLINK("http://dx.doi.org/10.2193/2007-336","http://dx.doi.org/10.2193/2007-336")</f>
        <v>http://dx.doi.org/10.2193/2007-336</v>
      </c>
      <c r="BG177" s="8" t="s">
        <v>2135</v>
      </c>
      <c r="BH177" s="8" t="s">
        <v>2135</v>
      </c>
      <c r="BI177" s="8">
        <v>8.0</v>
      </c>
      <c r="BJ177" s="8" t="s">
        <v>3442</v>
      </c>
      <c r="BK177" s="8" t="s">
        <v>3352</v>
      </c>
      <c r="BL177" s="8" t="s">
        <v>3443</v>
      </c>
      <c r="BM177" s="8" t="s">
        <v>6383</v>
      </c>
      <c r="BN177" s="8" t="s">
        <v>2135</v>
      </c>
      <c r="BO177" s="8" t="s">
        <v>2135</v>
      </c>
      <c r="BP177" s="8" t="s">
        <v>2135</v>
      </c>
      <c r="BQ177" s="8" t="s">
        <v>2135</v>
      </c>
      <c r="BR177" s="8" t="s">
        <v>3355</v>
      </c>
      <c r="BS177" s="8" t="s">
        <v>6384</v>
      </c>
      <c r="BT177" s="8" t="s">
        <v>2600</v>
      </c>
      <c r="BU177" s="8" t="s">
        <v>2147</v>
      </c>
      <c r="BV177" s="8" t="s">
        <v>2217</v>
      </c>
      <c r="BW177" s="8" t="s">
        <v>2218</v>
      </c>
      <c r="BX177" s="8" t="s">
        <v>2953</v>
      </c>
      <c r="BY177" s="8" t="s">
        <v>2954</v>
      </c>
      <c r="BZ177" s="8" t="str">
        <f>HYPERLINK("https%3A%2F%2Fwww.webofscience.com%2Fwos%2Fwoscc%2Ffull-record%2FWOS:000257454100010","View Full Record in Web of Science")</f>
        <v>View Full Record in Web of Science</v>
      </c>
    </row>
    <row r="178" ht="12.75" customHeight="1">
      <c r="A178" s="8" t="s">
        <v>3329</v>
      </c>
      <c r="B178" s="8" t="s">
        <v>6385</v>
      </c>
      <c r="C178" s="8" t="s">
        <v>2135</v>
      </c>
      <c r="D178" s="8" t="s">
        <v>2135</v>
      </c>
      <c r="E178" s="8" t="s">
        <v>2135</v>
      </c>
      <c r="F178" s="8" t="s">
        <v>6386</v>
      </c>
      <c r="G178" s="8" t="s">
        <v>2135</v>
      </c>
      <c r="H178" s="8" t="s">
        <v>2135</v>
      </c>
      <c r="I178" s="8" t="s">
        <v>757</v>
      </c>
      <c r="J178" s="8" t="s">
        <v>6387</v>
      </c>
      <c r="K178" s="8" t="s">
        <v>2135</v>
      </c>
      <c r="L178" s="8" t="s">
        <v>2135</v>
      </c>
      <c r="M178" s="8" t="s">
        <v>3332</v>
      </c>
      <c r="N178" s="8" t="s">
        <v>3333</v>
      </c>
      <c r="O178" s="8" t="s">
        <v>2135</v>
      </c>
      <c r="P178" s="8" t="s">
        <v>2135</v>
      </c>
      <c r="Q178" s="8" t="s">
        <v>2135</v>
      </c>
      <c r="R178" s="8" t="s">
        <v>2135</v>
      </c>
      <c r="S178" s="8" t="s">
        <v>2135</v>
      </c>
      <c r="T178" s="8" t="s">
        <v>6388</v>
      </c>
      <c r="U178" s="8" t="s">
        <v>6389</v>
      </c>
      <c r="V178" s="8" t="s">
        <v>6390</v>
      </c>
      <c r="W178" s="8" t="s">
        <v>6391</v>
      </c>
      <c r="X178" s="8" t="s">
        <v>6392</v>
      </c>
      <c r="Y178" s="8" t="s">
        <v>6393</v>
      </c>
      <c r="Z178" s="8" t="s">
        <v>5269</v>
      </c>
      <c r="AA178" s="8" t="s">
        <v>5270</v>
      </c>
      <c r="AB178" s="8" t="s">
        <v>5271</v>
      </c>
      <c r="AC178" s="8" t="s">
        <v>2135</v>
      </c>
      <c r="AD178" s="8" t="s">
        <v>2135</v>
      </c>
      <c r="AE178" s="8" t="s">
        <v>2135</v>
      </c>
      <c r="AF178" s="8" t="s">
        <v>2135</v>
      </c>
      <c r="AG178" s="8">
        <v>37.0</v>
      </c>
      <c r="AH178" s="8">
        <v>13.0</v>
      </c>
      <c r="AI178" s="8">
        <v>17.0</v>
      </c>
      <c r="AJ178" s="8">
        <v>0.0</v>
      </c>
      <c r="AK178" s="8">
        <v>23.0</v>
      </c>
      <c r="AL178" s="8" t="s">
        <v>3479</v>
      </c>
      <c r="AM178" s="8" t="s">
        <v>3480</v>
      </c>
      <c r="AN178" s="8" t="s">
        <v>3481</v>
      </c>
      <c r="AO178" s="8" t="s">
        <v>6394</v>
      </c>
      <c r="AP178" s="8" t="s">
        <v>6395</v>
      </c>
      <c r="AQ178" s="8" t="s">
        <v>2135</v>
      </c>
      <c r="AR178" s="8" t="s">
        <v>6396</v>
      </c>
      <c r="AS178" s="8" t="s">
        <v>6397</v>
      </c>
      <c r="AT178" s="8" t="s">
        <v>3512</v>
      </c>
      <c r="AU178" s="8">
        <v>2008.0</v>
      </c>
      <c r="AV178" s="8">
        <v>42.0</v>
      </c>
      <c r="AW178" s="8">
        <v>1.0</v>
      </c>
      <c r="AX178" s="8" t="s">
        <v>2135</v>
      </c>
      <c r="AY178" s="8" t="s">
        <v>2135</v>
      </c>
      <c r="AZ178" s="8" t="s">
        <v>2135</v>
      </c>
      <c r="BA178" s="8" t="s">
        <v>2135</v>
      </c>
      <c r="BB178" s="8">
        <v>93.0</v>
      </c>
      <c r="BC178" s="8">
        <v>101.0</v>
      </c>
      <c r="BD178" s="8" t="s">
        <v>2135</v>
      </c>
      <c r="BE178" s="8" t="s">
        <v>6398</v>
      </c>
      <c r="BF178" s="13" t="str">
        <f>HYPERLINK("http://dx.doi.org/10.1007/s00267-008-9102-x","http://dx.doi.org/10.1007/s00267-008-9102-x")</f>
        <v>http://dx.doi.org/10.1007/s00267-008-9102-x</v>
      </c>
      <c r="BG178" s="8" t="s">
        <v>2135</v>
      </c>
      <c r="BH178" s="8" t="s">
        <v>2135</v>
      </c>
      <c r="BI178" s="8">
        <v>9.0</v>
      </c>
      <c r="BJ178" s="8" t="s">
        <v>6399</v>
      </c>
      <c r="BK178" s="8" t="s">
        <v>3352</v>
      </c>
      <c r="BL178" s="8" t="s">
        <v>3632</v>
      </c>
      <c r="BM178" s="8" t="s">
        <v>6400</v>
      </c>
      <c r="BN178" s="8">
        <v>1.8368443E7</v>
      </c>
      <c r="BO178" s="8" t="s">
        <v>2135</v>
      </c>
      <c r="BP178" s="8" t="s">
        <v>2135</v>
      </c>
      <c r="BQ178" s="8" t="s">
        <v>2135</v>
      </c>
      <c r="BR178" s="8" t="s">
        <v>3355</v>
      </c>
      <c r="BS178" s="8" t="s">
        <v>6401</v>
      </c>
      <c r="BT178" s="8" t="s">
        <v>2216</v>
      </c>
      <c r="BU178" s="8" t="s">
        <v>2147</v>
      </c>
      <c r="BV178" s="8" t="s">
        <v>2217</v>
      </c>
      <c r="BW178" s="8" t="s">
        <v>2224</v>
      </c>
      <c r="BX178" s="8" t="s">
        <v>3022</v>
      </c>
      <c r="BY178" s="8" t="s">
        <v>2954</v>
      </c>
      <c r="BZ178" s="8" t="str">
        <f>HYPERLINK("https%3A%2F%2Fwww.webofscience.com%2Fwos%2Fwoscc%2Ffull-record%2FWOS:000256080300007","View Full Record in Web of Science")</f>
        <v>View Full Record in Web of Science</v>
      </c>
    </row>
    <row r="179" ht="12.75" customHeight="1">
      <c r="A179" s="8" t="s">
        <v>3329</v>
      </c>
      <c r="B179" s="8" t="s">
        <v>6402</v>
      </c>
      <c r="C179" s="8" t="s">
        <v>2135</v>
      </c>
      <c r="D179" s="8" t="s">
        <v>2135</v>
      </c>
      <c r="E179" s="8" t="s">
        <v>2135</v>
      </c>
      <c r="F179" s="8" t="s">
        <v>6403</v>
      </c>
      <c r="G179" s="8" t="s">
        <v>2135</v>
      </c>
      <c r="H179" s="8" t="s">
        <v>2135</v>
      </c>
      <c r="I179" s="8" t="s">
        <v>761</v>
      </c>
      <c r="J179" s="8" t="s">
        <v>3796</v>
      </c>
      <c r="K179" s="8" t="s">
        <v>2135</v>
      </c>
      <c r="L179" s="8" t="s">
        <v>2135</v>
      </c>
      <c r="M179" s="8" t="s">
        <v>3332</v>
      </c>
      <c r="N179" s="8" t="s">
        <v>3963</v>
      </c>
      <c r="O179" s="8" t="s">
        <v>6404</v>
      </c>
      <c r="P179" s="8" t="s">
        <v>6405</v>
      </c>
      <c r="Q179" s="8" t="s">
        <v>6406</v>
      </c>
      <c r="R179" s="8" t="s">
        <v>6407</v>
      </c>
      <c r="S179" s="8" t="s">
        <v>2135</v>
      </c>
      <c r="T179" s="8" t="s">
        <v>6408</v>
      </c>
      <c r="U179" s="8" t="s">
        <v>6409</v>
      </c>
      <c r="V179" s="8" t="s">
        <v>6410</v>
      </c>
      <c r="W179" s="8" t="s">
        <v>6411</v>
      </c>
      <c r="X179" s="8" t="s">
        <v>6412</v>
      </c>
      <c r="Y179" s="8" t="s">
        <v>6413</v>
      </c>
      <c r="Z179" s="8" t="s">
        <v>6414</v>
      </c>
      <c r="AA179" s="8" t="s">
        <v>6415</v>
      </c>
      <c r="AB179" s="8" t="s">
        <v>6416</v>
      </c>
      <c r="AC179" s="8" t="s">
        <v>2135</v>
      </c>
      <c r="AD179" s="8" t="s">
        <v>2135</v>
      </c>
      <c r="AE179" s="8" t="s">
        <v>2135</v>
      </c>
      <c r="AF179" s="8" t="s">
        <v>2135</v>
      </c>
      <c r="AG179" s="8">
        <v>358.0</v>
      </c>
      <c r="AH179" s="8">
        <v>112.0</v>
      </c>
      <c r="AI179" s="8">
        <v>139.0</v>
      </c>
      <c r="AJ179" s="8">
        <v>0.0</v>
      </c>
      <c r="AK179" s="8">
        <v>155.0</v>
      </c>
      <c r="AL179" s="8" t="s">
        <v>3342</v>
      </c>
      <c r="AM179" s="8" t="s">
        <v>3343</v>
      </c>
      <c r="AN179" s="8" t="s">
        <v>3344</v>
      </c>
      <c r="AO179" s="8" t="s">
        <v>3808</v>
      </c>
      <c r="AP179" s="8" t="s">
        <v>3809</v>
      </c>
      <c r="AQ179" s="8" t="s">
        <v>2135</v>
      </c>
      <c r="AR179" s="8" t="s">
        <v>3810</v>
      </c>
      <c r="AS179" s="8" t="s">
        <v>3811</v>
      </c>
      <c r="AT179" s="8" t="s">
        <v>6417</v>
      </c>
      <c r="AU179" s="8">
        <v>2008.0</v>
      </c>
      <c r="AV179" s="8">
        <v>38.0</v>
      </c>
      <c r="AW179" s="8" t="s">
        <v>4035</v>
      </c>
      <c r="AX179" s="8" t="s">
        <v>2135</v>
      </c>
      <c r="AY179" s="8" t="s">
        <v>2135</v>
      </c>
      <c r="AZ179" s="8" t="s">
        <v>2135</v>
      </c>
      <c r="BA179" s="8" t="s">
        <v>2135</v>
      </c>
      <c r="BB179" s="8">
        <v>123.0</v>
      </c>
      <c r="BC179" s="8">
        <v>166.0</v>
      </c>
      <c r="BD179" s="8" t="s">
        <v>2135</v>
      </c>
      <c r="BE179" s="8" t="s">
        <v>6418</v>
      </c>
      <c r="BF179" s="13" t="str">
        <f>HYPERLINK("http://dx.doi.org/10.1111/j.1365-2907.2008.00122.x","http://dx.doi.org/10.1111/j.1365-2907.2008.00122.x")</f>
        <v>http://dx.doi.org/10.1111/j.1365-2907.2008.00122.x</v>
      </c>
      <c r="BG179" s="8" t="s">
        <v>2135</v>
      </c>
      <c r="BH179" s="8" t="s">
        <v>2135</v>
      </c>
      <c r="BI179" s="8">
        <v>44.0</v>
      </c>
      <c r="BJ179" s="8" t="s">
        <v>3442</v>
      </c>
      <c r="BK179" s="8" t="s">
        <v>4418</v>
      </c>
      <c r="BL179" s="8" t="s">
        <v>3443</v>
      </c>
      <c r="BM179" s="8" t="s">
        <v>6419</v>
      </c>
      <c r="BN179" s="8" t="s">
        <v>2135</v>
      </c>
      <c r="BO179" s="8" t="s">
        <v>2135</v>
      </c>
      <c r="BP179" s="8" t="s">
        <v>2135</v>
      </c>
      <c r="BQ179" s="8" t="s">
        <v>2135</v>
      </c>
      <c r="BR179" s="8" t="s">
        <v>3355</v>
      </c>
      <c r="BS179" s="8" t="s">
        <v>6420</v>
      </c>
      <c r="BU179" s="8" t="s">
        <v>2943</v>
      </c>
      <c r="BW179" s="8" t="s">
        <v>2946</v>
      </c>
      <c r="BX179" s="8" t="s">
        <v>2953</v>
      </c>
      <c r="BY179" s="8" t="s">
        <v>2954</v>
      </c>
      <c r="BZ179" s="8" t="str">
        <f>HYPERLINK("https%3A%2F%2Fwww.webofscience.com%2Fwos%2Fwoscc%2Ffull-record%2FWOS:000255061200002","View Full Record in Web of Science")</f>
        <v>View Full Record in Web of Science</v>
      </c>
    </row>
    <row r="180" ht="12.75" customHeight="1">
      <c r="A180" s="8" t="s">
        <v>3329</v>
      </c>
      <c r="B180" s="8" t="s">
        <v>6421</v>
      </c>
      <c r="C180" s="8" t="s">
        <v>2135</v>
      </c>
      <c r="D180" s="8" t="s">
        <v>2135</v>
      </c>
      <c r="E180" s="8" t="s">
        <v>2135</v>
      </c>
      <c r="F180" s="8" t="s">
        <v>6422</v>
      </c>
      <c r="G180" s="8" t="s">
        <v>2135</v>
      </c>
      <c r="H180" s="8" t="s">
        <v>2135</v>
      </c>
      <c r="I180" s="8" t="s">
        <v>753</v>
      </c>
      <c r="J180" s="8" t="s">
        <v>6423</v>
      </c>
      <c r="K180" s="8" t="s">
        <v>2135</v>
      </c>
      <c r="L180" s="8" t="s">
        <v>2135</v>
      </c>
      <c r="M180" s="8" t="s">
        <v>3332</v>
      </c>
      <c r="N180" s="8" t="s">
        <v>3333</v>
      </c>
      <c r="O180" s="8" t="s">
        <v>2135</v>
      </c>
      <c r="P180" s="8" t="s">
        <v>2135</v>
      </c>
      <c r="Q180" s="8" t="s">
        <v>2135</v>
      </c>
      <c r="R180" s="8" t="s">
        <v>2135</v>
      </c>
      <c r="S180" s="8" t="s">
        <v>2135</v>
      </c>
      <c r="T180" s="8" t="s">
        <v>6424</v>
      </c>
      <c r="U180" s="8" t="s">
        <v>6425</v>
      </c>
      <c r="V180" s="8" t="s">
        <v>6426</v>
      </c>
      <c r="W180" s="8" t="s">
        <v>6427</v>
      </c>
      <c r="X180" s="8" t="s">
        <v>6428</v>
      </c>
      <c r="Y180" s="8" t="s">
        <v>6429</v>
      </c>
      <c r="Z180" s="8" t="s">
        <v>6430</v>
      </c>
      <c r="AA180" s="8" t="s">
        <v>2135</v>
      </c>
      <c r="AB180" s="8" t="s">
        <v>2135</v>
      </c>
      <c r="AC180" s="8" t="s">
        <v>2135</v>
      </c>
      <c r="AD180" s="8" t="s">
        <v>2135</v>
      </c>
      <c r="AE180" s="8" t="s">
        <v>2135</v>
      </c>
      <c r="AF180" s="8" t="s">
        <v>2135</v>
      </c>
      <c r="AG180" s="8">
        <v>71.0</v>
      </c>
      <c r="AH180" s="8">
        <v>27.0</v>
      </c>
      <c r="AI180" s="8">
        <v>33.0</v>
      </c>
      <c r="AJ180" s="8">
        <v>1.0</v>
      </c>
      <c r="AK180" s="8">
        <v>66.0</v>
      </c>
      <c r="AL180" s="8" t="s">
        <v>6431</v>
      </c>
      <c r="AM180" s="8" t="s">
        <v>6432</v>
      </c>
      <c r="AN180" s="8" t="s">
        <v>6433</v>
      </c>
      <c r="AO180" s="8" t="s">
        <v>6434</v>
      </c>
      <c r="AP180" s="8" t="s">
        <v>2135</v>
      </c>
      <c r="AQ180" s="8" t="s">
        <v>2135</v>
      </c>
      <c r="AR180" s="8" t="s">
        <v>6423</v>
      </c>
      <c r="AS180" s="8" t="s">
        <v>6435</v>
      </c>
      <c r="AT180" s="8" t="s">
        <v>2135</v>
      </c>
      <c r="AU180" s="8">
        <v>2008.0</v>
      </c>
      <c r="AV180" s="8">
        <v>15.0</v>
      </c>
      <c r="AW180" s="8">
        <v>3.0</v>
      </c>
      <c r="AX180" s="8" t="s">
        <v>2135</v>
      </c>
      <c r="AY180" s="8" t="s">
        <v>2135</v>
      </c>
      <c r="AZ180" s="8" t="s">
        <v>2135</v>
      </c>
      <c r="BA180" s="8" t="s">
        <v>2135</v>
      </c>
      <c r="BB180" s="8">
        <v>332.0</v>
      </c>
      <c r="BC180" s="8">
        <v>342.0</v>
      </c>
      <c r="BD180" s="8" t="s">
        <v>2135</v>
      </c>
      <c r="BE180" s="8" t="s">
        <v>6436</v>
      </c>
      <c r="BF180" s="13" t="str">
        <f>HYPERLINK("http://dx.doi.org/10.2980/15-3-3091","http://dx.doi.org/10.2980/15-3-3091")</f>
        <v>http://dx.doi.org/10.2980/15-3-3091</v>
      </c>
      <c r="BG180" s="8" t="s">
        <v>2135</v>
      </c>
      <c r="BH180" s="8" t="s">
        <v>2135</v>
      </c>
      <c r="BI180" s="8">
        <v>11.0</v>
      </c>
      <c r="BJ180" s="8" t="s">
        <v>3681</v>
      </c>
      <c r="BK180" s="8" t="s">
        <v>3352</v>
      </c>
      <c r="BL180" s="8" t="s">
        <v>3632</v>
      </c>
      <c r="BM180" s="8" t="s">
        <v>6437</v>
      </c>
      <c r="BN180" s="8" t="s">
        <v>2135</v>
      </c>
      <c r="BO180" s="8" t="s">
        <v>2135</v>
      </c>
      <c r="BP180" s="8" t="s">
        <v>2135</v>
      </c>
      <c r="BQ180" s="8" t="s">
        <v>2135</v>
      </c>
      <c r="BR180" s="8" t="s">
        <v>3355</v>
      </c>
      <c r="BS180" s="8" t="s">
        <v>6438</v>
      </c>
      <c r="BT180" s="8" t="s">
        <v>2216</v>
      </c>
      <c r="BU180" s="8" t="s">
        <v>2147</v>
      </c>
      <c r="BV180" s="8" t="s">
        <v>2217</v>
      </c>
      <c r="BW180" s="8" t="s">
        <v>2221</v>
      </c>
      <c r="BX180" s="8" t="s">
        <v>2971</v>
      </c>
      <c r="BY180" s="8" t="s">
        <v>2954</v>
      </c>
      <c r="BZ180" s="8" t="str">
        <f>HYPERLINK("https%3A%2F%2Fwww.webofscience.com%2Fwos%2Fwoscc%2Ffull-record%2FWOS:000259841500007","View Full Record in Web of Science")</f>
        <v>View Full Record in Web of Science</v>
      </c>
    </row>
    <row r="181" ht="12.75" customHeight="1">
      <c r="A181" s="8" t="s">
        <v>3329</v>
      </c>
      <c r="B181" s="8" t="s">
        <v>6439</v>
      </c>
      <c r="C181" s="8" t="s">
        <v>2135</v>
      </c>
      <c r="D181" s="8" t="s">
        <v>2135</v>
      </c>
      <c r="E181" s="8" t="s">
        <v>2135</v>
      </c>
      <c r="F181" s="8" t="s">
        <v>6440</v>
      </c>
      <c r="G181" s="8" t="s">
        <v>2135</v>
      </c>
      <c r="H181" s="8" t="s">
        <v>2135</v>
      </c>
      <c r="I181" s="8" t="s">
        <v>755</v>
      </c>
      <c r="J181" s="8" t="s">
        <v>6441</v>
      </c>
      <c r="K181" s="8" t="s">
        <v>2135</v>
      </c>
      <c r="L181" s="8" t="s">
        <v>2135</v>
      </c>
      <c r="M181" s="8" t="s">
        <v>3332</v>
      </c>
      <c r="N181" s="8" t="s">
        <v>3333</v>
      </c>
      <c r="O181" s="8" t="s">
        <v>2135</v>
      </c>
      <c r="P181" s="8" t="s">
        <v>2135</v>
      </c>
      <c r="Q181" s="8" t="s">
        <v>2135</v>
      </c>
      <c r="R181" s="8" t="s">
        <v>2135</v>
      </c>
      <c r="S181" s="8" t="s">
        <v>2135</v>
      </c>
      <c r="T181" s="8" t="s">
        <v>6442</v>
      </c>
      <c r="U181" s="8" t="s">
        <v>6443</v>
      </c>
      <c r="V181" s="8" t="s">
        <v>6444</v>
      </c>
      <c r="W181" s="8" t="s">
        <v>6445</v>
      </c>
      <c r="X181" s="8" t="s">
        <v>6446</v>
      </c>
      <c r="Y181" s="8" t="s">
        <v>6447</v>
      </c>
      <c r="Z181" s="8" t="s">
        <v>6448</v>
      </c>
      <c r="AA181" s="8" t="s">
        <v>2135</v>
      </c>
      <c r="AB181" s="8" t="s">
        <v>6449</v>
      </c>
      <c r="AC181" s="8" t="s">
        <v>2135</v>
      </c>
      <c r="AD181" s="8" t="s">
        <v>2135</v>
      </c>
      <c r="AE181" s="8" t="s">
        <v>2135</v>
      </c>
      <c r="AF181" s="8" t="s">
        <v>2135</v>
      </c>
      <c r="AG181" s="8">
        <v>32.0</v>
      </c>
      <c r="AH181" s="8">
        <v>14.0</v>
      </c>
      <c r="AI181" s="8">
        <v>15.0</v>
      </c>
      <c r="AJ181" s="8">
        <v>1.0</v>
      </c>
      <c r="AK181" s="8">
        <v>27.0</v>
      </c>
      <c r="AL181" s="8" t="s">
        <v>6450</v>
      </c>
      <c r="AM181" s="8" t="s">
        <v>6451</v>
      </c>
      <c r="AN181" s="8" t="s">
        <v>6452</v>
      </c>
      <c r="AO181" s="8" t="s">
        <v>6453</v>
      </c>
      <c r="AP181" s="8" t="s">
        <v>2135</v>
      </c>
      <c r="AQ181" s="8" t="s">
        <v>2135</v>
      </c>
      <c r="AR181" s="8" t="s">
        <v>6454</v>
      </c>
      <c r="AS181" s="8" t="s">
        <v>6455</v>
      </c>
      <c r="AT181" s="8" t="s">
        <v>2135</v>
      </c>
      <c r="AU181" s="8">
        <v>2008.0</v>
      </c>
      <c r="AV181" s="8">
        <v>56.0</v>
      </c>
      <c r="AW181" s="8">
        <v>2.0</v>
      </c>
      <c r="AX181" s="8" t="s">
        <v>2135</v>
      </c>
      <c r="AY181" s="8" t="s">
        <v>2135</v>
      </c>
      <c r="AZ181" s="8" t="s">
        <v>2135</v>
      </c>
      <c r="BA181" s="8" t="s">
        <v>2135</v>
      </c>
      <c r="BB181" s="8">
        <v>309.0</v>
      </c>
      <c r="BC181" s="8">
        <v>321.0</v>
      </c>
      <c r="BD181" s="8" t="s">
        <v>2135</v>
      </c>
      <c r="BE181" s="8" t="s">
        <v>2135</v>
      </c>
      <c r="BF181" s="8" t="s">
        <v>2135</v>
      </c>
      <c r="BG181" s="8" t="s">
        <v>2135</v>
      </c>
      <c r="BH181" s="8" t="s">
        <v>2135</v>
      </c>
      <c r="BI181" s="8">
        <v>13.0</v>
      </c>
      <c r="BJ181" s="8" t="s">
        <v>3681</v>
      </c>
      <c r="BK181" s="8" t="s">
        <v>3352</v>
      </c>
      <c r="BL181" s="8" t="s">
        <v>3632</v>
      </c>
      <c r="BM181" s="8" t="s">
        <v>6456</v>
      </c>
      <c r="BN181" s="8" t="s">
        <v>2135</v>
      </c>
      <c r="BO181" s="8" t="s">
        <v>2135</v>
      </c>
      <c r="BP181" s="8" t="s">
        <v>2135</v>
      </c>
      <c r="BQ181" s="8" t="s">
        <v>2135</v>
      </c>
      <c r="BR181" s="8" t="s">
        <v>3355</v>
      </c>
      <c r="BS181" s="8" t="s">
        <v>6457</v>
      </c>
      <c r="BT181" s="8" t="s">
        <v>2163</v>
      </c>
      <c r="BU181" s="8" t="s">
        <v>2142</v>
      </c>
      <c r="BW181" s="8" t="s">
        <v>2166</v>
      </c>
      <c r="BX181" s="8" t="s">
        <v>2971</v>
      </c>
      <c r="BY181" s="8" t="s">
        <v>2954</v>
      </c>
      <c r="BZ181" s="8" t="str">
        <f>HYPERLINK("https%3A%2F%2Fwww.webofscience.com%2Fwos%2Fwoscc%2Ffull-record%2FWOS:000256959500011","View Full Record in Web of Science")</f>
        <v>View Full Record in Web of Science</v>
      </c>
    </row>
    <row r="182" ht="12.75" customHeight="1">
      <c r="A182" s="8" t="s">
        <v>3329</v>
      </c>
      <c r="B182" s="8" t="s">
        <v>6458</v>
      </c>
      <c r="C182" s="8" t="s">
        <v>2135</v>
      </c>
      <c r="D182" s="8" t="s">
        <v>2135</v>
      </c>
      <c r="E182" s="8" t="s">
        <v>2135</v>
      </c>
      <c r="F182" s="8" t="s">
        <v>6459</v>
      </c>
      <c r="G182" s="8" t="s">
        <v>2135</v>
      </c>
      <c r="H182" s="8" t="s">
        <v>2135</v>
      </c>
      <c r="I182" s="8" t="s">
        <v>749</v>
      </c>
      <c r="J182" s="8" t="s">
        <v>4162</v>
      </c>
      <c r="K182" s="8" t="s">
        <v>2135</v>
      </c>
      <c r="L182" s="8" t="s">
        <v>2135</v>
      </c>
      <c r="M182" s="8" t="s">
        <v>3332</v>
      </c>
      <c r="N182" s="8" t="s">
        <v>3333</v>
      </c>
      <c r="O182" s="8" t="s">
        <v>2135</v>
      </c>
      <c r="P182" s="8" t="s">
        <v>2135</v>
      </c>
      <c r="Q182" s="8" t="s">
        <v>2135</v>
      </c>
      <c r="R182" s="8" t="s">
        <v>2135</v>
      </c>
      <c r="S182" s="8" t="s">
        <v>2135</v>
      </c>
      <c r="T182" s="8" t="s">
        <v>6460</v>
      </c>
      <c r="U182" s="8" t="s">
        <v>6461</v>
      </c>
      <c r="V182" s="8" t="s">
        <v>6462</v>
      </c>
      <c r="W182" s="8" t="s">
        <v>6463</v>
      </c>
      <c r="X182" s="8" t="s">
        <v>6464</v>
      </c>
      <c r="Y182" s="8" t="s">
        <v>6465</v>
      </c>
      <c r="Z182" s="8" t="s">
        <v>6466</v>
      </c>
      <c r="AA182" s="8" t="s">
        <v>2135</v>
      </c>
      <c r="AB182" s="8" t="s">
        <v>2135</v>
      </c>
      <c r="AC182" s="8" t="s">
        <v>2135</v>
      </c>
      <c r="AD182" s="8" t="s">
        <v>2135</v>
      </c>
      <c r="AE182" s="8" t="s">
        <v>2135</v>
      </c>
      <c r="AF182" s="8" t="s">
        <v>2135</v>
      </c>
      <c r="AG182" s="8">
        <v>75.0</v>
      </c>
      <c r="AH182" s="8">
        <v>84.0</v>
      </c>
      <c r="AI182" s="8">
        <v>105.0</v>
      </c>
      <c r="AJ182" s="8">
        <v>0.0</v>
      </c>
      <c r="AK182" s="8">
        <v>97.0</v>
      </c>
      <c r="AL182" s="8" t="s">
        <v>4276</v>
      </c>
      <c r="AM182" s="8" t="s">
        <v>4277</v>
      </c>
      <c r="AN182" s="8" t="s">
        <v>4278</v>
      </c>
      <c r="AO182" s="8" t="s">
        <v>4175</v>
      </c>
      <c r="AP182" s="8" t="s">
        <v>2135</v>
      </c>
      <c r="AQ182" s="8" t="s">
        <v>2135</v>
      </c>
      <c r="AR182" s="8" t="s">
        <v>4177</v>
      </c>
      <c r="AS182" s="8" t="s">
        <v>4178</v>
      </c>
      <c r="AT182" s="8" t="s">
        <v>3462</v>
      </c>
      <c r="AU182" s="8">
        <v>2007.0</v>
      </c>
      <c r="AV182" s="8">
        <v>71.0</v>
      </c>
      <c r="AW182" s="8">
        <v>7.0</v>
      </c>
      <c r="AX182" s="8" t="s">
        <v>2135</v>
      </c>
      <c r="AY182" s="8" t="s">
        <v>2135</v>
      </c>
      <c r="AZ182" s="8" t="s">
        <v>2135</v>
      </c>
      <c r="BA182" s="8" t="s">
        <v>2135</v>
      </c>
      <c r="BB182" s="8">
        <v>2147.0</v>
      </c>
      <c r="BC182" s="8">
        <v>2158.0</v>
      </c>
      <c r="BD182" s="8" t="s">
        <v>2135</v>
      </c>
      <c r="BE182" s="8" t="s">
        <v>6467</v>
      </c>
      <c r="BF182" s="13" t="str">
        <f>HYPERLINK("http://dx.doi.org/10.2193/2006-548","http://dx.doi.org/10.2193/2006-548")</f>
        <v>http://dx.doi.org/10.2193/2006-548</v>
      </c>
      <c r="BG182" s="8" t="s">
        <v>2135</v>
      </c>
      <c r="BH182" s="8" t="s">
        <v>2135</v>
      </c>
      <c r="BI182" s="8">
        <v>12.0</v>
      </c>
      <c r="BJ182" s="8" t="s">
        <v>3442</v>
      </c>
      <c r="BK182" s="8" t="s">
        <v>3352</v>
      </c>
      <c r="BL182" s="8" t="s">
        <v>3443</v>
      </c>
      <c r="BM182" s="8" t="s">
        <v>4280</v>
      </c>
      <c r="BN182" s="8" t="s">
        <v>2135</v>
      </c>
      <c r="BO182" s="8" t="s">
        <v>2135</v>
      </c>
      <c r="BP182" s="8" t="s">
        <v>2135</v>
      </c>
      <c r="BQ182" s="8" t="s">
        <v>2135</v>
      </c>
      <c r="BR182" s="8" t="s">
        <v>3355</v>
      </c>
      <c r="BS182" s="8" t="s">
        <v>6468</v>
      </c>
      <c r="BT182" s="8" t="s">
        <v>2600</v>
      </c>
      <c r="BU182" s="8" t="s">
        <v>2147</v>
      </c>
      <c r="BV182" s="8" t="s">
        <v>2217</v>
      </c>
      <c r="BW182" s="8" t="s">
        <v>2218</v>
      </c>
      <c r="BX182" s="8" t="s">
        <v>2953</v>
      </c>
      <c r="BY182" s="8" t="s">
        <v>2954</v>
      </c>
      <c r="BZ182" s="8" t="str">
        <f>HYPERLINK("https%3A%2F%2Fwww.webofscience.com%2Fwos%2Fwoscc%2Ffull-record%2FWOS:000249351100008","View Full Record in Web of Science")</f>
        <v>View Full Record in Web of Science</v>
      </c>
    </row>
    <row r="183" ht="12.75" customHeight="1">
      <c r="A183" s="8" t="s">
        <v>3329</v>
      </c>
      <c r="B183" s="8" t="s">
        <v>6469</v>
      </c>
      <c r="C183" s="8" t="s">
        <v>2135</v>
      </c>
      <c r="D183" s="8" t="s">
        <v>2135</v>
      </c>
      <c r="E183" s="8" t="s">
        <v>2135</v>
      </c>
      <c r="F183" s="8" t="s">
        <v>6470</v>
      </c>
      <c r="G183" s="8" t="s">
        <v>2135</v>
      </c>
      <c r="H183" s="8" t="s">
        <v>2135</v>
      </c>
      <c r="I183" s="8" t="s">
        <v>747</v>
      </c>
      <c r="J183" s="8" t="s">
        <v>4162</v>
      </c>
      <c r="K183" s="8" t="s">
        <v>2135</v>
      </c>
      <c r="L183" s="8" t="s">
        <v>2135</v>
      </c>
      <c r="M183" s="8" t="s">
        <v>3332</v>
      </c>
      <c r="N183" s="8" t="s">
        <v>3333</v>
      </c>
      <c r="O183" s="8" t="s">
        <v>2135</v>
      </c>
      <c r="P183" s="8" t="s">
        <v>2135</v>
      </c>
      <c r="Q183" s="8" t="s">
        <v>2135</v>
      </c>
      <c r="R183" s="8" t="s">
        <v>2135</v>
      </c>
      <c r="S183" s="8" t="s">
        <v>2135</v>
      </c>
      <c r="T183" s="8" t="s">
        <v>6471</v>
      </c>
      <c r="U183" s="8" t="s">
        <v>6472</v>
      </c>
      <c r="V183" s="8" t="s">
        <v>6473</v>
      </c>
      <c r="W183" s="8" t="s">
        <v>6474</v>
      </c>
      <c r="X183" s="8" t="s">
        <v>2135</v>
      </c>
      <c r="Y183" s="8" t="s">
        <v>6475</v>
      </c>
      <c r="Z183" s="8" t="s">
        <v>6476</v>
      </c>
      <c r="AA183" s="8" t="s">
        <v>2135</v>
      </c>
      <c r="AB183" s="8" t="s">
        <v>2135</v>
      </c>
      <c r="AC183" s="8" t="s">
        <v>2135</v>
      </c>
      <c r="AD183" s="8" t="s">
        <v>2135</v>
      </c>
      <c r="AE183" s="8" t="s">
        <v>2135</v>
      </c>
      <c r="AF183" s="8" t="s">
        <v>2135</v>
      </c>
      <c r="AG183" s="8">
        <v>32.0</v>
      </c>
      <c r="AH183" s="8">
        <v>20.0</v>
      </c>
      <c r="AI183" s="8">
        <v>24.0</v>
      </c>
      <c r="AJ183" s="8">
        <v>0.0</v>
      </c>
      <c r="AK183" s="8">
        <v>29.0</v>
      </c>
      <c r="AL183" s="8" t="s">
        <v>4276</v>
      </c>
      <c r="AM183" s="8" t="s">
        <v>4277</v>
      </c>
      <c r="AN183" s="8" t="s">
        <v>4278</v>
      </c>
      <c r="AO183" s="8" t="s">
        <v>4175</v>
      </c>
      <c r="AP183" s="8" t="s">
        <v>2135</v>
      </c>
      <c r="AQ183" s="8" t="s">
        <v>2135</v>
      </c>
      <c r="AR183" s="8" t="s">
        <v>4177</v>
      </c>
      <c r="AS183" s="8" t="s">
        <v>4178</v>
      </c>
      <c r="AT183" s="8" t="s">
        <v>3462</v>
      </c>
      <c r="AU183" s="8">
        <v>2007.0</v>
      </c>
      <c r="AV183" s="8">
        <v>71.0</v>
      </c>
      <c r="AW183" s="8">
        <v>7.0</v>
      </c>
      <c r="AX183" s="8" t="s">
        <v>2135</v>
      </c>
      <c r="AY183" s="8" t="s">
        <v>2135</v>
      </c>
      <c r="AZ183" s="8" t="s">
        <v>2135</v>
      </c>
      <c r="BA183" s="8" t="s">
        <v>2135</v>
      </c>
      <c r="BB183" s="8">
        <v>2193.0</v>
      </c>
      <c r="BC183" s="8">
        <v>2200.0</v>
      </c>
      <c r="BD183" s="8" t="s">
        <v>2135</v>
      </c>
      <c r="BE183" s="8" t="s">
        <v>6477</v>
      </c>
      <c r="BF183" s="13" t="str">
        <f>HYPERLINK("http://dx.doi.org/10.2193/2007-095","http://dx.doi.org/10.2193/2007-095")</f>
        <v>http://dx.doi.org/10.2193/2007-095</v>
      </c>
      <c r="BG183" s="8" t="s">
        <v>2135</v>
      </c>
      <c r="BH183" s="8" t="s">
        <v>2135</v>
      </c>
      <c r="BI183" s="8">
        <v>8.0</v>
      </c>
      <c r="BJ183" s="8" t="s">
        <v>3442</v>
      </c>
      <c r="BK183" s="8" t="s">
        <v>3352</v>
      </c>
      <c r="BL183" s="8" t="s">
        <v>3443</v>
      </c>
      <c r="BM183" s="8" t="s">
        <v>4280</v>
      </c>
      <c r="BN183" s="8" t="s">
        <v>2135</v>
      </c>
      <c r="BO183" s="8" t="s">
        <v>2135</v>
      </c>
      <c r="BP183" s="8" t="s">
        <v>2135</v>
      </c>
      <c r="BQ183" s="8" t="s">
        <v>2135</v>
      </c>
      <c r="BR183" s="8" t="s">
        <v>3355</v>
      </c>
      <c r="BS183" s="8" t="s">
        <v>6478</v>
      </c>
      <c r="BT183" s="8" t="s">
        <v>2216</v>
      </c>
      <c r="BU183" s="8" t="s">
        <v>2147</v>
      </c>
      <c r="BV183" s="8" t="s">
        <v>2217</v>
      </c>
      <c r="BW183" s="8" t="s">
        <v>2218</v>
      </c>
      <c r="BX183" s="8" t="s">
        <v>2953</v>
      </c>
      <c r="BY183" s="8" t="s">
        <v>2954</v>
      </c>
      <c r="BZ183" s="8" t="str">
        <f>HYPERLINK("https%3A%2F%2Fwww.webofscience.com%2Fwos%2Fwoscc%2Ffull-record%2FWOS:000249351100012","View Full Record in Web of Science")</f>
        <v>View Full Record in Web of Science</v>
      </c>
    </row>
    <row r="184" ht="12.75" customHeight="1">
      <c r="A184" s="8" t="s">
        <v>3329</v>
      </c>
      <c r="B184" s="8" t="s">
        <v>6479</v>
      </c>
      <c r="C184" s="8" t="s">
        <v>2135</v>
      </c>
      <c r="D184" s="8" t="s">
        <v>2135</v>
      </c>
      <c r="E184" s="8" t="s">
        <v>2135</v>
      </c>
      <c r="F184" s="8" t="s">
        <v>6480</v>
      </c>
      <c r="G184" s="8" t="s">
        <v>2135</v>
      </c>
      <c r="H184" s="8" t="s">
        <v>2135</v>
      </c>
      <c r="I184" s="8" t="s">
        <v>751</v>
      </c>
      <c r="J184" s="8" t="s">
        <v>6481</v>
      </c>
      <c r="K184" s="8" t="s">
        <v>2135</v>
      </c>
      <c r="L184" s="8" t="s">
        <v>2135</v>
      </c>
      <c r="M184" s="8" t="s">
        <v>3332</v>
      </c>
      <c r="N184" s="8" t="s">
        <v>3963</v>
      </c>
      <c r="O184" s="8" t="s">
        <v>6482</v>
      </c>
      <c r="P184" s="8">
        <v>2004.0</v>
      </c>
      <c r="Q184" s="8" t="s">
        <v>6483</v>
      </c>
      <c r="R184" s="8" t="s">
        <v>2135</v>
      </c>
      <c r="S184" s="8" t="s">
        <v>2135</v>
      </c>
      <c r="T184" s="8" t="s">
        <v>6484</v>
      </c>
      <c r="U184" s="8" t="s">
        <v>6485</v>
      </c>
      <c r="V184" s="8" t="s">
        <v>6486</v>
      </c>
      <c r="W184" s="8" t="s">
        <v>6487</v>
      </c>
      <c r="X184" s="8" t="s">
        <v>6488</v>
      </c>
      <c r="Y184" s="8" t="s">
        <v>6489</v>
      </c>
      <c r="Z184" s="8" t="s">
        <v>6490</v>
      </c>
      <c r="AA184" s="8" t="s">
        <v>6491</v>
      </c>
      <c r="AB184" s="8" t="s">
        <v>6492</v>
      </c>
      <c r="AC184" s="8" t="s">
        <v>2135</v>
      </c>
      <c r="AD184" s="8" t="s">
        <v>2135</v>
      </c>
      <c r="AE184" s="8" t="s">
        <v>2135</v>
      </c>
      <c r="AF184" s="8" t="s">
        <v>2135</v>
      </c>
      <c r="AG184" s="8">
        <v>41.0</v>
      </c>
      <c r="AH184" s="8">
        <v>37.0</v>
      </c>
      <c r="AI184" s="8">
        <v>50.0</v>
      </c>
      <c r="AJ184" s="8">
        <v>0.0</v>
      </c>
      <c r="AK184" s="8">
        <v>29.0</v>
      </c>
      <c r="AL184" s="8" t="s">
        <v>3479</v>
      </c>
      <c r="AM184" s="8" t="s">
        <v>4500</v>
      </c>
      <c r="AN184" s="8" t="s">
        <v>4501</v>
      </c>
      <c r="AO184" s="8" t="s">
        <v>6493</v>
      </c>
      <c r="AP184" s="8" t="s">
        <v>6494</v>
      </c>
      <c r="AQ184" s="8" t="s">
        <v>2135</v>
      </c>
      <c r="AR184" s="8" t="s">
        <v>6481</v>
      </c>
      <c r="AS184" s="8" t="s">
        <v>6495</v>
      </c>
      <c r="AT184" s="8" t="s">
        <v>3395</v>
      </c>
      <c r="AU184" s="8">
        <v>2007.0</v>
      </c>
      <c r="AV184" s="8">
        <v>587.0</v>
      </c>
      <c r="AW184" s="8" t="s">
        <v>2135</v>
      </c>
      <c r="AX184" s="8" t="s">
        <v>2135</v>
      </c>
      <c r="AY184" s="8" t="s">
        <v>2135</v>
      </c>
      <c r="AZ184" s="8" t="s">
        <v>2135</v>
      </c>
      <c r="BA184" s="8" t="s">
        <v>2135</v>
      </c>
      <c r="BB184" s="8">
        <v>51.0</v>
      </c>
      <c r="BC184" s="8">
        <v>62.0</v>
      </c>
      <c r="BD184" s="8" t="s">
        <v>2135</v>
      </c>
      <c r="BE184" s="8" t="s">
        <v>6496</v>
      </c>
      <c r="BF184" s="13" t="str">
        <f>HYPERLINK("http://dx.doi.org/10.1007/s10750-007-0693-7","http://dx.doi.org/10.1007/s10750-007-0693-7")</f>
        <v>http://dx.doi.org/10.1007/s10750-007-0693-7</v>
      </c>
      <c r="BG184" s="8" t="s">
        <v>2135</v>
      </c>
      <c r="BH184" s="8" t="s">
        <v>2135</v>
      </c>
      <c r="BI184" s="8">
        <v>12.0</v>
      </c>
      <c r="BJ184" s="8" t="s">
        <v>6497</v>
      </c>
      <c r="BK184" s="8" t="s">
        <v>4418</v>
      </c>
      <c r="BL184" s="8" t="s">
        <v>6497</v>
      </c>
      <c r="BM184" s="8" t="s">
        <v>6498</v>
      </c>
      <c r="BN184" s="8" t="s">
        <v>2135</v>
      </c>
      <c r="BO184" s="8" t="s">
        <v>2135</v>
      </c>
      <c r="BP184" s="8" t="s">
        <v>2135</v>
      </c>
      <c r="BQ184" s="8" t="s">
        <v>2135</v>
      </c>
      <c r="BR184" s="8" t="s">
        <v>3355</v>
      </c>
      <c r="BS184" s="8" t="s">
        <v>6499</v>
      </c>
      <c r="BT184" s="8" t="s">
        <v>2471</v>
      </c>
      <c r="BU184" s="8" t="s">
        <v>2142</v>
      </c>
      <c r="BW184" s="8" t="s">
        <v>2143</v>
      </c>
      <c r="BX184" s="8" t="s">
        <v>2981</v>
      </c>
      <c r="BY184" s="8" t="s">
        <v>2954</v>
      </c>
      <c r="BZ184" s="8" t="str">
        <f>HYPERLINK("https%3A%2F%2Fwww.webofscience.com%2Fwos%2Fwoscc%2Ffull-record%2FWOS:000247413500006","View Full Record in Web of Science")</f>
        <v>View Full Record in Web of Science</v>
      </c>
    </row>
    <row r="185" ht="12.75" customHeight="1">
      <c r="A185" s="8" t="s">
        <v>3329</v>
      </c>
      <c r="B185" s="8" t="s">
        <v>6500</v>
      </c>
      <c r="C185" s="8" t="s">
        <v>2135</v>
      </c>
      <c r="D185" s="8" t="s">
        <v>2135</v>
      </c>
      <c r="E185" s="8" t="s">
        <v>2135</v>
      </c>
      <c r="F185" s="8" t="s">
        <v>6501</v>
      </c>
      <c r="G185" s="8" t="s">
        <v>2135</v>
      </c>
      <c r="H185" s="8" t="s">
        <v>2135</v>
      </c>
      <c r="I185" s="8" t="s">
        <v>745</v>
      </c>
      <c r="J185" s="8" t="s">
        <v>4162</v>
      </c>
      <c r="K185" s="8" t="s">
        <v>2135</v>
      </c>
      <c r="L185" s="8" t="s">
        <v>2135</v>
      </c>
      <c r="M185" s="8" t="s">
        <v>3332</v>
      </c>
      <c r="N185" s="8" t="s">
        <v>3333</v>
      </c>
      <c r="O185" s="8" t="s">
        <v>2135</v>
      </c>
      <c r="P185" s="8" t="s">
        <v>2135</v>
      </c>
      <c r="Q185" s="8" t="s">
        <v>2135</v>
      </c>
      <c r="R185" s="8" t="s">
        <v>2135</v>
      </c>
      <c r="S185" s="8" t="s">
        <v>2135</v>
      </c>
      <c r="T185" s="8" t="s">
        <v>6502</v>
      </c>
      <c r="U185" s="8" t="s">
        <v>6503</v>
      </c>
      <c r="V185" s="8" t="s">
        <v>6504</v>
      </c>
      <c r="W185" s="8" t="s">
        <v>6505</v>
      </c>
      <c r="X185" s="8" t="s">
        <v>6506</v>
      </c>
      <c r="Y185" s="8" t="s">
        <v>6507</v>
      </c>
      <c r="Z185" s="8" t="s">
        <v>6508</v>
      </c>
      <c r="AA185" s="8" t="s">
        <v>5270</v>
      </c>
      <c r="AB185" s="8" t="s">
        <v>5271</v>
      </c>
      <c r="AC185" s="8" t="s">
        <v>2135</v>
      </c>
      <c r="AD185" s="8" t="s">
        <v>2135</v>
      </c>
      <c r="AE185" s="8" t="s">
        <v>2135</v>
      </c>
      <c r="AF185" s="8" t="s">
        <v>2135</v>
      </c>
      <c r="AG185" s="8">
        <v>38.0</v>
      </c>
      <c r="AH185" s="8">
        <v>15.0</v>
      </c>
      <c r="AI185" s="8">
        <v>24.0</v>
      </c>
      <c r="AJ185" s="8">
        <v>0.0</v>
      </c>
      <c r="AK185" s="8">
        <v>32.0</v>
      </c>
      <c r="AL185" s="8" t="s">
        <v>4276</v>
      </c>
      <c r="AM185" s="8" t="s">
        <v>4277</v>
      </c>
      <c r="AN185" s="8" t="s">
        <v>4278</v>
      </c>
      <c r="AO185" s="8" t="s">
        <v>4175</v>
      </c>
      <c r="AP185" s="8" t="s">
        <v>2135</v>
      </c>
      <c r="AQ185" s="8" t="s">
        <v>2135</v>
      </c>
      <c r="AR185" s="8" t="s">
        <v>4177</v>
      </c>
      <c r="AS185" s="8" t="s">
        <v>4178</v>
      </c>
      <c r="AT185" s="8" t="s">
        <v>3349</v>
      </c>
      <c r="AU185" s="8">
        <v>2007.0</v>
      </c>
      <c r="AV185" s="8">
        <v>71.0</v>
      </c>
      <c r="AW185" s="8">
        <v>4.0</v>
      </c>
      <c r="AX185" s="8" t="s">
        <v>2135</v>
      </c>
      <c r="AY185" s="8" t="s">
        <v>2135</v>
      </c>
      <c r="AZ185" s="8" t="s">
        <v>2135</v>
      </c>
      <c r="BA185" s="8" t="s">
        <v>2135</v>
      </c>
      <c r="BB185" s="8">
        <v>1214.0</v>
      </c>
      <c r="BC185" s="8">
        <v>1219.0</v>
      </c>
      <c r="BD185" s="8" t="s">
        <v>2135</v>
      </c>
      <c r="BE185" s="8" t="s">
        <v>6509</v>
      </c>
      <c r="BF185" s="13" t="str">
        <f>HYPERLINK("http://dx.doi.org/10.2193/2006-064","http://dx.doi.org/10.2193/2006-064")</f>
        <v>http://dx.doi.org/10.2193/2006-064</v>
      </c>
      <c r="BG185" s="8" t="s">
        <v>2135</v>
      </c>
      <c r="BH185" s="8" t="s">
        <v>2135</v>
      </c>
      <c r="BI185" s="8">
        <v>6.0</v>
      </c>
      <c r="BJ185" s="8" t="s">
        <v>3442</v>
      </c>
      <c r="BK185" s="8" t="s">
        <v>3352</v>
      </c>
      <c r="BL185" s="8" t="s">
        <v>3443</v>
      </c>
      <c r="BM185" s="8" t="s">
        <v>6510</v>
      </c>
      <c r="BN185" s="8" t="s">
        <v>2135</v>
      </c>
      <c r="BO185" s="8" t="s">
        <v>2135</v>
      </c>
      <c r="BP185" s="8" t="s">
        <v>2135</v>
      </c>
      <c r="BQ185" s="8" t="s">
        <v>2135</v>
      </c>
      <c r="BR185" s="8" t="s">
        <v>3355</v>
      </c>
      <c r="BS185" s="8" t="s">
        <v>6511</v>
      </c>
      <c r="BU185" s="8" t="s">
        <v>2147</v>
      </c>
      <c r="BV185" s="8" t="s">
        <v>2217</v>
      </c>
      <c r="BW185" s="8" t="s">
        <v>2224</v>
      </c>
      <c r="BX185" s="8" t="s">
        <v>3022</v>
      </c>
      <c r="BY185" s="8" t="s">
        <v>2954</v>
      </c>
      <c r="BZ185" s="8" t="str">
        <f>HYPERLINK("https%3A%2F%2Fwww.webofscience.com%2Fwos%2Fwoscc%2Ffull-record%2FWOS:000247168500026","View Full Record in Web of Science")</f>
        <v>View Full Record in Web of Science</v>
      </c>
    </row>
    <row r="186" ht="12.75" customHeight="1">
      <c r="A186" s="8" t="s">
        <v>3329</v>
      </c>
      <c r="B186" s="8" t="s">
        <v>6512</v>
      </c>
      <c r="C186" s="8" t="s">
        <v>2135</v>
      </c>
      <c r="D186" s="8" t="s">
        <v>2135</v>
      </c>
      <c r="E186" s="8" t="s">
        <v>2135</v>
      </c>
      <c r="F186" s="8" t="s">
        <v>6512</v>
      </c>
      <c r="G186" s="8" t="s">
        <v>2135</v>
      </c>
      <c r="H186" s="8" t="s">
        <v>2135</v>
      </c>
      <c r="I186" s="8" t="s">
        <v>739</v>
      </c>
      <c r="J186" s="8" t="s">
        <v>3747</v>
      </c>
      <c r="K186" s="8" t="s">
        <v>2135</v>
      </c>
      <c r="L186" s="8" t="s">
        <v>2135</v>
      </c>
      <c r="M186" s="8" t="s">
        <v>3332</v>
      </c>
      <c r="N186" s="8" t="s">
        <v>3333</v>
      </c>
      <c r="O186" s="8" t="s">
        <v>2135</v>
      </c>
      <c r="P186" s="8" t="s">
        <v>2135</v>
      </c>
      <c r="Q186" s="8" t="s">
        <v>2135</v>
      </c>
      <c r="R186" s="8" t="s">
        <v>2135</v>
      </c>
      <c r="S186" s="8" t="s">
        <v>2135</v>
      </c>
      <c r="T186" s="8" t="s">
        <v>6513</v>
      </c>
      <c r="U186" s="8" t="s">
        <v>6514</v>
      </c>
      <c r="V186" s="8" t="s">
        <v>6515</v>
      </c>
      <c r="W186" s="8" t="s">
        <v>6516</v>
      </c>
      <c r="X186" s="8" t="s">
        <v>6517</v>
      </c>
      <c r="Y186" s="8" t="s">
        <v>6518</v>
      </c>
      <c r="Z186" s="8" t="s">
        <v>6519</v>
      </c>
      <c r="AA186" s="8" t="s">
        <v>6520</v>
      </c>
      <c r="AB186" s="8" t="s">
        <v>2135</v>
      </c>
      <c r="AC186" s="8" t="s">
        <v>2135</v>
      </c>
      <c r="AD186" s="8" t="s">
        <v>2135</v>
      </c>
      <c r="AE186" s="8" t="s">
        <v>2135</v>
      </c>
      <c r="AF186" s="8" t="s">
        <v>2135</v>
      </c>
      <c r="AG186" s="8">
        <v>19.0</v>
      </c>
      <c r="AH186" s="8">
        <v>18.0</v>
      </c>
      <c r="AI186" s="8">
        <v>21.0</v>
      </c>
      <c r="AJ186" s="8">
        <v>0.0</v>
      </c>
      <c r="AK186" s="8">
        <v>12.0</v>
      </c>
      <c r="AL186" s="8" t="s">
        <v>3758</v>
      </c>
      <c r="AM186" s="8" t="s">
        <v>3893</v>
      </c>
      <c r="AN186" s="8" t="s">
        <v>3894</v>
      </c>
      <c r="AO186" s="8" t="s">
        <v>3761</v>
      </c>
      <c r="AP186" s="8" t="s">
        <v>3762</v>
      </c>
      <c r="AQ186" s="8" t="s">
        <v>2135</v>
      </c>
      <c r="AR186" s="8" t="s">
        <v>3763</v>
      </c>
      <c r="AS186" s="8" t="s">
        <v>3764</v>
      </c>
      <c r="AT186" s="8" t="s">
        <v>3721</v>
      </c>
      <c r="AU186" s="8">
        <v>2006.0</v>
      </c>
      <c r="AV186" s="8">
        <v>128.0</v>
      </c>
      <c r="AW186" s="8">
        <v>3.0</v>
      </c>
      <c r="AX186" s="8" t="s">
        <v>2135</v>
      </c>
      <c r="AY186" s="8" t="s">
        <v>2135</v>
      </c>
      <c r="AZ186" s="8" t="s">
        <v>2135</v>
      </c>
      <c r="BA186" s="8" t="s">
        <v>2135</v>
      </c>
      <c r="BB186" s="8">
        <v>425.0</v>
      </c>
      <c r="BC186" s="8">
        <v>430.0</v>
      </c>
      <c r="BD186" s="8" t="s">
        <v>2135</v>
      </c>
      <c r="BE186" s="8" t="s">
        <v>6521</v>
      </c>
      <c r="BF186" s="13" t="str">
        <f>HYPERLINK("http://dx.doi.org/10.1016/j.biocon.2005.08.013","http://dx.doi.org/10.1016/j.biocon.2005.08.013")</f>
        <v>http://dx.doi.org/10.1016/j.biocon.2005.08.013</v>
      </c>
      <c r="BG186" s="8" t="s">
        <v>2135</v>
      </c>
      <c r="BH186" s="8" t="s">
        <v>2135</v>
      </c>
      <c r="BI186" s="8">
        <v>6.0</v>
      </c>
      <c r="BJ186" s="8" t="s">
        <v>3351</v>
      </c>
      <c r="BK186" s="8" t="s">
        <v>3352</v>
      </c>
      <c r="BL186" s="8" t="s">
        <v>3353</v>
      </c>
      <c r="BM186" s="8" t="s">
        <v>6522</v>
      </c>
      <c r="BN186" s="8" t="s">
        <v>2135</v>
      </c>
      <c r="BO186" s="8" t="s">
        <v>2135</v>
      </c>
      <c r="BP186" s="8" t="s">
        <v>2135</v>
      </c>
      <c r="BQ186" s="8" t="s">
        <v>2135</v>
      </c>
      <c r="BR186" s="8" t="s">
        <v>3355</v>
      </c>
      <c r="BS186" s="8" t="s">
        <v>6523</v>
      </c>
      <c r="BU186" s="8" t="s">
        <v>2142</v>
      </c>
      <c r="BW186" s="8" t="s">
        <v>2311</v>
      </c>
      <c r="BX186" s="8" t="s">
        <v>2953</v>
      </c>
      <c r="BY186" s="8" t="s">
        <v>2954</v>
      </c>
      <c r="BZ186" s="8" t="str">
        <f>HYPERLINK("https%3A%2F%2Fwww.webofscience.com%2Fwos%2Fwoscc%2Ffull-record%2FWOS:000236096500014","View Full Record in Web of Science")</f>
        <v>View Full Record in Web of Science</v>
      </c>
    </row>
    <row r="187" ht="12.75" customHeight="1">
      <c r="A187" s="8" t="s">
        <v>3329</v>
      </c>
      <c r="B187" s="8" t="s">
        <v>6524</v>
      </c>
      <c r="C187" s="8" t="s">
        <v>2135</v>
      </c>
      <c r="D187" s="8" t="s">
        <v>2135</v>
      </c>
      <c r="E187" s="8" t="s">
        <v>2135</v>
      </c>
      <c r="F187" s="8" t="s">
        <v>6524</v>
      </c>
      <c r="G187" s="8" t="s">
        <v>2135</v>
      </c>
      <c r="H187" s="8" t="s">
        <v>2135</v>
      </c>
      <c r="I187" s="8" t="s">
        <v>743</v>
      </c>
      <c r="J187" s="8" t="s">
        <v>3380</v>
      </c>
      <c r="K187" s="8" t="s">
        <v>2135</v>
      </c>
      <c r="L187" s="8" t="s">
        <v>2135</v>
      </c>
      <c r="M187" s="8" t="s">
        <v>3332</v>
      </c>
      <c r="N187" s="8" t="s">
        <v>3333</v>
      </c>
      <c r="O187" s="8" t="s">
        <v>2135</v>
      </c>
      <c r="P187" s="8" t="s">
        <v>2135</v>
      </c>
      <c r="Q187" s="8" t="s">
        <v>2135</v>
      </c>
      <c r="R187" s="8" t="s">
        <v>2135</v>
      </c>
      <c r="S187" s="8" t="s">
        <v>2135</v>
      </c>
      <c r="T187" s="8" t="s">
        <v>6525</v>
      </c>
      <c r="U187" s="8" t="s">
        <v>6526</v>
      </c>
      <c r="V187" s="8" t="s">
        <v>6527</v>
      </c>
      <c r="W187" s="8" t="s">
        <v>6528</v>
      </c>
      <c r="X187" s="8" t="s">
        <v>6529</v>
      </c>
      <c r="Y187" s="8" t="s">
        <v>6530</v>
      </c>
      <c r="Z187" s="8" t="s">
        <v>6531</v>
      </c>
      <c r="AA187" s="8" t="s">
        <v>6532</v>
      </c>
      <c r="AB187" s="8" t="s">
        <v>6533</v>
      </c>
      <c r="AC187" s="8" t="s">
        <v>2135</v>
      </c>
      <c r="AD187" s="8" t="s">
        <v>2135</v>
      </c>
      <c r="AE187" s="8" t="s">
        <v>2135</v>
      </c>
      <c r="AF187" s="8" t="s">
        <v>2135</v>
      </c>
      <c r="AG187" s="8">
        <v>41.0</v>
      </c>
      <c r="AH187" s="8">
        <v>46.0</v>
      </c>
      <c r="AI187" s="8">
        <v>52.0</v>
      </c>
      <c r="AJ187" s="8">
        <v>0.0</v>
      </c>
      <c r="AK187" s="8">
        <v>52.0</v>
      </c>
      <c r="AL187" s="8" t="s">
        <v>3921</v>
      </c>
      <c r="AM187" s="8" t="s">
        <v>3922</v>
      </c>
      <c r="AN187" s="8" t="s">
        <v>3923</v>
      </c>
      <c r="AO187" s="8" t="s">
        <v>3392</v>
      </c>
      <c r="AP187" s="8" t="s">
        <v>4022</v>
      </c>
      <c r="AQ187" s="8" t="s">
        <v>2135</v>
      </c>
      <c r="AR187" s="8" t="s">
        <v>3393</v>
      </c>
      <c r="AS187" s="8" t="s">
        <v>3394</v>
      </c>
      <c r="AT187" s="8" t="s">
        <v>3485</v>
      </c>
      <c r="AU187" s="8">
        <v>2006.0</v>
      </c>
      <c r="AV187" s="8">
        <v>87.0</v>
      </c>
      <c r="AW187" s="8">
        <v>1.0</v>
      </c>
      <c r="AX187" s="8" t="s">
        <v>2135</v>
      </c>
      <c r="AY187" s="8" t="s">
        <v>2135</v>
      </c>
      <c r="AZ187" s="8" t="s">
        <v>2135</v>
      </c>
      <c r="BA187" s="8" t="s">
        <v>2135</v>
      </c>
      <c r="BB187" s="8">
        <v>75.0</v>
      </c>
      <c r="BC187" s="8">
        <v>79.0</v>
      </c>
      <c r="BD187" s="8" t="s">
        <v>2135</v>
      </c>
      <c r="BE187" s="8" t="s">
        <v>6534</v>
      </c>
      <c r="BF187" s="13" t="str">
        <f>HYPERLINK("http://dx.doi.org/10.1644/04-.1","http://dx.doi.org/10.1644/04-.1")</f>
        <v>http://dx.doi.org/10.1644/04-.1</v>
      </c>
      <c r="BG187" s="8" t="s">
        <v>2135</v>
      </c>
      <c r="BH187" s="8" t="s">
        <v>2135</v>
      </c>
      <c r="BI187" s="8">
        <v>5.0</v>
      </c>
      <c r="BJ187" s="8" t="s">
        <v>3397</v>
      </c>
      <c r="BK187" s="8" t="s">
        <v>3352</v>
      </c>
      <c r="BL187" s="8" t="s">
        <v>3397</v>
      </c>
      <c r="BM187" s="8" t="s">
        <v>6535</v>
      </c>
      <c r="BN187" s="8" t="s">
        <v>2135</v>
      </c>
      <c r="BO187" s="8" t="s">
        <v>3445</v>
      </c>
      <c r="BP187" s="8" t="s">
        <v>2135</v>
      </c>
      <c r="BQ187" s="8" t="s">
        <v>2135</v>
      </c>
      <c r="BR187" s="8" t="s">
        <v>3355</v>
      </c>
      <c r="BS187" s="8" t="s">
        <v>6536</v>
      </c>
      <c r="BU187" s="8" t="s">
        <v>2142</v>
      </c>
      <c r="BW187" s="8" t="s">
        <v>2218</v>
      </c>
      <c r="BX187" s="8" t="s">
        <v>2953</v>
      </c>
      <c r="BY187" s="8" t="s">
        <v>2954</v>
      </c>
      <c r="BZ187" s="8" t="str">
        <f>HYPERLINK("https%3A%2F%2Fwww.webofscience.com%2Fwos%2Fwoscc%2Ffull-record%2FWOS:000235845500011","View Full Record in Web of Science")</f>
        <v>View Full Record in Web of Science</v>
      </c>
    </row>
    <row r="188" ht="12.75" customHeight="1">
      <c r="A188" s="8" t="s">
        <v>3329</v>
      </c>
      <c r="B188" s="8" t="s">
        <v>6537</v>
      </c>
      <c r="C188" s="8" t="s">
        <v>2135</v>
      </c>
      <c r="D188" s="8" t="s">
        <v>2135</v>
      </c>
      <c r="E188" s="8" t="s">
        <v>2135</v>
      </c>
      <c r="F188" s="8" t="s">
        <v>6537</v>
      </c>
      <c r="G188" s="8" t="s">
        <v>2135</v>
      </c>
      <c r="H188" s="8" t="s">
        <v>2135</v>
      </c>
      <c r="I188" s="8" t="s">
        <v>733</v>
      </c>
      <c r="J188" s="8" t="s">
        <v>5135</v>
      </c>
      <c r="K188" s="8" t="s">
        <v>2135</v>
      </c>
      <c r="L188" s="8" t="s">
        <v>2135</v>
      </c>
      <c r="M188" s="8" t="s">
        <v>3332</v>
      </c>
      <c r="N188" s="8" t="s">
        <v>3333</v>
      </c>
      <c r="O188" s="8" t="s">
        <v>2135</v>
      </c>
      <c r="P188" s="8" t="s">
        <v>2135</v>
      </c>
      <c r="Q188" s="8" t="s">
        <v>2135</v>
      </c>
      <c r="R188" s="8" t="s">
        <v>2135</v>
      </c>
      <c r="S188" s="8" t="s">
        <v>2135</v>
      </c>
      <c r="T188" s="8" t="s">
        <v>6538</v>
      </c>
      <c r="U188" s="8" t="s">
        <v>6539</v>
      </c>
      <c r="V188" s="8" t="s">
        <v>6540</v>
      </c>
      <c r="W188" s="8" t="s">
        <v>6541</v>
      </c>
      <c r="X188" s="8" t="s">
        <v>6542</v>
      </c>
      <c r="Y188" s="8" t="s">
        <v>6543</v>
      </c>
      <c r="Z188" s="8" t="s">
        <v>6544</v>
      </c>
      <c r="AA188" s="8" t="s">
        <v>2135</v>
      </c>
      <c r="AB188" s="8" t="s">
        <v>6545</v>
      </c>
      <c r="AC188" s="8" t="s">
        <v>2135</v>
      </c>
      <c r="AD188" s="8" t="s">
        <v>2135</v>
      </c>
      <c r="AE188" s="8" t="s">
        <v>2135</v>
      </c>
      <c r="AF188" s="8" t="s">
        <v>2135</v>
      </c>
      <c r="AG188" s="8">
        <v>50.0</v>
      </c>
      <c r="AH188" s="8">
        <v>71.0</v>
      </c>
      <c r="AI188" s="8">
        <v>79.0</v>
      </c>
      <c r="AJ188" s="8">
        <v>0.0</v>
      </c>
      <c r="AK188" s="8">
        <v>44.0</v>
      </c>
      <c r="AL188" s="8" t="s">
        <v>3479</v>
      </c>
      <c r="AM188" s="8" t="s">
        <v>4500</v>
      </c>
      <c r="AN188" s="8" t="s">
        <v>4501</v>
      </c>
      <c r="AO188" s="8" t="s">
        <v>5148</v>
      </c>
      <c r="AP188" s="8" t="s">
        <v>5149</v>
      </c>
      <c r="AQ188" s="8" t="s">
        <v>2135</v>
      </c>
      <c r="AR188" s="8" t="s">
        <v>5150</v>
      </c>
      <c r="AS188" s="8" t="s">
        <v>5151</v>
      </c>
      <c r="AT188" s="8" t="s">
        <v>3741</v>
      </c>
      <c r="AU188" s="8">
        <v>2005.0</v>
      </c>
      <c r="AV188" s="8">
        <v>14.0</v>
      </c>
      <c r="AW188" s="8">
        <v>14.0</v>
      </c>
      <c r="AX188" s="8" t="s">
        <v>2135</v>
      </c>
      <c r="AY188" s="8" t="s">
        <v>2135</v>
      </c>
      <c r="AZ188" s="8" t="s">
        <v>2135</v>
      </c>
      <c r="BA188" s="8" t="s">
        <v>2135</v>
      </c>
      <c r="BB188" s="8">
        <v>3475.0</v>
      </c>
      <c r="BC188" s="8">
        <v>3486.0</v>
      </c>
      <c r="BD188" s="8" t="s">
        <v>2135</v>
      </c>
      <c r="BE188" s="8" t="s">
        <v>6546</v>
      </c>
      <c r="BF188" s="13" t="str">
        <f>HYPERLINK("http://dx.doi.org/10.1007/s10531-004-0823-8","http://dx.doi.org/10.1007/s10531-004-0823-8")</f>
        <v>http://dx.doi.org/10.1007/s10531-004-0823-8</v>
      </c>
      <c r="BG188" s="8" t="s">
        <v>2135</v>
      </c>
      <c r="BH188" s="8" t="s">
        <v>2135</v>
      </c>
      <c r="BI188" s="8">
        <v>12.0</v>
      </c>
      <c r="BJ188" s="8" t="s">
        <v>3351</v>
      </c>
      <c r="BK188" s="8" t="s">
        <v>3352</v>
      </c>
      <c r="BL188" s="8" t="s">
        <v>3353</v>
      </c>
      <c r="BM188" s="8" t="s">
        <v>6547</v>
      </c>
      <c r="BN188" s="8" t="s">
        <v>2135</v>
      </c>
      <c r="BO188" s="8" t="s">
        <v>2135</v>
      </c>
      <c r="BP188" s="8" t="s">
        <v>2135</v>
      </c>
      <c r="BQ188" s="8" t="s">
        <v>2135</v>
      </c>
      <c r="BR188" s="8" t="s">
        <v>3355</v>
      </c>
      <c r="BS188" s="8" t="s">
        <v>6548</v>
      </c>
      <c r="BT188" s="8" t="s">
        <v>2497</v>
      </c>
      <c r="BU188" s="8" t="s">
        <v>2142</v>
      </c>
      <c r="BW188" s="8" t="s">
        <v>2515</v>
      </c>
      <c r="BX188" s="8" t="s">
        <v>2953</v>
      </c>
      <c r="BY188" s="8" t="s">
        <v>2954</v>
      </c>
      <c r="BZ188" s="8" t="str">
        <f>HYPERLINK("https%3A%2F%2Fwww.webofscience.com%2Fwos%2Fwoscc%2Ffull-record%2FWOS:000234053800011","View Full Record in Web of Science")</f>
        <v>View Full Record in Web of Science</v>
      </c>
    </row>
    <row r="189" ht="12.75" customHeight="1">
      <c r="A189" s="8" t="s">
        <v>3329</v>
      </c>
      <c r="B189" s="8" t="s">
        <v>6549</v>
      </c>
      <c r="C189" s="8" t="s">
        <v>2135</v>
      </c>
      <c r="D189" s="8" t="s">
        <v>2135</v>
      </c>
      <c r="E189" s="8" t="s">
        <v>2135</v>
      </c>
      <c r="F189" s="8" t="s">
        <v>6549</v>
      </c>
      <c r="G189" s="8" t="s">
        <v>2135</v>
      </c>
      <c r="H189" s="8" t="s">
        <v>2135</v>
      </c>
      <c r="I189" s="8" t="s">
        <v>737</v>
      </c>
      <c r="J189" s="8" t="s">
        <v>4162</v>
      </c>
      <c r="K189" s="8" t="s">
        <v>2135</v>
      </c>
      <c r="L189" s="8" t="s">
        <v>2135</v>
      </c>
      <c r="M189" s="8" t="s">
        <v>3332</v>
      </c>
      <c r="N189" s="8" t="s">
        <v>3333</v>
      </c>
      <c r="O189" s="8" t="s">
        <v>2135</v>
      </c>
      <c r="P189" s="8" t="s">
        <v>2135</v>
      </c>
      <c r="Q189" s="8" t="s">
        <v>2135</v>
      </c>
      <c r="R189" s="8" t="s">
        <v>2135</v>
      </c>
      <c r="S189" s="8" t="s">
        <v>2135</v>
      </c>
      <c r="T189" s="8" t="s">
        <v>6550</v>
      </c>
      <c r="U189" s="8" t="s">
        <v>6551</v>
      </c>
      <c r="V189" s="8" t="s">
        <v>6552</v>
      </c>
      <c r="W189" s="8" t="s">
        <v>6553</v>
      </c>
      <c r="X189" s="8" t="s">
        <v>6554</v>
      </c>
      <c r="Y189" s="8" t="s">
        <v>6555</v>
      </c>
      <c r="Z189" s="8" t="s">
        <v>6556</v>
      </c>
      <c r="AA189" s="8" t="s">
        <v>6532</v>
      </c>
      <c r="AB189" s="8" t="s">
        <v>6557</v>
      </c>
      <c r="AC189" s="8" t="s">
        <v>2135</v>
      </c>
      <c r="AD189" s="8" t="s">
        <v>2135</v>
      </c>
      <c r="AE189" s="8" t="s">
        <v>2135</v>
      </c>
      <c r="AF189" s="8" t="s">
        <v>2135</v>
      </c>
      <c r="AG189" s="8">
        <v>67.0</v>
      </c>
      <c r="AH189" s="8">
        <v>33.0</v>
      </c>
      <c r="AI189" s="8">
        <v>34.0</v>
      </c>
      <c r="AJ189" s="8">
        <v>1.0</v>
      </c>
      <c r="AK189" s="8">
        <v>53.0</v>
      </c>
      <c r="AL189" s="8" t="s">
        <v>3342</v>
      </c>
      <c r="AM189" s="8" t="s">
        <v>3343</v>
      </c>
      <c r="AN189" s="8" t="s">
        <v>3344</v>
      </c>
      <c r="AO189" s="8" t="s">
        <v>4175</v>
      </c>
      <c r="AP189" s="8" t="s">
        <v>4176</v>
      </c>
      <c r="AQ189" s="8" t="s">
        <v>2135</v>
      </c>
      <c r="AR189" s="8" t="s">
        <v>4177</v>
      </c>
      <c r="AS189" s="8" t="s">
        <v>4178</v>
      </c>
      <c r="AT189" s="8" t="s">
        <v>3512</v>
      </c>
      <c r="AU189" s="8">
        <v>2005.0</v>
      </c>
      <c r="AV189" s="8">
        <v>69.0</v>
      </c>
      <c r="AW189" s="8">
        <v>3.0</v>
      </c>
      <c r="AX189" s="8" t="s">
        <v>2135</v>
      </c>
      <c r="AY189" s="8" t="s">
        <v>2135</v>
      </c>
      <c r="AZ189" s="8" t="s">
        <v>2135</v>
      </c>
      <c r="BA189" s="8" t="s">
        <v>2135</v>
      </c>
      <c r="BB189" s="8">
        <v>1001.0</v>
      </c>
      <c r="BC189" s="8">
        <v>1014.0</v>
      </c>
      <c r="BD189" s="8" t="s">
        <v>2135</v>
      </c>
      <c r="BE189" s="8" t="s">
        <v>6558</v>
      </c>
      <c r="BF189" s="13" t="str">
        <f>HYPERLINK("http://dx.doi.org/10.2193/0022-541X(2005)069[1001:MSFTWI]2.0.CO;2","http://dx.doi.org/10.2193/0022-541X(2005)069[1001:MSFTWI]2.0.CO;2")</f>
        <v>http://dx.doi.org/10.2193/0022-541X(2005)069[1001:MSFTWI]2.0.CO;2</v>
      </c>
      <c r="BG189" s="8" t="s">
        <v>2135</v>
      </c>
      <c r="BH189" s="8" t="s">
        <v>2135</v>
      </c>
      <c r="BI189" s="8">
        <v>14.0</v>
      </c>
      <c r="BJ189" s="8" t="s">
        <v>3442</v>
      </c>
      <c r="BK189" s="8" t="s">
        <v>3352</v>
      </c>
      <c r="BL189" s="8" t="s">
        <v>3443</v>
      </c>
      <c r="BM189" s="8" t="s">
        <v>6559</v>
      </c>
      <c r="BN189" s="8" t="s">
        <v>2135</v>
      </c>
      <c r="BO189" s="8" t="s">
        <v>2135</v>
      </c>
      <c r="BP189" s="8" t="s">
        <v>2135</v>
      </c>
      <c r="BQ189" s="8" t="s">
        <v>2135</v>
      </c>
      <c r="BR189" s="8" t="s">
        <v>3355</v>
      </c>
      <c r="BS189" s="8" t="s">
        <v>6560</v>
      </c>
      <c r="BU189" s="8" t="s">
        <v>2142</v>
      </c>
      <c r="BW189" s="8" t="s">
        <v>2218</v>
      </c>
      <c r="BX189" s="8" t="s">
        <v>2953</v>
      </c>
      <c r="BY189" s="8" t="s">
        <v>2954</v>
      </c>
      <c r="BZ189" s="8" t="str">
        <f>HYPERLINK("https%3A%2F%2Fwww.webofscience.com%2Fwos%2Fwoscc%2Ffull-record%2FWOS:000233385900015","View Full Record in Web of Science")</f>
        <v>View Full Record in Web of Science</v>
      </c>
    </row>
    <row r="190" ht="12.75" customHeight="1">
      <c r="A190" s="8" t="s">
        <v>3329</v>
      </c>
      <c r="B190" s="8" t="s">
        <v>6561</v>
      </c>
      <c r="C190" s="8" t="s">
        <v>2135</v>
      </c>
      <c r="D190" s="8" t="s">
        <v>2135</v>
      </c>
      <c r="E190" s="8" t="s">
        <v>2135</v>
      </c>
      <c r="F190" s="8" t="s">
        <v>6561</v>
      </c>
      <c r="G190" s="8" t="s">
        <v>2135</v>
      </c>
      <c r="H190" s="8" t="s">
        <v>2135</v>
      </c>
      <c r="I190" s="8" t="s">
        <v>735</v>
      </c>
      <c r="J190" s="8" t="s">
        <v>6562</v>
      </c>
      <c r="K190" s="8" t="s">
        <v>2135</v>
      </c>
      <c r="L190" s="8" t="s">
        <v>2135</v>
      </c>
      <c r="M190" s="8" t="s">
        <v>3332</v>
      </c>
      <c r="N190" s="8" t="s">
        <v>3333</v>
      </c>
      <c r="O190" s="8" t="s">
        <v>2135</v>
      </c>
      <c r="P190" s="8" t="s">
        <v>2135</v>
      </c>
      <c r="Q190" s="8" t="s">
        <v>2135</v>
      </c>
      <c r="R190" s="8" t="s">
        <v>2135</v>
      </c>
      <c r="S190" s="8" t="s">
        <v>2135</v>
      </c>
      <c r="T190" s="8" t="s">
        <v>2135</v>
      </c>
      <c r="U190" s="8" t="s">
        <v>2135</v>
      </c>
      <c r="V190" s="8" t="s">
        <v>6563</v>
      </c>
      <c r="W190" s="8" t="s">
        <v>6564</v>
      </c>
      <c r="X190" s="8" t="s">
        <v>6565</v>
      </c>
      <c r="Y190" s="8" t="s">
        <v>6566</v>
      </c>
      <c r="Z190" s="8" t="s">
        <v>6567</v>
      </c>
      <c r="AA190" s="8" t="s">
        <v>2135</v>
      </c>
      <c r="AB190" s="8" t="s">
        <v>2135</v>
      </c>
      <c r="AC190" s="8" t="s">
        <v>2135</v>
      </c>
      <c r="AD190" s="8" t="s">
        <v>2135</v>
      </c>
      <c r="AE190" s="8" t="s">
        <v>2135</v>
      </c>
      <c r="AF190" s="8" t="s">
        <v>2135</v>
      </c>
      <c r="AG190" s="8">
        <v>13.0</v>
      </c>
      <c r="AH190" s="8">
        <v>15.0</v>
      </c>
      <c r="AI190" s="8">
        <v>18.0</v>
      </c>
      <c r="AJ190" s="8">
        <v>0.0</v>
      </c>
      <c r="AK190" s="8">
        <v>38.0</v>
      </c>
      <c r="AL190" s="8" t="s">
        <v>6568</v>
      </c>
      <c r="AM190" s="8" t="s">
        <v>5391</v>
      </c>
      <c r="AN190" s="8" t="s">
        <v>6569</v>
      </c>
      <c r="AO190" s="8" t="s">
        <v>6570</v>
      </c>
      <c r="AP190" s="8" t="s">
        <v>2135</v>
      </c>
      <c r="AQ190" s="8" t="s">
        <v>2135</v>
      </c>
      <c r="AR190" s="8" t="s">
        <v>6571</v>
      </c>
      <c r="AS190" s="8" t="s">
        <v>6572</v>
      </c>
      <c r="AT190" s="8" t="s">
        <v>3556</v>
      </c>
      <c r="AU190" s="8">
        <v>2005.0</v>
      </c>
      <c r="AV190" s="8">
        <v>103.0</v>
      </c>
      <c r="AW190" s="8">
        <v>2.0</v>
      </c>
      <c r="AX190" s="8" t="s">
        <v>2135</v>
      </c>
      <c r="AY190" s="8" t="s">
        <v>2135</v>
      </c>
      <c r="AZ190" s="8" t="s">
        <v>2135</v>
      </c>
      <c r="BA190" s="8" t="s">
        <v>2135</v>
      </c>
      <c r="BB190" s="8">
        <v>270.0</v>
      </c>
      <c r="BC190" s="8">
        <v>279.0</v>
      </c>
      <c r="BD190" s="8" t="s">
        <v>2135</v>
      </c>
      <c r="BE190" s="8" t="s">
        <v>2135</v>
      </c>
      <c r="BF190" s="8" t="s">
        <v>2135</v>
      </c>
      <c r="BG190" s="8" t="s">
        <v>2135</v>
      </c>
      <c r="BH190" s="8" t="s">
        <v>2135</v>
      </c>
      <c r="BI190" s="8">
        <v>10.0</v>
      </c>
      <c r="BJ190" s="8" t="s">
        <v>6573</v>
      </c>
      <c r="BK190" s="8" t="s">
        <v>3352</v>
      </c>
      <c r="BL190" s="8" t="s">
        <v>6573</v>
      </c>
      <c r="BM190" s="8" t="s">
        <v>6574</v>
      </c>
      <c r="BN190" s="8" t="s">
        <v>2135</v>
      </c>
      <c r="BO190" s="8" t="s">
        <v>2135</v>
      </c>
      <c r="BP190" s="8" t="s">
        <v>2135</v>
      </c>
      <c r="BQ190" s="8" t="s">
        <v>2135</v>
      </c>
      <c r="BR190" s="8" t="s">
        <v>3355</v>
      </c>
      <c r="BS190" s="8" t="s">
        <v>6575</v>
      </c>
      <c r="BT190" s="8" t="s">
        <v>2600</v>
      </c>
      <c r="BU190" s="8" t="s">
        <v>2147</v>
      </c>
      <c r="BV190" s="8" t="s">
        <v>2217</v>
      </c>
      <c r="BW190" s="8" t="s">
        <v>2237</v>
      </c>
      <c r="BX190" s="8" t="s">
        <v>2953</v>
      </c>
      <c r="BY190" s="8" t="s">
        <v>2954</v>
      </c>
      <c r="BZ190" s="8" t="str">
        <f>HYPERLINK("https%3A%2F%2Fwww.webofscience.com%2Fwos%2Fwoscc%2Ffull-record%2FWOS:000229166800004","View Full Record in Web of Science")</f>
        <v>View Full Record in Web of Science</v>
      </c>
    </row>
    <row r="191" ht="12.75" customHeight="1">
      <c r="A191" s="8" t="s">
        <v>3329</v>
      </c>
      <c r="B191" s="8" t="s">
        <v>6576</v>
      </c>
      <c r="C191" s="8" t="s">
        <v>2135</v>
      </c>
      <c r="D191" s="8" t="s">
        <v>2135</v>
      </c>
      <c r="E191" s="8" t="s">
        <v>2135</v>
      </c>
      <c r="F191" s="8" t="s">
        <v>6576</v>
      </c>
      <c r="G191" s="8" t="s">
        <v>2135</v>
      </c>
      <c r="H191" s="8" t="s">
        <v>2135</v>
      </c>
      <c r="I191" s="8" t="s">
        <v>731</v>
      </c>
      <c r="J191" s="8" t="s">
        <v>4162</v>
      </c>
      <c r="K191" s="8" t="s">
        <v>2135</v>
      </c>
      <c r="L191" s="8" t="s">
        <v>2135</v>
      </c>
      <c r="M191" s="8" t="s">
        <v>3332</v>
      </c>
      <c r="N191" s="8" t="s">
        <v>3333</v>
      </c>
      <c r="O191" s="8" t="s">
        <v>2135</v>
      </c>
      <c r="P191" s="8" t="s">
        <v>2135</v>
      </c>
      <c r="Q191" s="8" t="s">
        <v>2135</v>
      </c>
      <c r="R191" s="8" t="s">
        <v>2135</v>
      </c>
      <c r="S191" s="8" t="s">
        <v>2135</v>
      </c>
      <c r="T191" s="8" t="s">
        <v>6577</v>
      </c>
      <c r="U191" s="8" t="s">
        <v>6578</v>
      </c>
      <c r="V191" s="8" t="s">
        <v>6579</v>
      </c>
      <c r="W191" s="8" t="s">
        <v>6580</v>
      </c>
      <c r="X191" s="8" t="s">
        <v>6581</v>
      </c>
      <c r="Y191" s="8" t="s">
        <v>6582</v>
      </c>
      <c r="Z191" s="8" t="s">
        <v>6583</v>
      </c>
      <c r="AA191" s="8" t="s">
        <v>2135</v>
      </c>
      <c r="AB191" s="8" t="s">
        <v>2135</v>
      </c>
      <c r="AC191" s="8" t="s">
        <v>2135</v>
      </c>
      <c r="AD191" s="8" t="s">
        <v>2135</v>
      </c>
      <c r="AE191" s="8" t="s">
        <v>2135</v>
      </c>
      <c r="AF191" s="8" t="s">
        <v>2135</v>
      </c>
      <c r="AG191" s="8">
        <v>44.0</v>
      </c>
      <c r="AH191" s="8">
        <v>76.0</v>
      </c>
      <c r="AI191" s="8">
        <v>86.0</v>
      </c>
      <c r="AJ191" s="8">
        <v>0.0</v>
      </c>
      <c r="AK191" s="8">
        <v>65.0</v>
      </c>
      <c r="AL191" s="8" t="s">
        <v>3342</v>
      </c>
      <c r="AM191" s="8" t="s">
        <v>3343</v>
      </c>
      <c r="AN191" s="8" t="s">
        <v>3344</v>
      </c>
      <c r="AO191" s="8" t="s">
        <v>4175</v>
      </c>
      <c r="AP191" s="8" t="s">
        <v>4176</v>
      </c>
      <c r="AQ191" s="8" t="s">
        <v>2135</v>
      </c>
      <c r="AR191" s="8" t="s">
        <v>4177</v>
      </c>
      <c r="AS191" s="8" t="s">
        <v>4178</v>
      </c>
      <c r="AT191" s="8" t="s">
        <v>3512</v>
      </c>
      <c r="AU191" s="8">
        <v>2004.0</v>
      </c>
      <c r="AV191" s="8">
        <v>68.0</v>
      </c>
      <c r="AW191" s="8">
        <v>3.0</v>
      </c>
      <c r="AX191" s="8" t="s">
        <v>2135</v>
      </c>
      <c r="AY191" s="8" t="s">
        <v>2135</v>
      </c>
      <c r="AZ191" s="8" t="s">
        <v>2135</v>
      </c>
      <c r="BA191" s="8" t="s">
        <v>2135</v>
      </c>
      <c r="BB191" s="8">
        <v>493.0</v>
      </c>
      <c r="BC191" s="8">
        <v>502.0</v>
      </c>
      <c r="BD191" s="8" t="s">
        <v>2135</v>
      </c>
      <c r="BE191" s="8" t="s">
        <v>6584</v>
      </c>
      <c r="BF191" s="13" t="str">
        <f>HYPERLINK("http://dx.doi.org/10.2193/0022-541X(2004)068[0493:SOSRAC]2.0.CO;2","http://dx.doi.org/10.2193/0022-541X(2004)068[0493:SOSRAC]2.0.CO;2")</f>
        <v>http://dx.doi.org/10.2193/0022-541X(2004)068[0493:SOSRAC]2.0.CO;2</v>
      </c>
      <c r="BG191" s="8" t="s">
        <v>2135</v>
      </c>
      <c r="BH191" s="8" t="s">
        <v>2135</v>
      </c>
      <c r="BI191" s="8">
        <v>10.0</v>
      </c>
      <c r="BJ191" s="8" t="s">
        <v>3442</v>
      </c>
      <c r="BK191" s="8" t="s">
        <v>3352</v>
      </c>
      <c r="BL191" s="8" t="s">
        <v>3443</v>
      </c>
      <c r="BM191" s="8" t="s">
        <v>6585</v>
      </c>
      <c r="BN191" s="8" t="s">
        <v>2135</v>
      </c>
      <c r="BO191" s="8" t="s">
        <v>2135</v>
      </c>
      <c r="BP191" s="8" t="s">
        <v>2135</v>
      </c>
      <c r="BQ191" s="8" t="s">
        <v>2135</v>
      </c>
      <c r="BR191" s="8" t="s">
        <v>3355</v>
      </c>
      <c r="BS191" s="8" t="s">
        <v>6586</v>
      </c>
      <c r="BU191" s="8" t="s">
        <v>2147</v>
      </c>
      <c r="BV191" s="8" t="s">
        <v>2217</v>
      </c>
      <c r="BW191" s="8" t="s">
        <v>2218</v>
      </c>
      <c r="BX191" s="8" t="s">
        <v>2953</v>
      </c>
      <c r="BY191" s="8" t="s">
        <v>2954</v>
      </c>
      <c r="BZ191" s="8" t="str">
        <f>HYPERLINK("https%3A%2F%2Fwww.webofscience.com%2Fwos%2Fwoscc%2Ffull-record%2FWOS:000222901700007","View Full Record in Web of Science")</f>
        <v>View Full Record in Web of Science</v>
      </c>
    </row>
    <row r="192" ht="12.75" customHeight="1">
      <c r="A192" s="8" t="s">
        <v>3329</v>
      </c>
      <c r="B192" s="8" t="s">
        <v>6587</v>
      </c>
      <c r="C192" s="8" t="s">
        <v>2135</v>
      </c>
      <c r="D192" s="8" t="s">
        <v>2135</v>
      </c>
      <c r="E192" s="8" t="s">
        <v>2135</v>
      </c>
      <c r="F192" s="8" t="s">
        <v>6587</v>
      </c>
      <c r="G192" s="8" t="s">
        <v>2135</v>
      </c>
      <c r="H192" s="8" t="s">
        <v>2135</v>
      </c>
      <c r="I192" s="8" t="s">
        <v>727</v>
      </c>
      <c r="J192" s="8" t="s">
        <v>4612</v>
      </c>
      <c r="K192" s="8" t="s">
        <v>2135</v>
      </c>
      <c r="L192" s="8" t="s">
        <v>2135</v>
      </c>
      <c r="M192" s="8" t="s">
        <v>3332</v>
      </c>
      <c r="N192" s="8" t="s">
        <v>3333</v>
      </c>
      <c r="O192" s="8" t="s">
        <v>2135</v>
      </c>
      <c r="P192" s="8" t="s">
        <v>2135</v>
      </c>
      <c r="Q192" s="8" t="s">
        <v>2135</v>
      </c>
      <c r="R192" s="8" t="s">
        <v>2135</v>
      </c>
      <c r="S192" s="8" t="s">
        <v>2135</v>
      </c>
      <c r="T192" s="8" t="s">
        <v>6588</v>
      </c>
      <c r="U192" s="8" t="s">
        <v>6589</v>
      </c>
      <c r="V192" s="8" t="s">
        <v>6590</v>
      </c>
      <c r="W192" s="8" t="s">
        <v>6591</v>
      </c>
      <c r="X192" s="8" t="s">
        <v>6592</v>
      </c>
      <c r="Y192" s="8" t="s">
        <v>6593</v>
      </c>
      <c r="Z192" s="8" t="s">
        <v>6594</v>
      </c>
      <c r="AA192" s="8" t="s">
        <v>6595</v>
      </c>
      <c r="AB192" s="8" t="s">
        <v>6596</v>
      </c>
      <c r="AC192" s="8" t="s">
        <v>2135</v>
      </c>
      <c r="AD192" s="8" t="s">
        <v>2135</v>
      </c>
      <c r="AE192" s="8" t="s">
        <v>2135</v>
      </c>
      <c r="AF192" s="8" t="s">
        <v>2135</v>
      </c>
      <c r="AG192" s="8">
        <v>39.0</v>
      </c>
      <c r="AH192" s="8">
        <v>33.0</v>
      </c>
      <c r="AI192" s="8">
        <v>40.0</v>
      </c>
      <c r="AJ192" s="8">
        <v>0.0</v>
      </c>
      <c r="AK192" s="8">
        <v>22.0</v>
      </c>
      <c r="AL192" s="8" t="s">
        <v>3479</v>
      </c>
      <c r="AM192" s="8" t="s">
        <v>4500</v>
      </c>
      <c r="AN192" s="8" t="s">
        <v>4501</v>
      </c>
      <c r="AO192" s="8" t="s">
        <v>4626</v>
      </c>
      <c r="AP192" s="8" t="s">
        <v>4627</v>
      </c>
      <c r="AQ192" s="8" t="s">
        <v>2135</v>
      </c>
      <c r="AR192" s="8" t="s">
        <v>4628</v>
      </c>
      <c r="AS192" s="8" t="s">
        <v>4629</v>
      </c>
      <c r="AT192" s="8" t="s">
        <v>2135</v>
      </c>
      <c r="AU192" s="8">
        <v>2004.0</v>
      </c>
      <c r="AV192" s="8">
        <v>5.0</v>
      </c>
      <c r="AW192" s="8">
        <v>6.0</v>
      </c>
      <c r="AX192" s="8" t="s">
        <v>2135</v>
      </c>
      <c r="AY192" s="8" t="s">
        <v>2135</v>
      </c>
      <c r="AZ192" s="8" t="s">
        <v>2135</v>
      </c>
      <c r="BA192" s="8" t="s">
        <v>2135</v>
      </c>
      <c r="BB192" s="8">
        <v>759.0</v>
      </c>
      <c r="BC192" s="8">
        <v>767.0</v>
      </c>
      <c r="BD192" s="8" t="s">
        <v>2135</v>
      </c>
      <c r="BE192" s="8" t="s">
        <v>6597</v>
      </c>
      <c r="BF192" s="13" t="str">
        <f>HYPERLINK("http://dx.doi.org/10.1007/s10592-004-1976-4","http://dx.doi.org/10.1007/s10592-004-1976-4")</f>
        <v>http://dx.doi.org/10.1007/s10592-004-1976-4</v>
      </c>
      <c r="BG192" s="8" t="s">
        <v>2135</v>
      </c>
      <c r="BH192" s="8" t="s">
        <v>2135</v>
      </c>
      <c r="BI192" s="8">
        <v>9.0</v>
      </c>
      <c r="BJ192" s="8" t="s">
        <v>4631</v>
      </c>
      <c r="BK192" s="8" t="s">
        <v>3352</v>
      </c>
      <c r="BL192" s="8" t="s">
        <v>4632</v>
      </c>
      <c r="BM192" s="8" t="s">
        <v>6598</v>
      </c>
      <c r="BN192" s="8" t="s">
        <v>2135</v>
      </c>
      <c r="BO192" s="8" t="s">
        <v>2135</v>
      </c>
      <c r="BP192" s="8" t="s">
        <v>2135</v>
      </c>
      <c r="BQ192" s="8" t="s">
        <v>2135</v>
      </c>
      <c r="BR192" s="8" t="s">
        <v>3355</v>
      </c>
      <c r="BS192" s="8" t="s">
        <v>6599</v>
      </c>
      <c r="BT192" s="8" t="s">
        <v>2216</v>
      </c>
      <c r="BU192" s="8" t="s">
        <v>2147</v>
      </c>
      <c r="BV192" s="8" t="s">
        <v>2217</v>
      </c>
      <c r="BW192" s="8" t="s">
        <v>2218</v>
      </c>
      <c r="BX192" s="8" t="s">
        <v>3022</v>
      </c>
      <c r="BY192" s="8" t="s">
        <v>2954</v>
      </c>
      <c r="BZ192" s="8" t="str">
        <f>HYPERLINK("https%3A%2F%2Fwww.webofscience.com%2Fwos%2Fwoscc%2Ffull-record%2FWOS:000226236200002","View Full Record in Web of Science")</f>
        <v>View Full Record in Web of Science</v>
      </c>
    </row>
    <row r="193" ht="12.75" customHeight="1">
      <c r="A193" s="8" t="s">
        <v>3329</v>
      </c>
      <c r="B193" s="8" t="s">
        <v>6600</v>
      </c>
      <c r="C193" s="8" t="s">
        <v>2135</v>
      </c>
      <c r="D193" s="8" t="s">
        <v>2135</v>
      </c>
      <c r="E193" s="8" t="s">
        <v>2135</v>
      </c>
      <c r="F193" s="8" t="s">
        <v>6600</v>
      </c>
      <c r="G193" s="8" t="s">
        <v>2135</v>
      </c>
      <c r="H193" s="8" t="s">
        <v>2135</v>
      </c>
      <c r="I193" s="8" t="s">
        <v>729</v>
      </c>
      <c r="J193" s="8" t="s">
        <v>4248</v>
      </c>
      <c r="K193" s="8" t="s">
        <v>2135</v>
      </c>
      <c r="L193" s="8" t="s">
        <v>2135</v>
      </c>
      <c r="M193" s="8" t="s">
        <v>3332</v>
      </c>
      <c r="N193" s="8" t="s">
        <v>3333</v>
      </c>
      <c r="O193" s="8" t="s">
        <v>2135</v>
      </c>
      <c r="P193" s="8" t="s">
        <v>2135</v>
      </c>
      <c r="Q193" s="8" t="s">
        <v>2135</v>
      </c>
      <c r="R193" s="8" t="s">
        <v>2135</v>
      </c>
      <c r="S193" s="8" t="s">
        <v>2135</v>
      </c>
      <c r="T193" s="8" t="s">
        <v>6601</v>
      </c>
      <c r="U193" s="8" t="s">
        <v>6602</v>
      </c>
      <c r="V193" s="8" t="s">
        <v>6603</v>
      </c>
      <c r="W193" s="8" t="s">
        <v>6604</v>
      </c>
      <c r="X193" s="8" t="s">
        <v>2135</v>
      </c>
      <c r="Y193" s="8" t="s">
        <v>6605</v>
      </c>
      <c r="Z193" s="8" t="s">
        <v>2135</v>
      </c>
      <c r="AA193" s="8" t="s">
        <v>2135</v>
      </c>
      <c r="AB193" s="8" t="s">
        <v>2135</v>
      </c>
      <c r="AC193" s="8" t="s">
        <v>2135</v>
      </c>
      <c r="AD193" s="8" t="s">
        <v>2135</v>
      </c>
      <c r="AE193" s="8" t="s">
        <v>2135</v>
      </c>
      <c r="AF193" s="8" t="s">
        <v>2135</v>
      </c>
      <c r="AG193" s="8">
        <v>12.0</v>
      </c>
      <c r="AH193" s="8">
        <v>6.0</v>
      </c>
      <c r="AI193" s="8">
        <v>9.0</v>
      </c>
      <c r="AJ193" s="8">
        <v>1.0</v>
      </c>
      <c r="AK193" s="8">
        <v>26.0</v>
      </c>
      <c r="AL193" s="8" t="s">
        <v>4257</v>
      </c>
      <c r="AM193" s="8" t="s">
        <v>3844</v>
      </c>
      <c r="AN193" s="8" t="s">
        <v>4258</v>
      </c>
      <c r="AO193" s="8" t="s">
        <v>4259</v>
      </c>
      <c r="AP193" s="8" t="s">
        <v>2135</v>
      </c>
      <c r="AQ193" s="8" t="s">
        <v>2135</v>
      </c>
      <c r="AR193" s="8" t="s">
        <v>4260</v>
      </c>
      <c r="AS193" s="8" t="s">
        <v>4261</v>
      </c>
      <c r="AT193" s="8" t="s">
        <v>4262</v>
      </c>
      <c r="AU193" s="8">
        <v>2004.0</v>
      </c>
      <c r="AV193" s="8">
        <v>118.0</v>
      </c>
      <c r="AW193" s="8">
        <v>1.0</v>
      </c>
      <c r="AX193" s="8" t="s">
        <v>2135</v>
      </c>
      <c r="AY193" s="8" t="s">
        <v>2135</v>
      </c>
      <c r="AZ193" s="8" t="s">
        <v>2135</v>
      </c>
      <c r="BA193" s="8" t="s">
        <v>2135</v>
      </c>
      <c r="BB193" s="8">
        <v>56.0</v>
      </c>
      <c r="BC193" s="8">
        <v>60.0</v>
      </c>
      <c r="BD193" s="8" t="s">
        <v>2135</v>
      </c>
      <c r="BE193" s="8" t="s">
        <v>6606</v>
      </c>
      <c r="BF193" s="13" t="str">
        <f>HYPERLINK("http://dx.doi.org/10.22621/cfn.v118i1.882","http://dx.doi.org/10.22621/cfn.v118i1.882")</f>
        <v>http://dx.doi.org/10.22621/cfn.v118i1.882</v>
      </c>
      <c r="BG193" s="8" t="s">
        <v>2135</v>
      </c>
      <c r="BH193" s="8" t="s">
        <v>2135</v>
      </c>
      <c r="BI193" s="8">
        <v>5.0</v>
      </c>
      <c r="BJ193" s="8" t="s">
        <v>3558</v>
      </c>
      <c r="BK193" s="8" t="s">
        <v>3352</v>
      </c>
      <c r="BL193" s="8" t="s">
        <v>3353</v>
      </c>
      <c r="BM193" s="8" t="s">
        <v>6607</v>
      </c>
      <c r="BN193" s="8" t="s">
        <v>2135</v>
      </c>
      <c r="BO193" s="8" t="s">
        <v>4332</v>
      </c>
      <c r="BP193" s="8" t="s">
        <v>2135</v>
      </c>
      <c r="BQ193" s="8" t="s">
        <v>2135</v>
      </c>
      <c r="BR193" s="8" t="s">
        <v>3355</v>
      </c>
      <c r="BS193" s="8" t="s">
        <v>6608</v>
      </c>
      <c r="BT193" s="8" t="s">
        <v>2216</v>
      </c>
      <c r="BU193" s="8" t="s">
        <v>2147</v>
      </c>
      <c r="BV193" s="8" t="s">
        <v>2217</v>
      </c>
      <c r="BW193" s="8" t="s">
        <v>2218</v>
      </c>
      <c r="BX193" s="8" t="s">
        <v>2971</v>
      </c>
      <c r="BY193" s="8" t="s">
        <v>2954</v>
      </c>
      <c r="BZ193" s="8" t="str">
        <f>HYPERLINK("https%3A%2F%2Fwww.webofscience.com%2Fwos%2Fwoscc%2Ffull-record%2FWOS:000226325800004","View Full Record in Web of Science")</f>
        <v>View Full Record in Web of Science</v>
      </c>
    </row>
    <row r="194" ht="12.75" customHeight="1">
      <c r="A194" s="8" t="s">
        <v>3329</v>
      </c>
      <c r="B194" s="8" t="s">
        <v>6609</v>
      </c>
      <c r="C194" s="8" t="s">
        <v>2135</v>
      </c>
      <c r="D194" s="8" t="s">
        <v>2135</v>
      </c>
      <c r="E194" s="8" t="s">
        <v>2135</v>
      </c>
      <c r="F194" s="8" t="s">
        <v>6609</v>
      </c>
      <c r="G194" s="8" t="s">
        <v>2135</v>
      </c>
      <c r="H194" s="8" t="s">
        <v>2135</v>
      </c>
      <c r="I194" s="8" t="s">
        <v>455</v>
      </c>
      <c r="J194" s="8" t="s">
        <v>3380</v>
      </c>
      <c r="K194" s="8" t="s">
        <v>2135</v>
      </c>
      <c r="L194" s="8" t="s">
        <v>2135</v>
      </c>
      <c r="M194" s="8" t="s">
        <v>3332</v>
      </c>
      <c r="N194" s="8" t="s">
        <v>3333</v>
      </c>
      <c r="O194" s="8" t="s">
        <v>2135</v>
      </c>
      <c r="P194" s="8" t="s">
        <v>2135</v>
      </c>
      <c r="Q194" s="8" t="s">
        <v>2135</v>
      </c>
      <c r="R194" s="8" t="s">
        <v>2135</v>
      </c>
      <c r="S194" s="8" t="s">
        <v>2135</v>
      </c>
      <c r="T194" s="8" t="s">
        <v>6610</v>
      </c>
      <c r="U194" s="8" t="s">
        <v>6611</v>
      </c>
      <c r="V194" s="8" t="s">
        <v>6612</v>
      </c>
      <c r="W194" s="8" t="s">
        <v>6613</v>
      </c>
      <c r="X194" s="8" t="s">
        <v>6614</v>
      </c>
      <c r="Y194" s="8" t="s">
        <v>6615</v>
      </c>
      <c r="Z194" s="8" t="s">
        <v>6616</v>
      </c>
      <c r="AA194" s="8" t="s">
        <v>6617</v>
      </c>
      <c r="AB194" s="8" t="s">
        <v>6618</v>
      </c>
      <c r="AC194" s="8" t="s">
        <v>2135</v>
      </c>
      <c r="AD194" s="8" t="s">
        <v>2135</v>
      </c>
      <c r="AE194" s="8" t="s">
        <v>2135</v>
      </c>
      <c r="AF194" s="8" t="s">
        <v>2135</v>
      </c>
      <c r="AG194" s="8">
        <v>18.0</v>
      </c>
      <c r="AH194" s="8">
        <v>111.0</v>
      </c>
      <c r="AI194" s="8">
        <v>130.0</v>
      </c>
      <c r="AJ194" s="8">
        <v>0.0</v>
      </c>
      <c r="AK194" s="8">
        <v>79.0</v>
      </c>
      <c r="AL194" s="8" t="s">
        <v>3921</v>
      </c>
      <c r="AM194" s="8" t="s">
        <v>3922</v>
      </c>
      <c r="AN194" s="8" t="s">
        <v>3923</v>
      </c>
      <c r="AO194" s="8" t="s">
        <v>3392</v>
      </c>
      <c r="AP194" s="8" t="s">
        <v>4022</v>
      </c>
      <c r="AQ194" s="8" t="s">
        <v>2135</v>
      </c>
      <c r="AR194" s="8" t="s">
        <v>3393</v>
      </c>
      <c r="AS194" s="8" t="s">
        <v>3394</v>
      </c>
      <c r="AT194" s="8" t="s">
        <v>3485</v>
      </c>
      <c r="AU194" s="8">
        <v>2003.0</v>
      </c>
      <c r="AV194" s="8">
        <v>84.0</v>
      </c>
      <c r="AW194" s="8">
        <v>1.0</v>
      </c>
      <c r="AX194" s="8" t="s">
        <v>2135</v>
      </c>
      <c r="AY194" s="8" t="s">
        <v>2135</v>
      </c>
      <c r="AZ194" s="8" t="s">
        <v>2135</v>
      </c>
      <c r="BA194" s="8" t="s">
        <v>2135</v>
      </c>
      <c r="BB194" s="8">
        <v>55.0</v>
      </c>
      <c r="BC194" s="8">
        <v>64.0</v>
      </c>
      <c r="BD194" s="8" t="s">
        <v>2135</v>
      </c>
      <c r="BE194" s="8" t="s">
        <v>6619</v>
      </c>
      <c r="BF194" s="13" t="str">
        <f>HYPERLINK("http://dx.doi.org/10.1644/1545-1542(2003)084&lt;0055:SOPDIT&gt;2.0.CO;2","http://dx.doi.org/10.1644/1545-1542(2003)084&lt;0055:SOPDIT&gt;2.0.CO;2")</f>
        <v>http://dx.doi.org/10.1644/1545-1542(2003)084&lt;0055:SOPDIT&gt;2.0.CO;2</v>
      </c>
      <c r="BG194" s="8" t="s">
        <v>2135</v>
      </c>
      <c r="BH194" s="8" t="s">
        <v>2135</v>
      </c>
      <c r="BI194" s="8">
        <v>10.0</v>
      </c>
      <c r="BJ194" s="8" t="s">
        <v>3397</v>
      </c>
      <c r="BK194" s="8" t="s">
        <v>3352</v>
      </c>
      <c r="BL194" s="8" t="s">
        <v>3397</v>
      </c>
      <c r="BM194" s="8" t="s">
        <v>6620</v>
      </c>
      <c r="BN194" s="8" t="s">
        <v>2135</v>
      </c>
      <c r="BO194" s="8" t="s">
        <v>3445</v>
      </c>
      <c r="BP194" s="8" t="s">
        <v>2135</v>
      </c>
      <c r="BQ194" s="8" t="s">
        <v>2135</v>
      </c>
      <c r="BR194" s="8" t="s">
        <v>3355</v>
      </c>
      <c r="BS194" s="8" t="s">
        <v>6621</v>
      </c>
      <c r="BT194" s="8" t="s">
        <v>2600</v>
      </c>
      <c r="BU194" s="8" t="s">
        <v>2147</v>
      </c>
      <c r="BV194" s="8" t="s">
        <v>2217</v>
      </c>
      <c r="BW194" s="8" t="s">
        <v>2237</v>
      </c>
      <c r="BX194" s="8" t="s">
        <v>2953</v>
      </c>
      <c r="BY194" s="8" t="s">
        <v>2954</v>
      </c>
      <c r="BZ194" s="8" t="str">
        <f>HYPERLINK("https%3A%2F%2Fwww.webofscience.com%2Fwos%2Fwoscc%2Ffull-record%2FWOS:000181414700005","View Full Record in Web of Science")</f>
        <v>View Full Record in Web of Science</v>
      </c>
    </row>
    <row r="195" ht="12.75" customHeight="1">
      <c r="A195" s="8" t="s">
        <v>3329</v>
      </c>
      <c r="B195" s="8" t="s">
        <v>4421</v>
      </c>
      <c r="C195" s="8" t="s">
        <v>2135</v>
      </c>
      <c r="D195" s="8" t="s">
        <v>2135</v>
      </c>
      <c r="E195" s="8" t="s">
        <v>2135</v>
      </c>
      <c r="F195" s="8" t="s">
        <v>4421</v>
      </c>
      <c r="G195" s="8" t="s">
        <v>2135</v>
      </c>
      <c r="H195" s="8" t="s">
        <v>2135</v>
      </c>
      <c r="I195" s="8" t="s">
        <v>721</v>
      </c>
      <c r="J195" s="8" t="s">
        <v>3380</v>
      </c>
      <c r="K195" s="8" t="s">
        <v>2135</v>
      </c>
      <c r="L195" s="8" t="s">
        <v>2135</v>
      </c>
      <c r="M195" s="8" t="s">
        <v>3332</v>
      </c>
      <c r="N195" s="8" t="s">
        <v>3333</v>
      </c>
      <c r="O195" s="8" t="s">
        <v>2135</v>
      </c>
      <c r="P195" s="8" t="s">
        <v>2135</v>
      </c>
      <c r="Q195" s="8" t="s">
        <v>2135</v>
      </c>
      <c r="R195" s="8" t="s">
        <v>2135</v>
      </c>
      <c r="S195" s="8" t="s">
        <v>2135</v>
      </c>
      <c r="T195" s="8" t="s">
        <v>6622</v>
      </c>
      <c r="U195" s="8" t="s">
        <v>6623</v>
      </c>
      <c r="V195" s="8" t="s">
        <v>6624</v>
      </c>
      <c r="W195" s="8" t="s">
        <v>4426</v>
      </c>
      <c r="X195" s="8" t="s">
        <v>3385</v>
      </c>
      <c r="Y195" s="8" t="s">
        <v>6625</v>
      </c>
      <c r="Z195" s="8" t="s">
        <v>6626</v>
      </c>
      <c r="AA195" s="8" t="s">
        <v>3388</v>
      </c>
      <c r="AB195" s="8" t="s">
        <v>4428</v>
      </c>
      <c r="AC195" s="8" t="s">
        <v>2135</v>
      </c>
      <c r="AD195" s="8" t="s">
        <v>2135</v>
      </c>
      <c r="AE195" s="8" t="s">
        <v>2135</v>
      </c>
      <c r="AF195" s="8" t="s">
        <v>2135</v>
      </c>
      <c r="AG195" s="8">
        <v>41.0</v>
      </c>
      <c r="AH195" s="8">
        <v>57.0</v>
      </c>
      <c r="AI195" s="8">
        <v>71.0</v>
      </c>
      <c r="AJ195" s="8">
        <v>0.0</v>
      </c>
      <c r="AK195" s="8">
        <v>44.0</v>
      </c>
      <c r="AL195" s="8" t="s">
        <v>3921</v>
      </c>
      <c r="AM195" s="8" t="s">
        <v>3922</v>
      </c>
      <c r="AN195" s="8" t="s">
        <v>3923</v>
      </c>
      <c r="AO195" s="8" t="s">
        <v>3392</v>
      </c>
      <c r="AP195" s="8" t="s">
        <v>4022</v>
      </c>
      <c r="AQ195" s="8" t="s">
        <v>2135</v>
      </c>
      <c r="AR195" s="8" t="s">
        <v>3393</v>
      </c>
      <c r="AS195" s="8" t="s">
        <v>3394</v>
      </c>
      <c r="AT195" s="8" t="s">
        <v>3440</v>
      </c>
      <c r="AU195" s="8">
        <v>2002.0</v>
      </c>
      <c r="AV195" s="8">
        <v>83.0</v>
      </c>
      <c r="AW195" s="8">
        <v>4.0</v>
      </c>
      <c r="AX195" s="8" t="s">
        <v>2135</v>
      </c>
      <c r="AY195" s="8" t="s">
        <v>2135</v>
      </c>
      <c r="AZ195" s="8" t="s">
        <v>2135</v>
      </c>
      <c r="BA195" s="8" t="s">
        <v>2135</v>
      </c>
      <c r="BB195" s="8">
        <v>1141.0</v>
      </c>
      <c r="BC195" s="8">
        <v>1150.0</v>
      </c>
      <c r="BD195" s="8" t="s">
        <v>2135</v>
      </c>
      <c r="BE195" s="8" t="s">
        <v>6627</v>
      </c>
      <c r="BF195" s="13" t="str">
        <f>HYPERLINK("http://dx.doi.org/10.1644/1545-1542(2002)083&lt;1141:COPACP&gt;2.0.CO;2","http://dx.doi.org/10.1644/1545-1542(2002)083&lt;1141:COPACP&gt;2.0.CO;2")</f>
        <v>http://dx.doi.org/10.1644/1545-1542(2002)083&lt;1141:COPACP&gt;2.0.CO;2</v>
      </c>
      <c r="BG195" s="8" t="s">
        <v>2135</v>
      </c>
      <c r="BH195" s="8" t="s">
        <v>2135</v>
      </c>
      <c r="BI195" s="8">
        <v>10.0</v>
      </c>
      <c r="BJ195" s="8" t="s">
        <v>3397</v>
      </c>
      <c r="BK195" s="8" t="s">
        <v>3352</v>
      </c>
      <c r="BL195" s="8" t="s">
        <v>3397</v>
      </c>
      <c r="BM195" s="8" t="s">
        <v>6628</v>
      </c>
      <c r="BN195" s="8" t="s">
        <v>2135</v>
      </c>
      <c r="BO195" s="8" t="s">
        <v>2135</v>
      </c>
      <c r="BP195" s="8" t="s">
        <v>2135</v>
      </c>
      <c r="BQ195" s="8" t="s">
        <v>2135</v>
      </c>
      <c r="BR195" s="8" t="s">
        <v>3355</v>
      </c>
      <c r="BS195" s="8" t="s">
        <v>6629</v>
      </c>
      <c r="BU195" s="8" t="s">
        <v>2147</v>
      </c>
      <c r="BV195" s="8" t="s">
        <v>2217</v>
      </c>
      <c r="BW195" s="8" t="s">
        <v>2218</v>
      </c>
      <c r="BX195" s="8" t="s">
        <v>2953</v>
      </c>
      <c r="BY195" s="8" t="s">
        <v>2954</v>
      </c>
      <c r="BZ195" s="8" t="str">
        <f>HYPERLINK("https%3A%2F%2Fwww.webofscience.com%2Fwos%2Fwoscc%2Ffull-record%2FWOS:000179583200022","View Full Record in Web of Science")</f>
        <v>View Full Record in Web of Science</v>
      </c>
    </row>
    <row r="196" ht="12.75" customHeight="1">
      <c r="A196" s="8" t="s">
        <v>3329</v>
      </c>
      <c r="B196" s="8" t="s">
        <v>6630</v>
      </c>
      <c r="C196" s="8" t="s">
        <v>2135</v>
      </c>
      <c r="D196" s="8" t="s">
        <v>2135</v>
      </c>
      <c r="E196" s="8" t="s">
        <v>2135</v>
      </c>
      <c r="F196" s="8" t="s">
        <v>6630</v>
      </c>
      <c r="G196" s="8" t="s">
        <v>2135</v>
      </c>
      <c r="H196" s="8" t="s">
        <v>2135</v>
      </c>
      <c r="I196" s="8" t="s">
        <v>720</v>
      </c>
      <c r="J196" s="8" t="s">
        <v>3380</v>
      </c>
      <c r="K196" s="8" t="s">
        <v>2135</v>
      </c>
      <c r="L196" s="8" t="s">
        <v>2135</v>
      </c>
      <c r="M196" s="8" t="s">
        <v>3332</v>
      </c>
      <c r="N196" s="8" t="s">
        <v>3333</v>
      </c>
      <c r="O196" s="8" t="s">
        <v>2135</v>
      </c>
      <c r="P196" s="8" t="s">
        <v>2135</v>
      </c>
      <c r="Q196" s="8" t="s">
        <v>2135</v>
      </c>
      <c r="R196" s="8" t="s">
        <v>2135</v>
      </c>
      <c r="S196" s="8" t="s">
        <v>2135</v>
      </c>
      <c r="T196" s="8" t="s">
        <v>6631</v>
      </c>
      <c r="U196" s="8" t="s">
        <v>6632</v>
      </c>
      <c r="V196" s="8" t="s">
        <v>6633</v>
      </c>
      <c r="W196" s="8" t="s">
        <v>6634</v>
      </c>
      <c r="X196" s="8" t="s">
        <v>6635</v>
      </c>
      <c r="Y196" s="8" t="s">
        <v>6636</v>
      </c>
      <c r="Z196" s="8" t="s">
        <v>6637</v>
      </c>
      <c r="AA196" s="8" t="s">
        <v>2135</v>
      </c>
      <c r="AB196" s="8" t="s">
        <v>6638</v>
      </c>
      <c r="AC196" s="8" t="s">
        <v>2135</v>
      </c>
      <c r="AD196" s="8" t="s">
        <v>2135</v>
      </c>
      <c r="AE196" s="8" t="s">
        <v>2135</v>
      </c>
      <c r="AF196" s="8" t="s">
        <v>2135</v>
      </c>
      <c r="AG196" s="8">
        <v>58.0</v>
      </c>
      <c r="AH196" s="8">
        <v>68.0</v>
      </c>
      <c r="AI196" s="8">
        <v>80.0</v>
      </c>
      <c r="AJ196" s="8">
        <v>0.0</v>
      </c>
      <c r="AK196" s="8">
        <v>42.0</v>
      </c>
      <c r="AL196" s="8" t="s">
        <v>3921</v>
      </c>
      <c r="AM196" s="8" t="s">
        <v>3922</v>
      </c>
      <c r="AN196" s="8" t="s">
        <v>3923</v>
      </c>
      <c r="AO196" s="8" t="s">
        <v>3392</v>
      </c>
      <c r="AP196" s="8" t="s">
        <v>4022</v>
      </c>
      <c r="AQ196" s="8" t="s">
        <v>2135</v>
      </c>
      <c r="AR196" s="8" t="s">
        <v>3393</v>
      </c>
      <c r="AS196" s="8" t="s">
        <v>3394</v>
      </c>
      <c r="AT196" s="8" t="s">
        <v>4304</v>
      </c>
      <c r="AU196" s="8">
        <v>2002.0</v>
      </c>
      <c r="AV196" s="8">
        <v>83.0</v>
      </c>
      <c r="AW196" s="8">
        <v>3.0</v>
      </c>
      <c r="AX196" s="8" t="s">
        <v>2135</v>
      </c>
      <c r="AY196" s="8" t="s">
        <v>2135</v>
      </c>
      <c r="AZ196" s="8" t="s">
        <v>2135</v>
      </c>
      <c r="BA196" s="8" t="s">
        <v>2135</v>
      </c>
      <c r="BB196" s="8">
        <v>893.0</v>
      </c>
      <c r="BC196" s="8">
        <v>906.0</v>
      </c>
      <c r="BD196" s="8" t="s">
        <v>2135</v>
      </c>
      <c r="BE196" s="8" t="s">
        <v>6639</v>
      </c>
      <c r="BF196" s="13" t="str">
        <f>HYPERLINK("http://dx.doi.org/10.1644/1545-1542(2002)083&lt;0893:MDAMDV&gt;2.0.CO;2","http://dx.doi.org/10.1644/1545-1542(2002)083&lt;0893:MDAMDV&gt;2.0.CO;2")</f>
        <v>http://dx.doi.org/10.1644/1545-1542(2002)083&lt;0893:MDAMDV&gt;2.0.CO;2</v>
      </c>
      <c r="BG196" s="8" t="s">
        <v>2135</v>
      </c>
      <c r="BH196" s="8" t="s">
        <v>2135</v>
      </c>
      <c r="BI196" s="8">
        <v>14.0</v>
      </c>
      <c r="BJ196" s="8" t="s">
        <v>3397</v>
      </c>
      <c r="BK196" s="8" t="s">
        <v>3352</v>
      </c>
      <c r="BL196" s="8" t="s">
        <v>3397</v>
      </c>
      <c r="BM196" s="8" t="s">
        <v>6640</v>
      </c>
      <c r="BN196" s="8" t="s">
        <v>2135</v>
      </c>
      <c r="BO196" s="8" t="s">
        <v>3445</v>
      </c>
      <c r="BP196" s="8" t="s">
        <v>2135</v>
      </c>
      <c r="BQ196" s="8" t="s">
        <v>2135</v>
      </c>
      <c r="BR196" s="8" t="s">
        <v>3355</v>
      </c>
      <c r="BS196" s="8" t="s">
        <v>6641</v>
      </c>
      <c r="BT196" s="8" t="s">
        <v>2600</v>
      </c>
      <c r="BU196" s="8" t="s">
        <v>2147</v>
      </c>
      <c r="BV196" s="8" t="s">
        <v>2217</v>
      </c>
      <c r="BW196" s="8" t="s">
        <v>2237</v>
      </c>
      <c r="BX196" s="8" t="s">
        <v>2953</v>
      </c>
      <c r="BY196" s="8" t="s">
        <v>2954</v>
      </c>
      <c r="BZ196" s="8" t="str">
        <f>HYPERLINK("https%3A%2F%2Fwww.webofscience.com%2Fwos%2Fwoscc%2Ffull-record%2FWOS:000177770800025","View Full Record in Web of Science")</f>
        <v>View Full Record in Web of Science</v>
      </c>
    </row>
    <row r="197" ht="12.75" customHeight="1">
      <c r="A197" s="8" t="s">
        <v>3329</v>
      </c>
      <c r="B197" s="8" t="s">
        <v>6642</v>
      </c>
      <c r="C197" s="8" t="s">
        <v>2135</v>
      </c>
      <c r="D197" s="8" t="s">
        <v>2135</v>
      </c>
      <c r="E197" s="8" t="s">
        <v>2135</v>
      </c>
      <c r="F197" s="8" t="s">
        <v>6642</v>
      </c>
      <c r="G197" s="8" t="s">
        <v>2135</v>
      </c>
      <c r="H197" s="8" t="s">
        <v>2135</v>
      </c>
      <c r="I197" s="8" t="s">
        <v>718</v>
      </c>
      <c r="J197" s="8" t="s">
        <v>5135</v>
      </c>
      <c r="K197" s="8" t="s">
        <v>2135</v>
      </c>
      <c r="L197" s="8" t="s">
        <v>2135</v>
      </c>
      <c r="M197" s="8" t="s">
        <v>3332</v>
      </c>
      <c r="N197" s="8" t="s">
        <v>3963</v>
      </c>
      <c r="O197" s="8" t="s">
        <v>6643</v>
      </c>
      <c r="P197" s="8" t="s">
        <v>6644</v>
      </c>
      <c r="Q197" s="8" t="s">
        <v>6645</v>
      </c>
      <c r="R197" s="8" t="s">
        <v>2135</v>
      </c>
      <c r="S197" s="8" t="s">
        <v>2135</v>
      </c>
      <c r="T197" s="8" t="s">
        <v>6646</v>
      </c>
      <c r="U197" s="8" t="s">
        <v>6647</v>
      </c>
      <c r="V197" s="8" t="s">
        <v>6648</v>
      </c>
      <c r="W197" s="8" t="s">
        <v>6649</v>
      </c>
      <c r="X197" s="8" t="s">
        <v>6050</v>
      </c>
      <c r="Y197" s="8" t="s">
        <v>6650</v>
      </c>
      <c r="Z197" s="8" t="s">
        <v>6651</v>
      </c>
      <c r="AA197" s="8" t="s">
        <v>6652</v>
      </c>
      <c r="AB197" s="8" t="s">
        <v>6653</v>
      </c>
      <c r="AC197" s="8" t="s">
        <v>2135</v>
      </c>
      <c r="AD197" s="8" t="s">
        <v>2135</v>
      </c>
      <c r="AE197" s="8" t="s">
        <v>2135</v>
      </c>
      <c r="AF197" s="8" t="s">
        <v>2135</v>
      </c>
      <c r="AG197" s="8">
        <v>44.0</v>
      </c>
      <c r="AH197" s="8">
        <v>75.0</v>
      </c>
      <c r="AI197" s="8">
        <v>89.0</v>
      </c>
      <c r="AJ197" s="8">
        <v>0.0</v>
      </c>
      <c r="AK197" s="8">
        <v>28.0</v>
      </c>
      <c r="AL197" s="8" t="s">
        <v>3479</v>
      </c>
      <c r="AM197" s="8" t="s">
        <v>4500</v>
      </c>
      <c r="AN197" s="8" t="s">
        <v>4501</v>
      </c>
      <c r="AO197" s="8" t="s">
        <v>5148</v>
      </c>
      <c r="AP197" s="8" t="s">
        <v>5149</v>
      </c>
      <c r="AQ197" s="8" t="s">
        <v>2135</v>
      </c>
      <c r="AR197" s="8" t="s">
        <v>5150</v>
      </c>
      <c r="AS197" s="8" t="s">
        <v>5151</v>
      </c>
      <c r="AT197" s="8" t="s">
        <v>3349</v>
      </c>
      <c r="AU197" s="8">
        <v>2002.0</v>
      </c>
      <c r="AV197" s="8">
        <v>11.0</v>
      </c>
      <c r="AW197" s="8">
        <v>6.0</v>
      </c>
      <c r="AX197" s="8" t="s">
        <v>2135</v>
      </c>
      <c r="AY197" s="8" t="s">
        <v>2135</v>
      </c>
      <c r="AZ197" s="8" t="s">
        <v>2135</v>
      </c>
      <c r="BA197" s="8" t="s">
        <v>2135</v>
      </c>
      <c r="BB197" s="8">
        <v>1063.0</v>
      </c>
      <c r="BC197" s="8">
        <v>1079.0</v>
      </c>
      <c r="BD197" s="8" t="s">
        <v>2135</v>
      </c>
      <c r="BE197" s="8" t="s">
        <v>6654</v>
      </c>
      <c r="BF197" s="13" t="str">
        <f>HYPERLINK("http://dx.doi.org/10.1023/A:1015856703786","http://dx.doi.org/10.1023/A:1015856703786")</f>
        <v>http://dx.doi.org/10.1023/A:1015856703786</v>
      </c>
      <c r="BG197" s="8" t="s">
        <v>2135</v>
      </c>
      <c r="BH197" s="8" t="s">
        <v>2135</v>
      </c>
      <c r="BI197" s="8">
        <v>17.0</v>
      </c>
      <c r="BJ197" s="8" t="s">
        <v>3351</v>
      </c>
      <c r="BK197" s="8" t="s">
        <v>4418</v>
      </c>
      <c r="BL197" s="8" t="s">
        <v>3353</v>
      </c>
      <c r="BM197" s="8" t="s">
        <v>6655</v>
      </c>
      <c r="BN197" s="8" t="s">
        <v>2135</v>
      </c>
      <c r="BO197" s="8" t="s">
        <v>2135</v>
      </c>
      <c r="BP197" s="8" t="s">
        <v>2135</v>
      </c>
      <c r="BQ197" s="8" t="s">
        <v>2135</v>
      </c>
      <c r="BR197" s="8" t="s">
        <v>3355</v>
      </c>
      <c r="BS197" s="8" t="s">
        <v>6656</v>
      </c>
      <c r="BT197" s="8" t="s">
        <v>2497</v>
      </c>
      <c r="BU197" s="8" t="s">
        <v>2142</v>
      </c>
      <c r="BW197" s="8" t="s">
        <v>2515</v>
      </c>
      <c r="BX197" s="8" t="s">
        <v>2971</v>
      </c>
      <c r="BY197" s="8" t="s">
        <v>2954</v>
      </c>
      <c r="BZ197" s="8" t="str">
        <f>HYPERLINK("https%3A%2F%2Fwww.webofscience.com%2Fwos%2Fwoscc%2Ffull-record%2FWOS:000176184700009","View Full Record in Web of Science")</f>
        <v>View Full Record in Web of Science</v>
      </c>
    </row>
    <row r="198" ht="12.75" customHeight="1">
      <c r="A198" s="8" t="s">
        <v>3329</v>
      </c>
      <c r="B198" s="8" t="s">
        <v>6657</v>
      </c>
      <c r="C198" s="8" t="s">
        <v>2135</v>
      </c>
      <c r="D198" s="8" t="s">
        <v>2135</v>
      </c>
      <c r="E198" s="8" t="s">
        <v>2135</v>
      </c>
      <c r="F198" s="8" t="s">
        <v>6657</v>
      </c>
      <c r="G198" s="8" t="s">
        <v>2135</v>
      </c>
      <c r="H198" s="8" t="s">
        <v>2135</v>
      </c>
      <c r="I198" s="8" t="s">
        <v>710</v>
      </c>
      <c r="J198" s="8" t="s">
        <v>3380</v>
      </c>
      <c r="K198" s="8" t="s">
        <v>2135</v>
      </c>
      <c r="L198" s="8" t="s">
        <v>2135</v>
      </c>
      <c r="M198" s="8" t="s">
        <v>3332</v>
      </c>
      <c r="N198" s="8" t="s">
        <v>3333</v>
      </c>
      <c r="O198" s="8" t="s">
        <v>2135</v>
      </c>
      <c r="P198" s="8" t="s">
        <v>2135</v>
      </c>
      <c r="Q198" s="8" t="s">
        <v>2135</v>
      </c>
      <c r="R198" s="8" t="s">
        <v>2135</v>
      </c>
      <c r="S198" s="8" t="s">
        <v>2135</v>
      </c>
      <c r="T198" s="8" t="s">
        <v>6658</v>
      </c>
      <c r="U198" s="8" t="s">
        <v>6659</v>
      </c>
      <c r="V198" s="8" t="s">
        <v>6660</v>
      </c>
      <c r="W198" s="8" t="s">
        <v>6661</v>
      </c>
      <c r="X198" s="8" t="s">
        <v>6464</v>
      </c>
      <c r="Y198" s="8" t="s">
        <v>6662</v>
      </c>
      <c r="Z198" s="8" t="s">
        <v>5090</v>
      </c>
      <c r="AA198" s="8" t="s">
        <v>2135</v>
      </c>
      <c r="AB198" s="8" t="s">
        <v>2135</v>
      </c>
      <c r="AC198" s="8" t="s">
        <v>2135</v>
      </c>
      <c r="AD198" s="8" t="s">
        <v>2135</v>
      </c>
      <c r="AE198" s="8" t="s">
        <v>2135</v>
      </c>
      <c r="AF198" s="8" t="s">
        <v>2135</v>
      </c>
      <c r="AG198" s="8">
        <v>46.0</v>
      </c>
      <c r="AH198" s="8">
        <v>35.0</v>
      </c>
      <c r="AI198" s="8">
        <v>45.0</v>
      </c>
      <c r="AJ198" s="8">
        <v>1.0</v>
      </c>
      <c r="AK198" s="8">
        <v>27.0</v>
      </c>
      <c r="AL198" s="8" t="s">
        <v>3921</v>
      </c>
      <c r="AM198" s="8" t="s">
        <v>3922</v>
      </c>
      <c r="AN198" s="8" t="s">
        <v>3923</v>
      </c>
      <c r="AO198" s="8" t="s">
        <v>3392</v>
      </c>
      <c r="AP198" s="8" t="s">
        <v>4022</v>
      </c>
      <c r="AQ198" s="8" t="s">
        <v>2135</v>
      </c>
      <c r="AR198" s="8" t="s">
        <v>3393</v>
      </c>
      <c r="AS198" s="8" t="s">
        <v>3394</v>
      </c>
      <c r="AT198" s="8" t="s">
        <v>3765</v>
      </c>
      <c r="AU198" s="8">
        <v>2001.0</v>
      </c>
      <c r="AV198" s="8">
        <v>82.0</v>
      </c>
      <c r="AW198" s="8">
        <v>2.0</v>
      </c>
      <c r="AX198" s="8" t="s">
        <v>2135</v>
      </c>
      <c r="AY198" s="8" t="s">
        <v>2135</v>
      </c>
      <c r="AZ198" s="8" t="s">
        <v>2135</v>
      </c>
      <c r="BA198" s="8" t="s">
        <v>2135</v>
      </c>
      <c r="BB198" s="8">
        <v>478.0</v>
      </c>
      <c r="BC198" s="8">
        <v>490.0</v>
      </c>
      <c r="BD198" s="8" t="s">
        <v>2135</v>
      </c>
      <c r="BE198" s="8" t="s">
        <v>6663</v>
      </c>
      <c r="BF198" s="13" t="str">
        <f>HYPERLINK("http://dx.doi.org/10.1644/1545-1542(2001)082&lt;0478:SOAMIC&gt;2.0.CO;2","http://dx.doi.org/10.1644/1545-1542(2001)082&lt;0478:SOAMIC&gt;2.0.CO;2")</f>
        <v>http://dx.doi.org/10.1644/1545-1542(2001)082&lt;0478:SOAMIC&gt;2.0.CO;2</v>
      </c>
      <c r="BG198" s="8" t="s">
        <v>2135</v>
      </c>
      <c r="BH198" s="8" t="s">
        <v>2135</v>
      </c>
      <c r="BI198" s="8">
        <v>13.0</v>
      </c>
      <c r="BJ198" s="8" t="s">
        <v>3397</v>
      </c>
      <c r="BK198" s="8" t="s">
        <v>3352</v>
      </c>
      <c r="BL198" s="8" t="s">
        <v>3397</v>
      </c>
      <c r="BM198" s="8" t="s">
        <v>6664</v>
      </c>
      <c r="BN198" s="8" t="s">
        <v>2135</v>
      </c>
      <c r="BO198" s="8" t="s">
        <v>3445</v>
      </c>
      <c r="BP198" s="8" t="s">
        <v>2135</v>
      </c>
      <c r="BQ198" s="8" t="s">
        <v>2135</v>
      </c>
      <c r="BR198" s="8" t="s">
        <v>3355</v>
      </c>
      <c r="BS198" s="8" t="s">
        <v>6665</v>
      </c>
      <c r="BT198" s="8" t="s">
        <v>2600</v>
      </c>
      <c r="BU198" s="8" t="s">
        <v>2147</v>
      </c>
      <c r="BV198" s="8" t="s">
        <v>2217</v>
      </c>
      <c r="BW198" s="8" t="s">
        <v>2221</v>
      </c>
      <c r="BX198" s="8" t="s">
        <v>2971</v>
      </c>
      <c r="BY198" s="8" t="s">
        <v>2954</v>
      </c>
      <c r="BZ198" s="8" t="str">
        <f>HYPERLINK("https%3A%2F%2Fwww.webofscience.com%2Fwos%2Fwoscc%2Ffull-record%2FWOS:000168879100020","View Full Record in Web of Science")</f>
        <v>View Full Record in Web of Science</v>
      </c>
    </row>
    <row r="199" ht="12.75" customHeight="1">
      <c r="A199" s="8" t="s">
        <v>3329</v>
      </c>
      <c r="B199" s="8" t="s">
        <v>6666</v>
      </c>
      <c r="C199" s="8" t="s">
        <v>2135</v>
      </c>
      <c r="D199" s="8" t="s">
        <v>2135</v>
      </c>
      <c r="E199" s="8" t="s">
        <v>2135</v>
      </c>
      <c r="F199" s="8" t="s">
        <v>6666</v>
      </c>
      <c r="G199" s="8" t="s">
        <v>2135</v>
      </c>
      <c r="H199" s="8" t="s">
        <v>2135</v>
      </c>
      <c r="I199" s="8" t="s">
        <v>716</v>
      </c>
      <c r="J199" s="8" t="s">
        <v>4422</v>
      </c>
      <c r="K199" s="8" t="s">
        <v>2135</v>
      </c>
      <c r="L199" s="8" t="s">
        <v>2135</v>
      </c>
      <c r="M199" s="8" t="s">
        <v>3332</v>
      </c>
      <c r="N199" s="8" t="s">
        <v>3333</v>
      </c>
      <c r="O199" s="8" t="s">
        <v>2135</v>
      </c>
      <c r="P199" s="8" t="s">
        <v>2135</v>
      </c>
      <c r="Q199" s="8" t="s">
        <v>2135</v>
      </c>
      <c r="R199" s="8" t="s">
        <v>2135</v>
      </c>
      <c r="S199" s="8" t="s">
        <v>2135</v>
      </c>
      <c r="T199" s="8" t="s">
        <v>6667</v>
      </c>
      <c r="U199" s="8" t="s">
        <v>6668</v>
      </c>
      <c r="V199" s="8" t="s">
        <v>6669</v>
      </c>
      <c r="W199" s="8" t="s">
        <v>6670</v>
      </c>
      <c r="X199" s="8" t="s">
        <v>6671</v>
      </c>
      <c r="Y199" s="8" t="s">
        <v>6672</v>
      </c>
      <c r="Z199" s="8" t="s">
        <v>6673</v>
      </c>
      <c r="AA199" s="8" t="s">
        <v>6674</v>
      </c>
      <c r="AB199" s="8" t="s">
        <v>6675</v>
      </c>
      <c r="AC199" s="8" t="s">
        <v>2135</v>
      </c>
      <c r="AD199" s="8" t="s">
        <v>2135</v>
      </c>
      <c r="AE199" s="8" t="s">
        <v>2135</v>
      </c>
      <c r="AF199" s="8" t="s">
        <v>2135</v>
      </c>
      <c r="AG199" s="8">
        <v>59.0</v>
      </c>
      <c r="AH199" s="8">
        <v>102.0</v>
      </c>
      <c r="AI199" s="8">
        <v>124.0</v>
      </c>
      <c r="AJ199" s="8">
        <v>0.0</v>
      </c>
      <c r="AK199" s="8">
        <v>58.0</v>
      </c>
      <c r="AL199" s="8" t="s">
        <v>3342</v>
      </c>
      <c r="AM199" s="8" t="s">
        <v>3343</v>
      </c>
      <c r="AN199" s="8" t="s">
        <v>3344</v>
      </c>
      <c r="AO199" s="8" t="s">
        <v>4429</v>
      </c>
      <c r="AP199" s="8" t="s">
        <v>6676</v>
      </c>
      <c r="AQ199" s="8" t="s">
        <v>2135</v>
      </c>
      <c r="AR199" s="8" t="s">
        <v>4430</v>
      </c>
      <c r="AS199" s="8" t="s">
        <v>4431</v>
      </c>
      <c r="AT199" s="8" t="s">
        <v>3629</v>
      </c>
      <c r="AU199" s="8">
        <v>2001.0</v>
      </c>
      <c r="AV199" s="8">
        <v>10.0</v>
      </c>
      <c r="AW199" s="8">
        <v>1.0</v>
      </c>
      <c r="AX199" s="8" t="s">
        <v>2135</v>
      </c>
      <c r="AY199" s="8" t="s">
        <v>2135</v>
      </c>
      <c r="AZ199" s="8" t="s">
        <v>2135</v>
      </c>
      <c r="BA199" s="8" t="s">
        <v>2135</v>
      </c>
      <c r="BB199" s="8">
        <v>53.0</v>
      </c>
      <c r="BC199" s="8" t="s">
        <v>6677</v>
      </c>
      <c r="BD199" s="8" t="s">
        <v>2135</v>
      </c>
      <c r="BE199" s="8" t="s">
        <v>6678</v>
      </c>
      <c r="BF199" s="13" t="str">
        <f>HYPERLINK("http://dx.doi.org/10.1046/j.1365-294X.2001.01184.x","http://dx.doi.org/10.1046/j.1365-294X.2001.01184.x")</f>
        <v>http://dx.doi.org/10.1046/j.1365-294X.2001.01184.x</v>
      </c>
      <c r="BG199" s="8" t="s">
        <v>2135</v>
      </c>
      <c r="BH199" s="8" t="s">
        <v>2135</v>
      </c>
      <c r="BI199" s="8">
        <v>11.0</v>
      </c>
      <c r="BJ199" s="8" t="s">
        <v>4433</v>
      </c>
      <c r="BK199" s="8" t="s">
        <v>3352</v>
      </c>
      <c r="BL199" s="8" t="s">
        <v>4434</v>
      </c>
      <c r="BM199" s="8" t="s">
        <v>6679</v>
      </c>
      <c r="BN199" s="8">
        <v>1.1251787E7</v>
      </c>
      <c r="BO199" s="8" t="s">
        <v>2135</v>
      </c>
      <c r="BP199" s="8" t="s">
        <v>2135</v>
      </c>
      <c r="BQ199" s="8" t="s">
        <v>2135</v>
      </c>
      <c r="BR199" s="8" t="s">
        <v>3355</v>
      </c>
      <c r="BS199" s="8" t="s">
        <v>6680</v>
      </c>
      <c r="BU199" s="8" t="s">
        <v>2142</v>
      </c>
      <c r="BW199" s="8" t="s">
        <v>2218</v>
      </c>
      <c r="BX199" s="8" t="s">
        <v>2953</v>
      </c>
      <c r="BY199" s="8" t="s">
        <v>2954</v>
      </c>
      <c r="BZ199" s="8" t="str">
        <f>HYPERLINK("https%3A%2F%2Fwww.webofscience.com%2Fwos%2Fwoscc%2Ffull-record%2FWOS:000166647100007","View Full Record in Web of Science")</f>
        <v>View Full Record in Web of Science</v>
      </c>
    </row>
    <row r="200" ht="12.75" customHeight="1">
      <c r="A200" s="8" t="s">
        <v>3329</v>
      </c>
      <c r="B200" s="8" t="s">
        <v>6681</v>
      </c>
      <c r="C200" s="8" t="s">
        <v>2135</v>
      </c>
      <c r="D200" s="8" t="s">
        <v>2135</v>
      </c>
      <c r="E200" s="8" t="s">
        <v>2135</v>
      </c>
      <c r="F200" s="8" t="s">
        <v>6681</v>
      </c>
      <c r="G200" s="8" t="s">
        <v>2135</v>
      </c>
      <c r="H200" s="8" t="s">
        <v>2135</v>
      </c>
      <c r="I200" s="8" t="s">
        <v>708</v>
      </c>
      <c r="J200" s="8" t="s">
        <v>6682</v>
      </c>
      <c r="K200" s="8" t="s">
        <v>2135</v>
      </c>
      <c r="L200" s="8" t="s">
        <v>2135</v>
      </c>
      <c r="M200" s="8" t="s">
        <v>3332</v>
      </c>
      <c r="N200" s="8" t="s">
        <v>3333</v>
      </c>
      <c r="O200" s="8" t="s">
        <v>2135</v>
      </c>
      <c r="P200" s="8" t="s">
        <v>2135</v>
      </c>
      <c r="Q200" s="8" t="s">
        <v>2135</v>
      </c>
      <c r="R200" s="8" t="s">
        <v>2135</v>
      </c>
      <c r="S200" s="8" t="s">
        <v>2135</v>
      </c>
      <c r="T200" s="8" t="s">
        <v>6683</v>
      </c>
      <c r="U200" s="8" t="s">
        <v>6684</v>
      </c>
      <c r="V200" s="8" t="s">
        <v>6685</v>
      </c>
      <c r="W200" s="8" t="s">
        <v>6686</v>
      </c>
      <c r="X200" s="8" t="s">
        <v>5466</v>
      </c>
      <c r="Y200" s="8" t="s">
        <v>6687</v>
      </c>
      <c r="Z200" s="8" t="s">
        <v>2135</v>
      </c>
      <c r="AA200" s="8" t="s">
        <v>2135</v>
      </c>
      <c r="AB200" s="8" t="s">
        <v>2135</v>
      </c>
      <c r="AC200" s="8" t="s">
        <v>2135</v>
      </c>
      <c r="AD200" s="8" t="s">
        <v>2135</v>
      </c>
      <c r="AE200" s="8" t="s">
        <v>2135</v>
      </c>
      <c r="AF200" s="8" t="s">
        <v>2135</v>
      </c>
      <c r="AG200" s="8">
        <v>61.0</v>
      </c>
      <c r="AH200" s="8">
        <v>7.0</v>
      </c>
      <c r="AI200" s="8">
        <v>9.0</v>
      </c>
      <c r="AJ200" s="8">
        <v>1.0</v>
      </c>
      <c r="AK200" s="8">
        <v>50.0</v>
      </c>
      <c r="AL200" s="8" t="s">
        <v>6688</v>
      </c>
      <c r="AM200" s="8" t="s">
        <v>6689</v>
      </c>
      <c r="AN200" s="8" t="s">
        <v>6690</v>
      </c>
      <c r="AO200" s="8" t="s">
        <v>6691</v>
      </c>
      <c r="AP200" s="8" t="s">
        <v>2135</v>
      </c>
      <c r="AQ200" s="8" t="s">
        <v>2135</v>
      </c>
      <c r="AR200" s="8" t="s">
        <v>6692</v>
      </c>
      <c r="AS200" s="8" t="s">
        <v>6693</v>
      </c>
      <c r="AT200" s="8" t="s">
        <v>3580</v>
      </c>
      <c r="AU200" s="8">
        <v>2000.0</v>
      </c>
      <c r="AV200" s="8">
        <v>20.0</v>
      </c>
      <c r="AW200" s="8">
        <v>4.0</v>
      </c>
      <c r="AX200" s="8" t="s">
        <v>2135</v>
      </c>
      <c r="AY200" s="8" t="s">
        <v>2135</v>
      </c>
      <c r="AZ200" s="8" t="s">
        <v>2135</v>
      </c>
      <c r="BA200" s="8" t="s">
        <v>2135</v>
      </c>
      <c r="BB200" s="8">
        <v>366.0</v>
      </c>
      <c r="BC200" s="8">
        <v>375.0</v>
      </c>
      <c r="BD200" s="8" t="s">
        <v>2135</v>
      </c>
      <c r="BE200" s="8" t="s">
        <v>2135</v>
      </c>
      <c r="BF200" s="8" t="s">
        <v>2135</v>
      </c>
      <c r="BG200" s="8" t="s">
        <v>2135</v>
      </c>
      <c r="BH200" s="8" t="s">
        <v>2135</v>
      </c>
      <c r="BI200" s="8">
        <v>10.0</v>
      </c>
      <c r="BJ200" s="8" t="s">
        <v>6694</v>
      </c>
      <c r="BK200" s="8" t="s">
        <v>3352</v>
      </c>
      <c r="BL200" s="8" t="s">
        <v>6695</v>
      </c>
      <c r="BM200" s="8" t="s">
        <v>6696</v>
      </c>
      <c r="BN200" s="8" t="s">
        <v>2135</v>
      </c>
      <c r="BO200" s="8" t="s">
        <v>2135</v>
      </c>
      <c r="BP200" s="8" t="s">
        <v>2135</v>
      </c>
      <c r="BQ200" s="8" t="s">
        <v>2135</v>
      </c>
      <c r="BR200" s="8" t="s">
        <v>3355</v>
      </c>
      <c r="BS200" s="8" t="s">
        <v>6697</v>
      </c>
      <c r="BT200" s="8" t="s">
        <v>2600</v>
      </c>
      <c r="BU200" s="8" t="s">
        <v>2147</v>
      </c>
      <c r="BV200" s="8" t="s">
        <v>2217</v>
      </c>
      <c r="BW200" s="8" t="s">
        <v>2218</v>
      </c>
      <c r="BX200" s="8" t="s">
        <v>2953</v>
      </c>
      <c r="BY200" s="8" t="s">
        <v>2954</v>
      </c>
      <c r="BZ200" s="8" t="str">
        <f>HYPERLINK("https%3A%2F%2Fwww.webofscience.com%2Fwos%2Fwoscc%2Ffull-record%2FWOS:000089836700009","View Full Record in Web of Science")</f>
        <v>View Full Record in Web of Science</v>
      </c>
    </row>
    <row r="201" ht="12.75" customHeight="1">
      <c r="A201" s="8" t="s">
        <v>3329</v>
      </c>
      <c r="B201" s="8" t="s">
        <v>6698</v>
      </c>
      <c r="C201" s="8" t="s">
        <v>2135</v>
      </c>
      <c r="D201" s="8" t="s">
        <v>2135</v>
      </c>
      <c r="E201" s="8" t="s">
        <v>2135</v>
      </c>
      <c r="F201" s="8" t="s">
        <v>6698</v>
      </c>
      <c r="G201" s="8" t="s">
        <v>2135</v>
      </c>
      <c r="H201" s="8" t="s">
        <v>2135</v>
      </c>
      <c r="I201" s="8" t="s">
        <v>649</v>
      </c>
      <c r="J201" s="8" t="s">
        <v>3796</v>
      </c>
      <c r="K201" s="8" t="s">
        <v>2135</v>
      </c>
      <c r="L201" s="8" t="s">
        <v>2135</v>
      </c>
      <c r="M201" s="8" t="s">
        <v>3332</v>
      </c>
      <c r="N201" s="8" t="s">
        <v>3963</v>
      </c>
      <c r="O201" s="8" t="s">
        <v>6699</v>
      </c>
      <c r="P201" s="8" t="s">
        <v>6700</v>
      </c>
      <c r="Q201" s="8" t="s">
        <v>6701</v>
      </c>
      <c r="R201" s="8" t="s">
        <v>2135</v>
      </c>
      <c r="S201" s="8" t="s">
        <v>2135</v>
      </c>
      <c r="T201" s="8" t="s">
        <v>6702</v>
      </c>
      <c r="U201" s="8" t="s">
        <v>6703</v>
      </c>
      <c r="V201" s="8" t="s">
        <v>6704</v>
      </c>
      <c r="W201" s="8" t="s">
        <v>5324</v>
      </c>
      <c r="X201" s="8" t="s">
        <v>5325</v>
      </c>
      <c r="Y201" s="8" t="s">
        <v>5326</v>
      </c>
      <c r="Z201" s="8" t="s">
        <v>5327</v>
      </c>
      <c r="AA201" s="8" t="s">
        <v>2135</v>
      </c>
      <c r="AB201" s="8" t="s">
        <v>2135</v>
      </c>
      <c r="AC201" s="8" t="s">
        <v>2135</v>
      </c>
      <c r="AD201" s="8" t="s">
        <v>2135</v>
      </c>
      <c r="AE201" s="8" t="s">
        <v>2135</v>
      </c>
      <c r="AF201" s="8" t="s">
        <v>2135</v>
      </c>
      <c r="AG201" s="8">
        <v>31.0</v>
      </c>
      <c r="AH201" s="8">
        <v>26.0</v>
      </c>
      <c r="AI201" s="8">
        <v>30.0</v>
      </c>
      <c r="AJ201" s="8">
        <v>0.0</v>
      </c>
      <c r="AK201" s="8">
        <v>50.0</v>
      </c>
      <c r="AL201" s="8" t="s">
        <v>3342</v>
      </c>
      <c r="AM201" s="8" t="s">
        <v>3343</v>
      </c>
      <c r="AN201" s="8" t="s">
        <v>3344</v>
      </c>
      <c r="AO201" s="8" t="s">
        <v>2135</v>
      </c>
      <c r="AP201" s="8" t="s">
        <v>3809</v>
      </c>
      <c r="AQ201" s="8" t="s">
        <v>2135</v>
      </c>
      <c r="AR201" s="8" t="s">
        <v>3810</v>
      </c>
      <c r="AS201" s="8" t="s">
        <v>3811</v>
      </c>
      <c r="AT201" s="8" t="s">
        <v>6705</v>
      </c>
      <c r="AU201" s="8">
        <v>2000.0</v>
      </c>
      <c r="AV201" s="8">
        <v>30.0</v>
      </c>
      <c r="AW201" s="8" t="s">
        <v>6706</v>
      </c>
      <c r="AX201" s="8" t="s">
        <v>2135</v>
      </c>
      <c r="AY201" s="8" t="s">
        <v>2135</v>
      </c>
      <c r="AZ201" s="8" t="s">
        <v>2135</v>
      </c>
      <c r="BA201" s="8" t="s">
        <v>2135</v>
      </c>
      <c r="BB201" s="8">
        <v>217.0</v>
      </c>
      <c r="BC201" s="8">
        <v>226.0</v>
      </c>
      <c r="BD201" s="8" t="s">
        <v>2135</v>
      </c>
      <c r="BE201" s="8" t="s">
        <v>6707</v>
      </c>
      <c r="BF201" s="13" t="str">
        <f>HYPERLINK("http://dx.doi.org/10.1046/j.1365-2907.2000.00068.x","http://dx.doi.org/10.1046/j.1365-2907.2000.00068.x")</f>
        <v>http://dx.doi.org/10.1046/j.1365-2907.2000.00068.x</v>
      </c>
      <c r="BG201" s="8" t="s">
        <v>2135</v>
      </c>
      <c r="BH201" s="8" t="s">
        <v>2135</v>
      </c>
      <c r="BI201" s="8">
        <v>10.0</v>
      </c>
      <c r="BJ201" s="8" t="s">
        <v>3442</v>
      </c>
      <c r="BK201" s="8" t="s">
        <v>4418</v>
      </c>
      <c r="BL201" s="8" t="s">
        <v>3443</v>
      </c>
      <c r="BM201" s="8" t="s">
        <v>6708</v>
      </c>
      <c r="BN201" s="8" t="s">
        <v>2135</v>
      </c>
      <c r="BO201" s="8" t="s">
        <v>2135</v>
      </c>
      <c r="BP201" s="8" t="s">
        <v>2135</v>
      </c>
      <c r="BQ201" s="8" t="s">
        <v>2135</v>
      </c>
      <c r="BR201" s="8" t="s">
        <v>3355</v>
      </c>
      <c r="BS201" s="8" t="s">
        <v>6709</v>
      </c>
      <c r="BU201" s="8" t="s">
        <v>2943</v>
      </c>
      <c r="BW201" s="8" t="s">
        <v>2946</v>
      </c>
      <c r="BX201" s="8" t="s">
        <v>2953</v>
      </c>
      <c r="BY201" s="8" t="s">
        <v>2954</v>
      </c>
      <c r="BZ201" s="8" t="str">
        <f>HYPERLINK("https%3A%2F%2Fwww.webofscience.com%2Fwos%2Fwoscc%2Ffull-record%2FWOS:000166526000006","View Full Record in Web of Science")</f>
        <v>View Full Record in Web of Science</v>
      </c>
    </row>
    <row r="202" ht="12.75" customHeight="1">
      <c r="A202" s="8" t="s">
        <v>3329</v>
      </c>
      <c r="B202" s="8" t="s">
        <v>6710</v>
      </c>
      <c r="C202" s="8" t="s">
        <v>2135</v>
      </c>
      <c r="D202" s="8" t="s">
        <v>2135</v>
      </c>
      <c r="E202" s="8" t="s">
        <v>2135</v>
      </c>
      <c r="F202" s="8" t="s">
        <v>6710</v>
      </c>
      <c r="G202" s="8" t="s">
        <v>2135</v>
      </c>
      <c r="H202" s="8" t="s">
        <v>2135</v>
      </c>
      <c r="I202" s="8" t="s">
        <v>704</v>
      </c>
      <c r="J202" s="8" t="s">
        <v>3380</v>
      </c>
      <c r="K202" s="8" t="s">
        <v>2135</v>
      </c>
      <c r="L202" s="8" t="s">
        <v>2135</v>
      </c>
      <c r="M202" s="8" t="s">
        <v>3332</v>
      </c>
      <c r="N202" s="8" t="s">
        <v>3333</v>
      </c>
      <c r="O202" s="8" t="s">
        <v>2135</v>
      </c>
      <c r="P202" s="8" t="s">
        <v>2135</v>
      </c>
      <c r="Q202" s="8" t="s">
        <v>2135</v>
      </c>
      <c r="R202" s="8" t="s">
        <v>2135</v>
      </c>
      <c r="S202" s="8" t="s">
        <v>2135</v>
      </c>
      <c r="T202" s="8" t="s">
        <v>6711</v>
      </c>
      <c r="U202" s="8" t="s">
        <v>6712</v>
      </c>
      <c r="V202" s="8" t="s">
        <v>6713</v>
      </c>
      <c r="W202" s="8" t="s">
        <v>6714</v>
      </c>
      <c r="X202" s="8" t="s">
        <v>6715</v>
      </c>
      <c r="Y202" s="8" t="s">
        <v>6716</v>
      </c>
      <c r="Z202" s="8" t="s">
        <v>6717</v>
      </c>
      <c r="AA202" s="8" t="s">
        <v>2135</v>
      </c>
      <c r="AB202" s="8" t="s">
        <v>6718</v>
      </c>
      <c r="AC202" s="8" t="s">
        <v>2135</v>
      </c>
      <c r="AD202" s="8" t="s">
        <v>2135</v>
      </c>
      <c r="AE202" s="8" t="s">
        <v>2135</v>
      </c>
      <c r="AF202" s="8" t="s">
        <v>2135</v>
      </c>
      <c r="AG202" s="8">
        <v>67.0</v>
      </c>
      <c r="AH202" s="8">
        <v>41.0</v>
      </c>
      <c r="AI202" s="8">
        <v>49.0</v>
      </c>
      <c r="AJ202" s="8">
        <v>0.0</v>
      </c>
      <c r="AK202" s="8">
        <v>26.0</v>
      </c>
      <c r="AL202" s="8" t="s">
        <v>3921</v>
      </c>
      <c r="AM202" s="8" t="s">
        <v>3922</v>
      </c>
      <c r="AN202" s="8" t="s">
        <v>3923</v>
      </c>
      <c r="AO202" s="8" t="s">
        <v>3392</v>
      </c>
      <c r="AP202" s="8" t="s">
        <v>4022</v>
      </c>
      <c r="AQ202" s="8" t="s">
        <v>2135</v>
      </c>
      <c r="AR202" s="8" t="s">
        <v>3393</v>
      </c>
      <c r="AS202" s="8" t="s">
        <v>3394</v>
      </c>
      <c r="AT202" s="8" t="s">
        <v>3395</v>
      </c>
      <c r="AU202" s="8">
        <v>2000.0</v>
      </c>
      <c r="AV202" s="8">
        <v>81.0</v>
      </c>
      <c r="AW202" s="8">
        <v>3.0</v>
      </c>
      <c r="AX202" s="8" t="s">
        <v>2135</v>
      </c>
      <c r="AY202" s="8" t="s">
        <v>2135</v>
      </c>
      <c r="AZ202" s="8" t="s">
        <v>2135</v>
      </c>
      <c r="BA202" s="8" t="s">
        <v>2135</v>
      </c>
      <c r="BB202" s="8">
        <v>895.0</v>
      </c>
      <c r="BC202" s="8">
        <v>907.0</v>
      </c>
      <c r="BD202" s="8" t="s">
        <v>2135</v>
      </c>
      <c r="BE202" s="8" t="s">
        <v>6719</v>
      </c>
      <c r="BF202" s="13" t="str">
        <f>HYPERLINK("http://dx.doi.org/10.1644/1545-1542(2000)081&lt;0895:AOGVAS&gt;2.3.CO;2","http://dx.doi.org/10.1644/1545-1542(2000)081&lt;0895:AOGVAS&gt;2.3.CO;2")</f>
        <v>http://dx.doi.org/10.1644/1545-1542(2000)081&lt;0895:AOGVAS&gt;2.3.CO;2</v>
      </c>
      <c r="BG202" s="8" t="s">
        <v>2135</v>
      </c>
      <c r="BH202" s="8" t="s">
        <v>2135</v>
      </c>
      <c r="BI202" s="8">
        <v>13.0</v>
      </c>
      <c r="BJ202" s="8" t="s">
        <v>3397</v>
      </c>
      <c r="BK202" s="8" t="s">
        <v>3352</v>
      </c>
      <c r="BL202" s="8" t="s">
        <v>3397</v>
      </c>
      <c r="BM202" s="8" t="s">
        <v>6720</v>
      </c>
      <c r="BN202" s="8" t="s">
        <v>2135</v>
      </c>
      <c r="BO202" s="8" t="s">
        <v>3445</v>
      </c>
      <c r="BP202" s="8" t="s">
        <v>2135</v>
      </c>
      <c r="BQ202" s="8" t="s">
        <v>2135</v>
      </c>
      <c r="BR202" s="8" t="s">
        <v>3355</v>
      </c>
      <c r="BS202" s="8" t="s">
        <v>6721</v>
      </c>
      <c r="BT202" s="8" t="s">
        <v>2600</v>
      </c>
      <c r="BU202" s="8" t="s">
        <v>2147</v>
      </c>
      <c r="BV202" s="8" t="s">
        <v>2217</v>
      </c>
      <c r="BW202" s="8" t="s">
        <v>2224</v>
      </c>
      <c r="BX202" s="8" t="s">
        <v>3022</v>
      </c>
      <c r="BY202" s="8" t="s">
        <v>2954</v>
      </c>
      <c r="BZ202" s="8" t="str">
        <f>HYPERLINK("https%3A%2F%2Fwww.webofscience.com%2Fwos%2Fwoscc%2Ffull-record%2FWOS:000088907500026","View Full Record in Web of Science")</f>
        <v>View Full Record in Web of Science</v>
      </c>
    </row>
    <row r="203" ht="12.75" customHeight="1">
      <c r="A203" s="8" t="s">
        <v>3329</v>
      </c>
      <c r="B203" s="8" t="s">
        <v>6722</v>
      </c>
      <c r="C203" s="8" t="s">
        <v>2135</v>
      </c>
      <c r="D203" s="8" t="s">
        <v>2135</v>
      </c>
      <c r="E203" s="8" t="s">
        <v>2135</v>
      </c>
      <c r="F203" s="8" t="s">
        <v>6722</v>
      </c>
      <c r="G203" s="8" t="s">
        <v>2135</v>
      </c>
      <c r="H203" s="8" t="s">
        <v>2135</v>
      </c>
      <c r="I203" s="8" t="s">
        <v>702</v>
      </c>
      <c r="J203" s="8" t="s">
        <v>4123</v>
      </c>
      <c r="K203" s="8" t="s">
        <v>2135</v>
      </c>
      <c r="L203" s="8" t="s">
        <v>2135</v>
      </c>
      <c r="M203" s="8" t="s">
        <v>3332</v>
      </c>
      <c r="N203" s="8" t="s">
        <v>3333</v>
      </c>
      <c r="O203" s="8" t="s">
        <v>2135</v>
      </c>
      <c r="P203" s="8" t="s">
        <v>2135</v>
      </c>
      <c r="Q203" s="8" t="s">
        <v>2135</v>
      </c>
      <c r="R203" s="8" t="s">
        <v>2135</v>
      </c>
      <c r="S203" s="8" t="s">
        <v>2135</v>
      </c>
      <c r="T203" s="8" t="s">
        <v>6723</v>
      </c>
      <c r="U203" s="8" t="s">
        <v>6724</v>
      </c>
      <c r="V203" s="8" t="s">
        <v>6725</v>
      </c>
      <c r="W203" s="8" t="s">
        <v>6726</v>
      </c>
      <c r="X203" s="8" t="s">
        <v>6727</v>
      </c>
      <c r="Y203" s="8" t="s">
        <v>6728</v>
      </c>
      <c r="Z203" s="8" t="s">
        <v>2135</v>
      </c>
      <c r="AA203" s="8" t="s">
        <v>2135</v>
      </c>
      <c r="AB203" s="8" t="s">
        <v>2135</v>
      </c>
      <c r="AC203" s="8" t="s">
        <v>2135</v>
      </c>
      <c r="AD203" s="8" t="s">
        <v>2135</v>
      </c>
      <c r="AE203" s="8" t="s">
        <v>2135</v>
      </c>
      <c r="AF203" s="8" t="s">
        <v>2135</v>
      </c>
      <c r="AG203" s="8">
        <v>100.0</v>
      </c>
      <c r="AH203" s="8">
        <v>24.0</v>
      </c>
      <c r="AI203" s="8">
        <v>26.0</v>
      </c>
      <c r="AJ203" s="8">
        <v>1.0</v>
      </c>
      <c r="AK203" s="8">
        <v>53.0</v>
      </c>
      <c r="AL203" s="8" t="s">
        <v>4123</v>
      </c>
      <c r="AM203" s="8" t="s">
        <v>4131</v>
      </c>
      <c r="AN203" s="8" t="s">
        <v>4132</v>
      </c>
      <c r="AO203" s="8" t="s">
        <v>4133</v>
      </c>
      <c r="AP203" s="8" t="s">
        <v>2135</v>
      </c>
      <c r="AQ203" s="8" t="s">
        <v>2135</v>
      </c>
      <c r="AR203" s="8" t="s">
        <v>4134</v>
      </c>
      <c r="AS203" s="8" t="s">
        <v>4135</v>
      </c>
      <c r="AT203" s="8" t="s">
        <v>3349</v>
      </c>
      <c r="AU203" s="8">
        <v>2000.0</v>
      </c>
      <c r="AV203" s="8">
        <v>6.0</v>
      </c>
      <c r="AW203" s="8">
        <v>2.0</v>
      </c>
      <c r="AX203" s="8" t="s">
        <v>2135</v>
      </c>
      <c r="AY203" s="8" t="s">
        <v>2135</v>
      </c>
      <c r="AZ203" s="8" t="s">
        <v>2135</v>
      </c>
      <c r="BA203" s="8" t="s">
        <v>2135</v>
      </c>
      <c r="BB203" s="8">
        <v>111.0</v>
      </c>
      <c r="BC203" s="8">
        <v>120.0</v>
      </c>
      <c r="BD203" s="8" t="s">
        <v>2135</v>
      </c>
      <c r="BE203" s="8" t="s">
        <v>6729</v>
      </c>
      <c r="BF203" s="13" t="str">
        <f>HYPERLINK("http://dx.doi.org/10.2981/wlb.2000.006","http://dx.doi.org/10.2981/wlb.2000.006")</f>
        <v>http://dx.doi.org/10.2981/wlb.2000.006</v>
      </c>
      <c r="BG203" s="8" t="s">
        <v>2135</v>
      </c>
      <c r="BH203" s="8" t="s">
        <v>2135</v>
      </c>
      <c r="BI203" s="8">
        <v>10.0</v>
      </c>
      <c r="BJ203" s="8" t="s">
        <v>3442</v>
      </c>
      <c r="BK203" s="8" t="s">
        <v>3352</v>
      </c>
      <c r="BL203" s="8" t="s">
        <v>3443</v>
      </c>
      <c r="BM203" s="8" t="s">
        <v>6730</v>
      </c>
      <c r="BN203" s="8" t="s">
        <v>2135</v>
      </c>
      <c r="BO203" s="8" t="s">
        <v>3445</v>
      </c>
      <c r="BP203" s="8" t="s">
        <v>2135</v>
      </c>
      <c r="BQ203" s="8" t="s">
        <v>2135</v>
      </c>
      <c r="BR203" s="8" t="s">
        <v>3355</v>
      </c>
      <c r="BS203" s="8" t="s">
        <v>6731</v>
      </c>
      <c r="BU203" s="8" t="s">
        <v>2142</v>
      </c>
      <c r="BW203" s="8" t="s">
        <v>2166</v>
      </c>
      <c r="BX203" s="8" t="s">
        <v>2953</v>
      </c>
      <c r="BY203" s="8" t="s">
        <v>2954</v>
      </c>
      <c r="BZ203" s="8" t="str">
        <f>HYPERLINK("https%3A%2F%2Fwww.webofscience.com%2Fwos%2Fwoscc%2Ffull-record%2FWOS:000087928600005","View Full Record in Web of Science")</f>
        <v>View Full Record in Web of Science</v>
      </c>
    </row>
    <row r="204" ht="12.75" customHeight="1">
      <c r="A204" s="8" t="s">
        <v>3329</v>
      </c>
      <c r="B204" s="8" t="s">
        <v>6732</v>
      </c>
      <c r="C204" s="8" t="s">
        <v>2135</v>
      </c>
      <c r="D204" s="8" t="s">
        <v>2135</v>
      </c>
      <c r="E204" s="8" t="s">
        <v>2135</v>
      </c>
      <c r="F204" s="8" t="s">
        <v>6732</v>
      </c>
      <c r="G204" s="8" t="s">
        <v>2135</v>
      </c>
      <c r="H204" s="8" t="s">
        <v>2135</v>
      </c>
      <c r="I204" s="8" t="s">
        <v>700</v>
      </c>
      <c r="J204" s="8" t="s">
        <v>3331</v>
      </c>
      <c r="K204" s="8" t="s">
        <v>2135</v>
      </c>
      <c r="L204" s="8" t="s">
        <v>2135</v>
      </c>
      <c r="M204" s="8" t="s">
        <v>3332</v>
      </c>
      <c r="N204" s="8" t="s">
        <v>3333</v>
      </c>
      <c r="O204" s="8" t="s">
        <v>2135</v>
      </c>
      <c r="P204" s="8" t="s">
        <v>2135</v>
      </c>
      <c r="Q204" s="8" t="s">
        <v>2135</v>
      </c>
      <c r="R204" s="8" t="s">
        <v>2135</v>
      </c>
      <c r="S204" s="8" t="s">
        <v>2135</v>
      </c>
      <c r="T204" s="8" t="s">
        <v>2135</v>
      </c>
      <c r="U204" s="8" t="s">
        <v>6733</v>
      </c>
      <c r="V204" s="8" t="s">
        <v>6734</v>
      </c>
      <c r="W204" s="8" t="s">
        <v>6735</v>
      </c>
      <c r="X204" s="8" t="s">
        <v>6736</v>
      </c>
      <c r="Y204" s="8" t="s">
        <v>6737</v>
      </c>
      <c r="Z204" s="8" t="s">
        <v>6738</v>
      </c>
      <c r="AA204" s="8" t="s">
        <v>2135</v>
      </c>
      <c r="AB204" s="8" t="s">
        <v>2135</v>
      </c>
      <c r="AC204" s="8" t="s">
        <v>2135</v>
      </c>
      <c r="AD204" s="8" t="s">
        <v>2135</v>
      </c>
      <c r="AE204" s="8" t="s">
        <v>2135</v>
      </c>
      <c r="AF204" s="8" t="s">
        <v>2135</v>
      </c>
      <c r="AG204" s="8">
        <v>86.0</v>
      </c>
      <c r="AH204" s="8">
        <v>108.0</v>
      </c>
      <c r="AI204" s="8">
        <v>139.0</v>
      </c>
      <c r="AJ204" s="8">
        <v>0.0</v>
      </c>
      <c r="AK204" s="8">
        <v>53.0</v>
      </c>
      <c r="AL204" s="8" t="s">
        <v>3342</v>
      </c>
      <c r="AM204" s="8" t="s">
        <v>3343</v>
      </c>
      <c r="AN204" s="8" t="s">
        <v>3344</v>
      </c>
      <c r="AO204" s="8" t="s">
        <v>3345</v>
      </c>
      <c r="AP204" s="8" t="s">
        <v>3346</v>
      </c>
      <c r="AQ204" s="8" t="s">
        <v>2135</v>
      </c>
      <c r="AR204" s="8" t="s">
        <v>3347</v>
      </c>
      <c r="AS204" s="8" t="s">
        <v>3348</v>
      </c>
      <c r="AT204" s="8" t="s">
        <v>3349</v>
      </c>
      <c r="AU204" s="8">
        <v>2000.0</v>
      </c>
      <c r="AV204" s="8">
        <v>14.0</v>
      </c>
      <c r="AW204" s="8">
        <v>3.0</v>
      </c>
      <c r="AX204" s="8" t="s">
        <v>2135</v>
      </c>
      <c r="AY204" s="8" t="s">
        <v>2135</v>
      </c>
      <c r="AZ204" s="8" t="s">
        <v>2135</v>
      </c>
      <c r="BA204" s="8" t="s">
        <v>2135</v>
      </c>
      <c r="BB204" s="8">
        <v>844.0</v>
      </c>
      <c r="BC204" s="8">
        <v>857.0</v>
      </c>
      <c r="BD204" s="8" t="s">
        <v>2135</v>
      </c>
      <c r="BE204" s="8" t="s">
        <v>6739</v>
      </c>
      <c r="BF204" s="13" t="str">
        <f>HYPERLINK("http://dx.doi.org/10.1046/j.1523-1739.2000.99036.x","http://dx.doi.org/10.1046/j.1523-1739.2000.99036.x")</f>
        <v>http://dx.doi.org/10.1046/j.1523-1739.2000.99036.x</v>
      </c>
      <c r="BG204" s="8" t="s">
        <v>2135</v>
      </c>
      <c r="BH204" s="8" t="s">
        <v>2135</v>
      </c>
      <c r="BI204" s="8">
        <v>14.0</v>
      </c>
      <c r="BJ204" s="8" t="s">
        <v>3351</v>
      </c>
      <c r="BK204" s="8" t="s">
        <v>3352</v>
      </c>
      <c r="BL204" s="8" t="s">
        <v>3353</v>
      </c>
      <c r="BM204" s="8" t="s">
        <v>6740</v>
      </c>
      <c r="BN204" s="8" t="s">
        <v>2135</v>
      </c>
      <c r="BO204" s="8" t="s">
        <v>2135</v>
      </c>
      <c r="BP204" s="8" t="s">
        <v>2135</v>
      </c>
      <c r="BQ204" s="8" t="s">
        <v>2135</v>
      </c>
      <c r="BR204" s="8" t="s">
        <v>3355</v>
      </c>
      <c r="BS204" s="8" t="s">
        <v>6741</v>
      </c>
      <c r="BT204" s="8" t="s">
        <v>2216</v>
      </c>
      <c r="BU204" s="8" t="s">
        <v>2147</v>
      </c>
      <c r="BV204" s="8" t="s">
        <v>2217</v>
      </c>
      <c r="BW204" s="8" t="s">
        <v>2221</v>
      </c>
      <c r="BX204" s="8" t="s">
        <v>2971</v>
      </c>
      <c r="BY204" s="8" t="s">
        <v>2954</v>
      </c>
      <c r="BZ204" s="8" t="str">
        <f>HYPERLINK("https%3A%2F%2Fwww.webofscience.com%2Fwos%2Fwoscc%2Ffull-record%2FWOS:000087553900030","View Full Record in Web of Science")</f>
        <v>View Full Record in Web of Science</v>
      </c>
    </row>
    <row r="205" ht="12.75" customHeight="1">
      <c r="A205" s="8" t="s">
        <v>3329</v>
      </c>
      <c r="B205" s="8" t="s">
        <v>6742</v>
      </c>
      <c r="C205" s="8" t="s">
        <v>2135</v>
      </c>
      <c r="D205" s="8" t="s">
        <v>2135</v>
      </c>
      <c r="E205" s="8" t="s">
        <v>2135</v>
      </c>
      <c r="F205" s="8" t="s">
        <v>6742</v>
      </c>
      <c r="G205" s="8" t="s">
        <v>2135</v>
      </c>
      <c r="H205" s="8" t="s">
        <v>2135</v>
      </c>
      <c r="I205" s="8" t="s">
        <v>706</v>
      </c>
      <c r="J205" s="8" t="s">
        <v>3380</v>
      </c>
      <c r="K205" s="8" t="s">
        <v>2135</v>
      </c>
      <c r="L205" s="8" t="s">
        <v>2135</v>
      </c>
      <c r="M205" s="8" t="s">
        <v>3332</v>
      </c>
      <c r="N205" s="8" t="s">
        <v>3333</v>
      </c>
      <c r="O205" s="8" t="s">
        <v>2135</v>
      </c>
      <c r="P205" s="8" t="s">
        <v>2135</v>
      </c>
      <c r="Q205" s="8" t="s">
        <v>2135</v>
      </c>
      <c r="R205" s="8" t="s">
        <v>2135</v>
      </c>
      <c r="S205" s="8" t="s">
        <v>2135</v>
      </c>
      <c r="T205" s="8" t="s">
        <v>6743</v>
      </c>
      <c r="U205" s="8" t="s">
        <v>6744</v>
      </c>
      <c r="V205" s="8" t="s">
        <v>6745</v>
      </c>
      <c r="W205" s="8" t="s">
        <v>6746</v>
      </c>
      <c r="X205" s="8" t="s">
        <v>6747</v>
      </c>
      <c r="Y205" s="8" t="s">
        <v>6748</v>
      </c>
      <c r="Z205" s="8" t="s">
        <v>6594</v>
      </c>
      <c r="AA205" s="8" t="s">
        <v>2135</v>
      </c>
      <c r="AB205" s="8" t="s">
        <v>6749</v>
      </c>
      <c r="AC205" s="8" t="s">
        <v>2135</v>
      </c>
      <c r="AD205" s="8" t="s">
        <v>2135</v>
      </c>
      <c r="AE205" s="8" t="s">
        <v>2135</v>
      </c>
      <c r="AF205" s="8" t="s">
        <v>2135</v>
      </c>
      <c r="AG205" s="8">
        <v>71.0</v>
      </c>
      <c r="AH205" s="8">
        <v>35.0</v>
      </c>
      <c r="AI205" s="8">
        <v>38.0</v>
      </c>
      <c r="AJ205" s="8">
        <v>0.0</v>
      </c>
      <c r="AK205" s="8">
        <v>17.0</v>
      </c>
      <c r="AL205" s="8" t="s">
        <v>3921</v>
      </c>
      <c r="AM205" s="8" t="s">
        <v>3922</v>
      </c>
      <c r="AN205" s="8" t="s">
        <v>3923</v>
      </c>
      <c r="AO205" s="8" t="s">
        <v>3392</v>
      </c>
      <c r="AP205" s="8" t="s">
        <v>4022</v>
      </c>
      <c r="AQ205" s="8" t="s">
        <v>2135</v>
      </c>
      <c r="AR205" s="8" t="s">
        <v>3393</v>
      </c>
      <c r="AS205" s="8" t="s">
        <v>3394</v>
      </c>
      <c r="AT205" s="8" t="s">
        <v>3485</v>
      </c>
      <c r="AU205" s="8">
        <v>2000.0</v>
      </c>
      <c r="AV205" s="8">
        <v>81.0</v>
      </c>
      <c r="AW205" s="8">
        <v>1.0</v>
      </c>
      <c r="AX205" s="8" t="s">
        <v>2135</v>
      </c>
      <c r="AY205" s="8" t="s">
        <v>2135</v>
      </c>
      <c r="AZ205" s="8" t="s">
        <v>2135</v>
      </c>
      <c r="BA205" s="8" t="s">
        <v>2135</v>
      </c>
      <c r="BB205" s="8">
        <v>186.0</v>
      </c>
      <c r="BC205" s="8">
        <v>196.0</v>
      </c>
      <c r="BD205" s="8" t="s">
        <v>2135</v>
      </c>
      <c r="BE205" s="8" t="s">
        <v>6750</v>
      </c>
      <c r="BF205" s="13" t="str">
        <f>HYPERLINK("http://dx.doi.org/10.1644/1545-1542(2000)081&lt;0186:GVOWGG&gt;2.0.CO;2","http://dx.doi.org/10.1644/1545-1542(2000)081&lt;0186:GVOWGG&gt;2.0.CO;2")</f>
        <v>http://dx.doi.org/10.1644/1545-1542(2000)081&lt;0186:GVOWGG&gt;2.0.CO;2</v>
      </c>
      <c r="BG205" s="8" t="s">
        <v>2135</v>
      </c>
      <c r="BH205" s="8" t="s">
        <v>2135</v>
      </c>
      <c r="BI205" s="8">
        <v>11.0</v>
      </c>
      <c r="BJ205" s="8" t="s">
        <v>3397</v>
      </c>
      <c r="BK205" s="8" t="s">
        <v>3352</v>
      </c>
      <c r="BL205" s="8" t="s">
        <v>3397</v>
      </c>
      <c r="BM205" s="8" t="s">
        <v>6751</v>
      </c>
      <c r="BN205" s="8" t="s">
        <v>2135</v>
      </c>
      <c r="BO205" s="8" t="s">
        <v>3445</v>
      </c>
      <c r="BP205" s="8" t="s">
        <v>2135</v>
      </c>
      <c r="BQ205" s="8" t="s">
        <v>2135</v>
      </c>
      <c r="BR205" s="8" t="s">
        <v>3355</v>
      </c>
      <c r="BS205" s="8" t="s">
        <v>6752</v>
      </c>
      <c r="BT205" s="8" t="s">
        <v>2216</v>
      </c>
      <c r="BU205" s="8" t="s">
        <v>2147</v>
      </c>
      <c r="BV205" s="8" t="s">
        <v>2217</v>
      </c>
      <c r="BW205" s="8" t="s">
        <v>2218</v>
      </c>
      <c r="BX205" s="8" t="s">
        <v>2953</v>
      </c>
      <c r="BY205" s="8" t="s">
        <v>2954</v>
      </c>
      <c r="BZ205" s="8" t="str">
        <f>HYPERLINK("https%3A%2F%2Fwww.webofscience.com%2Fwos%2Fwoscc%2Ffull-record%2FWOS:000085435500017","View Full Record in Web of Science")</f>
        <v>View Full Record in Web of Science</v>
      </c>
    </row>
    <row r="206" ht="12.75" customHeight="1">
      <c r="A206" s="8" t="s">
        <v>3329</v>
      </c>
      <c r="B206" s="8" t="s">
        <v>6753</v>
      </c>
      <c r="C206" s="8" t="s">
        <v>2135</v>
      </c>
      <c r="D206" s="8" t="s">
        <v>2135</v>
      </c>
      <c r="E206" s="8" t="s">
        <v>2135</v>
      </c>
      <c r="F206" s="8" t="s">
        <v>6753</v>
      </c>
      <c r="G206" s="8" t="s">
        <v>2135</v>
      </c>
      <c r="H206" s="8" t="s">
        <v>2135</v>
      </c>
      <c r="I206" s="8" t="s">
        <v>692</v>
      </c>
      <c r="J206" s="8" t="s">
        <v>3331</v>
      </c>
      <c r="K206" s="8" t="s">
        <v>2135</v>
      </c>
      <c r="L206" s="8" t="s">
        <v>2135</v>
      </c>
      <c r="M206" s="8" t="s">
        <v>3332</v>
      </c>
      <c r="N206" s="8" t="s">
        <v>3333</v>
      </c>
      <c r="O206" s="8" t="s">
        <v>2135</v>
      </c>
      <c r="P206" s="8" t="s">
        <v>2135</v>
      </c>
      <c r="Q206" s="8" t="s">
        <v>2135</v>
      </c>
      <c r="R206" s="8" t="s">
        <v>2135</v>
      </c>
      <c r="S206" s="8" t="s">
        <v>2135</v>
      </c>
      <c r="T206" s="8" t="s">
        <v>2135</v>
      </c>
      <c r="U206" s="8" t="s">
        <v>6754</v>
      </c>
      <c r="V206" s="8" t="s">
        <v>6755</v>
      </c>
      <c r="W206" s="8" t="s">
        <v>6756</v>
      </c>
      <c r="X206" s="8" t="s">
        <v>5466</v>
      </c>
      <c r="Y206" s="8" t="s">
        <v>4288</v>
      </c>
      <c r="Z206" s="8" t="s">
        <v>2135</v>
      </c>
      <c r="AA206" s="8" t="s">
        <v>2135</v>
      </c>
      <c r="AB206" s="8" t="s">
        <v>2135</v>
      </c>
      <c r="AC206" s="8" t="s">
        <v>2135</v>
      </c>
      <c r="AD206" s="8" t="s">
        <v>2135</v>
      </c>
      <c r="AE206" s="8" t="s">
        <v>2135</v>
      </c>
      <c r="AF206" s="8" t="s">
        <v>2135</v>
      </c>
      <c r="AG206" s="8">
        <v>65.0</v>
      </c>
      <c r="AH206" s="8">
        <v>128.0</v>
      </c>
      <c r="AI206" s="8">
        <v>158.0</v>
      </c>
      <c r="AJ206" s="8">
        <v>0.0</v>
      </c>
      <c r="AK206" s="8">
        <v>47.0</v>
      </c>
      <c r="AL206" s="8" t="s">
        <v>3342</v>
      </c>
      <c r="AM206" s="8" t="s">
        <v>3343</v>
      </c>
      <c r="AN206" s="8" t="s">
        <v>3344</v>
      </c>
      <c r="AO206" s="8" t="s">
        <v>3345</v>
      </c>
      <c r="AP206" s="8" t="s">
        <v>3346</v>
      </c>
      <c r="AQ206" s="8" t="s">
        <v>2135</v>
      </c>
      <c r="AR206" s="8" t="s">
        <v>3347</v>
      </c>
      <c r="AS206" s="8" t="s">
        <v>3348</v>
      </c>
      <c r="AT206" s="8" t="s">
        <v>3741</v>
      </c>
      <c r="AU206" s="8">
        <v>1999.0</v>
      </c>
      <c r="AV206" s="8">
        <v>13.0</v>
      </c>
      <c r="AW206" s="8">
        <v>6.0</v>
      </c>
      <c r="AX206" s="8" t="s">
        <v>2135</v>
      </c>
      <c r="AY206" s="8" t="s">
        <v>2135</v>
      </c>
      <c r="AZ206" s="8" t="s">
        <v>2135</v>
      </c>
      <c r="BA206" s="8" t="s">
        <v>2135</v>
      </c>
      <c r="BB206" s="8">
        <v>1344.0</v>
      </c>
      <c r="BC206" s="8">
        <v>1359.0</v>
      </c>
      <c r="BD206" s="8" t="s">
        <v>2135</v>
      </c>
      <c r="BE206" s="8" t="s">
        <v>6757</v>
      </c>
      <c r="BF206" s="13" t="str">
        <f>HYPERLINK("http://dx.doi.org/10.1046/j.1523-1739.1999.98364.x","http://dx.doi.org/10.1046/j.1523-1739.1999.98364.x")</f>
        <v>http://dx.doi.org/10.1046/j.1523-1739.1999.98364.x</v>
      </c>
      <c r="BG206" s="8" t="s">
        <v>2135</v>
      </c>
      <c r="BH206" s="8" t="s">
        <v>2135</v>
      </c>
      <c r="BI206" s="8">
        <v>16.0</v>
      </c>
      <c r="BJ206" s="8" t="s">
        <v>3351</v>
      </c>
      <c r="BK206" s="8" t="s">
        <v>3352</v>
      </c>
      <c r="BL206" s="8" t="s">
        <v>3353</v>
      </c>
      <c r="BM206" s="8" t="s">
        <v>6758</v>
      </c>
      <c r="BN206" s="8" t="s">
        <v>2135</v>
      </c>
      <c r="BO206" s="8" t="s">
        <v>2135</v>
      </c>
      <c r="BP206" s="8" t="s">
        <v>2135</v>
      </c>
      <c r="BQ206" s="8" t="s">
        <v>2135</v>
      </c>
      <c r="BR206" s="8" t="s">
        <v>3355</v>
      </c>
      <c r="BS206" s="8" t="s">
        <v>6759</v>
      </c>
      <c r="BT206" s="8" t="s">
        <v>2600</v>
      </c>
      <c r="BU206" s="8" t="s">
        <v>2147</v>
      </c>
      <c r="BV206" s="8" t="s">
        <v>2217</v>
      </c>
      <c r="BW206" s="8" t="s">
        <v>2224</v>
      </c>
      <c r="BX206" s="8" t="s">
        <v>2971</v>
      </c>
      <c r="BY206" s="8" t="s">
        <v>2954</v>
      </c>
      <c r="BZ206" s="8" t="str">
        <f>HYPERLINK("https%3A%2F%2Fwww.webofscience.com%2Fwos%2Fwoscc%2Ffull-record%2FWOS:000083963100016","View Full Record in Web of Science")</f>
        <v>View Full Record in Web of Science</v>
      </c>
    </row>
    <row r="207" ht="12.75" customHeight="1">
      <c r="A207" s="8" t="s">
        <v>3329</v>
      </c>
      <c r="B207" s="8" t="s">
        <v>6760</v>
      </c>
      <c r="C207" s="8" t="s">
        <v>2135</v>
      </c>
      <c r="D207" s="8" t="s">
        <v>2135</v>
      </c>
      <c r="E207" s="8" t="s">
        <v>2135</v>
      </c>
      <c r="F207" s="8" t="s">
        <v>6760</v>
      </c>
      <c r="G207" s="8" t="s">
        <v>2135</v>
      </c>
      <c r="H207" s="8" t="s">
        <v>2135</v>
      </c>
      <c r="I207" s="8" t="s">
        <v>696</v>
      </c>
      <c r="J207" s="8" t="s">
        <v>5420</v>
      </c>
      <c r="K207" s="8" t="s">
        <v>2135</v>
      </c>
      <c r="L207" s="8" t="s">
        <v>2135</v>
      </c>
      <c r="M207" s="8" t="s">
        <v>3332</v>
      </c>
      <c r="N207" s="8" t="s">
        <v>3333</v>
      </c>
      <c r="O207" s="8" t="s">
        <v>2135</v>
      </c>
      <c r="P207" s="8" t="s">
        <v>2135</v>
      </c>
      <c r="Q207" s="8" t="s">
        <v>2135</v>
      </c>
      <c r="R207" s="8" t="s">
        <v>2135</v>
      </c>
      <c r="S207" s="8" t="s">
        <v>2135</v>
      </c>
      <c r="T207" s="8" t="s">
        <v>6761</v>
      </c>
      <c r="U207" s="8" t="s">
        <v>6762</v>
      </c>
      <c r="V207" s="8" t="s">
        <v>6763</v>
      </c>
      <c r="W207" s="8" t="s">
        <v>6764</v>
      </c>
      <c r="X207" s="8" t="s">
        <v>4127</v>
      </c>
      <c r="Y207" s="8" t="s">
        <v>6765</v>
      </c>
      <c r="Z207" s="8" t="s">
        <v>2135</v>
      </c>
      <c r="AA207" s="8" t="s">
        <v>6766</v>
      </c>
      <c r="AB207" s="8" t="s">
        <v>6767</v>
      </c>
      <c r="AC207" s="8" t="s">
        <v>2135</v>
      </c>
      <c r="AD207" s="8" t="s">
        <v>2135</v>
      </c>
      <c r="AE207" s="8" t="s">
        <v>2135</v>
      </c>
      <c r="AF207" s="8" t="s">
        <v>2135</v>
      </c>
      <c r="AG207" s="8">
        <v>41.0</v>
      </c>
      <c r="AH207" s="8">
        <v>59.0</v>
      </c>
      <c r="AI207" s="8">
        <v>66.0</v>
      </c>
      <c r="AJ207" s="8">
        <v>0.0</v>
      </c>
      <c r="AK207" s="8">
        <v>61.0</v>
      </c>
      <c r="AL207" s="8" t="s">
        <v>4044</v>
      </c>
      <c r="AM207" s="8" t="s">
        <v>3759</v>
      </c>
      <c r="AN207" s="8" t="s">
        <v>4117</v>
      </c>
      <c r="AO207" s="8" t="s">
        <v>5430</v>
      </c>
      <c r="AP207" s="8" t="s">
        <v>2135</v>
      </c>
      <c r="AQ207" s="8" t="s">
        <v>2135</v>
      </c>
      <c r="AR207" s="8" t="s">
        <v>5432</v>
      </c>
      <c r="AS207" s="8" t="s">
        <v>5433</v>
      </c>
      <c r="AT207" s="8" t="s">
        <v>3741</v>
      </c>
      <c r="AU207" s="8">
        <v>1999.0</v>
      </c>
      <c r="AV207" s="8">
        <v>36.0</v>
      </c>
      <c r="AW207" s="8">
        <v>6.0</v>
      </c>
      <c r="AX207" s="8" t="s">
        <v>2135</v>
      </c>
      <c r="AY207" s="8" t="s">
        <v>2135</v>
      </c>
      <c r="AZ207" s="8" t="s">
        <v>2135</v>
      </c>
      <c r="BA207" s="8" t="s">
        <v>2135</v>
      </c>
      <c r="BB207" s="8">
        <v>963.0</v>
      </c>
      <c r="BC207" s="8">
        <v>973.0</v>
      </c>
      <c r="BD207" s="8" t="s">
        <v>2135</v>
      </c>
      <c r="BE207" s="8" t="s">
        <v>6768</v>
      </c>
      <c r="BF207" s="13" t="str">
        <f>HYPERLINK("http://dx.doi.org/10.1046/j.1365-2664.1999.00451.x","http://dx.doi.org/10.1046/j.1365-2664.1999.00451.x")</f>
        <v>http://dx.doi.org/10.1046/j.1365-2664.1999.00451.x</v>
      </c>
      <c r="BG207" s="8" t="s">
        <v>2135</v>
      </c>
      <c r="BH207" s="8" t="s">
        <v>2135</v>
      </c>
      <c r="BI207" s="8">
        <v>11.0</v>
      </c>
      <c r="BJ207" s="8" t="s">
        <v>3558</v>
      </c>
      <c r="BK207" s="8" t="s">
        <v>3352</v>
      </c>
      <c r="BL207" s="8" t="s">
        <v>3353</v>
      </c>
      <c r="BM207" s="8" t="s">
        <v>6769</v>
      </c>
      <c r="BN207" s="8" t="s">
        <v>2135</v>
      </c>
      <c r="BO207" s="8" t="s">
        <v>2135</v>
      </c>
      <c r="BP207" s="8" t="s">
        <v>2135</v>
      </c>
      <c r="BQ207" s="8" t="s">
        <v>2135</v>
      </c>
      <c r="BR207" s="8" t="s">
        <v>3355</v>
      </c>
      <c r="BS207" s="8" t="s">
        <v>6770</v>
      </c>
      <c r="BT207" s="8" t="s">
        <v>2450</v>
      </c>
      <c r="BU207" s="8" t="s">
        <v>2142</v>
      </c>
      <c r="BW207" s="8" t="s">
        <v>2218</v>
      </c>
      <c r="BX207" s="8" t="s">
        <v>2953</v>
      </c>
      <c r="BY207" s="8" t="s">
        <v>2954</v>
      </c>
      <c r="BZ207" s="8" t="str">
        <f>HYPERLINK("https%3A%2F%2Fwww.webofscience.com%2Fwos%2Fwoscc%2Ffull-record%2FWOS:000084617900010","View Full Record in Web of Science")</f>
        <v>View Full Record in Web of Science</v>
      </c>
    </row>
    <row r="208" ht="12.75" customHeight="1">
      <c r="A208" s="8" t="s">
        <v>3329</v>
      </c>
      <c r="B208" s="8" t="s">
        <v>6771</v>
      </c>
      <c r="C208" s="8" t="s">
        <v>2135</v>
      </c>
      <c r="D208" s="8" t="s">
        <v>2135</v>
      </c>
      <c r="E208" s="8" t="s">
        <v>2135</v>
      </c>
      <c r="F208" s="8" t="s">
        <v>6771</v>
      </c>
      <c r="G208" s="8" t="s">
        <v>2135</v>
      </c>
      <c r="H208" s="8" t="s">
        <v>2135</v>
      </c>
      <c r="I208" s="8" t="s">
        <v>694</v>
      </c>
      <c r="J208" s="8" t="s">
        <v>3796</v>
      </c>
      <c r="K208" s="8" t="s">
        <v>2135</v>
      </c>
      <c r="L208" s="8" t="s">
        <v>2135</v>
      </c>
      <c r="M208" s="8" t="s">
        <v>3332</v>
      </c>
      <c r="N208" s="8" t="s">
        <v>3492</v>
      </c>
      <c r="O208" s="8" t="s">
        <v>2135</v>
      </c>
      <c r="P208" s="8" t="s">
        <v>2135</v>
      </c>
      <c r="Q208" s="8" t="s">
        <v>2135</v>
      </c>
      <c r="R208" s="8" t="s">
        <v>2135</v>
      </c>
      <c r="S208" s="8" t="s">
        <v>2135</v>
      </c>
      <c r="T208" s="8" t="s">
        <v>6772</v>
      </c>
      <c r="U208" s="8" t="s">
        <v>6773</v>
      </c>
      <c r="V208" s="8" t="s">
        <v>6774</v>
      </c>
      <c r="W208" s="8" t="s">
        <v>6775</v>
      </c>
      <c r="X208" s="8" t="s">
        <v>2135</v>
      </c>
      <c r="Y208" s="8" t="s">
        <v>6776</v>
      </c>
      <c r="Z208" s="8" t="s">
        <v>2135</v>
      </c>
      <c r="AA208" s="8" t="s">
        <v>2135</v>
      </c>
      <c r="AB208" s="8" t="s">
        <v>2135</v>
      </c>
      <c r="AC208" s="8" t="s">
        <v>2135</v>
      </c>
      <c r="AD208" s="8" t="s">
        <v>2135</v>
      </c>
      <c r="AE208" s="8" t="s">
        <v>2135</v>
      </c>
      <c r="AF208" s="8" t="s">
        <v>2135</v>
      </c>
      <c r="AG208" s="8">
        <v>48.0</v>
      </c>
      <c r="AH208" s="8">
        <v>25.0</v>
      </c>
      <c r="AI208" s="8">
        <v>27.0</v>
      </c>
      <c r="AJ208" s="8">
        <v>0.0</v>
      </c>
      <c r="AK208" s="8">
        <v>43.0</v>
      </c>
      <c r="AL208" s="8" t="s">
        <v>3342</v>
      </c>
      <c r="AM208" s="8" t="s">
        <v>3343</v>
      </c>
      <c r="AN208" s="8" t="s">
        <v>3344</v>
      </c>
      <c r="AO208" s="8" t="s">
        <v>2135</v>
      </c>
      <c r="AP208" s="8" t="s">
        <v>3809</v>
      </c>
      <c r="AQ208" s="8" t="s">
        <v>2135</v>
      </c>
      <c r="AR208" s="8" t="s">
        <v>3810</v>
      </c>
      <c r="AS208" s="8" t="s">
        <v>3811</v>
      </c>
      <c r="AT208" s="8" t="s">
        <v>3349</v>
      </c>
      <c r="AU208" s="8">
        <v>1999.0</v>
      </c>
      <c r="AV208" s="8">
        <v>29.0</v>
      </c>
      <c r="AW208" s="8">
        <v>2.0</v>
      </c>
      <c r="AX208" s="8" t="s">
        <v>2135</v>
      </c>
      <c r="AY208" s="8" t="s">
        <v>2135</v>
      </c>
      <c r="AZ208" s="8" t="s">
        <v>2135</v>
      </c>
      <c r="BA208" s="8" t="s">
        <v>2135</v>
      </c>
      <c r="BB208" s="8">
        <v>75.0</v>
      </c>
      <c r="BC208" s="8">
        <v>92.0</v>
      </c>
      <c r="BD208" s="8" t="s">
        <v>2135</v>
      </c>
      <c r="BE208" s="8" t="s">
        <v>6777</v>
      </c>
      <c r="BF208" s="13" t="str">
        <f>HYPERLINK("http://dx.doi.org/10.1046/j.1365-2907.1999.00039.x","http://dx.doi.org/10.1046/j.1365-2907.1999.00039.x")</f>
        <v>http://dx.doi.org/10.1046/j.1365-2907.1999.00039.x</v>
      </c>
      <c r="BG208" s="8" t="s">
        <v>2135</v>
      </c>
      <c r="BH208" s="8" t="s">
        <v>2135</v>
      </c>
      <c r="BI208" s="8">
        <v>18.0</v>
      </c>
      <c r="BJ208" s="8" t="s">
        <v>3442</v>
      </c>
      <c r="BK208" s="8" t="s">
        <v>3352</v>
      </c>
      <c r="BL208" s="8" t="s">
        <v>3443</v>
      </c>
      <c r="BM208" s="8" t="s">
        <v>6778</v>
      </c>
      <c r="BN208" s="8" t="s">
        <v>2135</v>
      </c>
      <c r="BO208" s="8" t="s">
        <v>2135</v>
      </c>
      <c r="BP208" s="8" t="s">
        <v>2135</v>
      </c>
      <c r="BQ208" s="8" t="s">
        <v>2135</v>
      </c>
      <c r="BR208" s="8" t="s">
        <v>3355</v>
      </c>
      <c r="BS208" s="8" t="s">
        <v>6779</v>
      </c>
      <c r="BT208" s="8" t="s">
        <v>2553</v>
      </c>
      <c r="BU208" s="8" t="s">
        <v>2142</v>
      </c>
      <c r="BW208" s="8" t="s">
        <v>2340</v>
      </c>
      <c r="BX208" s="8" t="s">
        <v>2953</v>
      </c>
      <c r="BY208" s="8" t="s">
        <v>2954</v>
      </c>
      <c r="BZ208" s="8" t="str">
        <f>HYPERLINK("https%3A%2F%2Fwww.webofscience.com%2Fwos%2Fwoscc%2Ffull-record%2FWOS:000081403700001","View Full Record in Web of Science")</f>
        <v>View Full Record in Web of Science</v>
      </c>
    </row>
    <row r="209" ht="12.75" customHeight="1">
      <c r="A209" s="8" t="s">
        <v>3329</v>
      </c>
      <c r="B209" s="8" t="s">
        <v>6780</v>
      </c>
      <c r="C209" s="8" t="s">
        <v>2135</v>
      </c>
      <c r="D209" s="8" t="s">
        <v>2135</v>
      </c>
      <c r="E209" s="8" t="s">
        <v>2135</v>
      </c>
      <c r="F209" s="8" t="s">
        <v>6780</v>
      </c>
      <c r="G209" s="8" t="s">
        <v>2135</v>
      </c>
      <c r="H209" s="8" t="s">
        <v>2135</v>
      </c>
      <c r="I209" s="8" t="s">
        <v>688</v>
      </c>
      <c r="J209" s="8" t="s">
        <v>5420</v>
      </c>
      <c r="K209" s="8" t="s">
        <v>2135</v>
      </c>
      <c r="L209" s="8" t="s">
        <v>2135</v>
      </c>
      <c r="M209" s="8" t="s">
        <v>3332</v>
      </c>
      <c r="N209" s="8" t="s">
        <v>3333</v>
      </c>
      <c r="O209" s="8" t="s">
        <v>2135</v>
      </c>
      <c r="P209" s="8" t="s">
        <v>2135</v>
      </c>
      <c r="Q209" s="8" t="s">
        <v>2135</v>
      </c>
      <c r="R209" s="8" t="s">
        <v>2135</v>
      </c>
      <c r="S209" s="8" t="s">
        <v>2135</v>
      </c>
      <c r="T209" s="8" t="s">
        <v>6781</v>
      </c>
      <c r="U209" s="8" t="s">
        <v>6782</v>
      </c>
      <c r="V209" s="8" t="s">
        <v>6783</v>
      </c>
      <c r="W209" s="8" t="s">
        <v>6784</v>
      </c>
      <c r="X209" s="8" t="s">
        <v>6785</v>
      </c>
      <c r="Y209" s="8" t="s">
        <v>6786</v>
      </c>
      <c r="Z209" s="8" t="s">
        <v>2135</v>
      </c>
      <c r="AA209" s="8" t="s">
        <v>6787</v>
      </c>
      <c r="AB209" s="8" t="s">
        <v>2135</v>
      </c>
      <c r="AC209" s="8" t="s">
        <v>2135</v>
      </c>
      <c r="AD209" s="8" t="s">
        <v>2135</v>
      </c>
      <c r="AE209" s="8" t="s">
        <v>2135</v>
      </c>
      <c r="AF209" s="8" t="s">
        <v>2135</v>
      </c>
      <c r="AG209" s="8">
        <v>75.0</v>
      </c>
      <c r="AH209" s="8">
        <v>163.0</v>
      </c>
      <c r="AI209" s="8">
        <v>203.0</v>
      </c>
      <c r="AJ209" s="8">
        <v>1.0</v>
      </c>
      <c r="AK209" s="8">
        <v>63.0</v>
      </c>
      <c r="AL209" s="8" t="s">
        <v>4044</v>
      </c>
      <c r="AM209" s="8" t="s">
        <v>3759</v>
      </c>
      <c r="AN209" s="8" t="s">
        <v>4117</v>
      </c>
      <c r="AO209" s="8" t="s">
        <v>5430</v>
      </c>
      <c r="AP209" s="8" t="s">
        <v>2135</v>
      </c>
      <c r="AQ209" s="8" t="s">
        <v>2135</v>
      </c>
      <c r="AR209" s="8" t="s">
        <v>5432</v>
      </c>
      <c r="AS209" s="8" t="s">
        <v>5433</v>
      </c>
      <c r="AT209" s="8" t="s">
        <v>3485</v>
      </c>
      <c r="AU209" s="8">
        <v>1999.0</v>
      </c>
      <c r="AV209" s="8">
        <v>36.0</v>
      </c>
      <c r="AW209" s="8">
        <v>1.0</v>
      </c>
      <c r="AX209" s="8" t="s">
        <v>2135</v>
      </c>
      <c r="AY209" s="8" t="s">
        <v>2135</v>
      </c>
      <c r="AZ209" s="8" t="s">
        <v>2135</v>
      </c>
      <c r="BA209" s="8" t="s">
        <v>2135</v>
      </c>
      <c r="BB209" s="8">
        <v>157.0</v>
      </c>
      <c r="BC209" s="8">
        <v>172.0</v>
      </c>
      <c r="BD209" s="8" t="s">
        <v>2135</v>
      </c>
      <c r="BE209" s="8" t="s">
        <v>6788</v>
      </c>
      <c r="BF209" s="13" t="str">
        <f>HYPERLINK("http://dx.doi.org/10.1046/j.1365-2664.1999.00377.x","http://dx.doi.org/10.1046/j.1365-2664.1999.00377.x")</f>
        <v>http://dx.doi.org/10.1046/j.1365-2664.1999.00377.x</v>
      </c>
      <c r="BG209" s="8" t="s">
        <v>2135</v>
      </c>
      <c r="BH209" s="8" t="s">
        <v>2135</v>
      </c>
      <c r="BI209" s="8">
        <v>16.0</v>
      </c>
      <c r="BJ209" s="8" t="s">
        <v>3558</v>
      </c>
      <c r="BK209" s="8" t="s">
        <v>3352</v>
      </c>
      <c r="BL209" s="8" t="s">
        <v>3353</v>
      </c>
      <c r="BM209" s="8" t="s">
        <v>6789</v>
      </c>
      <c r="BN209" s="8" t="s">
        <v>2135</v>
      </c>
      <c r="BO209" s="8" t="s">
        <v>4332</v>
      </c>
      <c r="BP209" s="8" t="s">
        <v>2135</v>
      </c>
      <c r="BQ209" s="8" t="s">
        <v>2135</v>
      </c>
      <c r="BR209" s="8" t="s">
        <v>3355</v>
      </c>
      <c r="BS209" s="8" t="s">
        <v>6790</v>
      </c>
      <c r="BT209" s="8" t="s">
        <v>2600</v>
      </c>
      <c r="BU209" s="8" t="s">
        <v>2147</v>
      </c>
      <c r="BV209" s="8" t="s">
        <v>2217</v>
      </c>
      <c r="BW209" s="8" t="s">
        <v>2221</v>
      </c>
      <c r="BX209" s="8" t="s">
        <v>2971</v>
      </c>
      <c r="BY209" s="8" t="s">
        <v>2954</v>
      </c>
      <c r="BZ209" s="8" t="str">
        <f>HYPERLINK("https%3A%2F%2Fwww.webofscience.com%2Fwos%2Fwoscc%2Ffull-record%2FWOS:000080173800015","View Full Record in Web of Science")</f>
        <v>View Full Record in Web of Science</v>
      </c>
    </row>
    <row r="210" ht="12.75" customHeight="1">
      <c r="A210" s="8" t="s">
        <v>3329</v>
      </c>
      <c r="B210" s="8" t="s">
        <v>6791</v>
      </c>
      <c r="C210" s="8" t="s">
        <v>2135</v>
      </c>
      <c r="D210" s="8" t="s">
        <v>2135</v>
      </c>
      <c r="E210" s="8" t="s">
        <v>2135</v>
      </c>
      <c r="F210" s="8" t="s">
        <v>6791</v>
      </c>
      <c r="G210" s="8" t="s">
        <v>2135</v>
      </c>
      <c r="H210" s="8" t="s">
        <v>2135</v>
      </c>
      <c r="I210" s="8" t="s">
        <v>690</v>
      </c>
      <c r="J210" s="8" t="s">
        <v>4140</v>
      </c>
      <c r="K210" s="8" t="s">
        <v>2135</v>
      </c>
      <c r="L210" s="8" t="s">
        <v>2135</v>
      </c>
      <c r="M210" s="8" t="s">
        <v>3332</v>
      </c>
      <c r="N210" s="8" t="s">
        <v>3333</v>
      </c>
      <c r="O210" s="8" t="s">
        <v>2135</v>
      </c>
      <c r="P210" s="8" t="s">
        <v>2135</v>
      </c>
      <c r="Q210" s="8" t="s">
        <v>2135</v>
      </c>
      <c r="R210" s="8" t="s">
        <v>2135</v>
      </c>
      <c r="S210" s="8" t="s">
        <v>2135</v>
      </c>
      <c r="T210" s="8" t="s">
        <v>2135</v>
      </c>
      <c r="U210" s="8" t="s">
        <v>6792</v>
      </c>
      <c r="V210" s="8" t="s">
        <v>6793</v>
      </c>
      <c r="W210" s="8" t="s">
        <v>6794</v>
      </c>
      <c r="X210" s="8" t="s">
        <v>6795</v>
      </c>
      <c r="Y210" s="8" t="s">
        <v>6796</v>
      </c>
      <c r="Z210" s="8" t="s">
        <v>2135</v>
      </c>
      <c r="AA210" s="8" t="s">
        <v>2135</v>
      </c>
      <c r="AB210" s="8" t="s">
        <v>2135</v>
      </c>
      <c r="AC210" s="8" t="s">
        <v>2135</v>
      </c>
      <c r="AD210" s="8" t="s">
        <v>2135</v>
      </c>
      <c r="AE210" s="8" t="s">
        <v>2135</v>
      </c>
      <c r="AF210" s="8" t="s">
        <v>2135</v>
      </c>
      <c r="AG210" s="8">
        <v>29.0</v>
      </c>
      <c r="AH210" s="8">
        <v>16.0</v>
      </c>
      <c r="AI210" s="8">
        <v>16.0</v>
      </c>
      <c r="AJ210" s="8">
        <v>0.0</v>
      </c>
      <c r="AK210" s="8">
        <v>19.0</v>
      </c>
      <c r="AL210" s="8" t="s">
        <v>4146</v>
      </c>
      <c r="AM210" s="8" t="s">
        <v>6797</v>
      </c>
      <c r="AN210" s="8" t="s">
        <v>6798</v>
      </c>
      <c r="AO210" s="8" t="s">
        <v>4149</v>
      </c>
      <c r="AP210" s="8" t="s">
        <v>6799</v>
      </c>
      <c r="AQ210" s="8" t="s">
        <v>2135</v>
      </c>
      <c r="AR210" s="8" t="s">
        <v>4150</v>
      </c>
      <c r="AS210" s="8" t="s">
        <v>4151</v>
      </c>
      <c r="AT210" s="8" t="s">
        <v>2135</v>
      </c>
      <c r="AU210" s="8">
        <v>1999.0</v>
      </c>
      <c r="AV210" s="8">
        <v>36.0</v>
      </c>
      <c r="AW210" s="8">
        <v>3.0</v>
      </c>
      <c r="AX210" s="8" t="s">
        <v>2135</v>
      </c>
      <c r="AY210" s="8" t="s">
        <v>2135</v>
      </c>
      <c r="AZ210" s="8" t="s">
        <v>2135</v>
      </c>
      <c r="BA210" s="8" t="s">
        <v>2135</v>
      </c>
      <c r="BB210" s="8">
        <v>139.0</v>
      </c>
      <c r="BC210" s="8">
        <v>148.0</v>
      </c>
      <c r="BD210" s="8" t="s">
        <v>2135</v>
      </c>
      <c r="BE210" s="8" t="s">
        <v>2135</v>
      </c>
      <c r="BF210" s="8" t="s">
        <v>2135</v>
      </c>
      <c r="BG210" s="8" t="s">
        <v>2135</v>
      </c>
      <c r="BH210" s="8" t="s">
        <v>2135</v>
      </c>
      <c r="BI210" s="8">
        <v>10.0</v>
      </c>
      <c r="BJ210" s="8" t="s">
        <v>3442</v>
      </c>
      <c r="BK210" s="8" t="s">
        <v>3352</v>
      </c>
      <c r="BL210" s="8" t="s">
        <v>3443</v>
      </c>
      <c r="BM210" s="8" t="s">
        <v>6800</v>
      </c>
      <c r="BN210" s="8" t="s">
        <v>2135</v>
      </c>
      <c r="BO210" s="8" t="s">
        <v>2135</v>
      </c>
      <c r="BP210" s="8" t="s">
        <v>2135</v>
      </c>
      <c r="BQ210" s="8" t="s">
        <v>2135</v>
      </c>
      <c r="BR210" s="8" t="s">
        <v>3355</v>
      </c>
      <c r="BS210" s="8" t="s">
        <v>6801</v>
      </c>
      <c r="BT210" s="8" t="s">
        <v>2318</v>
      </c>
      <c r="BU210" s="8" t="s">
        <v>2142</v>
      </c>
      <c r="BW210" s="8" t="s">
        <v>2166</v>
      </c>
      <c r="BX210" s="8" t="s">
        <v>2953</v>
      </c>
      <c r="BY210" s="8" t="s">
        <v>2954</v>
      </c>
      <c r="BZ210" s="8" t="str">
        <f>HYPERLINK("https%3A%2F%2Fwww.webofscience.com%2Fwos%2Fwoscc%2Ffull-record%2FWOS:000083074500002","View Full Record in Web of Science")</f>
        <v>View Full Record in Web of Science</v>
      </c>
    </row>
    <row r="211" ht="12.75" customHeight="1">
      <c r="A211" s="8" t="s">
        <v>3329</v>
      </c>
      <c r="B211" s="8" t="s">
        <v>6802</v>
      </c>
      <c r="C211" s="8" t="s">
        <v>2135</v>
      </c>
      <c r="D211" s="8" t="s">
        <v>2135</v>
      </c>
      <c r="E211" s="8" t="s">
        <v>2135</v>
      </c>
      <c r="F211" s="8" t="s">
        <v>6802</v>
      </c>
      <c r="G211" s="8" t="s">
        <v>2135</v>
      </c>
      <c r="H211" s="8" t="s">
        <v>2135</v>
      </c>
      <c r="I211" s="8" t="s">
        <v>680</v>
      </c>
      <c r="J211" s="8" t="s">
        <v>3331</v>
      </c>
      <c r="K211" s="8" t="s">
        <v>2135</v>
      </c>
      <c r="L211" s="8" t="s">
        <v>2135</v>
      </c>
      <c r="M211" s="8" t="s">
        <v>3332</v>
      </c>
      <c r="N211" s="8" t="s">
        <v>3333</v>
      </c>
      <c r="O211" s="8" t="s">
        <v>2135</v>
      </c>
      <c r="P211" s="8" t="s">
        <v>2135</v>
      </c>
      <c r="Q211" s="8" t="s">
        <v>2135</v>
      </c>
      <c r="R211" s="8" t="s">
        <v>2135</v>
      </c>
      <c r="S211" s="8" t="s">
        <v>2135</v>
      </c>
      <c r="T211" s="8" t="s">
        <v>2135</v>
      </c>
      <c r="U211" s="8" t="s">
        <v>6803</v>
      </c>
      <c r="V211" s="8" t="s">
        <v>6804</v>
      </c>
      <c r="W211" s="8" t="s">
        <v>6805</v>
      </c>
      <c r="X211" s="8" t="s">
        <v>6806</v>
      </c>
      <c r="Y211" s="8" t="s">
        <v>6807</v>
      </c>
      <c r="Z211" s="8" t="s">
        <v>6808</v>
      </c>
      <c r="AA211" s="8" t="s">
        <v>2135</v>
      </c>
      <c r="AB211" s="8" t="s">
        <v>2135</v>
      </c>
      <c r="AC211" s="8" t="s">
        <v>2135</v>
      </c>
      <c r="AD211" s="8" t="s">
        <v>2135</v>
      </c>
      <c r="AE211" s="8" t="s">
        <v>2135</v>
      </c>
      <c r="AF211" s="8" t="s">
        <v>2135</v>
      </c>
      <c r="AG211" s="8">
        <v>56.0</v>
      </c>
      <c r="AH211" s="8">
        <v>111.0</v>
      </c>
      <c r="AI211" s="8">
        <v>137.0</v>
      </c>
      <c r="AJ211" s="8">
        <v>0.0</v>
      </c>
      <c r="AK211" s="8">
        <v>43.0</v>
      </c>
      <c r="AL211" s="8" t="s">
        <v>4374</v>
      </c>
      <c r="AM211" s="8" t="s">
        <v>6809</v>
      </c>
      <c r="AN211" s="8" t="s">
        <v>6810</v>
      </c>
      <c r="AO211" s="8" t="s">
        <v>3345</v>
      </c>
      <c r="AP211" s="8" t="s">
        <v>2135</v>
      </c>
      <c r="AQ211" s="8" t="s">
        <v>2135</v>
      </c>
      <c r="AR211" s="8" t="s">
        <v>3347</v>
      </c>
      <c r="AS211" s="8" t="s">
        <v>3348</v>
      </c>
      <c r="AT211" s="8" t="s">
        <v>3741</v>
      </c>
      <c r="AU211" s="8">
        <v>1998.0</v>
      </c>
      <c r="AV211" s="8">
        <v>12.0</v>
      </c>
      <c r="AW211" s="8">
        <v>6.0</v>
      </c>
      <c r="AX211" s="8" t="s">
        <v>2135</v>
      </c>
      <c r="AY211" s="8" t="s">
        <v>2135</v>
      </c>
      <c r="AZ211" s="8" t="s">
        <v>2135</v>
      </c>
      <c r="BA211" s="8" t="s">
        <v>2135</v>
      </c>
      <c r="BB211" s="8">
        <v>1327.0</v>
      </c>
      <c r="BC211" s="8">
        <v>1337.0</v>
      </c>
      <c r="BD211" s="8" t="s">
        <v>2135</v>
      </c>
      <c r="BE211" s="8" t="s">
        <v>6811</v>
      </c>
      <c r="BF211" s="13" t="str">
        <f>HYPERLINK("http://dx.doi.org/10.1046/j.1523-1739.1998.96227.x","http://dx.doi.org/10.1046/j.1523-1739.1998.96227.x")</f>
        <v>http://dx.doi.org/10.1046/j.1523-1739.1998.96227.x</v>
      </c>
      <c r="BG211" s="8" t="s">
        <v>2135</v>
      </c>
      <c r="BH211" s="8" t="s">
        <v>2135</v>
      </c>
      <c r="BI211" s="8">
        <v>11.0</v>
      </c>
      <c r="BJ211" s="8" t="s">
        <v>3351</v>
      </c>
      <c r="BK211" s="8" t="s">
        <v>3352</v>
      </c>
      <c r="BL211" s="8" t="s">
        <v>3353</v>
      </c>
      <c r="BM211" s="8" t="s">
        <v>6812</v>
      </c>
      <c r="BN211" s="8" t="s">
        <v>2135</v>
      </c>
      <c r="BO211" s="8" t="s">
        <v>2135</v>
      </c>
      <c r="BP211" s="8" t="s">
        <v>2135</v>
      </c>
      <c r="BQ211" s="8" t="s">
        <v>2135</v>
      </c>
      <c r="BR211" s="8" t="s">
        <v>3355</v>
      </c>
      <c r="BS211" s="8" t="s">
        <v>6813</v>
      </c>
      <c r="BT211" s="8" t="s">
        <v>2600</v>
      </c>
      <c r="BU211" s="8" t="s">
        <v>2147</v>
      </c>
      <c r="BV211" s="8" t="s">
        <v>2217</v>
      </c>
      <c r="BW211" s="8" t="s">
        <v>2221</v>
      </c>
      <c r="BX211" s="8" t="s">
        <v>2971</v>
      </c>
      <c r="BY211" s="8" t="s">
        <v>2954</v>
      </c>
      <c r="BZ211" s="8" t="str">
        <f>HYPERLINK("https%3A%2F%2Fwww.webofscience.com%2Fwos%2Fwoscc%2Ffull-record%2FWOS:000077423400025","View Full Record in Web of Science")</f>
        <v>View Full Record in Web of Science</v>
      </c>
    </row>
    <row r="212" ht="12.75" customHeight="1">
      <c r="A212" s="8" t="s">
        <v>3329</v>
      </c>
      <c r="B212" s="8" t="s">
        <v>6814</v>
      </c>
      <c r="C212" s="8" t="s">
        <v>2135</v>
      </c>
      <c r="D212" s="8" t="s">
        <v>2135</v>
      </c>
      <c r="E212" s="8" t="s">
        <v>2135</v>
      </c>
      <c r="F212" s="8" t="s">
        <v>6814</v>
      </c>
      <c r="G212" s="8" t="s">
        <v>2135</v>
      </c>
      <c r="H212" s="8" t="s">
        <v>2135</v>
      </c>
      <c r="I212" s="8" t="s">
        <v>684</v>
      </c>
      <c r="J212" s="8" t="s">
        <v>4773</v>
      </c>
      <c r="K212" s="8" t="s">
        <v>2135</v>
      </c>
      <c r="L212" s="8" t="s">
        <v>2135</v>
      </c>
      <c r="M212" s="8" t="s">
        <v>3332</v>
      </c>
      <c r="N212" s="8" t="s">
        <v>3333</v>
      </c>
      <c r="O212" s="8" t="s">
        <v>2135</v>
      </c>
      <c r="P212" s="8" t="s">
        <v>2135</v>
      </c>
      <c r="Q212" s="8" t="s">
        <v>2135</v>
      </c>
      <c r="R212" s="8" t="s">
        <v>2135</v>
      </c>
      <c r="S212" s="8" t="s">
        <v>2135</v>
      </c>
      <c r="T212" s="8" t="s">
        <v>2135</v>
      </c>
      <c r="U212" s="8" t="s">
        <v>6815</v>
      </c>
      <c r="V212" s="8" t="s">
        <v>6816</v>
      </c>
      <c r="W212" s="8" t="s">
        <v>6817</v>
      </c>
      <c r="X212" s="8" t="s">
        <v>6818</v>
      </c>
      <c r="Y212" s="8" t="s">
        <v>6819</v>
      </c>
      <c r="Z212" s="8" t="s">
        <v>2135</v>
      </c>
      <c r="AA212" s="8" t="s">
        <v>6820</v>
      </c>
      <c r="AB212" s="8" t="s">
        <v>6821</v>
      </c>
      <c r="AC212" s="8" t="s">
        <v>2135</v>
      </c>
      <c r="AD212" s="8" t="s">
        <v>2135</v>
      </c>
      <c r="AE212" s="8" t="s">
        <v>2135</v>
      </c>
      <c r="AF212" s="8" t="s">
        <v>2135</v>
      </c>
      <c r="AG212" s="8">
        <v>20.0</v>
      </c>
      <c r="AH212" s="8">
        <v>18.0</v>
      </c>
      <c r="AI212" s="8">
        <v>20.0</v>
      </c>
      <c r="AJ212" s="8">
        <v>0.0</v>
      </c>
      <c r="AK212" s="8">
        <v>7.0</v>
      </c>
      <c r="AL212" s="8" t="s">
        <v>3550</v>
      </c>
      <c r="AM212" s="8" t="s">
        <v>3480</v>
      </c>
      <c r="AN212" s="8" t="s">
        <v>6822</v>
      </c>
      <c r="AO212" s="8" t="s">
        <v>4783</v>
      </c>
      <c r="AP212" s="8" t="s">
        <v>2135</v>
      </c>
      <c r="AQ212" s="8" t="s">
        <v>2135</v>
      </c>
      <c r="AR212" s="8" t="s">
        <v>4785</v>
      </c>
      <c r="AS212" s="8" t="s">
        <v>4786</v>
      </c>
      <c r="AT212" s="8" t="s">
        <v>3741</v>
      </c>
      <c r="AU212" s="8">
        <v>1998.0</v>
      </c>
      <c r="AV212" s="8">
        <v>246.0</v>
      </c>
      <c r="AW212" s="8" t="s">
        <v>2135</v>
      </c>
      <c r="AX212" s="8">
        <v>4.0</v>
      </c>
      <c r="AY212" s="8" t="s">
        <v>2135</v>
      </c>
      <c r="AZ212" s="8" t="s">
        <v>2135</v>
      </c>
      <c r="BA212" s="8" t="s">
        <v>2135</v>
      </c>
      <c r="BB212" s="8">
        <v>478.0</v>
      </c>
      <c r="BC212" s="8">
        <v>482.0</v>
      </c>
      <c r="BD212" s="8" t="s">
        <v>2135</v>
      </c>
      <c r="BE212" s="8" t="s">
        <v>6823</v>
      </c>
      <c r="BF212" s="13" t="str">
        <f>HYPERLINK("http://dx.doi.org/10.1111/j.1469-7998.1998.tb00186.x","http://dx.doi.org/10.1111/j.1469-7998.1998.tb00186.x")</f>
        <v>http://dx.doi.org/10.1111/j.1469-7998.1998.tb00186.x</v>
      </c>
      <c r="BG212" s="8" t="s">
        <v>2135</v>
      </c>
      <c r="BH212" s="8" t="s">
        <v>2135</v>
      </c>
      <c r="BI212" s="8">
        <v>5.0</v>
      </c>
      <c r="BJ212" s="8" t="s">
        <v>3397</v>
      </c>
      <c r="BK212" s="8" t="s">
        <v>3352</v>
      </c>
      <c r="BL212" s="8" t="s">
        <v>3397</v>
      </c>
      <c r="BM212" s="8" t="s">
        <v>6824</v>
      </c>
      <c r="BN212" s="8" t="s">
        <v>2135</v>
      </c>
      <c r="BO212" s="8" t="s">
        <v>2135</v>
      </c>
      <c r="BP212" s="8" t="s">
        <v>2135</v>
      </c>
      <c r="BQ212" s="8" t="s">
        <v>2135</v>
      </c>
      <c r="BR212" s="8" t="s">
        <v>3355</v>
      </c>
      <c r="BS212" s="8" t="s">
        <v>6825</v>
      </c>
      <c r="BT212" s="8" t="s">
        <v>2553</v>
      </c>
      <c r="BU212" s="8" t="s">
        <v>2142</v>
      </c>
      <c r="BW212" s="8" t="s">
        <v>2311</v>
      </c>
      <c r="BX212" s="8" t="s">
        <v>2953</v>
      </c>
      <c r="BY212" s="8" t="s">
        <v>2954</v>
      </c>
      <c r="BZ212" s="8" t="str">
        <f>HYPERLINK("https%3A%2F%2Fwww.webofscience.com%2Fwos%2Fwoscc%2Ffull-record%2FWOS:000078548500019","View Full Record in Web of Science")</f>
        <v>View Full Record in Web of Science</v>
      </c>
    </row>
    <row r="213" ht="12.75" customHeight="1">
      <c r="A213" s="8" t="s">
        <v>3329</v>
      </c>
      <c r="B213" s="8" t="s">
        <v>6826</v>
      </c>
      <c r="C213" s="8" t="s">
        <v>2135</v>
      </c>
      <c r="D213" s="8" t="s">
        <v>2135</v>
      </c>
      <c r="E213" s="8" t="s">
        <v>2135</v>
      </c>
      <c r="F213" s="8" t="s">
        <v>6826</v>
      </c>
      <c r="G213" s="8" t="s">
        <v>2135</v>
      </c>
      <c r="H213" s="8" t="s">
        <v>2135</v>
      </c>
      <c r="I213" s="8" t="s">
        <v>682</v>
      </c>
      <c r="J213" s="8" t="s">
        <v>4162</v>
      </c>
      <c r="K213" s="8" t="s">
        <v>2135</v>
      </c>
      <c r="L213" s="8" t="s">
        <v>2135</v>
      </c>
      <c r="M213" s="8" t="s">
        <v>3332</v>
      </c>
      <c r="N213" s="8" t="s">
        <v>3333</v>
      </c>
      <c r="O213" s="8" t="s">
        <v>2135</v>
      </c>
      <c r="P213" s="8" t="s">
        <v>2135</v>
      </c>
      <c r="Q213" s="8" t="s">
        <v>2135</v>
      </c>
      <c r="R213" s="8" t="s">
        <v>2135</v>
      </c>
      <c r="S213" s="8" t="s">
        <v>2135</v>
      </c>
      <c r="T213" s="8" t="s">
        <v>6827</v>
      </c>
      <c r="U213" s="8" t="s">
        <v>6828</v>
      </c>
      <c r="V213" s="8" t="s">
        <v>6829</v>
      </c>
      <c r="W213" s="8" t="s">
        <v>6830</v>
      </c>
      <c r="X213" s="8" t="s">
        <v>6831</v>
      </c>
      <c r="Y213" s="8" t="s">
        <v>6832</v>
      </c>
      <c r="Z213" s="8" t="s">
        <v>6833</v>
      </c>
      <c r="AA213" s="8" t="s">
        <v>2135</v>
      </c>
      <c r="AB213" s="8" t="s">
        <v>2135</v>
      </c>
      <c r="AC213" s="8" t="s">
        <v>2135</v>
      </c>
      <c r="AD213" s="8" t="s">
        <v>2135</v>
      </c>
      <c r="AE213" s="8" t="s">
        <v>2135</v>
      </c>
      <c r="AF213" s="8" t="s">
        <v>2135</v>
      </c>
      <c r="AG213" s="8">
        <v>27.0</v>
      </c>
      <c r="AH213" s="8">
        <v>67.0</v>
      </c>
      <c r="AI213" s="8">
        <v>98.0</v>
      </c>
      <c r="AJ213" s="8">
        <v>0.0</v>
      </c>
      <c r="AK213" s="8">
        <v>50.0</v>
      </c>
      <c r="AL213" s="8" t="s">
        <v>3342</v>
      </c>
      <c r="AM213" s="8" t="s">
        <v>3343</v>
      </c>
      <c r="AN213" s="8" t="s">
        <v>3344</v>
      </c>
      <c r="AO213" s="8" t="s">
        <v>4175</v>
      </c>
      <c r="AP213" s="8" t="s">
        <v>4176</v>
      </c>
      <c r="AQ213" s="8" t="s">
        <v>2135</v>
      </c>
      <c r="AR213" s="8" t="s">
        <v>4177</v>
      </c>
      <c r="AS213" s="8" t="s">
        <v>4178</v>
      </c>
      <c r="AT213" s="8" t="s">
        <v>3580</v>
      </c>
      <c r="AU213" s="8">
        <v>1998.0</v>
      </c>
      <c r="AV213" s="8">
        <v>62.0</v>
      </c>
      <c r="AW213" s="8">
        <v>4.0</v>
      </c>
      <c r="AX213" s="8" t="s">
        <v>2135</v>
      </c>
      <c r="AY213" s="8" t="s">
        <v>2135</v>
      </c>
      <c r="AZ213" s="8" t="s">
        <v>2135</v>
      </c>
      <c r="BA213" s="8" t="s">
        <v>2135</v>
      </c>
      <c r="BB213" s="8">
        <v>1217.0</v>
      </c>
      <c r="BC213" s="8">
        <v>1226.0</v>
      </c>
      <c r="BD213" s="8" t="s">
        <v>2135</v>
      </c>
      <c r="BE213" s="8" t="s">
        <v>6834</v>
      </c>
      <c r="BF213" s="13" t="str">
        <f>HYPERLINK("http://dx.doi.org/10.2307/3801985","http://dx.doi.org/10.2307/3801985")</f>
        <v>http://dx.doi.org/10.2307/3801985</v>
      </c>
      <c r="BG213" s="8" t="s">
        <v>2135</v>
      </c>
      <c r="BH213" s="8" t="s">
        <v>2135</v>
      </c>
      <c r="BI213" s="8">
        <v>10.0</v>
      </c>
      <c r="BJ213" s="8" t="s">
        <v>3442</v>
      </c>
      <c r="BK213" s="8" t="s">
        <v>3352</v>
      </c>
      <c r="BL213" s="8" t="s">
        <v>3443</v>
      </c>
      <c r="BM213" s="8" t="s">
        <v>6835</v>
      </c>
      <c r="BN213" s="8" t="s">
        <v>2135</v>
      </c>
      <c r="BO213" s="8" t="s">
        <v>2135</v>
      </c>
      <c r="BP213" s="8" t="s">
        <v>2135</v>
      </c>
      <c r="BQ213" s="8" t="s">
        <v>2135</v>
      </c>
      <c r="BR213" s="8" t="s">
        <v>3355</v>
      </c>
      <c r="BS213" s="8" t="s">
        <v>6836</v>
      </c>
      <c r="BT213" s="8" t="s">
        <v>2600</v>
      </c>
      <c r="BU213" s="8" t="s">
        <v>2147</v>
      </c>
      <c r="BV213" s="8" t="s">
        <v>2217</v>
      </c>
      <c r="BW213" s="8" t="s">
        <v>2692</v>
      </c>
      <c r="BX213" s="8" t="s">
        <v>2971</v>
      </c>
      <c r="BY213" s="8" t="s">
        <v>2954</v>
      </c>
      <c r="BZ213" s="8" t="str">
        <f>HYPERLINK("https%3A%2F%2Fwww.webofscience.com%2Fwos%2Fwoscc%2Ffull-record%2FWOS:000076722900005","View Full Record in Web of Science")</f>
        <v>View Full Record in Web of Science</v>
      </c>
    </row>
    <row r="214" ht="12.75" customHeight="1">
      <c r="A214" s="8" t="s">
        <v>3329</v>
      </c>
      <c r="B214" s="8" t="s">
        <v>6837</v>
      </c>
      <c r="C214" s="8" t="s">
        <v>2135</v>
      </c>
      <c r="D214" s="8" t="s">
        <v>2135</v>
      </c>
      <c r="E214" s="8" t="s">
        <v>2135</v>
      </c>
      <c r="F214" s="8" t="s">
        <v>6837</v>
      </c>
      <c r="G214" s="8" t="s">
        <v>2135</v>
      </c>
      <c r="H214" s="8" t="s">
        <v>2135</v>
      </c>
      <c r="I214" s="8" t="s">
        <v>686</v>
      </c>
      <c r="J214" s="8" t="s">
        <v>4563</v>
      </c>
      <c r="K214" s="8" t="s">
        <v>2135</v>
      </c>
      <c r="L214" s="8" t="s">
        <v>2135</v>
      </c>
      <c r="M214" s="8" t="s">
        <v>3332</v>
      </c>
      <c r="N214" s="8" t="s">
        <v>3333</v>
      </c>
      <c r="O214" s="8" t="s">
        <v>2135</v>
      </c>
      <c r="P214" s="8" t="s">
        <v>2135</v>
      </c>
      <c r="Q214" s="8" t="s">
        <v>2135</v>
      </c>
      <c r="R214" s="8" t="s">
        <v>2135</v>
      </c>
      <c r="S214" s="8" t="s">
        <v>2135</v>
      </c>
      <c r="T214" s="8" t="s">
        <v>2135</v>
      </c>
      <c r="U214" s="8" t="s">
        <v>6838</v>
      </c>
      <c r="V214" s="8" t="s">
        <v>6839</v>
      </c>
      <c r="W214" s="8" t="s">
        <v>6840</v>
      </c>
      <c r="X214" s="8" t="s">
        <v>4127</v>
      </c>
      <c r="Y214" s="8" t="s">
        <v>4128</v>
      </c>
      <c r="Z214" s="8" t="s">
        <v>2135</v>
      </c>
      <c r="AA214" s="8" t="s">
        <v>6841</v>
      </c>
      <c r="AB214" s="8" t="s">
        <v>6842</v>
      </c>
      <c r="AC214" s="8" t="s">
        <v>2135</v>
      </c>
      <c r="AD214" s="8" t="s">
        <v>2135</v>
      </c>
      <c r="AE214" s="8" t="s">
        <v>2135</v>
      </c>
      <c r="AF214" s="8" t="s">
        <v>2135</v>
      </c>
      <c r="AG214" s="8">
        <v>52.0</v>
      </c>
      <c r="AH214" s="8">
        <v>57.0</v>
      </c>
      <c r="AI214" s="8">
        <v>65.0</v>
      </c>
      <c r="AJ214" s="8">
        <v>1.0</v>
      </c>
      <c r="AK214" s="8">
        <v>63.0</v>
      </c>
      <c r="AL214" s="8" t="s">
        <v>4568</v>
      </c>
      <c r="AM214" s="8" t="s">
        <v>3844</v>
      </c>
      <c r="AN214" s="8" t="s">
        <v>6843</v>
      </c>
      <c r="AO214" s="8" t="s">
        <v>3846</v>
      </c>
      <c r="AP214" s="8" t="s">
        <v>2135</v>
      </c>
      <c r="AQ214" s="8" t="s">
        <v>2135</v>
      </c>
      <c r="AR214" s="8" t="s">
        <v>3848</v>
      </c>
      <c r="AS214" s="8" t="s">
        <v>4570</v>
      </c>
      <c r="AT214" s="8" t="s">
        <v>3721</v>
      </c>
      <c r="AU214" s="8">
        <v>1998.0</v>
      </c>
      <c r="AV214" s="8">
        <v>76.0</v>
      </c>
      <c r="AW214" s="8">
        <v>3.0</v>
      </c>
      <c r="AX214" s="8" t="s">
        <v>2135</v>
      </c>
      <c r="AY214" s="8" t="s">
        <v>2135</v>
      </c>
      <c r="AZ214" s="8" t="s">
        <v>2135</v>
      </c>
      <c r="BA214" s="8" t="s">
        <v>2135</v>
      </c>
      <c r="BB214" s="8">
        <v>448.0</v>
      </c>
      <c r="BC214" s="8">
        <v>457.0</v>
      </c>
      <c r="BD214" s="8" t="s">
        <v>2135</v>
      </c>
      <c r="BE214" s="8" t="s">
        <v>6844</v>
      </c>
      <c r="BF214" s="13" t="str">
        <f>HYPERLINK("http://dx.doi.org/10.1139/cjz-76-3-448","http://dx.doi.org/10.1139/cjz-76-3-448")</f>
        <v>http://dx.doi.org/10.1139/cjz-76-3-448</v>
      </c>
      <c r="BG214" s="8" t="s">
        <v>2135</v>
      </c>
      <c r="BH214" s="8" t="s">
        <v>2135</v>
      </c>
      <c r="BI214" s="8">
        <v>10.0</v>
      </c>
      <c r="BJ214" s="8" t="s">
        <v>3397</v>
      </c>
      <c r="BK214" s="8" t="s">
        <v>3352</v>
      </c>
      <c r="BL214" s="8" t="s">
        <v>3397</v>
      </c>
      <c r="BM214" s="8" t="s">
        <v>6845</v>
      </c>
      <c r="BN214" s="8" t="s">
        <v>2135</v>
      </c>
      <c r="BO214" s="8" t="s">
        <v>2135</v>
      </c>
      <c r="BP214" s="8" t="s">
        <v>2135</v>
      </c>
      <c r="BQ214" s="8" t="s">
        <v>2135</v>
      </c>
      <c r="BR214" s="8" t="s">
        <v>3355</v>
      </c>
      <c r="BS214" s="8" t="s">
        <v>6846</v>
      </c>
      <c r="BT214" s="8" t="s">
        <v>2450</v>
      </c>
      <c r="BU214" s="8" t="s">
        <v>2142</v>
      </c>
      <c r="BW214" s="8" t="s">
        <v>2218</v>
      </c>
      <c r="BX214" s="8" t="s">
        <v>2953</v>
      </c>
      <c r="BY214" s="8" t="s">
        <v>2954</v>
      </c>
      <c r="BZ214" s="8" t="str">
        <f>HYPERLINK("https%3A%2F%2Fwww.webofscience.com%2Fwos%2Fwoscc%2Ffull-record%2FWOS:000074719800009","View Full Record in Web of Science")</f>
        <v>View Full Record in Web of Science</v>
      </c>
    </row>
    <row r="215" ht="12.75" customHeight="1">
      <c r="A215" s="8" t="s">
        <v>3329</v>
      </c>
      <c r="B215" s="8" t="s">
        <v>6847</v>
      </c>
      <c r="C215" s="8" t="s">
        <v>2135</v>
      </c>
      <c r="D215" s="8" t="s">
        <v>2135</v>
      </c>
      <c r="E215" s="8" t="s">
        <v>2135</v>
      </c>
      <c r="F215" s="8" t="s">
        <v>6847</v>
      </c>
      <c r="G215" s="8" t="s">
        <v>2135</v>
      </c>
      <c r="H215" s="8" t="s">
        <v>2135</v>
      </c>
      <c r="I215" s="8" t="s">
        <v>678</v>
      </c>
      <c r="J215" s="8" t="s">
        <v>4162</v>
      </c>
      <c r="K215" s="8" t="s">
        <v>2135</v>
      </c>
      <c r="L215" s="8" t="s">
        <v>2135</v>
      </c>
      <c r="M215" s="8" t="s">
        <v>3332</v>
      </c>
      <c r="N215" s="8" t="s">
        <v>3333</v>
      </c>
      <c r="O215" s="8" t="s">
        <v>2135</v>
      </c>
      <c r="P215" s="8" t="s">
        <v>2135</v>
      </c>
      <c r="Q215" s="8" t="s">
        <v>2135</v>
      </c>
      <c r="R215" s="8" t="s">
        <v>2135</v>
      </c>
      <c r="S215" s="8" t="s">
        <v>2135</v>
      </c>
      <c r="T215" s="8" t="s">
        <v>6848</v>
      </c>
      <c r="U215" s="8" t="s">
        <v>6849</v>
      </c>
      <c r="V215" s="8" t="s">
        <v>6850</v>
      </c>
      <c r="W215" s="8" t="s">
        <v>2135</v>
      </c>
      <c r="X215" s="8" t="s">
        <v>2135</v>
      </c>
      <c r="Y215" s="8" t="s">
        <v>6851</v>
      </c>
      <c r="Z215" s="8" t="s">
        <v>2135</v>
      </c>
      <c r="AA215" s="8" t="s">
        <v>4129</v>
      </c>
      <c r="AB215" s="8" t="s">
        <v>4130</v>
      </c>
      <c r="AC215" s="8" t="s">
        <v>2135</v>
      </c>
      <c r="AD215" s="8" t="s">
        <v>2135</v>
      </c>
      <c r="AE215" s="8" t="s">
        <v>2135</v>
      </c>
      <c r="AF215" s="8" t="s">
        <v>2135</v>
      </c>
      <c r="AG215" s="8">
        <v>35.0</v>
      </c>
      <c r="AH215" s="8">
        <v>10.0</v>
      </c>
      <c r="AI215" s="8">
        <v>11.0</v>
      </c>
      <c r="AJ215" s="8">
        <v>1.0</v>
      </c>
      <c r="AK215" s="8">
        <v>18.0</v>
      </c>
      <c r="AL215" s="8" t="s">
        <v>4276</v>
      </c>
      <c r="AM215" s="8" t="s">
        <v>4277</v>
      </c>
      <c r="AN215" s="8" t="s">
        <v>6852</v>
      </c>
      <c r="AO215" s="8" t="s">
        <v>4175</v>
      </c>
      <c r="AP215" s="8" t="s">
        <v>2135</v>
      </c>
      <c r="AQ215" s="8" t="s">
        <v>2135</v>
      </c>
      <c r="AR215" s="8" t="s">
        <v>4177</v>
      </c>
      <c r="AS215" s="8" t="s">
        <v>4178</v>
      </c>
      <c r="AT215" s="8" t="s">
        <v>3556</v>
      </c>
      <c r="AU215" s="8">
        <v>1997.0</v>
      </c>
      <c r="AV215" s="8">
        <v>61.0</v>
      </c>
      <c r="AW215" s="8">
        <v>2.0</v>
      </c>
      <c r="AX215" s="8" t="s">
        <v>2135</v>
      </c>
      <c r="AY215" s="8" t="s">
        <v>2135</v>
      </c>
      <c r="AZ215" s="8" t="s">
        <v>2135</v>
      </c>
      <c r="BA215" s="8" t="s">
        <v>2135</v>
      </c>
      <c r="BB215" s="8">
        <v>510.0</v>
      </c>
      <c r="BC215" s="8">
        <v>516.0</v>
      </c>
      <c r="BD215" s="8" t="s">
        <v>2135</v>
      </c>
      <c r="BE215" s="8" t="s">
        <v>6853</v>
      </c>
      <c r="BF215" s="13" t="str">
        <f>HYPERLINK("http://dx.doi.org/10.2307/3802609","http://dx.doi.org/10.2307/3802609")</f>
        <v>http://dx.doi.org/10.2307/3802609</v>
      </c>
      <c r="BG215" s="8" t="s">
        <v>2135</v>
      </c>
      <c r="BH215" s="8" t="s">
        <v>2135</v>
      </c>
      <c r="BI215" s="8">
        <v>7.0</v>
      </c>
      <c r="BJ215" s="8" t="s">
        <v>3442</v>
      </c>
      <c r="BK215" s="8" t="s">
        <v>3352</v>
      </c>
      <c r="BL215" s="8" t="s">
        <v>3443</v>
      </c>
      <c r="BM215" s="8" t="s">
        <v>6854</v>
      </c>
      <c r="BN215" s="8" t="s">
        <v>2135</v>
      </c>
      <c r="BO215" s="8" t="s">
        <v>2135</v>
      </c>
      <c r="BP215" s="8" t="s">
        <v>2135</v>
      </c>
      <c r="BQ215" s="8" t="s">
        <v>2135</v>
      </c>
      <c r="BR215" s="8" t="s">
        <v>3355</v>
      </c>
      <c r="BS215" s="8" t="s">
        <v>6855</v>
      </c>
      <c r="BT215" s="8" t="s">
        <v>2450</v>
      </c>
      <c r="BU215" s="8" t="s">
        <v>2142</v>
      </c>
      <c r="BW215" s="8" t="s">
        <v>2218</v>
      </c>
      <c r="BX215" s="8" t="s">
        <v>2953</v>
      </c>
      <c r="BY215" s="8" t="s">
        <v>2954</v>
      </c>
      <c r="BZ215" s="8" t="str">
        <f>HYPERLINK("https%3A%2F%2Fwww.webofscience.com%2Fwos%2Fwoscc%2Ffull-record%2FWOS:A1997XD77900029","View Full Record in Web of Science")</f>
        <v>View Full Record in Web of Science</v>
      </c>
    </row>
    <row r="216" ht="12.75" customHeight="1">
      <c r="A216" s="8" t="s">
        <v>3329</v>
      </c>
      <c r="B216" s="8" t="s">
        <v>6856</v>
      </c>
      <c r="C216" s="8" t="s">
        <v>2135</v>
      </c>
      <c r="D216" s="8" t="s">
        <v>2135</v>
      </c>
      <c r="E216" s="8" t="s">
        <v>2135</v>
      </c>
      <c r="F216" s="8" t="s">
        <v>6856</v>
      </c>
      <c r="G216" s="8" t="s">
        <v>2135</v>
      </c>
      <c r="H216" s="8" t="s">
        <v>2135</v>
      </c>
      <c r="I216" s="8" t="s">
        <v>676</v>
      </c>
      <c r="J216" s="8" t="s">
        <v>4248</v>
      </c>
      <c r="K216" s="8" t="s">
        <v>2135</v>
      </c>
      <c r="L216" s="8" t="s">
        <v>2135</v>
      </c>
      <c r="M216" s="8" t="s">
        <v>3332</v>
      </c>
      <c r="N216" s="8" t="s">
        <v>3333</v>
      </c>
      <c r="O216" s="8" t="s">
        <v>2135</v>
      </c>
      <c r="P216" s="8" t="s">
        <v>2135</v>
      </c>
      <c r="Q216" s="8" t="s">
        <v>2135</v>
      </c>
      <c r="R216" s="8" t="s">
        <v>2135</v>
      </c>
      <c r="S216" s="8" t="s">
        <v>2135</v>
      </c>
      <c r="T216" s="8" t="s">
        <v>6857</v>
      </c>
      <c r="U216" s="8" t="s">
        <v>6858</v>
      </c>
      <c r="V216" s="8" t="s">
        <v>6859</v>
      </c>
      <c r="W216" s="8" t="s">
        <v>2135</v>
      </c>
      <c r="X216" s="8" t="s">
        <v>2135</v>
      </c>
      <c r="Y216" s="8" t="s">
        <v>6860</v>
      </c>
      <c r="Z216" s="8" t="s">
        <v>2135</v>
      </c>
      <c r="AA216" s="8" t="s">
        <v>2135</v>
      </c>
      <c r="AB216" s="8" t="s">
        <v>2135</v>
      </c>
      <c r="AC216" s="8" t="s">
        <v>2135</v>
      </c>
      <c r="AD216" s="8" t="s">
        <v>2135</v>
      </c>
      <c r="AE216" s="8" t="s">
        <v>2135</v>
      </c>
      <c r="AF216" s="8" t="s">
        <v>2135</v>
      </c>
      <c r="AG216" s="8">
        <v>63.0</v>
      </c>
      <c r="AH216" s="8">
        <v>15.0</v>
      </c>
      <c r="AI216" s="8">
        <v>20.0</v>
      </c>
      <c r="AJ216" s="8">
        <v>1.0</v>
      </c>
      <c r="AK216" s="8">
        <v>73.0</v>
      </c>
      <c r="AL216" s="8" t="s">
        <v>4257</v>
      </c>
      <c r="AM216" s="8" t="s">
        <v>3844</v>
      </c>
      <c r="AN216" s="8" t="s">
        <v>6861</v>
      </c>
      <c r="AO216" s="8" t="s">
        <v>4259</v>
      </c>
      <c r="AP216" s="8" t="s">
        <v>2135</v>
      </c>
      <c r="AQ216" s="8" t="s">
        <v>2135</v>
      </c>
      <c r="AR216" s="8" t="s">
        <v>4260</v>
      </c>
      <c r="AS216" s="8" t="s">
        <v>4261</v>
      </c>
      <c r="AT216" s="8" t="s">
        <v>6862</v>
      </c>
      <c r="AU216" s="8">
        <v>1997.0</v>
      </c>
      <c r="AV216" s="8">
        <v>111.0</v>
      </c>
      <c r="AW216" s="8">
        <v>2.0</v>
      </c>
      <c r="AX216" s="8" t="s">
        <v>2135</v>
      </c>
      <c r="AY216" s="8" t="s">
        <v>2135</v>
      </c>
      <c r="AZ216" s="8" t="s">
        <v>2135</v>
      </c>
      <c r="BA216" s="8" t="s">
        <v>2135</v>
      </c>
      <c r="BB216" s="8">
        <v>277.0</v>
      </c>
      <c r="BC216" s="8">
        <v>286.0</v>
      </c>
      <c r="BD216" s="8" t="s">
        <v>2135</v>
      </c>
      <c r="BE216" s="8" t="s">
        <v>2135</v>
      </c>
      <c r="BF216" s="8" t="s">
        <v>2135</v>
      </c>
      <c r="BG216" s="8" t="s">
        <v>2135</v>
      </c>
      <c r="BH216" s="8" t="s">
        <v>2135</v>
      </c>
      <c r="BI216" s="8">
        <v>10.0</v>
      </c>
      <c r="BJ216" s="8" t="s">
        <v>3558</v>
      </c>
      <c r="BK216" s="8" t="s">
        <v>3352</v>
      </c>
      <c r="BL216" s="8" t="s">
        <v>3353</v>
      </c>
      <c r="BM216" s="8" t="s">
        <v>6863</v>
      </c>
      <c r="BN216" s="8" t="s">
        <v>2135</v>
      </c>
      <c r="BO216" s="8" t="s">
        <v>2135</v>
      </c>
      <c r="BP216" s="8" t="s">
        <v>2135</v>
      </c>
      <c r="BQ216" s="8" t="s">
        <v>2135</v>
      </c>
      <c r="BR216" s="8" t="s">
        <v>3355</v>
      </c>
      <c r="BS216" s="8" t="s">
        <v>6864</v>
      </c>
      <c r="BT216" s="8" t="s">
        <v>2216</v>
      </c>
      <c r="BU216" s="8" t="s">
        <v>2147</v>
      </c>
      <c r="BV216" s="8" t="s">
        <v>2217</v>
      </c>
      <c r="BW216" s="8" t="s">
        <v>2237</v>
      </c>
      <c r="BX216" s="8" t="s">
        <v>2953</v>
      </c>
      <c r="BY216" s="8" t="s">
        <v>2954</v>
      </c>
      <c r="BZ216" s="8" t="str">
        <f>HYPERLINK("https%3A%2F%2Fwww.webofscience.com%2Fwos%2Fwoscc%2Ffull-record%2FWOS:A1997XJ31500016","View Full Record in Web of Science")</f>
        <v>View Full Record in Web of Science</v>
      </c>
    </row>
    <row r="217" ht="12.75" customHeight="1">
      <c r="A217" s="8" t="s">
        <v>3329</v>
      </c>
      <c r="B217" s="8" t="s">
        <v>6865</v>
      </c>
      <c r="C217" s="8" t="s">
        <v>2135</v>
      </c>
      <c r="D217" s="8" t="s">
        <v>2135</v>
      </c>
      <c r="E217" s="8" t="s">
        <v>2135</v>
      </c>
      <c r="F217" s="8" t="s">
        <v>6865</v>
      </c>
      <c r="G217" s="8" t="s">
        <v>2135</v>
      </c>
      <c r="H217" s="8" t="s">
        <v>2135</v>
      </c>
      <c r="I217" s="8" t="s">
        <v>674</v>
      </c>
      <c r="J217" s="8" t="s">
        <v>5340</v>
      </c>
      <c r="K217" s="8" t="s">
        <v>2135</v>
      </c>
      <c r="L217" s="8" t="s">
        <v>2135</v>
      </c>
      <c r="M217" s="8" t="s">
        <v>3332</v>
      </c>
      <c r="N217" s="8" t="s">
        <v>3333</v>
      </c>
      <c r="O217" s="8" t="s">
        <v>2135</v>
      </c>
      <c r="P217" s="8" t="s">
        <v>2135</v>
      </c>
      <c r="Q217" s="8" t="s">
        <v>2135</v>
      </c>
      <c r="R217" s="8" t="s">
        <v>2135</v>
      </c>
      <c r="S217" s="8" t="s">
        <v>2135</v>
      </c>
      <c r="T217" s="8" t="s">
        <v>2135</v>
      </c>
      <c r="U217" s="8" t="s">
        <v>2135</v>
      </c>
      <c r="V217" s="8" t="s">
        <v>6866</v>
      </c>
      <c r="W217" s="8" t="s">
        <v>6867</v>
      </c>
      <c r="X217" s="8" t="s">
        <v>5466</v>
      </c>
      <c r="Y217" s="8" t="s">
        <v>2135</v>
      </c>
      <c r="Z217" s="8" t="s">
        <v>2135</v>
      </c>
      <c r="AA217" s="8" t="s">
        <v>2135</v>
      </c>
      <c r="AB217" s="8" t="s">
        <v>2135</v>
      </c>
      <c r="AC217" s="8" t="s">
        <v>2135</v>
      </c>
      <c r="AD217" s="8" t="s">
        <v>2135</v>
      </c>
      <c r="AE217" s="8" t="s">
        <v>2135</v>
      </c>
      <c r="AF217" s="8" t="s">
        <v>2135</v>
      </c>
      <c r="AG217" s="8">
        <v>44.0</v>
      </c>
      <c r="AH217" s="8">
        <v>21.0</v>
      </c>
      <c r="AI217" s="8">
        <v>28.0</v>
      </c>
      <c r="AJ217" s="8">
        <v>0.0</v>
      </c>
      <c r="AK217" s="8">
        <v>13.0</v>
      </c>
      <c r="AL217" s="8" t="s">
        <v>5345</v>
      </c>
      <c r="AM217" s="8" t="s">
        <v>5346</v>
      </c>
      <c r="AN217" s="8" t="s">
        <v>6868</v>
      </c>
      <c r="AO217" s="8" t="s">
        <v>5348</v>
      </c>
      <c r="AP217" s="8" t="s">
        <v>2135</v>
      </c>
      <c r="AQ217" s="8" t="s">
        <v>2135</v>
      </c>
      <c r="AR217" s="8" t="s">
        <v>5349</v>
      </c>
      <c r="AS217" s="8" t="s">
        <v>5350</v>
      </c>
      <c r="AT217" s="8" t="s">
        <v>3440</v>
      </c>
      <c r="AU217" s="8">
        <v>1996.0</v>
      </c>
      <c r="AV217" s="8">
        <v>70.0</v>
      </c>
      <c r="AW217" s="8">
        <v>4.0</v>
      </c>
      <c r="AX217" s="8" t="s">
        <v>2135</v>
      </c>
      <c r="AY217" s="8" t="s">
        <v>2135</v>
      </c>
      <c r="AZ217" s="8" t="s">
        <v>2135</v>
      </c>
      <c r="BA217" s="8" t="s">
        <v>2135</v>
      </c>
      <c r="BB217" s="8">
        <v>291.0</v>
      </c>
      <c r="BC217" s="8">
        <v>297.0</v>
      </c>
      <c r="BD217" s="8" t="s">
        <v>2135</v>
      </c>
      <c r="BE217" s="8" t="s">
        <v>2135</v>
      </c>
      <c r="BF217" s="8" t="s">
        <v>2135</v>
      </c>
      <c r="BG217" s="8" t="s">
        <v>2135</v>
      </c>
      <c r="BH217" s="8" t="s">
        <v>2135</v>
      </c>
      <c r="BI217" s="8">
        <v>7.0</v>
      </c>
      <c r="BJ217" s="8" t="s">
        <v>3681</v>
      </c>
      <c r="BK217" s="8" t="s">
        <v>3352</v>
      </c>
      <c r="BL217" s="8" t="s">
        <v>3632</v>
      </c>
      <c r="BM217" s="8" t="s">
        <v>6869</v>
      </c>
      <c r="BN217" s="8" t="s">
        <v>2135</v>
      </c>
      <c r="BO217" s="8" t="s">
        <v>2135</v>
      </c>
      <c r="BP217" s="8" t="s">
        <v>2135</v>
      </c>
      <c r="BQ217" s="8" t="s">
        <v>2135</v>
      </c>
      <c r="BR217" s="8" t="s">
        <v>3355</v>
      </c>
      <c r="BS217" s="8" t="s">
        <v>6870</v>
      </c>
      <c r="BT217" s="8" t="s">
        <v>2600</v>
      </c>
      <c r="BU217" s="8" t="s">
        <v>2147</v>
      </c>
      <c r="BV217" s="8" t="s">
        <v>2217</v>
      </c>
      <c r="BW217" s="8" t="s">
        <v>2224</v>
      </c>
      <c r="BX217" s="8" t="s">
        <v>2953</v>
      </c>
      <c r="BY217" s="8" t="s">
        <v>2954</v>
      </c>
      <c r="BZ217" s="8" t="str">
        <f>HYPERLINK("https%3A%2F%2Fwww.webofscience.com%2Fwos%2Fwoscc%2Ffull-record%2FWOS:A1996WB99700001","View Full Record in Web of Science")</f>
        <v>View Full Record in Web of Science</v>
      </c>
    </row>
    <row r="218" ht="12.75" customHeight="1">
      <c r="A218" s="8" t="s">
        <v>3329</v>
      </c>
      <c r="B218" s="8" t="s">
        <v>6871</v>
      </c>
      <c r="C218" s="8" t="s">
        <v>2135</v>
      </c>
      <c r="D218" s="8" t="s">
        <v>2135</v>
      </c>
      <c r="E218" s="8" t="s">
        <v>2135</v>
      </c>
      <c r="F218" s="8" t="s">
        <v>6871</v>
      </c>
      <c r="G218" s="8" t="s">
        <v>2135</v>
      </c>
      <c r="H218" s="8" t="s">
        <v>2135</v>
      </c>
      <c r="I218" s="8" t="s">
        <v>672</v>
      </c>
      <c r="J218" s="8" t="s">
        <v>4513</v>
      </c>
      <c r="K218" s="8" t="s">
        <v>2135</v>
      </c>
      <c r="L218" s="8" t="s">
        <v>2135</v>
      </c>
      <c r="M218" s="8" t="s">
        <v>3332</v>
      </c>
      <c r="N218" s="8" t="s">
        <v>3333</v>
      </c>
      <c r="O218" s="8" t="s">
        <v>2135</v>
      </c>
      <c r="P218" s="8" t="s">
        <v>2135</v>
      </c>
      <c r="Q218" s="8" t="s">
        <v>2135</v>
      </c>
      <c r="R218" s="8" t="s">
        <v>2135</v>
      </c>
      <c r="S218" s="8" t="s">
        <v>2135</v>
      </c>
      <c r="T218" s="8" t="s">
        <v>6872</v>
      </c>
      <c r="U218" s="8" t="s">
        <v>6873</v>
      </c>
      <c r="V218" s="8" t="s">
        <v>6874</v>
      </c>
      <c r="W218" s="8" t="s">
        <v>6875</v>
      </c>
      <c r="X218" s="8" t="s">
        <v>6876</v>
      </c>
      <c r="Y218" s="8" t="s">
        <v>2135</v>
      </c>
      <c r="Z218" s="8" t="s">
        <v>2135</v>
      </c>
      <c r="AA218" s="8" t="s">
        <v>6877</v>
      </c>
      <c r="AB218" s="8" t="s">
        <v>2135</v>
      </c>
      <c r="AC218" s="8" t="s">
        <v>2135</v>
      </c>
      <c r="AD218" s="8" t="s">
        <v>2135</v>
      </c>
      <c r="AE218" s="8" t="s">
        <v>2135</v>
      </c>
      <c r="AF218" s="8" t="s">
        <v>2135</v>
      </c>
      <c r="AG218" s="8">
        <v>73.0</v>
      </c>
      <c r="AH218" s="8">
        <v>48.0</v>
      </c>
      <c r="AI218" s="8">
        <v>55.0</v>
      </c>
      <c r="AJ218" s="8">
        <v>0.0</v>
      </c>
      <c r="AK218" s="8">
        <v>17.0</v>
      </c>
      <c r="AL218" s="8" t="s">
        <v>3366</v>
      </c>
      <c r="AM218" s="8" t="s">
        <v>3367</v>
      </c>
      <c r="AN218" s="8" t="s">
        <v>3368</v>
      </c>
      <c r="AO218" s="8" t="s">
        <v>4522</v>
      </c>
      <c r="AP218" s="8" t="s">
        <v>2135</v>
      </c>
      <c r="AQ218" s="8" t="s">
        <v>2135</v>
      </c>
      <c r="AR218" s="8" t="s">
        <v>4524</v>
      </c>
      <c r="AS218" s="8" t="s">
        <v>4525</v>
      </c>
      <c r="AT218" s="8" t="s">
        <v>6878</v>
      </c>
      <c r="AU218" s="8">
        <v>1996.0</v>
      </c>
      <c r="AV218" s="8">
        <v>87.0</v>
      </c>
      <c r="AW218" s="8" t="s">
        <v>6879</v>
      </c>
      <c r="AX218" s="8" t="s">
        <v>2135</v>
      </c>
      <c r="AY218" s="8" t="s">
        <v>2135</v>
      </c>
      <c r="AZ218" s="8" t="s">
        <v>2135</v>
      </c>
      <c r="BA218" s="8" t="s">
        <v>2135</v>
      </c>
      <c r="BB218" s="8">
        <v>13.0</v>
      </c>
      <c r="BC218" s="8">
        <v>25.0</v>
      </c>
      <c r="BD218" s="8" t="s">
        <v>2135</v>
      </c>
      <c r="BE218" s="8" t="s">
        <v>6880</v>
      </c>
      <c r="BF218" s="13" t="str">
        <f>HYPERLINK("http://dx.doi.org/10.1016/S0378-1127(96)03837-6","http://dx.doi.org/10.1016/S0378-1127(96)03837-6")</f>
        <v>http://dx.doi.org/10.1016/S0378-1127(96)03837-6</v>
      </c>
      <c r="BG218" s="8" t="s">
        <v>2135</v>
      </c>
      <c r="BH218" s="8" t="s">
        <v>2135</v>
      </c>
      <c r="BI218" s="8">
        <v>13.0</v>
      </c>
      <c r="BJ218" s="8" t="s">
        <v>3423</v>
      </c>
      <c r="BK218" s="8" t="s">
        <v>3352</v>
      </c>
      <c r="BL218" s="8" t="s">
        <v>3423</v>
      </c>
      <c r="BM218" s="8" t="s">
        <v>6881</v>
      </c>
      <c r="BN218" s="8" t="s">
        <v>2135</v>
      </c>
      <c r="BO218" s="8" t="s">
        <v>2135</v>
      </c>
      <c r="BP218" s="8" t="s">
        <v>2135</v>
      </c>
      <c r="BQ218" s="8" t="s">
        <v>2135</v>
      </c>
      <c r="BR218" s="8" t="s">
        <v>3355</v>
      </c>
      <c r="BS218" s="8" t="s">
        <v>6882</v>
      </c>
      <c r="BT218" s="8" t="s">
        <v>2216</v>
      </c>
      <c r="BU218" s="8" t="s">
        <v>2147</v>
      </c>
      <c r="BV218" s="8" t="s">
        <v>2217</v>
      </c>
      <c r="BW218" s="8" t="s">
        <v>2221</v>
      </c>
      <c r="BX218" s="8" t="s">
        <v>2971</v>
      </c>
      <c r="BY218" s="8" t="s">
        <v>2954</v>
      </c>
      <c r="BZ218" s="8" t="str">
        <f>HYPERLINK("https%3A%2F%2Fwww.webofscience.com%2Fwos%2Fwoscc%2Ffull-record%2FWOS:A1996WA37900002","View Full Record in Web of Science")</f>
        <v>View Full Record in Web of Science</v>
      </c>
    </row>
    <row r="219" ht="12.75" customHeight="1">
      <c r="A219" s="8" t="s">
        <v>3329</v>
      </c>
      <c r="B219" s="8" t="s">
        <v>6883</v>
      </c>
      <c r="C219" s="8" t="s">
        <v>2135</v>
      </c>
      <c r="D219" s="8" t="s">
        <v>2135</v>
      </c>
      <c r="E219" s="8" t="s">
        <v>2135</v>
      </c>
      <c r="F219" s="8" t="s">
        <v>6883</v>
      </c>
      <c r="G219" s="8" t="s">
        <v>2135</v>
      </c>
      <c r="H219" s="8" t="s">
        <v>2135</v>
      </c>
      <c r="I219" s="8" t="s">
        <v>662</v>
      </c>
      <c r="J219" s="8" t="s">
        <v>4958</v>
      </c>
      <c r="K219" s="8" t="s">
        <v>2135</v>
      </c>
      <c r="L219" s="8" t="s">
        <v>2135</v>
      </c>
      <c r="M219" s="8" t="s">
        <v>3332</v>
      </c>
      <c r="N219" s="8" t="s">
        <v>3333</v>
      </c>
      <c r="O219" s="8" t="s">
        <v>2135</v>
      </c>
      <c r="P219" s="8" t="s">
        <v>2135</v>
      </c>
      <c r="Q219" s="8" t="s">
        <v>2135</v>
      </c>
      <c r="R219" s="8" t="s">
        <v>2135</v>
      </c>
      <c r="S219" s="8" t="s">
        <v>2135</v>
      </c>
      <c r="T219" s="8" t="s">
        <v>6884</v>
      </c>
      <c r="U219" s="8" t="s">
        <v>6885</v>
      </c>
      <c r="V219" s="8" t="s">
        <v>2135</v>
      </c>
      <c r="W219" s="8" t="s">
        <v>6886</v>
      </c>
      <c r="X219" s="8" t="s">
        <v>6887</v>
      </c>
      <c r="Y219" s="8" t="s">
        <v>2135</v>
      </c>
      <c r="Z219" s="8" t="s">
        <v>2135</v>
      </c>
      <c r="AA219" s="8" t="s">
        <v>2135</v>
      </c>
      <c r="AB219" s="8" t="s">
        <v>2135</v>
      </c>
      <c r="AC219" s="8" t="s">
        <v>2135</v>
      </c>
      <c r="AD219" s="8" t="s">
        <v>2135</v>
      </c>
      <c r="AE219" s="8" t="s">
        <v>2135</v>
      </c>
      <c r="AF219" s="8" t="s">
        <v>2135</v>
      </c>
      <c r="AG219" s="8">
        <v>11.0</v>
      </c>
      <c r="AH219" s="8">
        <v>6.0</v>
      </c>
      <c r="AI219" s="8">
        <v>7.0</v>
      </c>
      <c r="AJ219" s="8">
        <v>0.0</v>
      </c>
      <c r="AK219" s="8">
        <v>3.0</v>
      </c>
      <c r="AL219" s="8" t="s">
        <v>4276</v>
      </c>
      <c r="AM219" s="8" t="s">
        <v>4277</v>
      </c>
      <c r="AN219" s="8" t="s">
        <v>6852</v>
      </c>
      <c r="AO219" s="8" t="s">
        <v>4965</v>
      </c>
      <c r="AP219" s="8" t="s">
        <v>2135</v>
      </c>
      <c r="AQ219" s="8" t="s">
        <v>2135</v>
      </c>
      <c r="AR219" s="8" t="s">
        <v>4966</v>
      </c>
      <c r="AS219" s="8" t="s">
        <v>4967</v>
      </c>
      <c r="AT219" s="8" t="s">
        <v>6888</v>
      </c>
      <c r="AU219" s="8">
        <v>1994.0</v>
      </c>
      <c r="AV219" s="8">
        <v>22.0</v>
      </c>
      <c r="AW219" s="8">
        <v>4.0</v>
      </c>
      <c r="AX219" s="8" t="s">
        <v>2135</v>
      </c>
      <c r="AY219" s="8" t="s">
        <v>2135</v>
      </c>
      <c r="AZ219" s="8" t="s">
        <v>2135</v>
      </c>
      <c r="BA219" s="8" t="s">
        <v>2135</v>
      </c>
      <c r="BB219" s="8">
        <v>639.0</v>
      </c>
      <c r="BC219" s="8">
        <v>643.0</v>
      </c>
      <c r="BD219" s="8" t="s">
        <v>2135</v>
      </c>
      <c r="BE219" s="8" t="s">
        <v>2135</v>
      </c>
      <c r="BF219" s="8" t="s">
        <v>2135</v>
      </c>
      <c r="BG219" s="8" t="s">
        <v>2135</v>
      </c>
      <c r="BH219" s="8" t="s">
        <v>2135</v>
      </c>
      <c r="BI219" s="8">
        <v>5.0</v>
      </c>
      <c r="BJ219" s="8" t="s">
        <v>3604</v>
      </c>
      <c r="BK219" s="8" t="s">
        <v>3352</v>
      </c>
      <c r="BL219" s="8" t="s">
        <v>3605</v>
      </c>
      <c r="BM219" s="8" t="s">
        <v>6889</v>
      </c>
      <c r="BN219" s="8" t="s">
        <v>2135</v>
      </c>
      <c r="BO219" s="8" t="s">
        <v>2135</v>
      </c>
      <c r="BP219" s="8" t="s">
        <v>2135</v>
      </c>
      <c r="BQ219" s="8" t="s">
        <v>2135</v>
      </c>
      <c r="BR219" s="8" t="s">
        <v>3355</v>
      </c>
      <c r="BS219" s="8" t="s">
        <v>6890</v>
      </c>
      <c r="BT219" s="8" t="s">
        <v>2216</v>
      </c>
      <c r="BU219" s="8" t="s">
        <v>2147</v>
      </c>
      <c r="BV219" s="8" t="s">
        <v>2217</v>
      </c>
      <c r="BW219" s="8" t="s">
        <v>2221</v>
      </c>
      <c r="BX219" s="8" t="s">
        <v>2953</v>
      </c>
      <c r="BY219" s="8" t="s">
        <v>2954</v>
      </c>
      <c r="BZ219" s="8" t="str">
        <f>HYPERLINK("https%3A%2F%2Fwww.webofscience.com%2Fwos%2Fwoscc%2Ffull-record%2FWOS:A1994PY63100012","View Full Record in Web of Science")</f>
        <v>View Full Record in Web of Science</v>
      </c>
    </row>
    <row r="220" ht="12.75" customHeight="1">
      <c r="A220" s="8" t="s">
        <v>3329</v>
      </c>
      <c r="B220" s="8" t="s">
        <v>6891</v>
      </c>
      <c r="C220" s="8" t="s">
        <v>2135</v>
      </c>
      <c r="D220" s="8" t="s">
        <v>2135</v>
      </c>
      <c r="E220" s="8" t="s">
        <v>2135</v>
      </c>
      <c r="F220" s="8" t="s">
        <v>6891</v>
      </c>
      <c r="G220" s="8" t="s">
        <v>2135</v>
      </c>
      <c r="H220" s="8" t="s">
        <v>2135</v>
      </c>
      <c r="I220" s="8" t="s">
        <v>664</v>
      </c>
      <c r="J220" s="8" t="s">
        <v>4162</v>
      </c>
      <c r="K220" s="8" t="s">
        <v>2135</v>
      </c>
      <c r="L220" s="8" t="s">
        <v>2135</v>
      </c>
      <c r="M220" s="8" t="s">
        <v>3332</v>
      </c>
      <c r="N220" s="8" t="s">
        <v>3333</v>
      </c>
      <c r="O220" s="8" t="s">
        <v>2135</v>
      </c>
      <c r="P220" s="8" t="s">
        <v>2135</v>
      </c>
      <c r="Q220" s="8" t="s">
        <v>2135</v>
      </c>
      <c r="R220" s="8" t="s">
        <v>2135</v>
      </c>
      <c r="S220" s="8" t="s">
        <v>2135</v>
      </c>
      <c r="T220" s="8" t="s">
        <v>6892</v>
      </c>
      <c r="U220" s="8" t="s">
        <v>6893</v>
      </c>
      <c r="V220" s="8" t="s">
        <v>6894</v>
      </c>
      <c r="W220" s="8" t="s">
        <v>6895</v>
      </c>
      <c r="X220" s="8" t="s">
        <v>2135</v>
      </c>
      <c r="Y220" s="8" t="s">
        <v>6896</v>
      </c>
      <c r="Z220" s="8" t="s">
        <v>2135</v>
      </c>
      <c r="AA220" s="8" t="s">
        <v>2135</v>
      </c>
      <c r="AB220" s="8" t="s">
        <v>2135</v>
      </c>
      <c r="AC220" s="8" t="s">
        <v>2135</v>
      </c>
      <c r="AD220" s="8" t="s">
        <v>2135</v>
      </c>
      <c r="AE220" s="8" t="s">
        <v>2135</v>
      </c>
      <c r="AF220" s="8" t="s">
        <v>2135</v>
      </c>
      <c r="AG220" s="8">
        <v>32.0</v>
      </c>
      <c r="AH220" s="8">
        <v>41.0</v>
      </c>
      <c r="AI220" s="8">
        <v>61.0</v>
      </c>
      <c r="AJ220" s="8">
        <v>0.0</v>
      </c>
      <c r="AK220" s="8">
        <v>31.0</v>
      </c>
      <c r="AL220" s="8" t="s">
        <v>4276</v>
      </c>
      <c r="AM220" s="8" t="s">
        <v>4277</v>
      </c>
      <c r="AN220" s="8" t="s">
        <v>6852</v>
      </c>
      <c r="AO220" s="8" t="s">
        <v>4175</v>
      </c>
      <c r="AP220" s="8" t="s">
        <v>2135</v>
      </c>
      <c r="AQ220" s="8" t="s">
        <v>2135</v>
      </c>
      <c r="AR220" s="8" t="s">
        <v>4177</v>
      </c>
      <c r="AS220" s="8" t="s">
        <v>4178</v>
      </c>
      <c r="AT220" s="8" t="s">
        <v>3580</v>
      </c>
      <c r="AU220" s="8">
        <v>1994.0</v>
      </c>
      <c r="AV220" s="8">
        <v>58.0</v>
      </c>
      <c r="AW220" s="8">
        <v>4.0</v>
      </c>
      <c r="AX220" s="8" t="s">
        <v>2135</v>
      </c>
      <c r="AY220" s="8" t="s">
        <v>2135</v>
      </c>
      <c r="AZ220" s="8" t="s">
        <v>2135</v>
      </c>
      <c r="BA220" s="8" t="s">
        <v>2135</v>
      </c>
      <c r="BB220" s="8">
        <v>593.0</v>
      </c>
      <c r="BC220" s="8">
        <v>600.0</v>
      </c>
      <c r="BD220" s="8" t="s">
        <v>2135</v>
      </c>
      <c r="BE220" s="8" t="s">
        <v>6897</v>
      </c>
      <c r="BF220" s="13" t="str">
        <f>HYPERLINK("http://dx.doi.org/10.2307/3809671","http://dx.doi.org/10.2307/3809671")</f>
        <v>http://dx.doi.org/10.2307/3809671</v>
      </c>
      <c r="BG220" s="8" t="s">
        <v>2135</v>
      </c>
      <c r="BH220" s="8" t="s">
        <v>2135</v>
      </c>
      <c r="BI220" s="8">
        <v>8.0</v>
      </c>
      <c r="BJ220" s="8" t="s">
        <v>3442</v>
      </c>
      <c r="BK220" s="8" t="s">
        <v>3352</v>
      </c>
      <c r="BL220" s="8" t="s">
        <v>3443</v>
      </c>
      <c r="BM220" s="8" t="s">
        <v>6898</v>
      </c>
      <c r="BN220" s="8" t="s">
        <v>2135</v>
      </c>
      <c r="BO220" s="8" t="s">
        <v>2135</v>
      </c>
      <c r="BP220" s="8" t="s">
        <v>2135</v>
      </c>
      <c r="BQ220" s="8" t="s">
        <v>2135</v>
      </c>
      <c r="BR220" s="8" t="s">
        <v>3355</v>
      </c>
      <c r="BS220" s="8" t="s">
        <v>6899</v>
      </c>
      <c r="BT220" s="8" t="s">
        <v>2600</v>
      </c>
      <c r="BU220" s="8" t="s">
        <v>2147</v>
      </c>
      <c r="BV220" s="8" t="s">
        <v>2217</v>
      </c>
      <c r="BW220" s="8" t="s">
        <v>2221</v>
      </c>
      <c r="BX220" s="8" t="s">
        <v>3022</v>
      </c>
      <c r="BY220" s="8" t="s">
        <v>2954</v>
      </c>
      <c r="BZ220" s="8" t="str">
        <f>HYPERLINK("https%3A%2F%2Fwww.webofscience.com%2Fwos%2Fwoscc%2Ffull-record%2FWOS:A1994PL72700001","View Full Record in Web of Science")</f>
        <v>View Full Record in Web of Science</v>
      </c>
    </row>
    <row r="221" ht="12.75" customHeight="1">
      <c r="A221" s="8" t="s">
        <v>3329</v>
      </c>
      <c r="B221" s="8" t="s">
        <v>6900</v>
      </c>
      <c r="C221" s="8" t="s">
        <v>2135</v>
      </c>
      <c r="D221" s="8" t="s">
        <v>2135</v>
      </c>
      <c r="E221" s="8" t="s">
        <v>2135</v>
      </c>
      <c r="F221" s="8" t="s">
        <v>6900</v>
      </c>
      <c r="G221" s="8" t="s">
        <v>2135</v>
      </c>
      <c r="H221" s="8" t="s">
        <v>2135</v>
      </c>
      <c r="I221" s="8" t="s">
        <v>666</v>
      </c>
      <c r="J221" s="8" t="s">
        <v>4162</v>
      </c>
      <c r="K221" s="8" t="s">
        <v>2135</v>
      </c>
      <c r="L221" s="8" t="s">
        <v>2135</v>
      </c>
      <c r="M221" s="8" t="s">
        <v>3332</v>
      </c>
      <c r="N221" s="8" t="s">
        <v>3333</v>
      </c>
      <c r="O221" s="8" t="s">
        <v>2135</v>
      </c>
      <c r="P221" s="8" t="s">
        <v>2135</v>
      </c>
      <c r="Q221" s="8" t="s">
        <v>2135</v>
      </c>
      <c r="R221" s="8" t="s">
        <v>2135</v>
      </c>
      <c r="S221" s="8" t="s">
        <v>2135</v>
      </c>
      <c r="T221" s="8" t="s">
        <v>6901</v>
      </c>
      <c r="U221" s="8" t="s">
        <v>6902</v>
      </c>
      <c r="V221" s="8" t="s">
        <v>6903</v>
      </c>
      <c r="W221" s="8" t="s">
        <v>2135</v>
      </c>
      <c r="X221" s="8" t="s">
        <v>2135</v>
      </c>
      <c r="Y221" s="8" t="s">
        <v>6904</v>
      </c>
      <c r="Z221" s="8" t="s">
        <v>2135</v>
      </c>
      <c r="AA221" s="8" t="s">
        <v>2135</v>
      </c>
      <c r="AB221" s="8" t="s">
        <v>2135</v>
      </c>
      <c r="AC221" s="8" t="s">
        <v>2135</v>
      </c>
      <c r="AD221" s="8" t="s">
        <v>2135</v>
      </c>
      <c r="AE221" s="8" t="s">
        <v>2135</v>
      </c>
      <c r="AF221" s="8" t="s">
        <v>2135</v>
      </c>
      <c r="AG221" s="8">
        <v>38.0</v>
      </c>
      <c r="AH221" s="8">
        <v>32.0</v>
      </c>
      <c r="AI221" s="8">
        <v>41.0</v>
      </c>
      <c r="AJ221" s="8">
        <v>1.0</v>
      </c>
      <c r="AK221" s="8">
        <v>20.0</v>
      </c>
      <c r="AL221" s="8" t="s">
        <v>4276</v>
      </c>
      <c r="AM221" s="8" t="s">
        <v>4277</v>
      </c>
      <c r="AN221" s="8" t="s">
        <v>6852</v>
      </c>
      <c r="AO221" s="8" t="s">
        <v>4175</v>
      </c>
      <c r="AP221" s="8" t="s">
        <v>2135</v>
      </c>
      <c r="AQ221" s="8" t="s">
        <v>2135</v>
      </c>
      <c r="AR221" s="8" t="s">
        <v>4177</v>
      </c>
      <c r="AS221" s="8" t="s">
        <v>4178</v>
      </c>
      <c r="AT221" s="8" t="s">
        <v>3580</v>
      </c>
      <c r="AU221" s="8">
        <v>1994.0</v>
      </c>
      <c r="AV221" s="8">
        <v>58.0</v>
      </c>
      <c r="AW221" s="8">
        <v>4.0</v>
      </c>
      <c r="AX221" s="8" t="s">
        <v>2135</v>
      </c>
      <c r="AY221" s="8" t="s">
        <v>2135</v>
      </c>
      <c r="AZ221" s="8" t="s">
        <v>2135</v>
      </c>
      <c r="BA221" s="8" t="s">
        <v>2135</v>
      </c>
      <c r="BB221" s="8">
        <v>600.0</v>
      </c>
      <c r="BC221" s="8">
        <v>607.0</v>
      </c>
      <c r="BD221" s="8" t="s">
        <v>2135</v>
      </c>
      <c r="BE221" s="8" t="s">
        <v>6905</v>
      </c>
      <c r="BF221" s="13" t="str">
        <f>HYPERLINK("http://dx.doi.org/10.2307/3809672","http://dx.doi.org/10.2307/3809672")</f>
        <v>http://dx.doi.org/10.2307/3809672</v>
      </c>
      <c r="BG221" s="8" t="s">
        <v>2135</v>
      </c>
      <c r="BH221" s="8" t="s">
        <v>2135</v>
      </c>
      <c r="BI221" s="8">
        <v>8.0</v>
      </c>
      <c r="BJ221" s="8" t="s">
        <v>3442</v>
      </c>
      <c r="BK221" s="8" t="s">
        <v>3352</v>
      </c>
      <c r="BL221" s="8" t="s">
        <v>3443</v>
      </c>
      <c r="BM221" s="8" t="s">
        <v>6898</v>
      </c>
      <c r="BN221" s="8" t="s">
        <v>2135</v>
      </c>
      <c r="BO221" s="8" t="s">
        <v>2135</v>
      </c>
      <c r="BP221" s="8" t="s">
        <v>2135</v>
      </c>
      <c r="BQ221" s="8" t="s">
        <v>2135</v>
      </c>
      <c r="BR221" s="8" t="s">
        <v>3355</v>
      </c>
      <c r="BS221" s="8" t="s">
        <v>6906</v>
      </c>
      <c r="BT221" s="8" t="s">
        <v>2600</v>
      </c>
      <c r="BU221" s="8" t="s">
        <v>2147</v>
      </c>
      <c r="BV221" s="8" t="s">
        <v>2217</v>
      </c>
      <c r="BW221" s="8" t="s">
        <v>2221</v>
      </c>
      <c r="BX221" s="8" t="s">
        <v>2953</v>
      </c>
      <c r="BY221" s="8" t="s">
        <v>2954</v>
      </c>
      <c r="BZ221" s="8" t="str">
        <f>HYPERLINK("https%3A%2F%2Fwww.webofscience.com%2Fwos%2Fwoscc%2Ffull-record%2FWOS:A1994PL72700002","View Full Record in Web of Science")</f>
        <v>View Full Record in Web of Science</v>
      </c>
    </row>
    <row r="222" ht="12.75" customHeight="1">
      <c r="A222" s="8" t="s">
        <v>3329</v>
      </c>
      <c r="B222" s="8" t="s">
        <v>6907</v>
      </c>
      <c r="C222" s="8" t="s">
        <v>2135</v>
      </c>
      <c r="D222" s="8" t="s">
        <v>2135</v>
      </c>
      <c r="E222" s="8" t="s">
        <v>2135</v>
      </c>
      <c r="F222" s="8" t="s">
        <v>6907</v>
      </c>
      <c r="G222" s="8" t="s">
        <v>2135</v>
      </c>
      <c r="H222" s="8" t="s">
        <v>2135</v>
      </c>
      <c r="I222" s="8" t="s">
        <v>670</v>
      </c>
      <c r="J222" s="8" t="s">
        <v>4162</v>
      </c>
      <c r="K222" s="8" t="s">
        <v>2135</v>
      </c>
      <c r="L222" s="8" t="s">
        <v>2135</v>
      </c>
      <c r="M222" s="8" t="s">
        <v>3332</v>
      </c>
      <c r="N222" s="8" t="s">
        <v>3333</v>
      </c>
      <c r="O222" s="8" t="s">
        <v>2135</v>
      </c>
      <c r="P222" s="8" t="s">
        <v>2135</v>
      </c>
      <c r="Q222" s="8" t="s">
        <v>2135</v>
      </c>
      <c r="R222" s="8" t="s">
        <v>2135</v>
      </c>
      <c r="S222" s="8" t="s">
        <v>2135</v>
      </c>
      <c r="T222" s="8" t="s">
        <v>6908</v>
      </c>
      <c r="U222" s="8" t="s">
        <v>6909</v>
      </c>
      <c r="V222" s="8" t="s">
        <v>6910</v>
      </c>
      <c r="W222" s="8" t="s">
        <v>6911</v>
      </c>
      <c r="X222" s="8" t="s">
        <v>6912</v>
      </c>
      <c r="Y222" s="8" t="s">
        <v>6913</v>
      </c>
      <c r="Z222" s="8" t="s">
        <v>2135</v>
      </c>
      <c r="AA222" s="8" t="s">
        <v>2135</v>
      </c>
      <c r="AB222" s="8" t="s">
        <v>2135</v>
      </c>
      <c r="AC222" s="8" t="s">
        <v>2135</v>
      </c>
      <c r="AD222" s="8" t="s">
        <v>2135</v>
      </c>
      <c r="AE222" s="8" t="s">
        <v>2135</v>
      </c>
      <c r="AF222" s="8" t="s">
        <v>2135</v>
      </c>
      <c r="AG222" s="8">
        <v>28.0</v>
      </c>
      <c r="AH222" s="8">
        <v>52.0</v>
      </c>
      <c r="AI222" s="8">
        <v>62.0</v>
      </c>
      <c r="AJ222" s="8">
        <v>1.0</v>
      </c>
      <c r="AK222" s="8">
        <v>79.0</v>
      </c>
      <c r="AL222" s="8" t="s">
        <v>4276</v>
      </c>
      <c r="AM222" s="8" t="s">
        <v>4277</v>
      </c>
      <c r="AN222" s="8" t="s">
        <v>6852</v>
      </c>
      <c r="AO222" s="8" t="s">
        <v>4175</v>
      </c>
      <c r="AP222" s="8" t="s">
        <v>2135</v>
      </c>
      <c r="AQ222" s="8" t="s">
        <v>2135</v>
      </c>
      <c r="AR222" s="8" t="s">
        <v>4177</v>
      </c>
      <c r="AS222" s="8" t="s">
        <v>4178</v>
      </c>
      <c r="AT222" s="8" t="s">
        <v>3512</v>
      </c>
      <c r="AU222" s="8">
        <v>1994.0</v>
      </c>
      <c r="AV222" s="8">
        <v>58.0</v>
      </c>
      <c r="AW222" s="8">
        <v>3.0</v>
      </c>
      <c r="AX222" s="8" t="s">
        <v>2135</v>
      </c>
      <c r="AY222" s="8" t="s">
        <v>2135</v>
      </c>
      <c r="AZ222" s="8" t="s">
        <v>2135</v>
      </c>
      <c r="BA222" s="8" t="s">
        <v>2135</v>
      </c>
      <c r="BB222" s="8">
        <v>391.0</v>
      </c>
      <c r="BC222" s="8">
        <v>399.0</v>
      </c>
      <c r="BD222" s="8" t="s">
        <v>2135</v>
      </c>
      <c r="BE222" s="8" t="s">
        <v>6914</v>
      </c>
      <c r="BF222" s="13" t="str">
        <f>HYPERLINK("http://dx.doi.org/10.2307/3809308","http://dx.doi.org/10.2307/3809308")</f>
        <v>http://dx.doi.org/10.2307/3809308</v>
      </c>
      <c r="BG222" s="8" t="s">
        <v>2135</v>
      </c>
      <c r="BH222" s="8" t="s">
        <v>2135</v>
      </c>
      <c r="BI222" s="8">
        <v>9.0</v>
      </c>
      <c r="BJ222" s="8" t="s">
        <v>3442</v>
      </c>
      <c r="BK222" s="8" t="s">
        <v>3352</v>
      </c>
      <c r="BL222" s="8" t="s">
        <v>3443</v>
      </c>
      <c r="BM222" s="8" t="s">
        <v>6915</v>
      </c>
      <c r="BN222" s="8" t="s">
        <v>2135</v>
      </c>
      <c r="BO222" s="8" t="s">
        <v>2135</v>
      </c>
      <c r="BP222" s="8" t="s">
        <v>2135</v>
      </c>
      <c r="BQ222" s="8" t="s">
        <v>2135</v>
      </c>
      <c r="BR222" s="8" t="s">
        <v>3355</v>
      </c>
      <c r="BS222" s="8" t="s">
        <v>6916</v>
      </c>
      <c r="BT222" s="8" t="s">
        <v>2600</v>
      </c>
      <c r="BU222" s="8" t="s">
        <v>2147</v>
      </c>
      <c r="BV222" s="8" t="s">
        <v>2217</v>
      </c>
      <c r="BW222" s="8" t="s">
        <v>2237</v>
      </c>
      <c r="BX222" s="8" t="s">
        <v>2953</v>
      </c>
      <c r="BY222" s="8" t="s">
        <v>2954</v>
      </c>
      <c r="BZ222" s="8" t="str">
        <f>HYPERLINK("https%3A%2F%2Fwww.webofscience.com%2Fwos%2Fwoscc%2Ffull-record%2FWOS:A1994NW89300001","View Full Record in Web of Science")</f>
        <v>View Full Record in Web of Science</v>
      </c>
    </row>
    <row r="223" ht="12.75" customHeight="1">
      <c r="A223" s="8" t="s">
        <v>3329</v>
      </c>
      <c r="B223" s="8" t="s">
        <v>6917</v>
      </c>
      <c r="C223" s="8" t="s">
        <v>2135</v>
      </c>
      <c r="D223" s="8" t="s">
        <v>2135</v>
      </c>
      <c r="E223" s="8" t="s">
        <v>2135</v>
      </c>
      <c r="F223" s="8" t="s">
        <v>6917</v>
      </c>
      <c r="G223" s="8" t="s">
        <v>2135</v>
      </c>
      <c r="H223" s="8" t="s">
        <v>2135</v>
      </c>
      <c r="I223" s="8" t="s">
        <v>668</v>
      </c>
      <c r="J223" s="8" t="s">
        <v>4162</v>
      </c>
      <c r="K223" s="8" t="s">
        <v>2135</v>
      </c>
      <c r="L223" s="8" t="s">
        <v>2135</v>
      </c>
      <c r="M223" s="8" t="s">
        <v>3332</v>
      </c>
      <c r="N223" s="8" t="s">
        <v>3333</v>
      </c>
      <c r="O223" s="8" t="s">
        <v>2135</v>
      </c>
      <c r="P223" s="8" t="s">
        <v>2135</v>
      </c>
      <c r="Q223" s="8" t="s">
        <v>2135</v>
      </c>
      <c r="R223" s="8" t="s">
        <v>2135</v>
      </c>
      <c r="S223" s="8" t="s">
        <v>2135</v>
      </c>
      <c r="T223" s="8" t="s">
        <v>6918</v>
      </c>
      <c r="U223" s="8" t="s">
        <v>6919</v>
      </c>
      <c r="V223" s="8" t="s">
        <v>6920</v>
      </c>
      <c r="W223" s="8" t="s">
        <v>6921</v>
      </c>
      <c r="X223" s="8" t="s">
        <v>4567</v>
      </c>
      <c r="Y223" s="8" t="s">
        <v>2135</v>
      </c>
      <c r="Z223" s="8" t="s">
        <v>2135</v>
      </c>
      <c r="AA223" s="8" t="s">
        <v>2135</v>
      </c>
      <c r="AB223" s="8" t="s">
        <v>2135</v>
      </c>
      <c r="AC223" s="8" t="s">
        <v>2135</v>
      </c>
      <c r="AD223" s="8" t="s">
        <v>2135</v>
      </c>
      <c r="AE223" s="8" t="s">
        <v>2135</v>
      </c>
      <c r="AF223" s="8" t="s">
        <v>2135</v>
      </c>
      <c r="AG223" s="8">
        <v>43.0</v>
      </c>
      <c r="AH223" s="8">
        <v>56.0</v>
      </c>
      <c r="AI223" s="8">
        <v>70.0</v>
      </c>
      <c r="AJ223" s="8">
        <v>0.0</v>
      </c>
      <c r="AK223" s="8">
        <v>32.0</v>
      </c>
      <c r="AL223" s="8" t="s">
        <v>4276</v>
      </c>
      <c r="AM223" s="8" t="s">
        <v>4277</v>
      </c>
      <c r="AN223" s="8" t="s">
        <v>6852</v>
      </c>
      <c r="AO223" s="8" t="s">
        <v>4175</v>
      </c>
      <c r="AP223" s="8" t="s">
        <v>2135</v>
      </c>
      <c r="AQ223" s="8" t="s">
        <v>2135</v>
      </c>
      <c r="AR223" s="8" t="s">
        <v>4177</v>
      </c>
      <c r="AS223" s="8" t="s">
        <v>4178</v>
      </c>
      <c r="AT223" s="8" t="s">
        <v>3556</v>
      </c>
      <c r="AU223" s="8">
        <v>1994.0</v>
      </c>
      <c r="AV223" s="8">
        <v>58.0</v>
      </c>
      <c r="AW223" s="8">
        <v>2.0</v>
      </c>
      <c r="AX223" s="8" t="s">
        <v>2135</v>
      </c>
      <c r="AY223" s="8" t="s">
        <v>2135</v>
      </c>
      <c r="AZ223" s="8" t="s">
        <v>2135</v>
      </c>
      <c r="BA223" s="8" t="s">
        <v>2135</v>
      </c>
      <c r="BB223" s="8">
        <v>280.0</v>
      </c>
      <c r="BC223" s="8">
        <v>288.0</v>
      </c>
      <c r="BD223" s="8" t="s">
        <v>2135</v>
      </c>
      <c r="BE223" s="8" t="s">
        <v>6922</v>
      </c>
      <c r="BF223" s="13" t="str">
        <f>HYPERLINK("http://dx.doi.org/10.2307/3809392","http://dx.doi.org/10.2307/3809392")</f>
        <v>http://dx.doi.org/10.2307/3809392</v>
      </c>
      <c r="BG223" s="8" t="s">
        <v>2135</v>
      </c>
      <c r="BH223" s="8" t="s">
        <v>2135</v>
      </c>
      <c r="BI223" s="8">
        <v>9.0</v>
      </c>
      <c r="BJ223" s="8" t="s">
        <v>3442</v>
      </c>
      <c r="BK223" s="8" t="s">
        <v>3352</v>
      </c>
      <c r="BL223" s="8" t="s">
        <v>3443</v>
      </c>
      <c r="BM223" s="8" t="s">
        <v>6923</v>
      </c>
      <c r="BN223" s="8" t="s">
        <v>2135</v>
      </c>
      <c r="BO223" s="8" t="s">
        <v>4332</v>
      </c>
      <c r="BP223" s="8" t="s">
        <v>2135</v>
      </c>
      <c r="BQ223" s="8" t="s">
        <v>2135</v>
      </c>
      <c r="BR223" s="8" t="s">
        <v>3355</v>
      </c>
      <c r="BS223" s="8" t="s">
        <v>6924</v>
      </c>
      <c r="BT223" s="8" t="s">
        <v>2600</v>
      </c>
      <c r="BU223" s="8" t="s">
        <v>2147</v>
      </c>
      <c r="BV223" s="8" t="s">
        <v>2217</v>
      </c>
      <c r="BW223" s="8" t="s">
        <v>2221</v>
      </c>
      <c r="BX223" s="8" t="s">
        <v>2971</v>
      </c>
      <c r="BY223" s="8" t="s">
        <v>2954</v>
      </c>
      <c r="BZ223" s="8" t="str">
        <f>HYPERLINK("https%3A%2F%2Fwww.webofscience.com%2Fwos%2Fwoscc%2Ffull-record%2FWOS:A1994NF08300014","View Full Record in Web of Science")</f>
        <v>View Full Record in Web of Science</v>
      </c>
    </row>
    <row r="224" ht="12.75" customHeight="1">
      <c r="A224" s="8" t="s">
        <v>3329</v>
      </c>
      <c r="B224" s="8" t="s">
        <v>6925</v>
      </c>
      <c r="C224" s="8" t="s">
        <v>2135</v>
      </c>
      <c r="D224" s="8" t="s">
        <v>2135</v>
      </c>
      <c r="E224" s="8" t="s">
        <v>2135</v>
      </c>
      <c r="F224" s="8" t="s">
        <v>6925</v>
      </c>
      <c r="G224" s="8" t="s">
        <v>2135</v>
      </c>
      <c r="H224" s="8" t="s">
        <v>2135</v>
      </c>
      <c r="I224" s="8" t="s">
        <v>658</v>
      </c>
      <c r="J224" s="8" t="s">
        <v>6926</v>
      </c>
      <c r="K224" s="8" t="s">
        <v>2135</v>
      </c>
      <c r="L224" s="8" t="s">
        <v>2135</v>
      </c>
      <c r="M224" s="8" t="s">
        <v>3332</v>
      </c>
      <c r="N224" s="8" t="s">
        <v>3333</v>
      </c>
      <c r="O224" s="8" t="s">
        <v>2135</v>
      </c>
      <c r="P224" s="8" t="s">
        <v>2135</v>
      </c>
      <c r="Q224" s="8" t="s">
        <v>2135</v>
      </c>
      <c r="R224" s="8" t="s">
        <v>2135</v>
      </c>
      <c r="S224" s="8" t="s">
        <v>2135</v>
      </c>
      <c r="T224" s="8" t="s">
        <v>6927</v>
      </c>
      <c r="U224" s="8" t="s">
        <v>2135</v>
      </c>
      <c r="V224" s="8" t="s">
        <v>6928</v>
      </c>
      <c r="W224" s="8" t="s">
        <v>2135</v>
      </c>
      <c r="X224" s="8" t="s">
        <v>2135</v>
      </c>
      <c r="Y224" s="8" t="s">
        <v>6929</v>
      </c>
      <c r="Z224" s="8" t="s">
        <v>2135</v>
      </c>
      <c r="AA224" s="8" t="s">
        <v>2135</v>
      </c>
      <c r="AB224" s="8" t="s">
        <v>2135</v>
      </c>
      <c r="AC224" s="8" t="s">
        <v>2135</v>
      </c>
      <c r="AD224" s="8" t="s">
        <v>2135</v>
      </c>
      <c r="AE224" s="8" t="s">
        <v>2135</v>
      </c>
      <c r="AF224" s="8" t="s">
        <v>2135</v>
      </c>
      <c r="AG224" s="8">
        <v>0.0</v>
      </c>
      <c r="AH224" s="8">
        <v>9.0</v>
      </c>
      <c r="AI224" s="8">
        <v>13.0</v>
      </c>
      <c r="AJ224" s="8">
        <v>0.0</v>
      </c>
      <c r="AK224" s="8">
        <v>33.0</v>
      </c>
      <c r="AL224" s="8" t="s">
        <v>4537</v>
      </c>
      <c r="AM224" s="8" t="s">
        <v>4538</v>
      </c>
      <c r="AN224" s="8" t="s">
        <v>6930</v>
      </c>
      <c r="AO224" s="8" t="s">
        <v>6931</v>
      </c>
      <c r="AP224" s="8" t="s">
        <v>2135</v>
      </c>
      <c r="AQ224" s="8" t="s">
        <v>2135</v>
      </c>
      <c r="AR224" s="8" t="s">
        <v>6932</v>
      </c>
      <c r="AS224" s="8" t="s">
        <v>6933</v>
      </c>
      <c r="AT224" s="8" t="s">
        <v>3462</v>
      </c>
      <c r="AU224" s="8">
        <v>1993.0</v>
      </c>
      <c r="AV224" s="8">
        <v>53.0</v>
      </c>
      <c r="AW224" s="8">
        <v>3.0</v>
      </c>
      <c r="AX224" s="8" t="s">
        <v>2135</v>
      </c>
      <c r="AY224" s="8" t="s">
        <v>2135</v>
      </c>
      <c r="AZ224" s="8" t="s">
        <v>2135</v>
      </c>
      <c r="BA224" s="8" t="s">
        <v>2135</v>
      </c>
      <c r="BB224" s="8">
        <v>282.0</v>
      </c>
      <c r="BC224" s="8">
        <v>292.0</v>
      </c>
      <c r="BD224" s="8" t="s">
        <v>2135</v>
      </c>
      <c r="BE224" s="8" t="s">
        <v>2135</v>
      </c>
      <c r="BF224" s="8" t="s">
        <v>2135</v>
      </c>
      <c r="BG224" s="8" t="s">
        <v>2135</v>
      </c>
      <c r="BH224" s="8" t="s">
        <v>2135</v>
      </c>
      <c r="BI224" s="8">
        <v>11.0</v>
      </c>
      <c r="BJ224" s="8" t="s">
        <v>3681</v>
      </c>
      <c r="BK224" s="8" t="s">
        <v>3352</v>
      </c>
      <c r="BL224" s="8" t="s">
        <v>3632</v>
      </c>
      <c r="BM224" s="8" t="s">
        <v>6934</v>
      </c>
      <c r="BN224" s="8" t="s">
        <v>2135</v>
      </c>
      <c r="BO224" s="8" t="s">
        <v>2135</v>
      </c>
      <c r="BP224" s="8" t="s">
        <v>2135</v>
      </c>
      <c r="BQ224" s="8" t="s">
        <v>2135</v>
      </c>
      <c r="BR224" s="8" t="s">
        <v>3355</v>
      </c>
      <c r="BS224" s="8" t="s">
        <v>6935</v>
      </c>
      <c r="BT224" s="8" t="s">
        <v>2600</v>
      </c>
      <c r="BU224" s="8" t="s">
        <v>2147</v>
      </c>
      <c r="BV224" s="8" t="s">
        <v>2217</v>
      </c>
      <c r="BW224" s="8" t="s">
        <v>2221</v>
      </c>
      <c r="BX224" s="8" t="s">
        <v>3022</v>
      </c>
      <c r="BY224" s="8" t="s">
        <v>2954</v>
      </c>
      <c r="BZ224" s="8" t="str">
        <f>HYPERLINK("https%3A%2F%2Fwww.webofscience.com%2Fwos%2Fwoscc%2Ffull-record%2FWOS:A1993MT81900006","View Full Record in Web of Science")</f>
        <v>View Full Record in Web of Science</v>
      </c>
    </row>
    <row r="225" ht="12.75" customHeight="1">
      <c r="A225" s="8" t="s">
        <v>3329</v>
      </c>
      <c r="B225" s="8" t="s">
        <v>6936</v>
      </c>
      <c r="C225" s="8" t="s">
        <v>2135</v>
      </c>
      <c r="D225" s="8" t="s">
        <v>2135</v>
      </c>
      <c r="E225" s="8" t="s">
        <v>2135</v>
      </c>
      <c r="F225" s="8" t="s">
        <v>6936</v>
      </c>
      <c r="G225" s="8" t="s">
        <v>2135</v>
      </c>
      <c r="H225" s="8" t="s">
        <v>2135</v>
      </c>
      <c r="I225" s="8" t="s">
        <v>660</v>
      </c>
      <c r="J225" s="8" t="s">
        <v>3796</v>
      </c>
      <c r="K225" s="8" t="s">
        <v>2135</v>
      </c>
      <c r="L225" s="8" t="s">
        <v>2135</v>
      </c>
      <c r="M225" s="8" t="s">
        <v>3332</v>
      </c>
      <c r="N225" s="8" t="s">
        <v>3333</v>
      </c>
      <c r="O225" s="8" t="s">
        <v>2135</v>
      </c>
      <c r="P225" s="8" t="s">
        <v>2135</v>
      </c>
      <c r="Q225" s="8" t="s">
        <v>2135</v>
      </c>
      <c r="R225" s="8" t="s">
        <v>2135</v>
      </c>
      <c r="S225" s="8" t="s">
        <v>2135</v>
      </c>
      <c r="T225" s="8" t="s">
        <v>2135</v>
      </c>
      <c r="U225" s="8" t="s">
        <v>6937</v>
      </c>
      <c r="V225" s="8" t="s">
        <v>6938</v>
      </c>
      <c r="W225" s="8" t="s">
        <v>6939</v>
      </c>
      <c r="X225" s="8" t="s">
        <v>6940</v>
      </c>
      <c r="Y225" s="8" t="s">
        <v>2135</v>
      </c>
      <c r="Z225" s="8" t="s">
        <v>2135</v>
      </c>
      <c r="AA225" s="8" t="s">
        <v>2135</v>
      </c>
      <c r="AB225" s="8" t="s">
        <v>6941</v>
      </c>
      <c r="AC225" s="8" t="s">
        <v>2135</v>
      </c>
      <c r="AD225" s="8" t="s">
        <v>2135</v>
      </c>
      <c r="AE225" s="8" t="s">
        <v>2135</v>
      </c>
      <c r="AF225" s="8" t="s">
        <v>2135</v>
      </c>
      <c r="AG225" s="8">
        <v>40.0</v>
      </c>
      <c r="AH225" s="8">
        <v>12.0</v>
      </c>
      <c r="AI225" s="8">
        <v>14.0</v>
      </c>
      <c r="AJ225" s="8">
        <v>0.0</v>
      </c>
      <c r="AK225" s="8">
        <v>6.0</v>
      </c>
      <c r="AL225" s="8" t="s">
        <v>4044</v>
      </c>
      <c r="AM225" s="8" t="s">
        <v>3759</v>
      </c>
      <c r="AN225" s="8" t="s">
        <v>4045</v>
      </c>
      <c r="AO225" s="8" t="s">
        <v>3808</v>
      </c>
      <c r="AP225" s="8" t="s">
        <v>2135</v>
      </c>
      <c r="AQ225" s="8" t="s">
        <v>2135</v>
      </c>
      <c r="AR225" s="8" t="s">
        <v>3810</v>
      </c>
      <c r="AS225" s="8" t="s">
        <v>3811</v>
      </c>
      <c r="AT225" s="8" t="s">
        <v>3349</v>
      </c>
      <c r="AU225" s="8">
        <v>1993.0</v>
      </c>
      <c r="AV225" s="8">
        <v>23.0</v>
      </c>
      <c r="AW225" s="8">
        <v>2.0</v>
      </c>
      <c r="AX225" s="8" t="s">
        <v>2135</v>
      </c>
      <c r="AY225" s="8" t="s">
        <v>2135</v>
      </c>
      <c r="AZ225" s="8" t="s">
        <v>2135</v>
      </c>
      <c r="BA225" s="8" t="s">
        <v>2135</v>
      </c>
      <c r="BB225" s="8">
        <v>65.0</v>
      </c>
      <c r="BC225" s="8">
        <v>72.0</v>
      </c>
      <c r="BD225" s="8" t="s">
        <v>2135</v>
      </c>
      <c r="BE225" s="8" t="s">
        <v>6942</v>
      </c>
      <c r="BF225" s="13" t="str">
        <f>HYPERLINK("http://dx.doi.org/10.1111/j.1365-2907.1993.tb00417.x","http://dx.doi.org/10.1111/j.1365-2907.1993.tb00417.x")</f>
        <v>http://dx.doi.org/10.1111/j.1365-2907.1993.tb00417.x</v>
      </c>
      <c r="BG225" s="8" t="s">
        <v>2135</v>
      </c>
      <c r="BH225" s="8" t="s">
        <v>2135</v>
      </c>
      <c r="BI225" s="8">
        <v>8.0</v>
      </c>
      <c r="BJ225" s="8" t="s">
        <v>3442</v>
      </c>
      <c r="BK225" s="8" t="s">
        <v>3352</v>
      </c>
      <c r="BL225" s="8" t="s">
        <v>3443</v>
      </c>
      <c r="BM225" s="8" t="s">
        <v>6943</v>
      </c>
      <c r="BN225" s="8" t="s">
        <v>2135</v>
      </c>
      <c r="BO225" s="8" t="s">
        <v>2135</v>
      </c>
      <c r="BP225" s="8" t="s">
        <v>2135</v>
      </c>
      <c r="BQ225" s="8" t="s">
        <v>2135</v>
      </c>
      <c r="BR225" s="8" t="s">
        <v>3355</v>
      </c>
      <c r="BS225" s="8" t="s">
        <v>6944</v>
      </c>
      <c r="BT225" s="8" t="s">
        <v>2497</v>
      </c>
      <c r="BU225" s="8" t="s">
        <v>2142</v>
      </c>
      <c r="BW225" s="8" t="s">
        <v>2166</v>
      </c>
      <c r="BX225" s="8" t="s">
        <v>2953</v>
      </c>
      <c r="BY225" s="8" t="s">
        <v>2954</v>
      </c>
      <c r="BZ225" s="8" t="str">
        <f>HYPERLINK("https%3A%2F%2Fwww.webofscience.com%2Fwos%2Fwoscc%2Ffull-record%2FWOS:A1993LP71000001","View Full Record in Web of Science")</f>
        <v>View Full Record in Web of Science</v>
      </c>
    </row>
    <row r="226" ht="12.75" customHeight="1">
      <c r="A226" s="8" t="s">
        <v>3329</v>
      </c>
      <c r="B226" s="8" t="s">
        <v>6945</v>
      </c>
      <c r="C226" s="8" t="s">
        <v>2135</v>
      </c>
      <c r="D226" s="8" t="s">
        <v>2135</v>
      </c>
      <c r="E226" s="8" t="s">
        <v>2135</v>
      </c>
      <c r="F226" s="8" t="s">
        <v>6945</v>
      </c>
      <c r="G226" s="8" t="s">
        <v>2135</v>
      </c>
      <c r="H226" s="8" t="s">
        <v>2135</v>
      </c>
      <c r="I226" s="8" t="s">
        <v>452</v>
      </c>
      <c r="J226" s="8" t="s">
        <v>6946</v>
      </c>
      <c r="K226" s="8" t="s">
        <v>2135</v>
      </c>
      <c r="L226" s="8" t="s">
        <v>2135</v>
      </c>
      <c r="M226" s="8" t="s">
        <v>3332</v>
      </c>
      <c r="N226" s="8" t="s">
        <v>3333</v>
      </c>
      <c r="O226" s="8" t="s">
        <v>2135</v>
      </c>
      <c r="P226" s="8" t="s">
        <v>2135</v>
      </c>
      <c r="Q226" s="8" t="s">
        <v>2135</v>
      </c>
      <c r="R226" s="8" t="s">
        <v>2135</v>
      </c>
      <c r="S226" s="8" t="s">
        <v>2135</v>
      </c>
      <c r="T226" s="8" t="s">
        <v>6947</v>
      </c>
      <c r="U226" s="8" t="s">
        <v>2135</v>
      </c>
      <c r="V226" s="8" t="s">
        <v>6948</v>
      </c>
      <c r="W226" s="8" t="s">
        <v>6949</v>
      </c>
      <c r="X226" s="8" t="s">
        <v>6950</v>
      </c>
      <c r="Y226" s="8" t="s">
        <v>6951</v>
      </c>
      <c r="Z226" s="8" t="s">
        <v>2135</v>
      </c>
      <c r="AA226" s="8" t="s">
        <v>2135</v>
      </c>
      <c r="AB226" s="8" t="s">
        <v>2135</v>
      </c>
      <c r="AC226" s="8" t="s">
        <v>2135</v>
      </c>
      <c r="AD226" s="8" t="s">
        <v>2135</v>
      </c>
      <c r="AE226" s="8" t="s">
        <v>2135</v>
      </c>
      <c r="AF226" s="8" t="s">
        <v>2135</v>
      </c>
      <c r="AG226" s="8">
        <v>24.0</v>
      </c>
      <c r="AH226" s="8">
        <v>37.0</v>
      </c>
      <c r="AI226" s="8">
        <v>44.0</v>
      </c>
      <c r="AJ226" s="8">
        <v>0.0</v>
      </c>
      <c r="AK226" s="8">
        <v>14.0</v>
      </c>
      <c r="AL226" s="8" t="s">
        <v>6952</v>
      </c>
      <c r="AM226" s="8" t="s">
        <v>6953</v>
      </c>
      <c r="AN226" s="8" t="s">
        <v>6954</v>
      </c>
      <c r="AO226" s="8" t="s">
        <v>6955</v>
      </c>
      <c r="AP226" s="8" t="s">
        <v>2135</v>
      </c>
      <c r="AQ226" s="8" t="s">
        <v>2135</v>
      </c>
      <c r="AR226" s="8" t="s">
        <v>6956</v>
      </c>
      <c r="AS226" s="8" t="s">
        <v>6957</v>
      </c>
      <c r="AT226" s="8" t="s">
        <v>3721</v>
      </c>
      <c r="AU226" s="8">
        <v>1993.0</v>
      </c>
      <c r="AV226" s="8">
        <v>24.0</v>
      </c>
      <c r="AW226" s="8">
        <v>1.0</v>
      </c>
      <c r="AX226" s="8" t="s">
        <v>2135</v>
      </c>
      <c r="AY226" s="8" t="s">
        <v>2135</v>
      </c>
      <c r="AZ226" s="8" t="s">
        <v>2135</v>
      </c>
      <c r="BA226" s="8" t="s">
        <v>2135</v>
      </c>
      <c r="BB226" s="8">
        <v>28.0</v>
      </c>
      <c r="BC226" s="8">
        <v>40.0</v>
      </c>
      <c r="BD226" s="8" t="s">
        <v>2135</v>
      </c>
      <c r="BE226" s="8" t="s">
        <v>2135</v>
      </c>
      <c r="BF226" s="8" t="s">
        <v>2135</v>
      </c>
      <c r="BG226" s="8" t="s">
        <v>2135</v>
      </c>
      <c r="BH226" s="8" t="s">
        <v>2135</v>
      </c>
      <c r="BI226" s="8">
        <v>13.0</v>
      </c>
      <c r="BJ226" s="8" t="s">
        <v>6958</v>
      </c>
      <c r="BK226" s="8" t="s">
        <v>3352</v>
      </c>
      <c r="BL226" s="8" t="s">
        <v>6958</v>
      </c>
      <c r="BM226" s="8" t="s">
        <v>6959</v>
      </c>
      <c r="BN226" s="8" t="s">
        <v>2135</v>
      </c>
      <c r="BO226" s="8" t="s">
        <v>2135</v>
      </c>
      <c r="BP226" s="8" t="s">
        <v>2135</v>
      </c>
      <c r="BQ226" s="8" t="s">
        <v>2135</v>
      </c>
      <c r="BR226" s="8" t="s">
        <v>3355</v>
      </c>
      <c r="BS226" s="8" t="s">
        <v>6960</v>
      </c>
      <c r="BT226" s="8" t="s">
        <v>2600</v>
      </c>
      <c r="BU226" s="8" t="s">
        <v>2147</v>
      </c>
      <c r="BV226" s="8" t="s">
        <v>2217</v>
      </c>
      <c r="BW226" s="8" t="s">
        <v>2234</v>
      </c>
      <c r="BX226" s="8" t="s">
        <v>2953</v>
      </c>
      <c r="BY226" s="8" t="s">
        <v>2954</v>
      </c>
      <c r="BZ226" s="8" t="str">
        <f>HYPERLINK("https%3A%2F%2Fwww.webofscience.com%2Fwos%2Fwoscc%2Ffull-record%2FWOS:A1993LA70700005","View Full Record in Web of Science")</f>
        <v>View Full Record in Web of Science</v>
      </c>
    </row>
    <row r="227" ht="12.75" customHeight="1">
      <c r="A227" s="8" t="s">
        <v>3329</v>
      </c>
      <c r="B227" s="8" t="s">
        <v>6961</v>
      </c>
      <c r="C227" s="8" t="s">
        <v>2135</v>
      </c>
      <c r="D227" s="8" t="s">
        <v>2135</v>
      </c>
      <c r="E227" s="8" t="s">
        <v>2135</v>
      </c>
      <c r="F227" s="8" t="s">
        <v>6961</v>
      </c>
      <c r="G227" s="8" t="s">
        <v>2135</v>
      </c>
      <c r="H227" s="8" t="s">
        <v>2135</v>
      </c>
      <c r="I227" s="8" t="s">
        <v>656</v>
      </c>
      <c r="J227" s="8" t="s">
        <v>4546</v>
      </c>
      <c r="K227" s="8" t="s">
        <v>2135</v>
      </c>
      <c r="L227" s="8" t="s">
        <v>2135</v>
      </c>
      <c r="M227" s="8" t="s">
        <v>3332</v>
      </c>
      <c r="N227" s="8" t="s">
        <v>3333</v>
      </c>
      <c r="O227" s="8" t="s">
        <v>2135</v>
      </c>
      <c r="P227" s="8" t="s">
        <v>2135</v>
      </c>
      <c r="Q227" s="8" t="s">
        <v>2135</v>
      </c>
      <c r="R227" s="8" t="s">
        <v>2135</v>
      </c>
      <c r="S227" s="8" t="s">
        <v>2135</v>
      </c>
      <c r="T227" s="8" t="s">
        <v>6962</v>
      </c>
      <c r="U227" s="8" t="s">
        <v>6963</v>
      </c>
      <c r="V227" s="8" t="s">
        <v>6964</v>
      </c>
      <c r="W227" s="8" t="s">
        <v>2135</v>
      </c>
      <c r="X227" s="8" t="s">
        <v>2135</v>
      </c>
      <c r="Y227" s="8" t="s">
        <v>6965</v>
      </c>
      <c r="Z227" s="8" t="s">
        <v>2135</v>
      </c>
      <c r="AA227" s="8" t="s">
        <v>2135</v>
      </c>
      <c r="AB227" s="8" t="s">
        <v>2135</v>
      </c>
      <c r="AC227" s="8" t="s">
        <v>2135</v>
      </c>
      <c r="AD227" s="8" t="s">
        <v>2135</v>
      </c>
      <c r="AE227" s="8" t="s">
        <v>2135</v>
      </c>
      <c r="AF227" s="8" t="s">
        <v>2135</v>
      </c>
      <c r="AG227" s="8">
        <v>30.0</v>
      </c>
      <c r="AH227" s="8">
        <v>7.0</v>
      </c>
      <c r="AI227" s="8">
        <v>12.0</v>
      </c>
      <c r="AJ227" s="8">
        <v>0.0</v>
      </c>
      <c r="AK227" s="8">
        <v>27.0</v>
      </c>
      <c r="AL227" s="8" t="s">
        <v>6966</v>
      </c>
      <c r="AM227" s="8" t="s">
        <v>3390</v>
      </c>
      <c r="AN227" s="8" t="s">
        <v>6967</v>
      </c>
      <c r="AO227" s="8" t="s">
        <v>4554</v>
      </c>
      <c r="AP227" s="8" t="s">
        <v>2135</v>
      </c>
      <c r="AQ227" s="8" t="s">
        <v>2135</v>
      </c>
      <c r="AR227" s="8" t="s">
        <v>4556</v>
      </c>
      <c r="AS227" s="8" t="s">
        <v>4557</v>
      </c>
      <c r="AT227" s="8" t="s">
        <v>3580</v>
      </c>
      <c r="AU227" s="8">
        <v>1991.0</v>
      </c>
      <c r="AV227" s="8">
        <v>7.0</v>
      </c>
      <c r="AW227" s="8">
        <v>4.0</v>
      </c>
      <c r="AX227" s="8" t="s">
        <v>2135</v>
      </c>
      <c r="AY227" s="8" t="s">
        <v>2135</v>
      </c>
      <c r="AZ227" s="8" t="s">
        <v>2135</v>
      </c>
      <c r="BA227" s="8" t="s">
        <v>2135</v>
      </c>
      <c r="BB227" s="8">
        <v>395.0</v>
      </c>
      <c r="BC227" s="8">
        <v>401.0</v>
      </c>
      <c r="BD227" s="8" t="s">
        <v>2135</v>
      </c>
      <c r="BE227" s="8" t="s">
        <v>6968</v>
      </c>
      <c r="BF227" s="13" t="str">
        <f>HYPERLINK("http://dx.doi.org/10.1111/j.1748-7692.1991.tb00114.x","http://dx.doi.org/10.1111/j.1748-7692.1991.tb00114.x")</f>
        <v>http://dx.doi.org/10.1111/j.1748-7692.1991.tb00114.x</v>
      </c>
      <c r="BG227" s="8" t="s">
        <v>2135</v>
      </c>
      <c r="BH227" s="8" t="s">
        <v>2135</v>
      </c>
      <c r="BI227" s="8">
        <v>7.0</v>
      </c>
      <c r="BJ227" s="8" t="s">
        <v>4559</v>
      </c>
      <c r="BK227" s="8" t="s">
        <v>3352</v>
      </c>
      <c r="BL227" s="8" t="s">
        <v>4559</v>
      </c>
      <c r="BM227" s="8" t="s">
        <v>6969</v>
      </c>
      <c r="BN227" s="8" t="s">
        <v>2135</v>
      </c>
      <c r="BO227" s="8" t="s">
        <v>2135</v>
      </c>
      <c r="BP227" s="8" t="s">
        <v>2135</v>
      </c>
      <c r="BQ227" s="8" t="s">
        <v>2135</v>
      </c>
      <c r="BR227" s="8" t="s">
        <v>3355</v>
      </c>
      <c r="BS227" s="8" t="s">
        <v>6970</v>
      </c>
      <c r="BT227" s="8" t="s">
        <v>2600</v>
      </c>
      <c r="BU227" s="8" t="s">
        <v>2147</v>
      </c>
      <c r="BV227" s="8" t="s">
        <v>2217</v>
      </c>
      <c r="BW227" s="8" t="s">
        <v>2237</v>
      </c>
      <c r="BX227" s="8" t="s">
        <v>2981</v>
      </c>
      <c r="BY227" s="8" t="s">
        <v>2954</v>
      </c>
      <c r="BZ227" s="8" t="str">
        <f>HYPERLINK("https%3A%2F%2Fwww.webofscience.com%2Fwos%2Fwoscc%2Ffull-record%2FWOS:A1991GN34400004","View Full Record in Web of Science")</f>
        <v>View Full Record in Web of Science</v>
      </c>
    </row>
    <row r="228" ht="12.75" customHeight="1">
      <c r="A228" s="8" t="s">
        <v>3329</v>
      </c>
      <c r="B228" s="8" t="s">
        <v>6971</v>
      </c>
      <c r="C228" s="8" t="s">
        <v>2135</v>
      </c>
      <c r="D228" s="8" t="s">
        <v>2135</v>
      </c>
      <c r="E228" s="8" t="s">
        <v>2135</v>
      </c>
      <c r="F228" s="8" t="s">
        <v>6971</v>
      </c>
      <c r="G228" s="8" t="s">
        <v>2135</v>
      </c>
      <c r="H228" s="8" t="s">
        <v>2135</v>
      </c>
      <c r="I228" s="8" t="s">
        <v>654</v>
      </c>
      <c r="J228" s="8" t="s">
        <v>6972</v>
      </c>
      <c r="K228" s="8" t="s">
        <v>2135</v>
      </c>
      <c r="L228" s="8" t="s">
        <v>2135</v>
      </c>
      <c r="M228" s="8" t="s">
        <v>3332</v>
      </c>
      <c r="N228" s="8" t="s">
        <v>3333</v>
      </c>
      <c r="O228" s="8" t="s">
        <v>2135</v>
      </c>
      <c r="P228" s="8" t="s">
        <v>2135</v>
      </c>
      <c r="Q228" s="8" t="s">
        <v>2135</v>
      </c>
      <c r="R228" s="8" t="s">
        <v>2135</v>
      </c>
      <c r="S228" s="8" t="s">
        <v>2135</v>
      </c>
      <c r="T228" s="8" t="s">
        <v>6973</v>
      </c>
      <c r="U228" s="8" t="s">
        <v>6974</v>
      </c>
      <c r="V228" s="8" t="s">
        <v>6975</v>
      </c>
      <c r="W228" s="8" t="s">
        <v>6976</v>
      </c>
      <c r="X228" s="8" t="s">
        <v>2135</v>
      </c>
      <c r="Y228" s="8" t="s">
        <v>6977</v>
      </c>
      <c r="Z228" s="8" t="s">
        <v>2135</v>
      </c>
      <c r="AA228" s="8" t="s">
        <v>2135</v>
      </c>
      <c r="AB228" s="8" t="s">
        <v>2135</v>
      </c>
      <c r="AC228" s="8" t="s">
        <v>2135</v>
      </c>
      <c r="AD228" s="8" t="s">
        <v>2135</v>
      </c>
      <c r="AE228" s="8" t="s">
        <v>2135</v>
      </c>
      <c r="AF228" s="8" t="s">
        <v>2135</v>
      </c>
      <c r="AG228" s="8">
        <v>17.0</v>
      </c>
      <c r="AH228" s="8">
        <v>32.0</v>
      </c>
      <c r="AI228" s="8">
        <v>37.0</v>
      </c>
      <c r="AJ228" s="8">
        <v>0.0</v>
      </c>
      <c r="AK228" s="8">
        <v>16.0</v>
      </c>
      <c r="AL228" s="8" t="s">
        <v>4044</v>
      </c>
      <c r="AM228" s="8" t="s">
        <v>3759</v>
      </c>
      <c r="AN228" s="8" t="s">
        <v>4045</v>
      </c>
      <c r="AO228" s="8" t="s">
        <v>6978</v>
      </c>
      <c r="AP228" s="8" t="s">
        <v>2135</v>
      </c>
      <c r="AQ228" s="8" t="s">
        <v>2135</v>
      </c>
      <c r="AR228" s="8" t="s">
        <v>6979</v>
      </c>
      <c r="AS228" s="8" t="s">
        <v>6980</v>
      </c>
      <c r="AT228" s="8" t="s">
        <v>3741</v>
      </c>
      <c r="AU228" s="8">
        <v>1990.0</v>
      </c>
      <c r="AV228" s="8">
        <v>28.0</v>
      </c>
      <c r="AW228" s="8">
        <v>4.0</v>
      </c>
      <c r="AX228" s="8" t="s">
        <v>2135</v>
      </c>
      <c r="AY228" s="8" t="s">
        <v>2135</v>
      </c>
      <c r="AZ228" s="8" t="s">
        <v>2135</v>
      </c>
      <c r="BA228" s="8" t="s">
        <v>2135</v>
      </c>
      <c r="BB228" s="8">
        <v>322.0</v>
      </c>
      <c r="BC228" s="8">
        <v>329.0</v>
      </c>
      <c r="BD228" s="8" t="s">
        <v>2135</v>
      </c>
      <c r="BE228" s="8" t="s">
        <v>6981</v>
      </c>
      <c r="BF228" s="13" t="str">
        <f>HYPERLINK("http://dx.doi.org/10.1111/j.1365-2028.1990.tb01167.x","http://dx.doi.org/10.1111/j.1365-2028.1990.tb01167.x")</f>
        <v>http://dx.doi.org/10.1111/j.1365-2028.1990.tb01167.x</v>
      </c>
      <c r="BG228" s="8" t="s">
        <v>2135</v>
      </c>
      <c r="BH228" s="8" t="s">
        <v>2135</v>
      </c>
      <c r="BI228" s="8">
        <v>8.0</v>
      </c>
      <c r="BJ228" s="8" t="s">
        <v>3681</v>
      </c>
      <c r="BK228" s="8" t="s">
        <v>3352</v>
      </c>
      <c r="BL228" s="8" t="s">
        <v>3632</v>
      </c>
      <c r="BM228" s="8" t="s">
        <v>6982</v>
      </c>
      <c r="BN228" s="8" t="s">
        <v>2135</v>
      </c>
      <c r="BO228" s="8" t="s">
        <v>2135</v>
      </c>
      <c r="BP228" s="8" t="s">
        <v>2135</v>
      </c>
      <c r="BQ228" s="8" t="s">
        <v>2135</v>
      </c>
      <c r="BR228" s="8" t="s">
        <v>3355</v>
      </c>
      <c r="BS228" s="8" t="s">
        <v>6983</v>
      </c>
      <c r="BT228" s="8" t="s">
        <v>2545</v>
      </c>
      <c r="BU228" s="8" t="s">
        <v>2136</v>
      </c>
      <c r="BW228" s="8" t="s">
        <v>2546</v>
      </c>
      <c r="BX228" s="8" t="s">
        <v>2981</v>
      </c>
      <c r="BY228" s="8" t="s">
        <v>2954</v>
      </c>
      <c r="BZ228" s="8" t="str">
        <f>HYPERLINK("https%3A%2F%2Fwww.webofscience.com%2Fwos%2Fwoscc%2Ffull-record%2FWOS:A1990FA60700007","View Full Record in Web of Science")</f>
        <v>View Full Record in Web of Science</v>
      </c>
    </row>
    <row r="229" ht="12.75" customHeight="1">
      <c r="A229" s="8" t="s">
        <v>3329</v>
      </c>
      <c r="B229" s="8" t="s">
        <v>6984</v>
      </c>
      <c r="C229" s="8" t="s">
        <v>2135</v>
      </c>
      <c r="D229" s="8" t="s">
        <v>2135</v>
      </c>
      <c r="E229" s="8" t="s">
        <v>2135</v>
      </c>
      <c r="F229" s="8" t="s">
        <v>6984</v>
      </c>
      <c r="G229" s="8" t="s">
        <v>2135</v>
      </c>
      <c r="H229" s="8" t="s">
        <v>2135</v>
      </c>
      <c r="I229" s="8" t="s">
        <v>652</v>
      </c>
      <c r="J229" s="8" t="s">
        <v>3855</v>
      </c>
      <c r="K229" s="8" t="s">
        <v>2135</v>
      </c>
      <c r="L229" s="8" t="s">
        <v>2135</v>
      </c>
      <c r="M229" s="8" t="s">
        <v>3332</v>
      </c>
      <c r="N229" s="8" t="s">
        <v>3333</v>
      </c>
      <c r="O229" s="8" t="s">
        <v>2135</v>
      </c>
      <c r="P229" s="8" t="s">
        <v>2135</v>
      </c>
      <c r="Q229" s="8" t="s">
        <v>2135</v>
      </c>
      <c r="R229" s="8" t="s">
        <v>2135</v>
      </c>
      <c r="S229" s="8" t="s">
        <v>2135</v>
      </c>
      <c r="T229" s="8" t="s">
        <v>2135</v>
      </c>
      <c r="U229" s="8" t="s">
        <v>2135</v>
      </c>
      <c r="V229" s="8" t="s">
        <v>2135</v>
      </c>
      <c r="W229" s="8" t="s">
        <v>6985</v>
      </c>
      <c r="X229" s="8" t="s">
        <v>6986</v>
      </c>
      <c r="Y229" s="8" t="s">
        <v>6987</v>
      </c>
      <c r="Z229" s="8" t="s">
        <v>2135</v>
      </c>
      <c r="AA229" s="8" t="s">
        <v>2135</v>
      </c>
      <c r="AB229" s="8" t="s">
        <v>2135</v>
      </c>
      <c r="AC229" s="8" t="s">
        <v>2135</v>
      </c>
      <c r="AD229" s="8" t="s">
        <v>2135</v>
      </c>
      <c r="AE229" s="8" t="s">
        <v>2135</v>
      </c>
      <c r="AF229" s="8" t="s">
        <v>2135</v>
      </c>
      <c r="AG229" s="8">
        <v>27.0</v>
      </c>
      <c r="AH229" s="8">
        <v>39.0</v>
      </c>
      <c r="AI229" s="8">
        <v>43.0</v>
      </c>
      <c r="AJ229" s="8">
        <v>0.0</v>
      </c>
      <c r="AK229" s="8">
        <v>12.0</v>
      </c>
      <c r="AL229" s="8" t="s">
        <v>6988</v>
      </c>
      <c r="AM229" s="8" t="s">
        <v>3624</v>
      </c>
      <c r="AN229" s="8" t="s">
        <v>6989</v>
      </c>
      <c r="AO229" s="8" t="s">
        <v>3867</v>
      </c>
      <c r="AP229" s="8" t="s">
        <v>2135</v>
      </c>
      <c r="AQ229" s="8" t="s">
        <v>2135</v>
      </c>
      <c r="AR229" s="8" t="s">
        <v>3869</v>
      </c>
      <c r="AS229" s="8" t="s">
        <v>3870</v>
      </c>
      <c r="AT229" s="8" t="s">
        <v>3462</v>
      </c>
      <c r="AU229" s="8">
        <v>1989.0</v>
      </c>
      <c r="AV229" s="8">
        <v>38.0</v>
      </c>
      <c r="AW229" s="8">
        <v>1.0</v>
      </c>
      <c r="AX229" s="8" t="s">
        <v>2135</v>
      </c>
      <c r="AY229" s="8" t="s">
        <v>2135</v>
      </c>
      <c r="AZ229" s="8" t="s">
        <v>2135</v>
      </c>
      <c r="BA229" s="8" t="s">
        <v>2135</v>
      </c>
      <c r="BB229" s="8">
        <v>91.0</v>
      </c>
      <c r="BC229" s="8">
        <v>101.0</v>
      </c>
      <c r="BD229" s="8" t="s">
        <v>2135</v>
      </c>
      <c r="BE229" s="8" t="s">
        <v>6990</v>
      </c>
      <c r="BF229" s="13" t="str">
        <f>HYPERLINK("http://dx.doi.org/10.1111/j.1095-8312.1989.tb01566.x","http://dx.doi.org/10.1111/j.1095-8312.1989.tb01566.x")</f>
        <v>http://dx.doi.org/10.1111/j.1095-8312.1989.tb01566.x</v>
      </c>
      <c r="BG229" s="8" t="s">
        <v>2135</v>
      </c>
      <c r="BH229" s="8" t="s">
        <v>2135</v>
      </c>
      <c r="BI229" s="8">
        <v>11.0</v>
      </c>
      <c r="BJ229" s="8" t="s">
        <v>3872</v>
      </c>
      <c r="BK229" s="8" t="s">
        <v>3352</v>
      </c>
      <c r="BL229" s="8" t="s">
        <v>3872</v>
      </c>
      <c r="BM229" s="8" t="s">
        <v>6991</v>
      </c>
      <c r="BN229" s="8" t="s">
        <v>2135</v>
      </c>
      <c r="BO229" s="8" t="s">
        <v>2135</v>
      </c>
      <c r="BP229" s="8" t="s">
        <v>2135</v>
      </c>
      <c r="BQ229" s="8" t="s">
        <v>2135</v>
      </c>
      <c r="BR229" s="8" t="s">
        <v>3355</v>
      </c>
      <c r="BS229" s="8" t="s">
        <v>6992</v>
      </c>
      <c r="BT229" s="8" t="s">
        <v>2553</v>
      </c>
      <c r="BU229" s="8" t="s">
        <v>2142</v>
      </c>
      <c r="BW229" s="8" t="s">
        <v>2311</v>
      </c>
      <c r="BX229" s="8" t="s">
        <v>2953</v>
      </c>
      <c r="BY229" s="8" t="s">
        <v>2954</v>
      </c>
      <c r="BZ229" s="8" t="str">
        <f>HYPERLINK("https%3A%2F%2Fwww.webofscience.com%2Fwos%2Fwoscc%2Ffull-record%2FWOS:A1989AV15400011","View Full Record in Web of Science")</f>
        <v>View Full Record in Web of Science</v>
      </c>
    </row>
    <row r="230" ht="12.75" customHeight="1">
      <c r="A230" s="8" t="s">
        <v>3329</v>
      </c>
      <c r="B230" s="8" t="s">
        <v>6993</v>
      </c>
      <c r="C230" s="8" t="s">
        <v>2135</v>
      </c>
      <c r="D230" s="8" t="s">
        <v>2135</v>
      </c>
      <c r="E230" s="8" t="s">
        <v>2135</v>
      </c>
      <c r="F230" s="8" t="s">
        <v>6994</v>
      </c>
      <c r="G230" s="8" t="s">
        <v>2135</v>
      </c>
      <c r="H230" s="8" t="s">
        <v>2135</v>
      </c>
      <c r="I230" s="8" t="s">
        <v>979</v>
      </c>
      <c r="J230" s="8" t="s">
        <v>6995</v>
      </c>
      <c r="K230" s="8" t="s">
        <v>2135</v>
      </c>
      <c r="L230" s="8" t="s">
        <v>2135</v>
      </c>
      <c r="M230" s="8" t="s">
        <v>3332</v>
      </c>
      <c r="N230" s="8" t="s">
        <v>3333</v>
      </c>
      <c r="O230" s="8" t="s">
        <v>2135</v>
      </c>
      <c r="P230" s="8" t="s">
        <v>2135</v>
      </c>
      <c r="Q230" s="8" t="s">
        <v>2135</v>
      </c>
      <c r="R230" s="8" t="s">
        <v>2135</v>
      </c>
      <c r="S230" s="8" t="s">
        <v>2135</v>
      </c>
      <c r="T230" s="8" t="s">
        <v>2135</v>
      </c>
      <c r="U230" s="8" t="s">
        <v>6996</v>
      </c>
      <c r="V230" s="8" t="s">
        <v>6997</v>
      </c>
      <c r="W230" s="8" t="s">
        <v>6998</v>
      </c>
      <c r="X230" s="8" t="s">
        <v>6999</v>
      </c>
      <c r="Y230" s="8" t="s">
        <v>7000</v>
      </c>
      <c r="Z230" s="8" t="s">
        <v>7001</v>
      </c>
      <c r="AA230" s="8" t="s">
        <v>5109</v>
      </c>
      <c r="AB230" s="8" t="s">
        <v>5110</v>
      </c>
      <c r="AC230" s="8" t="s">
        <v>7002</v>
      </c>
      <c r="AD230" s="8" t="s">
        <v>7002</v>
      </c>
      <c r="AE230" s="8" t="s">
        <v>7003</v>
      </c>
      <c r="AF230" s="8" t="s">
        <v>2135</v>
      </c>
      <c r="AG230" s="8">
        <v>69.0</v>
      </c>
      <c r="AH230" s="8">
        <v>15.0</v>
      </c>
      <c r="AI230" s="8">
        <v>19.0</v>
      </c>
      <c r="AJ230" s="8">
        <v>2.0</v>
      </c>
      <c r="AK230" s="8">
        <v>34.0</v>
      </c>
      <c r="AL230" s="8" t="s">
        <v>7004</v>
      </c>
      <c r="AM230" s="8" t="s">
        <v>3624</v>
      </c>
      <c r="AN230" s="8" t="s">
        <v>7005</v>
      </c>
      <c r="AO230" s="8" t="s">
        <v>7006</v>
      </c>
      <c r="AP230" s="8" t="s">
        <v>7007</v>
      </c>
      <c r="AQ230" s="8" t="s">
        <v>2135</v>
      </c>
      <c r="AR230" s="8" t="s">
        <v>6995</v>
      </c>
      <c r="AS230" s="8" t="s">
        <v>7008</v>
      </c>
      <c r="AT230" s="8" t="s">
        <v>3556</v>
      </c>
      <c r="AU230" s="8">
        <v>2020.0</v>
      </c>
      <c r="AV230" s="8">
        <v>124.0</v>
      </c>
      <c r="AW230" s="8">
        <v>4.0</v>
      </c>
      <c r="AX230" s="8" t="s">
        <v>2135</v>
      </c>
      <c r="AY230" s="8" t="s">
        <v>2135</v>
      </c>
      <c r="AZ230" s="8" t="s">
        <v>2135</v>
      </c>
      <c r="BA230" s="8" t="s">
        <v>2135</v>
      </c>
      <c r="BB230" s="8">
        <v>550.0</v>
      </c>
      <c r="BC230" s="8">
        <v>561.0</v>
      </c>
      <c r="BD230" s="8" t="s">
        <v>2135</v>
      </c>
      <c r="BE230" s="8" t="s">
        <v>7009</v>
      </c>
      <c r="BF230" s="13" t="str">
        <f>HYPERLINK("http://dx.doi.org/10.1038/s41437-020-0295-y","http://dx.doi.org/10.1038/s41437-020-0295-y")</f>
        <v>http://dx.doi.org/10.1038/s41437-020-0295-y</v>
      </c>
      <c r="BG230" s="8" t="s">
        <v>2135</v>
      </c>
      <c r="BH230" s="8" t="s">
        <v>4601</v>
      </c>
      <c r="BI230" s="8">
        <v>12.0</v>
      </c>
      <c r="BJ230" s="8" t="s">
        <v>7010</v>
      </c>
      <c r="BK230" s="8" t="s">
        <v>3352</v>
      </c>
      <c r="BL230" s="8" t="s">
        <v>7011</v>
      </c>
      <c r="BM230" s="8" t="s">
        <v>7012</v>
      </c>
      <c r="BN230" s="8">
        <v>3.1992842E7</v>
      </c>
      <c r="BO230" s="8" t="s">
        <v>3583</v>
      </c>
      <c r="BP230" s="8" t="s">
        <v>2135</v>
      </c>
      <c r="BQ230" s="8" t="s">
        <v>2135</v>
      </c>
      <c r="BR230" s="8" t="s">
        <v>3355</v>
      </c>
      <c r="BS230" s="8" t="s">
        <v>7013</v>
      </c>
      <c r="BT230" s="8" t="s">
        <v>2600</v>
      </c>
      <c r="BU230" s="8" t="s">
        <v>2147</v>
      </c>
      <c r="BV230" s="8" t="s">
        <v>2217</v>
      </c>
      <c r="BW230" s="8" t="s">
        <v>2221</v>
      </c>
      <c r="BX230" s="8" t="s">
        <v>3126</v>
      </c>
      <c r="BY230" s="8" t="s">
        <v>3127</v>
      </c>
      <c r="BZ230" s="8" t="str">
        <f>HYPERLINK("https%3A%2F%2Fwww.webofscience.com%2Fwos%2Fwoscc%2Ffull-record%2FWOS:000509840000001","View Full Record in Web of Science")</f>
        <v>View Full Record in Web of Science</v>
      </c>
    </row>
    <row r="231" ht="12.75" customHeight="1">
      <c r="A231" s="8" t="s">
        <v>3329</v>
      </c>
      <c r="B231" s="8" t="s">
        <v>6993</v>
      </c>
      <c r="C231" s="8" t="s">
        <v>2135</v>
      </c>
      <c r="D231" s="8" t="s">
        <v>2135</v>
      </c>
      <c r="E231" s="8" t="s">
        <v>2135</v>
      </c>
      <c r="F231" s="8" t="s">
        <v>6994</v>
      </c>
      <c r="G231" s="8" t="s">
        <v>2135</v>
      </c>
      <c r="H231" s="8" t="s">
        <v>2135</v>
      </c>
      <c r="I231" s="8" t="s">
        <v>982</v>
      </c>
      <c r="J231" s="8" t="s">
        <v>4612</v>
      </c>
      <c r="K231" s="8" t="s">
        <v>2135</v>
      </c>
      <c r="L231" s="8" t="s">
        <v>2135</v>
      </c>
      <c r="M231" s="8" t="s">
        <v>3332</v>
      </c>
      <c r="N231" s="8" t="s">
        <v>3333</v>
      </c>
      <c r="O231" s="8" t="s">
        <v>2135</v>
      </c>
      <c r="P231" s="8" t="s">
        <v>2135</v>
      </c>
      <c r="Q231" s="8" t="s">
        <v>2135</v>
      </c>
      <c r="R231" s="8" t="s">
        <v>2135</v>
      </c>
      <c r="S231" s="8" t="s">
        <v>2135</v>
      </c>
      <c r="T231" s="8" t="s">
        <v>7014</v>
      </c>
      <c r="U231" s="8" t="s">
        <v>7015</v>
      </c>
      <c r="V231" s="8" t="s">
        <v>7016</v>
      </c>
      <c r="W231" s="8" t="s">
        <v>7017</v>
      </c>
      <c r="X231" s="8" t="s">
        <v>7018</v>
      </c>
      <c r="Y231" s="8" t="s">
        <v>7019</v>
      </c>
      <c r="Z231" s="8" t="s">
        <v>7001</v>
      </c>
      <c r="AA231" s="8" t="s">
        <v>5109</v>
      </c>
      <c r="AB231" s="8" t="s">
        <v>5110</v>
      </c>
      <c r="AC231" s="8" t="s">
        <v>7020</v>
      </c>
      <c r="AD231" s="8" t="s">
        <v>7020</v>
      </c>
      <c r="AE231" s="8" t="s">
        <v>7021</v>
      </c>
      <c r="AF231" s="8" t="s">
        <v>2135</v>
      </c>
      <c r="AG231" s="8">
        <v>69.0</v>
      </c>
      <c r="AH231" s="8">
        <v>7.0</v>
      </c>
      <c r="AI231" s="8">
        <v>7.0</v>
      </c>
      <c r="AJ231" s="8">
        <v>0.0</v>
      </c>
      <c r="AK231" s="8">
        <v>22.0</v>
      </c>
      <c r="AL231" s="8" t="s">
        <v>3479</v>
      </c>
      <c r="AM231" s="8" t="s">
        <v>4500</v>
      </c>
      <c r="AN231" s="8" t="s">
        <v>4501</v>
      </c>
      <c r="AO231" s="8" t="s">
        <v>4626</v>
      </c>
      <c r="AP231" s="8" t="s">
        <v>4627</v>
      </c>
      <c r="AQ231" s="8" t="s">
        <v>2135</v>
      </c>
      <c r="AR231" s="8" t="s">
        <v>4628</v>
      </c>
      <c r="AS231" s="8" t="s">
        <v>4629</v>
      </c>
      <c r="AT231" s="8" t="s">
        <v>3556</v>
      </c>
      <c r="AU231" s="8">
        <v>2019.0</v>
      </c>
      <c r="AV231" s="8">
        <v>20.0</v>
      </c>
      <c r="AW231" s="8">
        <v>2.0</v>
      </c>
      <c r="AX231" s="8" t="s">
        <v>2135</v>
      </c>
      <c r="AY231" s="8" t="s">
        <v>2135</v>
      </c>
      <c r="AZ231" s="8" t="s">
        <v>2135</v>
      </c>
      <c r="BA231" s="8" t="s">
        <v>2135</v>
      </c>
      <c r="BB231" s="8">
        <v>275.0</v>
      </c>
      <c r="BC231" s="8">
        <v>286.0</v>
      </c>
      <c r="BD231" s="8" t="s">
        <v>2135</v>
      </c>
      <c r="BE231" s="8" t="s">
        <v>7022</v>
      </c>
      <c r="BF231" s="13" t="str">
        <f>HYPERLINK("http://dx.doi.org/10.1007/s10592-018-1130-3","http://dx.doi.org/10.1007/s10592-018-1130-3")</f>
        <v>http://dx.doi.org/10.1007/s10592-018-1130-3</v>
      </c>
      <c r="BG231" s="8" t="s">
        <v>2135</v>
      </c>
      <c r="BH231" s="8" t="s">
        <v>2135</v>
      </c>
      <c r="BI231" s="8">
        <v>12.0</v>
      </c>
      <c r="BJ231" s="8" t="s">
        <v>4631</v>
      </c>
      <c r="BK231" s="8" t="s">
        <v>3352</v>
      </c>
      <c r="BL231" s="8" t="s">
        <v>4632</v>
      </c>
      <c r="BM231" s="8" t="s">
        <v>7023</v>
      </c>
      <c r="BN231" s="8" t="s">
        <v>2135</v>
      </c>
      <c r="BO231" s="8" t="s">
        <v>2135</v>
      </c>
      <c r="BP231" s="8" t="s">
        <v>2135</v>
      </c>
      <c r="BQ231" s="8" t="s">
        <v>2135</v>
      </c>
      <c r="BR231" s="8" t="s">
        <v>3355</v>
      </c>
      <c r="BS231" s="8" t="s">
        <v>7024</v>
      </c>
      <c r="BT231" s="8" t="s">
        <v>2600</v>
      </c>
      <c r="BU231" s="8" t="s">
        <v>2147</v>
      </c>
      <c r="BV231" s="8" t="s">
        <v>2217</v>
      </c>
      <c r="BW231" s="8" t="s">
        <v>2221</v>
      </c>
      <c r="BX231" s="8" t="s">
        <v>3128</v>
      </c>
      <c r="BY231" s="8" t="s">
        <v>3129</v>
      </c>
      <c r="BZ231" s="8" t="str">
        <f>HYPERLINK("https%3A%2F%2Fwww.webofscience.com%2Fwos%2Fwoscc%2Ffull-record%2FWOS:000462207000010","View Full Record in Web of Science")</f>
        <v>View Full Record in Web of Science</v>
      </c>
    </row>
    <row r="232" ht="12.75" customHeight="1">
      <c r="A232" s="8" t="s">
        <v>3329</v>
      </c>
      <c r="B232" s="8" t="s">
        <v>7025</v>
      </c>
      <c r="C232" s="8" t="s">
        <v>2135</v>
      </c>
      <c r="D232" s="8" t="s">
        <v>2135</v>
      </c>
      <c r="E232" s="8" t="s">
        <v>2135</v>
      </c>
      <c r="F232" s="8" t="s">
        <v>7026</v>
      </c>
      <c r="G232" s="8" t="s">
        <v>2135</v>
      </c>
      <c r="H232" s="8" t="s">
        <v>2135</v>
      </c>
      <c r="I232" s="8" t="s">
        <v>984</v>
      </c>
      <c r="J232" s="8" t="s">
        <v>4185</v>
      </c>
      <c r="K232" s="8" t="s">
        <v>2135</v>
      </c>
      <c r="L232" s="8" t="s">
        <v>2135</v>
      </c>
      <c r="M232" s="8" t="s">
        <v>3332</v>
      </c>
      <c r="N232" s="8" t="s">
        <v>3333</v>
      </c>
      <c r="O232" s="8" t="s">
        <v>2135</v>
      </c>
      <c r="P232" s="8" t="s">
        <v>2135</v>
      </c>
      <c r="Q232" s="8" t="s">
        <v>2135</v>
      </c>
      <c r="R232" s="8" t="s">
        <v>2135</v>
      </c>
      <c r="S232" s="8" t="s">
        <v>2135</v>
      </c>
      <c r="T232" s="8" t="s">
        <v>7027</v>
      </c>
      <c r="U232" s="8" t="s">
        <v>7028</v>
      </c>
      <c r="V232" s="8" t="s">
        <v>7029</v>
      </c>
      <c r="W232" s="8" t="s">
        <v>7030</v>
      </c>
      <c r="X232" s="8" t="s">
        <v>7031</v>
      </c>
      <c r="Y232" s="8" t="s">
        <v>7032</v>
      </c>
      <c r="Z232" s="8" t="s">
        <v>7033</v>
      </c>
      <c r="AA232" s="8" t="s">
        <v>7034</v>
      </c>
      <c r="AB232" s="8" t="s">
        <v>7035</v>
      </c>
      <c r="AC232" s="8" t="s">
        <v>7036</v>
      </c>
      <c r="AD232" s="8" t="s">
        <v>7037</v>
      </c>
      <c r="AE232" s="8" t="s">
        <v>7038</v>
      </c>
      <c r="AF232" s="8" t="s">
        <v>2135</v>
      </c>
      <c r="AG232" s="8">
        <v>93.0</v>
      </c>
      <c r="AH232" s="8">
        <v>46.0</v>
      </c>
      <c r="AI232" s="8">
        <v>48.0</v>
      </c>
      <c r="AJ232" s="8">
        <v>1.0</v>
      </c>
      <c r="AK232" s="8">
        <v>92.0</v>
      </c>
      <c r="AL232" s="8" t="s">
        <v>3342</v>
      </c>
      <c r="AM232" s="8" t="s">
        <v>3343</v>
      </c>
      <c r="AN232" s="8" t="s">
        <v>3344</v>
      </c>
      <c r="AO232" s="8" t="s">
        <v>4198</v>
      </c>
      <c r="AP232" s="8" t="s">
        <v>2135</v>
      </c>
      <c r="AQ232" s="8" t="s">
        <v>2135</v>
      </c>
      <c r="AR232" s="8" t="s">
        <v>4199</v>
      </c>
      <c r="AS232" s="8" t="s">
        <v>4200</v>
      </c>
      <c r="AT232" s="8" t="s">
        <v>3440</v>
      </c>
      <c r="AU232" s="8">
        <v>2017.0</v>
      </c>
      <c r="AV232" s="8">
        <v>7.0</v>
      </c>
      <c r="AW232" s="8">
        <v>21.0</v>
      </c>
      <c r="AX232" s="8" t="s">
        <v>2135</v>
      </c>
      <c r="AY232" s="8" t="s">
        <v>2135</v>
      </c>
      <c r="AZ232" s="8" t="s">
        <v>2135</v>
      </c>
      <c r="BA232" s="8" t="s">
        <v>2135</v>
      </c>
      <c r="BB232" s="8">
        <v>8903.0</v>
      </c>
      <c r="BC232" s="8">
        <v>8914.0</v>
      </c>
      <c r="BD232" s="8" t="s">
        <v>2135</v>
      </c>
      <c r="BE232" s="8" t="s">
        <v>7039</v>
      </c>
      <c r="BF232" s="13" t="str">
        <f>HYPERLINK("http://dx.doi.org/10.1002/ece3.3337","http://dx.doi.org/10.1002/ece3.3337")</f>
        <v>http://dx.doi.org/10.1002/ece3.3337</v>
      </c>
      <c r="BG232" s="8" t="s">
        <v>2135</v>
      </c>
      <c r="BH232" s="8" t="s">
        <v>2135</v>
      </c>
      <c r="BI232" s="8">
        <v>12.0</v>
      </c>
      <c r="BJ232" s="8" t="s">
        <v>4202</v>
      </c>
      <c r="BK232" s="8" t="s">
        <v>3352</v>
      </c>
      <c r="BL232" s="8" t="s">
        <v>4203</v>
      </c>
      <c r="BM232" s="8" t="s">
        <v>7040</v>
      </c>
      <c r="BN232" s="8">
        <v>2.9152186E7</v>
      </c>
      <c r="BO232" s="8" t="s">
        <v>3659</v>
      </c>
      <c r="BP232" s="8" t="s">
        <v>2135</v>
      </c>
      <c r="BQ232" s="8" t="s">
        <v>2135</v>
      </c>
      <c r="BR232" s="8" t="s">
        <v>3355</v>
      </c>
      <c r="BS232" s="8" t="s">
        <v>7041</v>
      </c>
      <c r="BT232" s="8" t="s">
        <v>2600</v>
      </c>
      <c r="BU232" s="8" t="s">
        <v>2147</v>
      </c>
      <c r="BV232" s="8" t="s">
        <v>2217</v>
      </c>
      <c r="BW232" s="8" t="s">
        <v>2218</v>
      </c>
      <c r="BX232" s="8" t="s">
        <v>3023</v>
      </c>
      <c r="BY232" s="8" t="s">
        <v>3024</v>
      </c>
      <c r="BZ232" s="8" t="str">
        <f>HYPERLINK("https%3A%2F%2Fwww.webofscience.com%2Fwos%2Fwoscc%2Ffull-record%2FWOS:000414873600022","View Full Record in Web of Science")</f>
        <v>View Full Record in Web of Science</v>
      </c>
    </row>
    <row r="233" ht="12.75" customHeight="1">
      <c r="A233" s="8" t="s">
        <v>3329</v>
      </c>
      <c r="B233" s="8" t="s">
        <v>7042</v>
      </c>
      <c r="C233" s="8" t="s">
        <v>2135</v>
      </c>
      <c r="D233" s="8" t="s">
        <v>2135</v>
      </c>
      <c r="E233" s="8" t="s">
        <v>2135</v>
      </c>
      <c r="F233" s="8" t="s">
        <v>7043</v>
      </c>
      <c r="G233" s="8" t="s">
        <v>2135</v>
      </c>
      <c r="H233" s="8" t="s">
        <v>2135</v>
      </c>
      <c r="I233" s="8" t="s">
        <v>1011</v>
      </c>
      <c r="J233" s="8" t="s">
        <v>3747</v>
      </c>
      <c r="K233" s="8" t="s">
        <v>2135</v>
      </c>
      <c r="L233" s="8" t="s">
        <v>2135</v>
      </c>
      <c r="M233" s="8" t="s">
        <v>3332</v>
      </c>
      <c r="N233" s="8" t="s">
        <v>3333</v>
      </c>
      <c r="O233" s="8" t="s">
        <v>2135</v>
      </c>
      <c r="P233" s="8" t="s">
        <v>2135</v>
      </c>
      <c r="Q233" s="8" t="s">
        <v>2135</v>
      </c>
      <c r="R233" s="8" t="s">
        <v>2135</v>
      </c>
      <c r="S233" s="8" t="s">
        <v>2135</v>
      </c>
      <c r="T233" s="8" t="s">
        <v>7044</v>
      </c>
      <c r="U233" s="8" t="s">
        <v>7045</v>
      </c>
      <c r="V233" s="8" t="s">
        <v>7046</v>
      </c>
      <c r="W233" s="8" t="s">
        <v>7047</v>
      </c>
      <c r="X233" s="8" t="s">
        <v>7048</v>
      </c>
      <c r="Y233" s="8" t="s">
        <v>7049</v>
      </c>
      <c r="Z233" s="8" t="s">
        <v>7050</v>
      </c>
      <c r="AA233" s="8" t="s">
        <v>7051</v>
      </c>
      <c r="AB233" s="8" t="s">
        <v>7052</v>
      </c>
      <c r="AC233" s="8" t="s">
        <v>7053</v>
      </c>
      <c r="AD233" s="8" t="s">
        <v>7054</v>
      </c>
      <c r="AE233" s="8" t="s">
        <v>7055</v>
      </c>
      <c r="AF233" s="8" t="s">
        <v>2135</v>
      </c>
      <c r="AG233" s="8">
        <v>70.0</v>
      </c>
      <c r="AH233" s="8">
        <v>53.0</v>
      </c>
      <c r="AI233" s="8">
        <v>56.0</v>
      </c>
      <c r="AJ233" s="8">
        <v>2.0</v>
      </c>
      <c r="AK233" s="8">
        <v>123.0</v>
      </c>
      <c r="AL233" s="8" t="s">
        <v>3758</v>
      </c>
      <c r="AM233" s="8" t="s">
        <v>3759</v>
      </c>
      <c r="AN233" s="8" t="s">
        <v>3760</v>
      </c>
      <c r="AO233" s="8" t="s">
        <v>3761</v>
      </c>
      <c r="AP233" s="8" t="s">
        <v>3762</v>
      </c>
      <c r="AQ233" s="8" t="s">
        <v>2135</v>
      </c>
      <c r="AR233" s="8" t="s">
        <v>3763</v>
      </c>
      <c r="AS233" s="8" t="s">
        <v>3764</v>
      </c>
      <c r="AT233" s="8" t="s">
        <v>3765</v>
      </c>
      <c r="AU233" s="8">
        <v>2018.0</v>
      </c>
      <c r="AV233" s="8">
        <v>221.0</v>
      </c>
      <c r="AW233" s="8" t="s">
        <v>2135</v>
      </c>
      <c r="AX233" s="8" t="s">
        <v>2135</v>
      </c>
      <c r="AY233" s="8" t="s">
        <v>2135</v>
      </c>
      <c r="AZ233" s="8" t="s">
        <v>2135</v>
      </c>
      <c r="BA233" s="8" t="s">
        <v>2135</v>
      </c>
      <c r="BB233" s="8">
        <v>103.0</v>
      </c>
      <c r="BC233" s="8">
        <v>113.0</v>
      </c>
      <c r="BD233" s="8" t="s">
        <v>2135</v>
      </c>
      <c r="BE233" s="8" t="s">
        <v>7056</v>
      </c>
      <c r="BF233" s="13" t="str">
        <f>HYPERLINK("http://dx.doi.org/10.1016/j.biocon.2018.02.031","http://dx.doi.org/10.1016/j.biocon.2018.02.031")</f>
        <v>http://dx.doi.org/10.1016/j.biocon.2018.02.031</v>
      </c>
      <c r="BG233" s="8" t="s">
        <v>2135</v>
      </c>
      <c r="BH233" s="8" t="s">
        <v>2135</v>
      </c>
      <c r="BI233" s="8">
        <v>11.0</v>
      </c>
      <c r="BJ233" s="8" t="s">
        <v>3351</v>
      </c>
      <c r="BK233" s="8" t="s">
        <v>3352</v>
      </c>
      <c r="BL233" s="8" t="s">
        <v>3353</v>
      </c>
      <c r="BM233" s="8" t="s">
        <v>7057</v>
      </c>
      <c r="BN233" s="8" t="s">
        <v>2135</v>
      </c>
      <c r="BO233" s="8" t="s">
        <v>3425</v>
      </c>
      <c r="BP233" s="8" t="s">
        <v>2135</v>
      </c>
      <c r="BQ233" s="8" t="s">
        <v>2135</v>
      </c>
      <c r="BR233" s="8" t="s">
        <v>3355</v>
      </c>
      <c r="BS233" s="8" t="s">
        <v>7058</v>
      </c>
      <c r="BU233" s="8" t="s">
        <v>2943</v>
      </c>
      <c r="BW233" s="8" t="s">
        <v>2211</v>
      </c>
      <c r="BX233" s="8" t="s">
        <v>3011</v>
      </c>
      <c r="BY233" s="8" t="s">
        <v>3025</v>
      </c>
      <c r="BZ233" s="8" t="str">
        <f>HYPERLINK("https%3A%2F%2Fwww.webofscience.com%2Fwos%2Fwoscc%2Ffull-record%2FWOS:000431837800012","View Full Record in Web of Science")</f>
        <v>View Full Record in Web of Science</v>
      </c>
    </row>
    <row r="234" ht="12.75" customHeight="1">
      <c r="A234" s="8" t="s">
        <v>3329</v>
      </c>
      <c r="B234" s="8" t="s">
        <v>7059</v>
      </c>
      <c r="C234" s="8" t="s">
        <v>2135</v>
      </c>
      <c r="D234" s="8" t="s">
        <v>2135</v>
      </c>
      <c r="E234" s="8" t="s">
        <v>2135</v>
      </c>
      <c r="F234" s="8" t="s">
        <v>7060</v>
      </c>
      <c r="G234" s="8" t="s">
        <v>2135</v>
      </c>
      <c r="H234" s="8" t="s">
        <v>2135</v>
      </c>
      <c r="I234" s="8" t="s">
        <v>1007</v>
      </c>
      <c r="J234" s="8" t="s">
        <v>3747</v>
      </c>
      <c r="K234" s="8" t="s">
        <v>2135</v>
      </c>
      <c r="L234" s="8" t="s">
        <v>2135</v>
      </c>
      <c r="M234" s="8" t="s">
        <v>3332</v>
      </c>
      <c r="N234" s="8" t="s">
        <v>3333</v>
      </c>
      <c r="O234" s="8" t="s">
        <v>2135</v>
      </c>
      <c r="P234" s="8" t="s">
        <v>2135</v>
      </c>
      <c r="Q234" s="8" t="s">
        <v>2135</v>
      </c>
      <c r="R234" s="8" t="s">
        <v>2135</v>
      </c>
      <c r="S234" s="8" t="s">
        <v>2135</v>
      </c>
      <c r="T234" s="8" t="s">
        <v>7061</v>
      </c>
      <c r="U234" s="8" t="s">
        <v>7062</v>
      </c>
      <c r="V234" s="8" t="s">
        <v>7063</v>
      </c>
      <c r="W234" s="8" t="s">
        <v>7064</v>
      </c>
      <c r="X234" s="8" t="s">
        <v>7065</v>
      </c>
      <c r="Y234" s="8" t="s">
        <v>7066</v>
      </c>
      <c r="Z234" s="8" t="s">
        <v>5090</v>
      </c>
      <c r="AA234" s="8" t="s">
        <v>2135</v>
      </c>
      <c r="AB234" s="8" t="s">
        <v>2135</v>
      </c>
      <c r="AC234" s="8" t="s">
        <v>7067</v>
      </c>
      <c r="AD234" s="8" t="s">
        <v>7068</v>
      </c>
      <c r="AE234" s="8" t="s">
        <v>7069</v>
      </c>
      <c r="AF234" s="8" t="s">
        <v>2135</v>
      </c>
      <c r="AG234" s="8">
        <v>76.0</v>
      </c>
      <c r="AH234" s="8">
        <v>43.0</v>
      </c>
      <c r="AI234" s="8">
        <v>47.0</v>
      </c>
      <c r="AJ234" s="8">
        <v>1.0</v>
      </c>
      <c r="AK234" s="8">
        <v>65.0</v>
      </c>
      <c r="AL234" s="8" t="s">
        <v>3758</v>
      </c>
      <c r="AM234" s="8" t="s">
        <v>3893</v>
      </c>
      <c r="AN234" s="8" t="s">
        <v>3894</v>
      </c>
      <c r="AO234" s="8" t="s">
        <v>3761</v>
      </c>
      <c r="AP234" s="8" t="s">
        <v>3762</v>
      </c>
      <c r="AQ234" s="8" t="s">
        <v>2135</v>
      </c>
      <c r="AR234" s="8" t="s">
        <v>3763</v>
      </c>
      <c r="AS234" s="8" t="s">
        <v>3764</v>
      </c>
      <c r="AT234" s="8" t="s">
        <v>3765</v>
      </c>
      <c r="AU234" s="8">
        <v>2017.0</v>
      </c>
      <c r="AV234" s="8">
        <v>209.0</v>
      </c>
      <c r="AW234" s="8" t="s">
        <v>2135</v>
      </c>
      <c r="AX234" s="8" t="s">
        <v>2135</v>
      </c>
      <c r="AY234" s="8" t="s">
        <v>2135</v>
      </c>
      <c r="AZ234" s="8" t="s">
        <v>2135</v>
      </c>
      <c r="BA234" s="8" t="s">
        <v>2135</v>
      </c>
      <c r="BB234" s="8">
        <v>533.0</v>
      </c>
      <c r="BC234" s="8">
        <v>545.0</v>
      </c>
      <c r="BD234" s="8" t="s">
        <v>2135</v>
      </c>
      <c r="BE234" s="8" t="s">
        <v>7070</v>
      </c>
      <c r="BF234" s="13" t="str">
        <f>HYPERLINK("http://dx.doi.org/10.1016/j.biocon.2017.03.016","http://dx.doi.org/10.1016/j.biocon.2017.03.016")</f>
        <v>http://dx.doi.org/10.1016/j.biocon.2017.03.016</v>
      </c>
      <c r="BG234" s="8" t="s">
        <v>2135</v>
      </c>
      <c r="BH234" s="8" t="s">
        <v>2135</v>
      </c>
      <c r="BI234" s="8">
        <v>13.0</v>
      </c>
      <c r="BJ234" s="8" t="s">
        <v>3351</v>
      </c>
      <c r="BK234" s="8" t="s">
        <v>3352</v>
      </c>
      <c r="BL234" s="8" t="s">
        <v>3353</v>
      </c>
      <c r="BM234" s="8" t="s">
        <v>7071</v>
      </c>
      <c r="BN234" s="8" t="s">
        <v>2135</v>
      </c>
      <c r="BO234" s="8" t="s">
        <v>2135</v>
      </c>
      <c r="BP234" s="8" t="s">
        <v>2135</v>
      </c>
      <c r="BQ234" s="8" t="s">
        <v>2135</v>
      </c>
      <c r="BR234" s="8" t="s">
        <v>3355</v>
      </c>
      <c r="BS234" s="8" t="s">
        <v>7072</v>
      </c>
      <c r="BT234" s="8" t="s">
        <v>2600</v>
      </c>
      <c r="BU234" s="8" t="s">
        <v>2147</v>
      </c>
      <c r="BV234" s="8" t="s">
        <v>2217</v>
      </c>
      <c r="BW234" s="8" t="s">
        <v>2260</v>
      </c>
      <c r="BX234" s="8" t="s">
        <v>3011</v>
      </c>
      <c r="BY234" s="8" t="s">
        <v>3025</v>
      </c>
      <c r="BZ234" s="8" t="str">
        <f>HYPERLINK("https%3A%2F%2Fwww.webofscience.com%2Fwos%2Fwoscc%2Ffull-record%2FWOS:000404308600059","View Full Record in Web of Science")</f>
        <v>View Full Record in Web of Science</v>
      </c>
    </row>
    <row r="235" ht="12.75" customHeight="1">
      <c r="A235" s="8" t="s">
        <v>3329</v>
      </c>
      <c r="B235" s="8" t="s">
        <v>7073</v>
      </c>
      <c r="C235" s="8" t="s">
        <v>2135</v>
      </c>
      <c r="D235" s="8" t="s">
        <v>2135</v>
      </c>
      <c r="E235" s="8" t="s">
        <v>2135</v>
      </c>
      <c r="F235" s="8" t="s">
        <v>7074</v>
      </c>
      <c r="G235" s="8" t="s">
        <v>2135</v>
      </c>
      <c r="H235" s="8" t="s">
        <v>2135</v>
      </c>
      <c r="I235" s="8" t="s">
        <v>1009</v>
      </c>
      <c r="J235" s="8" t="s">
        <v>7075</v>
      </c>
      <c r="K235" s="8" t="s">
        <v>2135</v>
      </c>
      <c r="L235" s="8" t="s">
        <v>2135</v>
      </c>
      <c r="M235" s="8" t="s">
        <v>7076</v>
      </c>
      <c r="N235" s="8" t="s">
        <v>3333</v>
      </c>
      <c r="O235" s="8" t="s">
        <v>2135</v>
      </c>
      <c r="P235" s="8" t="s">
        <v>2135</v>
      </c>
      <c r="Q235" s="8" t="s">
        <v>2135</v>
      </c>
      <c r="R235" s="8" t="s">
        <v>2135</v>
      </c>
      <c r="S235" s="8" t="s">
        <v>2135</v>
      </c>
      <c r="T235" s="8" t="s">
        <v>7077</v>
      </c>
      <c r="U235" s="8" t="s">
        <v>7078</v>
      </c>
      <c r="V235" s="8" t="s">
        <v>7079</v>
      </c>
      <c r="W235" s="8" t="s">
        <v>7080</v>
      </c>
      <c r="X235" s="8" t="s">
        <v>7081</v>
      </c>
      <c r="Y235" s="8" t="s">
        <v>7082</v>
      </c>
      <c r="Z235" s="8" t="s">
        <v>7083</v>
      </c>
      <c r="AA235" s="8" t="s">
        <v>2135</v>
      </c>
      <c r="AB235" s="8" t="s">
        <v>7084</v>
      </c>
      <c r="AC235" s="8" t="s">
        <v>2135</v>
      </c>
      <c r="AD235" s="8" t="s">
        <v>2135</v>
      </c>
      <c r="AE235" s="8" t="s">
        <v>2135</v>
      </c>
      <c r="AF235" s="8" t="s">
        <v>2135</v>
      </c>
      <c r="AG235" s="8">
        <v>33.0</v>
      </c>
      <c r="AH235" s="8">
        <v>0.0</v>
      </c>
      <c r="AI235" s="8">
        <v>0.0</v>
      </c>
      <c r="AJ235" s="8">
        <v>0.0</v>
      </c>
      <c r="AK235" s="8">
        <v>10.0</v>
      </c>
      <c r="AL235" s="8" t="s">
        <v>7085</v>
      </c>
      <c r="AM235" s="8" t="s">
        <v>7086</v>
      </c>
      <c r="AN235" s="8" t="s">
        <v>7087</v>
      </c>
      <c r="AO235" s="8" t="s">
        <v>7088</v>
      </c>
      <c r="AP235" s="8" t="s">
        <v>7089</v>
      </c>
      <c r="AQ235" s="8" t="s">
        <v>2135</v>
      </c>
      <c r="AR235" s="8" t="s">
        <v>7090</v>
      </c>
      <c r="AS235" s="8" t="s">
        <v>7091</v>
      </c>
      <c r="AT235" s="8" t="s">
        <v>2135</v>
      </c>
      <c r="AU235" s="8">
        <v>2017.0</v>
      </c>
      <c r="AV235" s="8">
        <v>107.0</v>
      </c>
      <c r="AW235" s="8" t="s">
        <v>2135</v>
      </c>
      <c r="AX235" s="8" t="s">
        <v>2135</v>
      </c>
      <c r="AY235" s="8" t="s">
        <v>2135</v>
      </c>
      <c r="AZ235" s="8" t="s">
        <v>2135</v>
      </c>
      <c r="BA235" s="8" t="s">
        <v>2135</v>
      </c>
      <c r="BB235" s="8" t="s">
        <v>2135</v>
      </c>
      <c r="BC235" s="8" t="s">
        <v>2135</v>
      </c>
      <c r="BD235" s="8" t="s">
        <v>7092</v>
      </c>
      <c r="BE235" s="8" t="s">
        <v>7093</v>
      </c>
      <c r="BF235" s="13" t="str">
        <f>HYPERLINK("http://dx.doi.org/10.1590/1678-4766e2017039","http://dx.doi.org/10.1590/1678-4766e2017039")</f>
        <v>http://dx.doi.org/10.1590/1678-4766e2017039</v>
      </c>
      <c r="BG235" s="8" t="s">
        <v>2135</v>
      </c>
      <c r="BH235" s="8" t="s">
        <v>2135</v>
      </c>
      <c r="BI235" s="8">
        <v>8.0</v>
      </c>
      <c r="BJ235" s="8" t="s">
        <v>3397</v>
      </c>
      <c r="BK235" s="8" t="s">
        <v>3352</v>
      </c>
      <c r="BL235" s="8" t="s">
        <v>3397</v>
      </c>
      <c r="BM235" s="8" t="s">
        <v>7094</v>
      </c>
      <c r="BN235" s="8" t="s">
        <v>2135</v>
      </c>
      <c r="BO235" s="8" t="s">
        <v>3659</v>
      </c>
      <c r="BP235" s="8" t="s">
        <v>2135</v>
      </c>
      <c r="BQ235" s="8" t="s">
        <v>2135</v>
      </c>
      <c r="BR235" s="8" t="s">
        <v>3355</v>
      </c>
      <c r="BS235" s="8" t="s">
        <v>7095</v>
      </c>
      <c r="BT235" s="8" t="s">
        <v>2185</v>
      </c>
      <c r="BU235" s="8" t="s">
        <v>2147</v>
      </c>
      <c r="BW235" s="8" t="s">
        <v>2157</v>
      </c>
      <c r="BY235" s="8" t="s">
        <v>3025</v>
      </c>
      <c r="BZ235" s="8" t="str">
        <f>HYPERLINK("https%3A%2F%2Fwww.webofscience.com%2Fwos%2Fwoscc%2Ffull-record%2FWOS:000414198000004","View Full Record in Web of Science")</f>
        <v>View Full Record in Web of Science</v>
      </c>
    </row>
    <row r="236" ht="12.75" customHeight="1">
      <c r="A236" s="8" t="s">
        <v>3329</v>
      </c>
      <c r="B236" s="8" t="s">
        <v>7096</v>
      </c>
      <c r="C236" s="8" t="s">
        <v>2135</v>
      </c>
      <c r="D236" s="8" t="s">
        <v>2135</v>
      </c>
      <c r="E236" s="8" t="s">
        <v>2135</v>
      </c>
      <c r="F236" s="8" t="s">
        <v>7097</v>
      </c>
      <c r="G236" s="8" t="s">
        <v>2135</v>
      </c>
      <c r="H236" s="8" t="s">
        <v>2135</v>
      </c>
      <c r="I236" s="8" t="s">
        <v>1005</v>
      </c>
      <c r="J236" s="8" t="s">
        <v>5512</v>
      </c>
      <c r="K236" s="8" t="s">
        <v>2135</v>
      </c>
      <c r="L236" s="8" t="s">
        <v>2135</v>
      </c>
      <c r="M236" s="8" t="s">
        <v>3332</v>
      </c>
      <c r="N236" s="8" t="s">
        <v>3333</v>
      </c>
      <c r="O236" s="8" t="s">
        <v>2135</v>
      </c>
      <c r="P236" s="8" t="s">
        <v>2135</v>
      </c>
      <c r="Q236" s="8" t="s">
        <v>2135</v>
      </c>
      <c r="R236" s="8" t="s">
        <v>2135</v>
      </c>
      <c r="S236" s="8" t="s">
        <v>2135</v>
      </c>
      <c r="T236" s="8" t="s">
        <v>7098</v>
      </c>
      <c r="U236" s="8" t="s">
        <v>7099</v>
      </c>
      <c r="V236" s="8" t="s">
        <v>7100</v>
      </c>
      <c r="W236" s="8" t="s">
        <v>7101</v>
      </c>
      <c r="X236" s="8" t="s">
        <v>7102</v>
      </c>
      <c r="Y236" s="8" t="s">
        <v>7103</v>
      </c>
      <c r="Z236" s="8" t="s">
        <v>7104</v>
      </c>
      <c r="AA236" s="8" t="s">
        <v>2135</v>
      </c>
      <c r="AB236" s="8" t="s">
        <v>7105</v>
      </c>
      <c r="AC236" s="8" t="s">
        <v>2135</v>
      </c>
      <c r="AD236" s="8" t="s">
        <v>2135</v>
      </c>
      <c r="AE236" s="8" t="s">
        <v>2135</v>
      </c>
      <c r="AF236" s="8" t="s">
        <v>2135</v>
      </c>
      <c r="AG236" s="8">
        <v>15.0</v>
      </c>
      <c r="AH236" s="8">
        <v>1.0</v>
      </c>
      <c r="AI236" s="8">
        <v>5.0</v>
      </c>
      <c r="AJ236" s="8">
        <v>0.0</v>
      </c>
      <c r="AK236" s="8">
        <v>8.0</v>
      </c>
      <c r="AL236" s="8" t="s">
        <v>5522</v>
      </c>
      <c r="AM236" s="8" t="s">
        <v>5523</v>
      </c>
      <c r="AN236" s="8" t="s">
        <v>5524</v>
      </c>
      <c r="AO236" s="8" t="s">
        <v>5525</v>
      </c>
      <c r="AP236" s="8" t="s">
        <v>2135</v>
      </c>
      <c r="AQ236" s="8" t="s">
        <v>2135</v>
      </c>
      <c r="AR236" s="8" t="s">
        <v>5527</v>
      </c>
      <c r="AS236" s="8" t="s">
        <v>5528</v>
      </c>
      <c r="AT236" s="8" t="s">
        <v>3462</v>
      </c>
      <c r="AU236" s="8">
        <v>2016.0</v>
      </c>
      <c r="AV236" s="8">
        <v>87.0</v>
      </c>
      <c r="AW236" s="8">
        <v>3.0</v>
      </c>
      <c r="AX236" s="8" t="s">
        <v>2135</v>
      </c>
      <c r="AY236" s="8" t="s">
        <v>2135</v>
      </c>
      <c r="AZ236" s="8" t="s">
        <v>2135</v>
      </c>
      <c r="BA236" s="8" t="s">
        <v>2135</v>
      </c>
      <c r="BB236" s="8">
        <v>1159.0</v>
      </c>
      <c r="BC236" s="8">
        <v>1161.0</v>
      </c>
      <c r="BD236" s="8" t="s">
        <v>2135</v>
      </c>
      <c r="BE236" s="8" t="s">
        <v>7106</v>
      </c>
      <c r="BF236" s="13" t="str">
        <f>HYPERLINK("http://dx.doi.org/10.1016/j.rmb.2016.06.012","http://dx.doi.org/10.1016/j.rmb.2016.06.012")</f>
        <v>http://dx.doi.org/10.1016/j.rmb.2016.06.012</v>
      </c>
      <c r="BG236" s="8" t="s">
        <v>2135</v>
      </c>
      <c r="BH236" s="8" t="s">
        <v>2135</v>
      </c>
      <c r="BI236" s="8">
        <v>3.0</v>
      </c>
      <c r="BJ236" s="8" t="s">
        <v>3604</v>
      </c>
      <c r="BK236" s="8" t="s">
        <v>3352</v>
      </c>
      <c r="BL236" s="8" t="s">
        <v>3605</v>
      </c>
      <c r="BM236" s="8" t="s">
        <v>7107</v>
      </c>
      <c r="BN236" s="8" t="s">
        <v>2135</v>
      </c>
      <c r="BO236" s="8" t="s">
        <v>5131</v>
      </c>
      <c r="BP236" s="8" t="s">
        <v>2135</v>
      </c>
      <c r="BQ236" s="8" t="s">
        <v>2135</v>
      </c>
      <c r="BR236" s="8" t="s">
        <v>3355</v>
      </c>
      <c r="BS236" s="8" t="s">
        <v>7108</v>
      </c>
      <c r="BT236" s="8" t="s">
        <v>2146</v>
      </c>
      <c r="BU236" s="8" t="s">
        <v>2147</v>
      </c>
      <c r="BW236" s="8" t="s">
        <v>2152</v>
      </c>
      <c r="BX236" s="8" t="s">
        <v>3011</v>
      </c>
      <c r="BY236" s="8" t="s">
        <v>3025</v>
      </c>
      <c r="BZ236" s="8" t="str">
        <f>HYPERLINK("https%3A%2F%2Fwww.webofscience.com%2Fwos%2Fwoscc%2Ffull-record%2FWOS:000384873700034","View Full Record in Web of Science")</f>
        <v>View Full Record in Web of Science</v>
      </c>
    </row>
    <row r="237" ht="12.75" customHeight="1">
      <c r="A237" s="8" t="s">
        <v>3329</v>
      </c>
      <c r="B237" s="8" t="s">
        <v>7109</v>
      </c>
      <c r="C237" s="8" t="s">
        <v>2135</v>
      </c>
      <c r="D237" s="8" t="s">
        <v>2135</v>
      </c>
      <c r="E237" s="8" t="s">
        <v>2135</v>
      </c>
      <c r="F237" s="8" t="s">
        <v>7110</v>
      </c>
      <c r="G237" s="8" t="s">
        <v>2135</v>
      </c>
      <c r="H237" s="8" t="s">
        <v>2135</v>
      </c>
      <c r="I237" s="8" t="s">
        <v>1000</v>
      </c>
      <c r="J237" s="8" t="s">
        <v>3637</v>
      </c>
      <c r="K237" s="8" t="s">
        <v>2135</v>
      </c>
      <c r="L237" s="8" t="s">
        <v>2135</v>
      </c>
      <c r="M237" s="8" t="s">
        <v>3332</v>
      </c>
      <c r="N237" s="8" t="s">
        <v>3333</v>
      </c>
      <c r="O237" s="8" t="s">
        <v>2135</v>
      </c>
      <c r="P237" s="8" t="s">
        <v>2135</v>
      </c>
      <c r="Q237" s="8" t="s">
        <v>2135</v>
      </c>
      <c r="R237" s="8" t="s">
        <v>2135</v>
      </c>
      <c r="S237" s="8" t="s">
        <v>2135</v>
      </c>
      <c r="T237" s="8" t="s">
        <v>2135</v>
      </c>
      <c r="U237" s="8" t="s">
        <v>7111</v>
      </c>
      <c r="V237" s="8" t="s">
        <v>7112</v>
      </c>
      <c r="W237" s="8" t="s">
        <v>7113</v>
      </c>
      <c r="X237" s="8" t="s">
        <v>7114</v>
      </c>
      <c r="Y237" s="8" t="s">
        <v>7115</v>
      </c>
      <c r="Z237" s="8" t="s">
        <v>7116</v>
      </c>
      <c r="AA237" s="8" t="s">
        <v>7117</v>
      </c>
      <c r="AB237" s="8" t="s">
        <v>7118</v>
      </c>
      <c r="AC237" s="8" t="s">
        <v>7119</v>
      </c>
      <c r="AD237" s="8" t="s">
        <v>7120</v>
      </c>
      <c r="AE237" s="8" t="s">
        <v>7121</v>
      </c>
      <c r="AF237" s="8" t="s">
        <v>2135</v>
      </c>
      <c r="AG237" s="8">
        <v>56.0</v>
      </c>
      <c r="AH237" s="8">
        <v>19.0</v>
      </c>
      <c r="AI237" s="8">
        <v>22.0</v>
      </c>
      <c r="AJ237" s="8">
        <v>1.0</v>
      </c>
      <c r="AK237" s="8">
        <v>60.0</v>
      </c>
      <c r="AL237" s="8" t="s">
        <v>3648</v>
      </c>
      <c r="AM237" s="8" t="s">
        <v>3649</v>
      </c>
      <c r="AN237" s="8" t="s">
        <v>3650</v>
      </c>
      <c r="AO237" s="8" t="s">
        <v>3651</v>
      </c>
      <c r="AP237" s="8" t="s">
        <v>2135</v>
      </c>
      <c r="AQ237" s="8" t="s">
        <v>2135</v>
      </c>
      <c r="AR237" s="8" t="s">
        <v>3637</v>
      </c>
      <c r="AS237" s="8" t="s">
        <v>3652</v>
      </c>
      <c r="AT237" s="8" t="s">
        <v>7122</v>
      </c>
      <c r="AU237" s="8">
        <v>2015.0</v>
      </c>
      <c r="AV237" s="8">
        <v>10.0</v>
      </c>
      <c r="AW237" s="8">
        <v>8.0</v>
      </c>
      <c r="AX237" s="8" t="s">
        <v>2135</v>
      </c>
      <c r="AY237" s="8" t="s">
        <v>2135</v>
      </c>
      <c r="AZ237" s="8" t="s">
        <v>2135</v>
      </c>
      <c r="BA237" s="8" t="s">
        <v>2135</v>
      </c>
      <c r="BB237" s="8" t="s">
        <v>2135</v>
      </c>
      <c r="BC237" s="8" t="s">
        <v>2135</v>
      </c>
      <c r="BD237" s="8" t="s">
        <v>7123</v>
      </c>
      <c r="BE237" s="8" t="s">
        <v>7124</v>
      </c>
      <c r="BF237" s="13" t="str">
        <f>HYPERLINK("http://dx.doi.org/10.1371/journal.pone.0135036","http://dx.doi.org/10.1371/journal.pone.0135036")</f>
        <v>http://dx.doi.org/10.1371/journal.pone.0135036</v>
      </c>
      <c r="BG237" s="8" t="s">
        <v>2135</v>
      </c>
      <c r="BH237" s="8" t="s">
        <v>2135</v>
      </c>
      <c r="BI237" s="8">
        <v>14.0</v>
      </c>
      <c r="BJ237" s="8" t="s">
        <v>3656</v>
      </c>
      <c r="BK237" s="8" t="s">
        <v>3352</v>
      </c>
      <c r="BL237" s="8" t="s">
        <v>3657</v>
      </c>
      <c r="BM237" s="8" t="s">
        <v>7125</v>
      </c>
      <c r="BN237" s="8">
        <v>2.6284916E7</v>
      </c>
      <c r="BO237" s="8" t="s">
        <v>3659</v>
      </c>
      <c r="BP237" s="8" t="s">
        <v>2135</v>
      </c>
      <c r="BQ237" s="8" t="s">
        <v>2135</v>
      </c>
      <c r="BR237" s="8" t="s">
        <v>3355</v>
      </c>
      <c r="BS237" s="8" t="s">
        <v>7126</v>
      </c>
      <c r="BT237" s="8" t="s">
        <v>2600</v>
      </c>
      <c r="BU237" s="8" t="s">
        <v>2147</v>
      </c>
      <c r="BV237" s="8" t="s">
        <v>2217</v>
      </c>
      <c r="BW237" s="8" t="s">
        <v>2155</v>
      </c>
      <c r="BX237" s="8" t="s">
        <v>3070</v>
      </c>
      <c r="BY237" s="8" t="s">
        <v>3025</v>
      </c>
      <c r="BZ237" s="8" t="str">
        <f>HYPERLINK("https%3A%2F%2Fwww.webofscience.com%2Fwos%2Fwoscc%2Ffull-record%2FWOS:000359666100020","View Full Record in Web of Science")</f>
        <v>View Full Record in Web of Science</v>
      </c>
    </row>
    <row r="238" ht="12.75" customHeight="1">
      <c r="A238" s="8" t="s">
        <v>3329</v>
      </c>
      <c r="B238" s="8" t="s">
        <v>7127</v>
      </c>
      <c r="C238" s="8" t="s">
        <v>2135</v>
      </c>
      <c r="D238" s="8" t="s">
        <v>2135</v>
      </c>
      <c r="E238" s="8" t="s">
        <v>2135</v>
      </c>
      <c r="F238" s="8" t="s">
        <v>7128</v>
      </c>
      <c r="G238" s="8" t="s">
        <v>2135</v>
      </c>
      <c r="H238" s="8" t="s">
        <v>2135</v>
      </c>
      <c r="I238" s="8" t="s">
        <v>1003</v>
      </c>
      <c r="J238" s="8" t="s">
        <v>3637</v>
      </c>
      <c r="K238" s="8" t="s">
        <v>2135</v>
      </c>
      <c r="L238" s="8" t="s">
        <v>2135</v>
      </c>
      <c r="M238" s="8" t="s">
        <v>3332</v>
      </c>
      <c r="N238" s="8" t="s">
        <v>3333</v>
      </c>
      <c r="O238" s="8" t="s">
        <v>2135</v>
      </c>
      <c r="P238" s="8" t="s">
        <v>2135</v>
      </c>
      <c r="Q238" s="8" t="s">
        <v>2135</v>
      </c>
      <c r="R238" s="8" t="s">
        <v>2135</v>
      </c>
      <c r="S238" s="8" t="s">
        <v>2135</v>
      </c>
      <c r="T238" s="8" t="s">
        <v>2135</v>
      </c>
      <c r="U238" s="8" t="s">
        <v>7129</v>
      </c>
      <c r="V238" s="8" t="s">
        <v>7130</v>
      </c>
      <c r="W238" s="8" t="s">
        <v>7131</v>
      </c>
      <c r="X238" s="8" t="s">
        <v>7132</v>
      </c>
      <c r="Y238" s="8" t="s">
        <v>7133</v>
      </c>
      <c r="Z238" s="8" t="s">
        <v>7134</v>
      </c>
      <c r="AA238" s="8" t="s">
        <v>7135</v>
      </c>
      <c r="AB238" s="8" t="s">
        <v>7136</v>
      </c>
      <c r="AC238" s="8" t="s">
        <v>7137</v>
      </c>
      <c r="AD238" s="8" t="s">
        <v>7138</v>
      </c>
      <c r="AE238" s="8" t="s">
        <v>7139</v>
      </c>
      <c r="AF238" s="8" t="s">
        <v>2135</v>
      </c>
      <c r="AG238" s="8">
        <v>114.0</v>
      </c>
      <c r="AH238" s="8">
        <v>7.0</v>
      </c>
      <c r="AI238" s="8">
        <v>10.0</v>
      </c>
      <c r="AJ238" s="8">
        <v>3.0</v>
      </c>
      <c r="AK238" s="8">
        <v>62.0</v>
      </c>
      <c r="AL238" s="8" t="s">
        <v>3648</v>
      </c>
      <c r="AM238" s="8" t="s">
        <v>3649</v>
      </c>
      <c r="AN238" s="8" t="s">
        <v>3650</v>
      </c>
      <c r="AO238" s="8" t="s">
        <v>3651</v>
      </c>
      <c r="AP238" s="8" t="s">
        <v>2135</v>
      </c>
      <c r="AQ238" s="8" t="s">
        <v>2135</v>
      </c>
      <c r="AR238" s="8" t="s">
        <v>3637</v>
      </c>
      <c r="AS238" s="8" t="s">
        <v>3652</v>
      </c>
      <c r="AT238" s="8" t="s">
        <v>7140</v>
      </c>
      <c r="AU238" s="8">
        <v>2015.0</v>
      </c>
      <c r="AV238" s="8">
        <v>10.0</v>
      </c>
      <c r="AW238" s="8">
        <v>6.0</v>
      </c>
      <c r="AX238" s="8" t="s">
        <v>2135</v>
      </c>
      <c r="AY238" s="8" t="s">
        <v>2135</v>
      </c>
      <c r="AZ238" s="8" t="s">
        <v>2135</v>
      </c>
      <c r="BA238" s="8" t="s">
        <v>2135</v>
      </c>
      <c r="BB238" s="8" t="s">
        <v>2135</v>
      </c>
      <c r="BC238" s="8" t="s">
        <v>2135</v>
      </c>
      <c r="BD238" s="8" t="s">
        <v>7141</v>
      </c>
      <c r="BE238" s="8" t="s">
        <v>7142</v>
      </c>
      <c r="BF238" s="13" t="str">
        <f>HYPERLINK("http://dx.doi.org/10.1371/journal.pone.0126208","http://dx.doi.org/10.1371/journal.pone.0126208")</f>
        <v>http://dx.doi.org/10.1371/journal.pone.0126208</v>
      </c>
      <c r="BG238" s="8" t="s">
        <v>2135</v>
      </c>
      <c r="BH238" s="8" t="s">
        <v>2135</v>
      </c>
      <c r="BI238" s="8">
        <v>27.0</v>
      </c>
      <c r="BJ238" s="8" t="s">
        <v>3656</v>
      </c>
      <c r="BK238" s="8" t="s">
        <v>3352</v>
      </c>
      <c r="BL238" s="8" t="s">
        <v>3657</v>
      </c>
      <c r="BM238" s="8" t="s">
        <v>7143</v>
      </c>
      <c r="BN238" s="8">
        <v>2.6061497E7</v>
      </c>
      <c r="BO238" s="8" t="s">
        <v>3659</v>
      </c>
      <c r="BP238" s="8" t="s">
        <v>2135</v>
      </c>
      <c r="BQ238" s="8" t="s">
        <v>2135</v>
      </c>
      <c r="BR238" s="8" t="s">
        <v>3355</v>
      </c>
      <c r="BS238" s="8" t="s">
        <v>7144</v>
      </c>
      <c r="BT238" s="8" t="s">
        <v>2600</v>
      </c>
      <c r="BU238" s="8" t="s">
        <v>2147</v>
      </c>
      <c r="BV238" s="8" t="s">
        <v>2217</v>
      </c>
      <c r="BW238" s="8" t="s">
        <v>2234</v>
      </c>
      <c r="BY238" s="8" t="s">
        <v>3025</v>
      </c>
      <c r="BZ238" s="8" t="str">
        <f>HYPERLINK("https%3A%2F%2Fwww.webofscience.com%2Fwos%2Fwoscc%2Ffull-record%2FWOS:000355979500012","View Full Record in Web of Science")</f>
        <v>View Full Record in Web of Science</v>
      </c>
    </row>
    <row r="239" ht="12.75" customHeight="1">
      <c r="A239" s="8" t="s">
        <v>3329</v>
      </c>
      <c r="B239" s="8" t="s">
        <v>7145</v>
      </c>
      <c r="C239" s="8" t="s">
        <v>2135</v>
      </c>
      <c r="D239" s="8" t="s">
        <v>2135</v>
      </c>
      <c r="E239" s="8" t="s">
        <v>2135</v>
      </c>
      <c r="F239" s="8" t="s">
        <v>7146</v>
      </c>
      <c r="G239" s="8" t="s">
        <v>2135</v>
      </c>
      <c r="H239" s="8" t="s">
        <v>2135</v>
      </c>
      <c r="I239" s="8" t="s">
        <v>1014</v>
      </c>
      <c r="J239" s="8" t="s">
        <v>5340</v>
      </c>
      <c r="K239" s="8" t="s">
        <v>2135</v>
      </c>
      <c r="L239" s="8" t="s">
        <v>2135</v>
      </c>
      <c r="M239" s="8" t="s">
        <v>3332</v>
      </c>
      <c r="N239" s="8" t="s">
        <v>3333</v>
      </c>
      <c r="O239" s="8" t="s">
        <v>2135</v>
      </c>
      <c r="P239" s="8" t="s">
        <v>2135</v>
      </c>
      <c r="Q239" s="8" t="s">
        <v>2135</v>
      </c>
      <c r="R239" s="8" t="s">
        <v>2135</v>
      </c>
      <c r="S239" s="8" t="s">
        <v>2135</v>
      </c>
      <c r="T239" s="8" t="s">
        <v>7147</v>
      </c>
      <c r="U239" s="8" t="s">
        <v>7148</v>
      </c>
      <c r="V239" s="8" t="s">
        <v>7149</v>
      </c>
      <c r="W239" s="8" t="s">
        <v>7150</v>
      </c>
      <c r="X239" s="8" t="s">
        <v>7151</v>
      </c>
      <c r="Y239" s="8" t="s">
        <v>7152</v>
      </c>
      <c r="Z239" s="8" t="s">
        <v>7153</v>
      </c>
      <c r="AA239" s="8" t="s">
        <v>2135</v>
      </c>
      <c r="AB239" s="8" t="s">
        <v>6941</v>
      </c>
      <c r="AC239" s="8" t="s">
        <v>7154</v>
      </c>
      <c r="AD239" s="8" t="s">
        <v>7154</v>
      </c>
      <c r="AE239" s="8" t="s">
        <v>7155</v>
      </c>
      <c r="AF239" s="8" t="s">
        <v>2135</v>
      </c>
      <c r="AG239" s="8">
        <v>38.0</v>
      </c>
      <c r="AH239" s="8">
        <v>6.0</v>
      </c>
      <c r="AI239" s="8">
        <v>7.0</v>
      </c>
      <c r="AJ239" s="8">
        <v>0.0</v>
      </c>
      <c r="AK239" s="8">
        <v>76.0</v>
      </c>
      <c r="AL239" s="8" t="s">
        <v>5390</v>
      </c>
      <c r="AM239" s="8" t="s">
        <v>5391</v>
      </c>
      <c r="AN239" s="8" t="s">
        <v>5392</v>
      </c>
      <c r="AO239" s="8" t="s">
        <v>5348</v>
      </c>
      <c r="AP239" s="8" t="s">
        <v>5393</v>
      </c>
      <c r="AQ239" s="8" t="s">
        <v>2135</v>
      </c>
      <c r="AR239" s="8" t="s">
        <v>5349</v>
      </c>
      <c r="AS239" s="8" t="s">
        <v>5350</v>
      </c>
      <c r="AT239" s="8" t="s">
        <v>3395</v>
      </c>
      <c r="AU239" s="8">
        <v>2013.0</v>
      </c>
      <c r="AV239" s="8">
        <v>87.0</v>
      </c>
      <c r="AW239" s="8">
        <v>3.0</v>
      </c>
      <c r="AX239" s="8" t="s">
        <v>2135</v>
      </c>
      <c r="AY239" s="8" t="s">
        <v>2135</v>
      </c>
      <c r="AZ239" s="8" t="s">
        <v>2135</v>
      </c>
      <c r="BA239" s="8" t="s">
        <v>2135</v>
      </c>
      <c r="BB239" s="8">
        <v>257.0</v>
      </c>
      <c r="BC239" s="8">
        <v>264.0</v>
      </c>
      <c r="BD239" s="8" t="s">
        <v>2135</v>
      </c>
      <c r="BE239" s="8" t="s">
        <v>7156</v>
      </c>
      <c r="BF239" s="13" t="str">
        <f>HYPERLINK("http://dx.doi.org/10.3955/046.087.0307","http://dx.doi.org/10.3955/046.087.0307")</f>
        <v>http://dx.doi.org/10.3955/046.087.0307</v>
      </c>
      <c r="BG239" s="8" t="s">
        <v>2135</v>
      </c>
      <c r="BH239" s="8" t="s">
        <v>2135</v>
      </c>
      <c r="BI239" s="8">
        <v>8.0</v>
      </c>
      <c r="BJ239" s="8" t="s">
        <v>3681</v>
      </c>
      <c r="BK239" s="8" t="s">
        <v>3352</v>
      </c>
      <c r="BL239" s="8" t="s">
        <v>3632</v>
      </c>
      <c r="BM239" s="8" t="s">
        <v>7157</v>
      </c>
      <c r="BN239" s="8" t="s">
        <v>2135</v>
      </c>
      <c r="BO239" s="8" t="s">
        <v>2135</v>
      </c>
      <c r="BP239" s="8" t="s">
        <v>2135</v>
      </c>
      <c r="BQ239" s="8" t="s">
        <v>2135</v>
      </c>
      <c r="BR239" s="8" t="s">
        <v>3355</v>
      </c>
      <c r="BS239" s="8" t="s">
        <v>7158</v>
      </c>
      <c r="BT239" s="8" t="s">
        <v>2216</v>
      </c>
      <c r="BU239" s="8" t="s">
        <v>2147</v>
      </c>
      <c r="BV239" s="8" t="s">
        <v>2217</v>
      </c>
      <c r="BW239" s="8" t="s">
        <v>2218</v>
      </c>
      <c r="BX239" s="8" t="s">
        <v>3011</v>
      </c>
      <c r="BY239" s="8" t="s">
        <v>3026</v>
      </c>
      <c r="BZ239" s="8" t="str">
        <f>HYPERLINK("https%3A%2F%2Fwww.webofscience.com%2Fwos%2Fwoscc%2Ffull-record%2FWOS:000325271800005","View Full Record in Web of Science")</f>
        <v>View Full Record in Web of Science</v>
      </c>
    </row>
    <row r="240" ht="12.75" customHeight="1">
      <c r="A240" s="8" t="s">
        <v>3329</v>
      </c>
      <c r="B240" s="8" t="s">
        <v>7159</v>
      </c>
      <c r="C240" s="8" t="s">
        <v>2135</v>
      </c>
      <c r="D240" s="8" t="s">
        <v>2135</v>
      </c>
      <c r="E240" s="8" t="s">
        <v>2135</v>
      </c>
      <c r="F240" s="8" t="s">
        <v>7160</v>
      </c>
      <c r="G240" s="8" t="s">
        <v>2135</v>
      </c>
      <c r="H240" s="8" t="s">
        <v>2135</v>
      </c>
      <c r="I240" s="8" t="s">
        <v>998</v>
      </c>
      <c r="J240" s="8" t="s">
        <v>4612</v>
      </c>
      <c r="K240" s="8" t="s">
        <v>2135</v>
      </c>
      <c r="L240" s="8" t="s">
        <v>2135</v>
      </c>
      <c r="M240" s="8" t="s">
        <v>3332</v>
      </c>
      <c r="N240" s="8" t="s">
        <v>3333</v>
      </c>
      <c r="O240" s="8" t="s">
        <v>2135</v>
      </c>
      <c r="P240" s="8" t="s">
        <v>2135</v>
      </c>
      <c r="Q240" s="8" t="s">
        <v>2135</v>
      </c>
      <c r="R240" s="8" t="s">
        <v>2135</v>
      </c>
      <c r="S240" s="8" t="s">
        <v>2135</v>
      </c>
      <c r="T240" s="8" t="s">
        <v>7161</v>
      </c>
      <c r="U240" s="8" t="s">
        <v>7162</v>
      </c>
      <c r="V240" s="8" t="s">
        <v>7163</v>
      </c>
      <c r="W240" s="8" t="s">
        <v>7164</v>
      </c>
      <c r="X240" s="8" t="s">
        <v>7165</v>
      </c>
      <c r="Y240" s="8" t="s">
        <v>7166</v>
      </c>
      <c r="Z240" s="8" t="s">
        <v>7167</v>
      </c>
      <c r="AA240" s="8" t="s">
        <v>7168</v>
      </c>
      <c r="AB240" s="8" t="s">
        <v>2135</v>
      </c>
      <c r="AC240" s="8" t="s">
        <v>2135</v>
      </c>
      <c r="AD240" s="8" t="s">
        <v>2135</v>
      </c>
      <c r="AE240" s="8" t="s">
        <v>2135</v>
      </c>
      <c r="AF240" s="8" t="s">
        <v>2135</v>
      </c>
      <c r="AG240" s="8">
        <v>49.0</v>
      </c>
      <c r="AH240" s="8">
        <v>59.0</v>
      </c>
      <c r="AI240" s="8">
        <v>67.0</v>
      </c>
      <c r="AJ240" s="8">
        <v>1.0</v>
      </c>
      <c r="AK240" s="8">
        <v>149.0</v>
      </c>
      <c r="AL240" s="8" t="s">
        <v>3479</v>
      </c>
      <c r="AM240" s="8" t="s">
        <v>4500</v>
      </c>
      <c r="AN240" s="8" t="s">
        <v>4501</v>
      </c>
      <c r="AO240" s="8" t="s">
        <v>4626</v>
      </c>
      <c r="AP240" s="8" t="s">
        <v>4627</v>
      </c>
      <c r="AQ240" s="8" t="s">
        <v>2135</v>
      </c>
      <c r="AR240" s="8" t="s">
        <v>4628</v>
      </c>
      <c r="AS240" s="8" t="s">
        <v>4629</v>
      </c>
      <c r="AT240" s="8" t="s">
        <v>3556</v>
      </c>
      <c r="AU240" s="8">
        <v>2013.0</v>
      </c>
      <c r="AV240" s="8">
        <v>14.0</v>
      </c>
      <c r="AW240" s="8">
        <v>2.0</v>
      </c>
      <c r="AX240" s="8" t="s">
        <v>2135</v>
      </c>
      <c r="AY240" s="8" t="s">
        <v>2135</v>
      </c>
      <c r="AZ240" s="8" t="s">
        <v>3421</v>
      </c>
      <c r="BA240" s="8" t="s">
        <v>2135</v>
      </c>
      <c r="BB240" s="8">
        <v>529.0</v>
      </c>
      <c r="BC240" s="8">
        <v>541.0</v>
      </c>
      <c r="BD240" s="8" t="s">
        <v>2135</v>
      </c>
      <c r="BE240" s="8" t="s">
        <v>7169</v>
      </c>
      <c r="BF240" s="13" t="str">
        <f>HYPERLINK("http://dx.doi.org/10.1007/s10592-012-0336-z","http://dx.doi.org/10.1007/s10592-012-0336-z")</f>
        <v>http://dx.doi.org/10.1007/s10592-012-0336-z</v>
      </c>
      <c r="BG240" s="8" t="s">
        <v>2135</v>
      </c>
      <c r="BH240" s="8" t="s">
        <v>2135</v>
      </c>
      <c r="BI240" s="8">
        <v>13.0</v>
      </c>
      <c r="BJ240" s="8" t="s">
        <v>4631</v>
      </c>
      <c r="BK240" s="8" t="s">
        <v>3352</v>
      </c>
      <c r="BL240" s="8" t="s">
        <v>4632</v>
      </c>
      <c r="BM240" s="8" t="s">
        <v>7170</v>
      </c>
      <c r="BN240" s="8" t="s">
        <v>2135</v>
      </c>
      <c r="BO240" s="8" t="s">
        <v>2135</v>
      </c>
      <c r="BP240" s="8" t="s">
        <v>2135</v>
      </c>
      <c r="BQ240" s="8" t="s">
        <v>2135</v>
      </c>
      <c r="BR240" s="8" t="s">
        <v>3355</v>
      </c>
      <c r="BS240" s="8" t="s">
        <v>7171</v>
      </c>
      <c r="BT240" s="8" t="s">
        <v>2600</v>
      </c>
      <c r="BU240" s="8" t="s">
        <v>2147</v>
      </c>
      <c r="BV240" s="8" t="s">
        <v>2217</v>
      </c>
      <c r="BW240" s="8" t="s">
        <v>2221</v>
      </c>
      <c r="BX240" s="8" t="s">
        <v>3011</v>
      </c>
      <c r="BY240" s="8" t="s">
        <v>3025</v>
      </c>
      <c r="BZ240" s="8" t="str">
        <f>HYPERLINK("https%3A%2F%2Fwww.webofscience.com%2Fwos%2Fwoscc%2Ffull-record%2FWOS:000317076500023","View Full Record in Web of Science")</f>
        <v>View Full Record in Web of Science</v>
      </c>
    </row>
    <row r="241" ht="12.75" customHeight="1">
      <c r="A241" s="8" t="s">
        <v>3329</v>
      </c>
      <c r="B241" s="8" t="s">
        <v>7172</v>
      </c>
      <c r="C241" s="8" t="s">
        <v>2135</v>
      </c>
      <c r="D241" s="8" t="s">
        <v>2135</v>
      </c>
      <c r="E241" s="8" t="s">
        <v>2135</v>
      </c>
      <c r="F241" s="8" t="s">
        <v>7173</v>
      </c>
      <c r="G241" s="8" t="s">
        <v>2135</v>
      </c>
      <c r="H241" s="8" t="s">
        <v>2135</v>
      </c>
      <c r="I241" s="8" t="s">
        <v>996</v>
      </c>
      <c r="J241" s="8" t="s">
        <v>4612</v>
      </c>
      <c r="K241" s="8" t="s">
        <v>2135</v>
      </c>
      <c r="L241" s="8" t="s">
        <v>2135</v>
      </c>
      <c r="M241" s="8" t="s">
        <v>3332</v>
      </c>
      <c r="N241" s="8" t="s">
        <v>3333</v>
      </c>
      <c r="O241" s="8" t="s">
        <v>2135</v>
      </c>
      <c r="P241" s="8" t="s">
        <v>2135</v>
      </c>
      <c r="Q241" s="8" t="s">
        <v>2135</v>
      </c>
      <c r="R241" s="8" t="s">
        <v>2135</v>
      </c>
      <c r="S241" s="8" t="s">
        <v>2135</v>
      </c>
      <c r="T241" s="8" t="s">
        <v>7174</v>
      </c>
      <c r="U241" s="8" t="s">
        <v>7175</v>
      </c>
      <c r="V241" s="8" t="s">
        <v>7176</v>
      </c>
      <c r="W241" s="8" t="s">
        <v>7177</v>
      </c>
      <c r="X241" s="8" t="s">
        <v>7178</v>
      </c>
      <c r="Y241" s="8" t="s">
        <v>7179</v>
      </c>
      <c r="Z241" s="8" t="s">
        <v>7180</v>
      </c>
      <c r="AA241" s="8" t="s">
        <v>5270</v>
      </c>
      <c r="AB241" s="8" t="s">
        <v>7181</v>
      </c>
      <c r="AC241" s="8" t="s">
        <v>7182</v>
      </c>
      <c r="AD241" s="8" t="s">
        <v>7183</v>
      </c>
      <c r="AE241" s="8" t="s">
        <v>7184</v>
      </c>
      <c r="AF241" s="8" t="s">
        <v>2135</v>
      </c>
      <c r="AG241" s="8">
        <v>118.0</v>
      </c>
      <c r="AH241" s="8">
        <v>19.0</v>
      </c>
      <c r="AI241" s="8">
        <v>22.0</v>
      </c>
      <c r="AJ241" s="8">
        <v>0.0</v>
      </c>
      <c r="AK241" s="8">
        <v>140.0</v>
      </c>
      <c r="AL241" s="8" t="s">
        <v>3479</v>
      </c>
      <c r="AM241" s="8" t="s">
        <v>4500</v>
      </c>
      <c r="AN241" s="8" t="s">
        <v>4501</v>
      </c>
      <c r="AO241" s="8" t="s">
        <v>4626</v>
      </c>
      <c r="AP241" s="8" t="s">
        <v>4627</v>
      </c>
      <c r="AQ241" s="8" t="s">
        <v>2135</v>
      </c>
      <c r="AR241" s="8" t="s">
        <v>4628</v>
      </c>
      <c r="AS241" s="8" t="s">
        <v>4629</v>
      </c>
      <c r="AT241" s="8" t="s">
        <v>3741</v>
      </c>
      <c r="AU241" s="8">
        <v>2012.0</v>
      </c>
      <c r="AV241" s="8">
        <v>13.0</v>
      </c>
      <c r="AW241" s="8">
        <v>6.0</v>
      </c>
      <c r="AX241" s="8" t="s">
        <v>2135</v>
      </c>
      <c r="AY241" s="8" t="s">
        <v>2135</v>
      </c>
      <c r="AZ241" s="8" t="s">
        <v>2135</v>
      </c>
      <c r="BA241" s="8" t="s">
        <v>2135</v>
      </c>
      <c r="BB241" s="8">
        <v>1543.0</v>
      </c>
      <c r="BC241" s="8">
        <v>1559.0</v>
      </c>
      <c r="BD241" s="8" t="s">
        <v>2135</v>
      </c>
      <c r="BE241" s="8" t="s">
        <v>7185</v>
      </c>
      <c r="BF241" s="13" t="str">
        <f>HYPERLINK("http://dx.doi.org/10.1007/s10592-012-0399-x","http://dx.doi.org/10.1007/s10592-012-0399-x")</f>
        <v>http://dx.doi.org/10.1007/s10592-012-0399-x</v>
      </c>
      <c r="BG241" s="8" t="s">
        <v>2135</v>
      </c>
      <c r="BH241" s="8" t="s">
        <v>2135</v>
      </c>
      <c r="BI241" s="8">
        <v>17.0</v>
      </c>
      <c r="BJ241" s="8" t="s">
        <v>4631</v>
      </c>
      <c r="BK241" s="8" t="s">
        <v>3352</v>
      </c>
      <c r="BL241" s="8" t="s">
        <v>4632</v>
      </c>
      <c r="BM241" s="8" t="s">
        <v>7186</v>
      </c>
      <c r="BN241" s="8" t="s">
        <v>2135</v>
      </c>
      <c r="BO241" s="8" t="s">
        <v>2135</v>
      </c>
      <c r="BP241" s="8" t="s">
        <v>2135</v>
      </c>
      <c r="BQ241" s="8" t="s">
        <v>2135</v>
      </c>
      <c r="BR241" s="8" t="s">
        <v>3355</v>
      </c>
      <c r="BS241" s="8" t="s">
        <v>7187</v>
      </c>
      <c r="BU241" s="8" t="s">
        <v>2147</v>
      </c>
      <c r="BV241" s="8" t="s">
        <v>2217</v>
      </c>
      <c r="BW241" s="8" t="s">
        <v>2218</v>
      </c>
      <c r="BX241" s="8" t="s">
        <v>3011</v>
      </c>
      <c r="BY241" s="8" t="s">
        <v>3025</v>
      </c>
      <c r="BZ241" s="8" t="str">
        <f>HYPERLINK("https%3A%2F%2Fwww.webofscience.com%2Fwos%2Fwoscc%2Ffull-record%2FWOS:000310642300010","View Full Record in Web of Science")</f>
        <v>View Full Record in Web of Science</v>
      </c>
    </row>
    <row r="242" ht="12.75" customHeight="1">
      <c r="A242" s="8" t="s">
        <v>3329</v>
      </c>
      <c r="B242" s="8" t="s">
        <v>7188</v>
      </c>
      <c r="C242" s="8" t="s">
        <v>2135</v>
      </c>
      <c r="D242" s="8" t="s">
        <v>2135</v>
      </c>
      <c r="E242" s="8" t="s">
        <v>2135</v>
      </c>
      <c r="F242" s="8" t="s">
        <v>7189</v>
      </c>
      <c r="G242" s="8" t="s">
        <v>2135</v>
      </c>
      <c r="H242" s="8" t="s">
        <v>2135</v>
      </c>
      <c r="I242" s="8" t="s">
        <v>994</v>
      </c>
      <c r="J242" s="8" t="s">
        <v>3747</v>
      </c>
      <c r="K242" s="8" t="s">
        <v>2135</v>
      </c>
      <c r="L242" s="8" t="s">
        <v>2135</v>
      </c>
      <c r="M242" s="8" t="s">
        <v>3332</v>
      </c>
      <c r="N242" s="8" t="s">
        <v>3333</v>
      </c>
      <c r="O242" s="8" t="s">
        <v>2135</v>
      </c>
      <c r="P242" s="8" t="s">
        <v>2135</v>
      </c>
      <c r="Q242" s="8" t="s">
        <v>2135</v>
      </c>
      <c r="R242" s="8" t="s">
        <v>2135</v>
      </c>
      <c r="S242" s="8" t="s">
        <v>2135</v>
      </c>
      <c r="T242" s="8" t="s">
        <v>7190</v>
      </c>
      <c r="U242" s="8" t="s">
        <v>7191</v>
      </c>
      <c r="V242" s="8" t="s">
        <v>7192</v>
      </c>
      <c r="W242" s="8" t="s">
        <v>7193</v>
      </c>
      <c r="X242" s="8" t="s">
        <v>7194</v>
      </c>
      <c r="Y242" s="8" t="s">
        <v>7195</v>
      </c>
      <c r="Z242" s="8" t="s">
        <v>7050</v>
      </c>
      <c r="AA242" s="8" t="s">
        <v>7196</v>
      </c>
      <c r="AB242" s="8" t="s">
        <v>7197</v>
      </c>
      <c r="AC242" s="8" t="s">
        <v>7198</v>
      </c>
      <c r="AD242" s="8" t="s">
        <v>7199</v>
      </c>
      <c r="AE242" s="8" t="s">
        <v>7200</v>
      </c>
      <c r="AF242" s="8" t="s">
        <v>2135</v>
      </c>
      <c r="AG242" s="8">
        <v>55.0</v>
      </c>
      <c r="AH242" s="8">
        <v>56.0</v>
      </c>
      <c r="AI242" s="8">
        <v>71.0</v>
      </c>
      <c r="AJ242" s="8">
        <v>3.0</v>
      </c>
      <c r="AK242" s="8">
        <v>108.0</v>
      </c>
      <c r="AL242" s="8" t="s">
        <v>3758</v>
      </c>
      <c r="AM242" s="8" t="s">
        <v>3759</v>
      </c>
      <c r="AN242" s="8" t="s">
        <v>3760</v>
      </c>
      <c r="AO242" s="8" t="s">
        <v>3761</v>
      </c>
      <c r="AP242" s="8" t="s">
        <v>3762</v>
      </c>
      <c r="AQ242" s="8" t="s">
        <v>2135</v>
      </c>
      <c r="AR242" s="8" t="s">
        <v>3763</v>
      </c>
      <c r="AS242" s="8" t="s">
        <v>3764</v>
      </c>
      <c r="AT242" s="8" t="s">
        <v>3395</v>
      </c>
      <c r="AU242" s="8">
        <v>2011.0</v>
      </c>
      <c r="AV242" s="8">
        <v>144.0</v>
      </c>
      <c r="AW242" s="8">
        <v>8.0</v>
      </c>
      <c r="AX242" s="8" t="s">
        <v>2135</v>
      </c>
      <c r="AY242" s="8" t="s">
        <v>2135</v>
      </c>
      <c r="AZ242" s="8" t="s">
        <v>2135</v>
      </c>
      <c r="BA242" s="8" t="s">
        <v>2135</v>
      </c>
      <c r="BB242" s="8">
        <v>2068.0</v>
      </c>
      <c r="BC242" s="8">
        <v>2080.0</v>
      </c>
      <c r="BD242" s="8" t="s">
        <v>2135</v>
      </c>
      <c r="BE242" s="8" t="s">
        <v>7201</v>
      </c>
      <c r="BF242" s="13" t="str">
        <f>HYPERLINK("http://dx.doi.org/10.1016/j.biocon.2011.03.027","http://dx.doi.org/10.1016/j.biocon.2011.03.027")</f>
        <v>http://dx.doi.org/10.1016/j.biocon.2011.03.027</v>
      </c>
      <c r="BG242" s="8" t="s">
        <v>2135</v>
      </c>
      <c r="BH242" s="8" t="s">
        <v>2135</v>
      </c>
      <c r="BI242" s="8">
        <v>13.0</v>
      </c>
      <c r="BJ242" s="8" t="s">
        <v>3351</v>
      </c>
      <c r="BK242" s="8" t="s">
        <v>3352</v>
      </c>
      <c r="BL242" s="8" t="s">
        <v>3353</v>
      </c>
      <c r="BM242" s="8" t="s">
        <v>7202</v>
      </c>
      <c r="BN242" s="8" t="s">
        <v>2135</v>
      </c>
      <c r="BO242" s="8" t="s">
        <v>3425</v>
      </c>
      <c r="BP242" s="8" t="s">
        <v>2135</v>
      </c>
      <c r="BQ242" s="8" t="s">
        <v>2135</v>
      </c>
      <c r="BR242" s="8" t="s">
        <v>3355</v>
      </c>
      <c r="BS242" s="8" t="s">
        <v>7203</v>
      </c>
      <c r="BU242" s="8" t="s">
        <v>2142</v>
      </c>
      <c r="BW242" s="8" t="s">
        <v>2143</v>
      </c>
      <c r="BX242" s="8" t="s">
        <v>3011</v>
      </c>
      <c r="BY242" s="8" t="s">
        <v>3025</v>
      </c>
      <c r="BZ242" s="8" t="str">
        <f>HYPERLINK("https%3A%2F%2Fwww.webofscience.com%2Fwos%2Fwoscc%2Ffull-record%2FWOS:000292661200002","View Full Record in Web of Science")</f>
        <v>View Full Record in Web of Science</v>
      </c>
    </row>
    <row r="243" ht="12.75" customHeight="1">
      <c r="A243" s="8" t="s">
        <v>3329</v>
      </c>
      <c r="B243" s="8" t="s">
        <v>7204</v>
      </c>
      <c r="C243" s="8" t="s">
        <v>2135</v>
      </c>
      <c r="D243" s="8" t="s">
        <v>2135</v>
      </c>
      <c r="E243" s="8" t="s">
        <v>2135</v>
      </c>
      <c r="F243" s="8" t="s">
        <v>7205</v>
      </c>
      <c r="G243" s="8" t="s">
        <v>2135</v>
      </c>
      <c r="H243" s="8" t="s">
        <v>2135</v>
      </c>
      <c r="I243" s="8" t="s">
        <v>992</v>
      </c>
      <c r="J243" s="8" t="s">
        <v>7206</v>
      </c>
      <c r="K243" s="8" t="s">
        <v>2135</v>
      </c>
      <c r="L243" s="8" t="s">
        <v>2135</v>
      </c>
      <c r="M243" s="8" t="s">
        <v>3332</v>
      </c>
      <c r="N243" s="8" t="s">
        <v>3333</v>
      </c>
      <c r="O243" s="8" t="s">
        <v>2135</v>
      </c>
      <c r="P243" s="8" t="s">
        <v>2135</v>
      </c>
      <c r="Q243" s="8" t="s">
        <v>2135</v>
      </c>
      <c r="R243" s="8" t="s">
        <v>2135</v>
      </c>
      <c r="S243" s="8" t="s">
        <v>2135</v>
      </c>
      <c r="T243" s="8" t="s">
        <v>7207</v>
      </c>
      <c r="U243" s="8" t="s">
        <v>7208</v>
      </c>
      <c r="V243" s="8" t="s">
        <v>7209</v>
      </c>
      <c r="W243" s="8" t="s">
        <v>7210</v>
      </c>
      <c r="X243" s="8" t="s">
        <v>7211</v>
      </c>
      <c r="Y243" s="8" t="s">
        <v>7212</v>
      </c>
      <c r="Z243" s="8" t="s">
        <v>7213</v>
      </c>
      <c r="AA243" s="8" t="s">
        <v>2135</v>
      </c>
      <c r="AB243" s="8" t="s">
        <v>2135</v>
      </c>
      <c r="AC243" s="8" t="s">
        <v>7214</v>
      </c>
      <c r="AD243" s="8" t="s">
        <v>7215</v>
      </c>
      <c r="AE243" s="8" t="s">
        <v>7216</v>
      </c>
      <c r="AF243" s="8" t="s">
        <v>2135</v>
      </c>
      <c r="AG243" s="8">
        <v>22.0</v>
      </c>
      <c r="AH243" s="8">
        <v>22.0</v>
      </c>
      <c r="AI243" s="8">
        <v>24.0</v>
      </c>
      <c r="AJ243" s="8">
        <v>0.0</v>
      </c>
      <c r="AK243" s="8">
        <v>69.0</v>
      </c>
      <c r="AL243" s="8" t="s">
        <v>7217</v>
      </c>
      <c r="AM243" s="8" t="s">
        <v>7218</v>
      </c>
      <c r="AN243" s="8" t="s">
        <v>7219</v>
      </c>
      <c r="AO243" s="8" t="s">
        <v>7220</v>
      </c>
      <c r="AP243" s="8" t="s">
        <v>2135</v>
      </c>
      <c r="AQ243" s="8" t="s">
        <v>2135</v>
      </c>
      <c r="AR243" s="8" t="s">
        <v>7221</v>
      </c>
      <c r="AS243" s="8" t="s">
        <v>7222</v>
      </c>
      <c r="AT243" s="8" t="s">
        <v>4262</v>
      </c>
      <c r="AU243" s="8">
        <v>2011.0</v>
      </c>
      <c r="AV243" s="8">
        <v>6.0</v>
      </c>
      <c r="AW243" s="8">
        <v>1.0</v>
      </c>
      <c r="AX243" s="8" t="s">
        <v>2135</v>
      </c>
      <c r="AY243" s="8" t="s">
        <v>2135</v>
      </c>
      <c r="AZ243" s="8" t="s">
        <v>2135</v>
      </c>
      <c r="BA243" s="8" t="s">
        <v>2135</v>
      </c>
      <c r="BB243" s="8" t="s">
        <v>2135</v>
      </c>
      <c r="BC243" s="8" t="s">
        <v>2135</v>
      </c>
      <c r="BD243" s="8">
        <v>14007.0</v>
      </c>
      <c r="BE243" s="8" t="s">
        <v>7223</v>
      </c>
      <c r="BF243" s="13" t="str">
        <f>HYPERLINK("http://dx.doi.org/10.1088/1748-9326/6/1/014007","http://dx.doi.org/10.1088/1748-9326/6/1/014007")</f>
        <v>http://dx.doi.org/10.1088/1748-9326/6/1/014007</v>
      </c>
      <c r="BG243" s="8" t="s">
        <v>2135</v>
      </c>
      <c r="BH243" s="8" t="s">
        <v>2135</v>
      </c>
      <c r="BI243" s="8">
        <v>9.0</v>
      </c>
      <c r="BJ243" s="8" t="s">
        <v>7224</v>
      </c>
      <c r="BK243" s="8" t="s">
        <v>3352</v>
      </c>
      <c r="BL243" s="8" t="s">
        <v>7225</v>
      </c>
      <c r="BM243" s="8" t="s">
        <v>7226</v>
      </c>
      <c r="BN243" s="8" t="s">
        <v>2135</v>
      </c>
      <c r="BO243" s="8" t="s">
        <v>5131</v>
      </c>
      <c r="BP243" s="8" t="s">
        <v>2135</v>
      </c>
      <c r="BQ243" s="8" t="s">
        <v>2135</v>
      </c>
      <c r="BR243" s="8" t="s">
        <v>3355</v>
      </c>
      <c r="BS243" s="8" t="s">
        <v>7227</v>
      </c>
      <c r="BT243" s="8" t="s">
        <v>2600</v>
      </c>
      <c r="BU243" s="8" t="s">
        <v>2147</v>
      </c>
      <c r="BV243" s="8" t="s">
        <v>2217</v>
      </c>
      <c r="BW243" s="8" t="s">
        <v>2218</v>
      </c>
      <c r="BX243" s="8" t="s">
        <v>3011</v>
      </c>
      <c r="BY243" s="8" t="s">
        <v>3025</v>
      </c>
      <c r="BZ243" s="8" t="str">
        <f>HYPERLINK("https%3A%2F%2Fwww.webofscience.com%2Fwos%2Fwoscc%2Ffull-record%2FWOS:000289263600008","View Full Record in Web of Science")</f>
        <v>View Full Record in Web of Science</v>
      </c>
    </row>
    <row r="244" ht="12.75" customHeight="1">
      <c r="A244" s="8" t="s">
        <v>3329</v>
      </c>
      <c r="B244" s="8" t="s">
        <v>7228</v>
      </c>
      <c r="C244" s="8" t="s">
        <v>2135</v>
      </c>
      <c r="D244" s="8" t="s">
        <v>2135</v>
      </c>
      <c r="E244" s="8" t="s">
        <v>2135</v>
      </c>
      <c r="F244" s="8" t="s">
        <v>7229</v>
      </c>
      <c r="G244" s="8" t="s">
        <v>2135</v>
      </c>
      <c r="H244" s="8" t="s">
        <v>2135</v>
      </c>
      <c r="I244" s="8" t="s">
        <v>990</v>
      </c>
      <c r="J244" s="8" t="s">
        <v>7230</v>
      </c>
      <c r="K244" s="8" t="s">
        <v>2135</v>
      </c>
      <c r="L244" s="8" t="s">
        <v>2135</v>
      </c>
      <c r="M244" s="8" t="s">
        <v>3332</v>
      </c>
      <c r="N244" s="8" t="s">
        <v>3333</v>
      </c>
      <c r="O244" s="8" t="s">
        <v>2135</v>
      </c>
      <c r="P244" s="8" t="s">
        <v>2135</v>
      </c>
      <c r="Q244" s="8" t="s">
        <v>2135</v>
      </c>
      <c r="R244" s="8" t="s">
        <v>2135</v>
      </c>
      <c r="S244" s="8" t="s">
        <v>2135</v>
      </c>
      <c r="T244" s="8" t="s">
        <v>7231</v>
      </c>
      <c r="U244" s="8" t="s">
        <v>7232</v>
      </c>
      <c r="V244" s="8" t="s">
        <v>7233</v>
      </c>
      <c r="W244" s="8" t="s">
        <v>7234</v>
      </c>
      <c r="X244" s="8" t="s">
        <v>7235</v>
      </c>
      <c r="Y244" s="8" t="s">
        <v>7236</v>
      </c>
      <c r="Z244" s="8" t="s">
        <v>7237</v>
      </c>
      <c r="AA244" s="8" t="s">
        <v>7238</v>
      </c>
      <c r="AB244" s="8" t="s">
        <v>2135</v>
      </c>
      <c r="AC244" s="8" t="s">
        <v>7239</v>
      </c>
      <c r="AD244" s="8" t="s">
        <v>7239</v>
      </c>
      <c r="AE244" s="8" t="s">
        <v>7240</v>
      </c>
      <c r="AF244" s="8" t="s">
        <v>2135</v>
      </c>
      <c r="AG244" s="8">
        <v>57.0</v>
      </c>
      <c r="AH244" s="8">
        <v>33.0</v>
      </c>
      <c r="AI244" s="8">
        <v>38.0</v>
      </c>
      <c r="AJ244" s="8">
        <v>1.0</v>
      </c>
      <c r="AK244" s="8">
        <v>136.0</v>
      </c>
      <c r="AL244" s="8" t="s">
        <v>3342</v>
      </c>
      <c r="AM244" s="8" t="s">
        <v>3343</v>
      </c>
      <c r="AN244" s="8" t="s">
        <v>3344</v>
      </c>
      <c r="AO244" s="8" t="s">
        <v>7241</v>
      </c>
      <c r="AP244" s="8" t="s">
        <v>7242</v>
      </c>
      <c r="AQ244" s="8" t="s">
        <v>2135</v>
      </c>
      <c r="AR244" s="8" t="s">
        <v>7243</v>
      </c>
      <c r="AS244" s="8" t="s">
        <v>7244</v>
      </c>
      <c r="AT244" s="8" t="s">
        <v>3556</v>
      </c>
      <c r="AU244" s="8">
        <v>2010.0</v>
      </c>
      <c r="AV244" s="8">
        <v>52.0</v>
      </c>
      <c r="AW244" s="8">
        <v>2.0</v>
      </c>
      <c r="AX244" s="8" t="s">
        <v>2135</v>
      </c>
      <c r="AY244" s="8" t="s">
        <v>2135</v>
      </c>
      <c r="AZ244" s="8" t="s">
        <v>2135</v>
      </c>
      <c r="BA244" s="8" t="s">
        <v>2135</v>
      </c>
      <c r="BB244" s="8">
        <v>279.0</v>
      </c>
      <c r="BC244" s="8">
        <v>287.0</v>
      </c>
      <c r="BD244" s="8" t="s">
        <v>2135</v>
      </c>
      <c r="BE244" s="8" t="s">
        <v>7245</v>
      </c>
      <c r="BF244" s="13" t="str">
        <f>HYPERLINK("http://dx.doi.org/10.1007/s10144-009-0189-6","http://dx.doi.org/10.1007/s10144-009-0189-6")</f>
        <v>http://dx.doi.org/10.1007/s10144-009-0189-6</v>
      </c>
      <c r="BG244" s="8" t="s">
        <v>2135</v>
      </c>
      <c r="BH244" s="8" t="s">
        <v>2135</v>
      </c>
      <c r="BI244" s="8">
        <v>9.0</v>
      </c>
      <c r="BJ244" s="8" t="s">
        <v>3681</v>
      </c>
      <c r="BK244" s="8" t="s">
        <v>3352</v>
      </c>
      <c r="BL244" s="8" t="s">
        <v>3632</v>
      </c>
      <c r="BM244" s="8" t="s">
        <v>7246</v>
      </c>
      <c r="BN244" s="8" t="s">
        <v>2135</v>
      </c>
      <c r="BO244" s="8" t="s">
        <v>2135</v>
      </c>
      <c r="BP244" s="8" t="s">
        <v>2135</v>
      </c>
      <c r="BQ244" s="8" t="s">
        <v>2135</v>
      </c>
      <c r="BR244" s="8" t="s">
        <v>3355</v>
      </c>
      <c r="BS244" s="8" t="s">
        <v>7247</v>
      </c>
      <c r="BU244" s="8" t="s">
        <v>2147</v>
      </c>
      <c r="BV244" s="8" t="s">
        <v>2217</v>
      </c>
      <c r="BW244" s="8" t="s">
        <v>2218</v>
      </c>
      <c r="BX244" s="8" t="s">
        <v>3011</v>
      </c>
      <c r="BY244" s="8" t="s">
        <v>3025</v>
      </c>
      <c r="BZ244" s="8" t="str">
        <f>HYPERLINK("https%3A%2F%2Fwww.webofscience.com%2Fwos%2Fwoscc%2Ffull-record%2FWOS:000274334000004","View Full Record in Web of Science")</f>
        <v>View Full Record in Web of Science</v>
      </c>
    </row>
    <row r="245" ht="12.75" customHeight="1">
      <c r="A245" s="8" t="s">
        <v>3329</v>
      </c>
      <c r="B245" s="8" t="s">
        <v>7248</v>
      </c>
      <c r="C245" s="8" t="s">
        <v>2135</v>
      </c>
      <c r="D245" s="8" t="s">
        <v>2135</v>
      </c>
      <c r="E245" s="8" t="s">
        <v>2135</v>
      </c>
      <c r="F245" s="8" t="s">
        <v>7249</v>
      </c>
      <c r="G245" s="8" t="s">
        <v>2135</v>
      </c>
      <c r="H245" s="8" t="s">
        <v>2135</v>
      </c>
      <c r="I245" s="8" t="s">
        <v>988</v>
      </c>
      <c r="J245" s="8" t="s">
        <v>4123</v>
      </c>
      <c r="K245" s="8" t="s">
        <v>2135</v>
      </c>
      <c r="L245" s="8" t="s">
        <v>2135</v>
      </c>
      <c r="M245" s="8" t="s">
        <v>3332</v>
      </c>
      <c r="N245" s="8" t="s">
        <v>3963</v>
      </c>
      <c r="O245" s="8" t="s">
        <v>4358</v>
      </c>
      <c r="P245" s="8" t="s">
        <v>4359</v>
      </c>
      <c r="Q245" s="8" t="s">
        <v>4360</v>
      </c>
      <c r="R245" s="8" t="s">
        <v>2135</v>
      </c>
      <c r="S245" s="8" t="s">
        <v>2135</v>
      </c>
      <c r="T245" s="8" t="s">
        <v>7250</v>
      </c>
      <c r="U245" s="8" t="s">
        <v>2135</v>
      </c>
      <c r="V245" s="8" t="s">
        <v>7251</v>
      </c>
      <c r="W245" s="8" t="s">
        <v>7252</v>
      </c>
      <c r="X245" s="8" t="s">
        <v>2135</v>
      </c>
      <c r="Y245" s="8" t="s">
        <v>7253</v>
      </c>
      <c r="Z245" s="8" t="s">
        <v>7254</v>
      </c>
      <c r="AA245" s="8" t="s">
        <v>2135</v>
      </c>
      <c r="AB245" s="8" t="s">
        <v>2135</v>
      </c>
      <c r="AC245" s="8" t="s">
        <v>2135</v>
      </c>
      <c r="AD245" s="8" t="s">
        <v>2135</v>
      </c>
      <c r="AE245" s="8" t="s">
        <v>2135</v>
      </c>
      <c r="AF245" s="8" t="s">
        <v>2135</v>
      </c>
      <c r="AG245" s="8">
        <v>23.0</v>
      </c>
      <c r="AH245" s="8">
        <v>46.0</v>
      </c>
      <c r="AI245" s="8">
        <v>57.0</v>
      </c>
      <c r="AJ245" s="8">
        <v>0.0</v>
      </c>
      <c r="AK245" s="8">
        <v>96.0</v>
      </c>
      <c r="AL245" s="8" t="s">
        <v>4123</v>
      </c>
      <c r="AM245" s="8" t="s">
        <v>4131</v>
      </c>
      <c r="AN245" s="8" t="s">
        <v>4132</v>
      </c>
      <c r="AO245" s="8" t="s">
        <v>4133</v>
      </c>
      <c r="AP245" s="8" t="s">
        <v>5033</v>
      </c>
      <c r="AQ245" s="8" t="s">
        <v>2135</v>
      </c>
      <c r="AR245" s="8" t="s">
        <v>4134</v>
      </c>
      <c r="AS245" s="8" t="s">
        <v>4135</v>
      </c>
      <c r="AT245" s="8" t="s">
        <v>2135</v>
      </c>
      <c r="AU245" s="8">
        <v>2007.0</v>
      </c>
      <c r="AV245" s="8">
        <v>13.0</v>
      </c>
      <c r="AW245" s="8" t="s">
        <v>2135</v>
      </c>
      <c r="AX245" s="8" t="s">
        <v>2135</v>
      </c>
      <c r="AY245" s="8">
        <v>2.0</v>
      </c>
      <c r="AZ245" s="8" t="s">
        <v>2135</v>
      </c>
      <c r="BA245" s="8" t="s">
        <v>2135</v>
      </c>
      <c r="BB245" s="8">
        <v>31.0</v>
      </c>
      <c r="BC245" s="8">
        <v>37.0</v>
      </c>
      <c r="BD245" s="8" t="s">
        <v>2135</v>
      </c>
      <c r="BE245" s="8" t="s">
        <v>7255</v>
      </c>
      <c r="BF245" s="13" t="str">
        <f>HYPERLINK("http://dx.doi.org/10.2981/0909-6396(2007)13[31:FHOWGG]2.0.CO;2","http://dx.doi.org/10.2981/0909-6396(2007)13[31:FHOWGG]2.0.CO;2")</f>
        <v>http://dx.doi.org/10.2981/0909-6396(2007)13[31:FHOWGG]2.0.CO;2</v>
      </c>
      <c r="BG245" s="8" t="s">
        <v>2135</v>
      </c>
      <c r="BH245" s="8" t="s">
        <v>2135</v>
      </c>
      <c r="BI245" s="8">
        <v>7.0</v>
      </c>
      <c r="BJ245" s="8" t="s">
        <v>3442</v>
      </c>
      <c r="BK245" s="8" t="s">
        <v>4418</v>
      </c>
      <c r="BL245" s="8" t="s">
        <v>3443</v>
      </c>
      <c r="BM245" s="8" t="s">
        <v>4367</v>
      </c>
      <c r="BN245" s="8" t="s">
        <v>2135</v>
      </c>
      <c r="BO245" s="8" t="s">
        <v>3445</v>
      </c>
      <c r="BP245" s="8" t="s">
        <v>2135</v>
      </c>
      <c r="BQ245" s="8" t="s">
        <v>2135</v>
      </c>
      <c r="BR245" s="8" t="s">
        <v>3355</v>
      </c>
      <c r="BS245" s="8" t="s">
        <v>7256</v>
      </c>
      <c r="BT245" s="8" t="s">
        <v>2216</v>
      </c>
      <c r="BU245" s="8" t="s">
        <v>2147</v>
      </c>
      <c r="BV245" s="8" t="s">
        <v>2217</v>
      </c>
      <c r="BW245" s="8" t="s">
        <v>2218</v>
      </c>
      <c r="BX245" s="8" t="s">
        <v>3011</v>
      </c>
      <c r="BY245" s="8" t="s">
        <v>3025</v>
      </c>
      <c r="BZ245" s="8" t="str">
        <f>HYPERLINK("https%3A%2F%2Fwww.webofscience.com%2Fwos%2Fwoscc%2Ffull-record%2FWOS:000250588600004","View Full Record in Web of Science")</f>
        <v>View Full Record in Web of Science</v>
      </c>
    </row>
    <row r="246" ht="12.75" customHeight="1">
      <c r="A246" s="8" t="s">
        <v>3329</v>
      </c>
      <c r="B246" s="8" t="s">
        <v>7257</v>
      </c>
      <c r="C246" s="8" t="s">
        <v>2135</v>
      </c>
      <c r="D246" s="8" t="s">
        <v>2135</v>
      </c>
      <c r="E246" s="8" t="s">
        <v>2135</v>
      </c>
      <c r="F246" s="8" t="s">
        <v>7257</v>
      </c>
      <c r="G246" s="8" t="s">
        <v>2135</v>
      </c>
      <c r="H246" s="8" t="s">
        <v>2135</v>
      </c>
      <c r="I246" s="8" t="s">
        <v>1017</v>
      </c>
      <c r="J246" s="8" t="s">
        <v>3796</v>
      </c>
      <c r="K246" s="8" t="s">
        <v>2135</v>
      </c>
      <c r="L246" s="8" t="s">
        <v>2135</v>
      </c>
      <c r="M246" s="8" t="s">
        <v>3332</v>
      </c>
      <c r="N246" s="8" t="s">
        <v>3492</v>
      </c>
      <c r="O246" s="8" t="s">
        <v>2135</v>
      </c>
      <c r="P246" s="8" t="s">
        <v>2135</v>
      </c>
      <c r="Q246" s="8" t="s">
        <v>2135</v>
      </c>
      <c r="R246" s="8" t="s">
        <v>2135</v>
      </c>
      <c r="S246" s="8" t="s">
        <v>2135</v>
      </c>
      <c r="T246" s="8" t="s">
        <v>2135</v>
      </c>
      <c r="U246" s="8" t="s">
        <v>7258</v>
      </c>
      <c r="V246" s="8" t="s">
        <v>7259</v>
      </c>
      <c r="W246" s="8" t="s">
        <v>7260</v>
      </c>
      <c r="X246" s="8" t="s">
        <v>7261</v>
      </c>
      <c r="Y246" s="8" t="s">
        <v>2135</v>
      </c>
      <c r="Z246" s="8" t="s">
        <v>2135</v>
      </c>
      <c r="AA246" s="8" t="s">
        <v>2135</v>
      </c>
      <c r="AB246" s="8" t="s">
        <v>7262</v>
      </c>
      <c r="AC246" s="8" t="s">
        <v>2135</v>
      </c>
      <c r="AD246" s="8" t="s">
        <v>2135</v>
      </c>
      <c r="AE246" s="8" t="s">
        <v>2135</v>
      </c>
      <c r="AF246" s="8" t="s">
        <v>2135</v>
      </c>
      <c r="AG246" s="8">
        <v>115.0</v>
      </c>
      <c r="AH246" s="8">
        <v>101.0</v>
      </c>
      <c r="AI246" s="8">
        <v>128.0</v>
      </c>
      <c r="AJ246" s="8">
        <v>0.0</v>
      </c>
      <c r="AK246" s="8">
        <v>106.0</v>
      </c>
      <c r="AL246" s="8" t="s">
        <v>4044</v>
      </c>
      <c r="AM246" s="8" t="s">
        <v>3759</v>
      </c>
      <c r="AN246" s="8" t="s">
        <v>7263</v>
      </c>
      <c r="AO246" s="8" t="s">
        <v>3808</v>
      </c>
      <c r="AP246" s="8" t="s">
        <v>2135</v>
      </c>
      <c r="AQ246" s="8" t="s">
        <v>2135</v>
      </c>
      <c r="AR246" s="8" t="s">
        <v>3810</v>
      </c>
      <c r="AS246" s="8" t="s">
        <v>3811</v>
      </c>
      <c r="AT246" s="8" t="s">
        <v>3721</v>
      </c>
      <c r="AU246" s="8">
        <v>1997.0</v>
      </c>
      <c r="AV246" s="8">
        <v>27.0</v>
      </c>
      <c r="AW246" s="8">
        <v>1.0</v>
      </c>
      <c r="AX246" s="8" t="s">
        <v>2135</v>
      </c>
      <c r="AY246" s="8" t="s">
        <v>2135</v>
      </c>
      <c r="AZ246" s="8" t="s">
        <v>2135</v>
      </c>
      <c r="BA246" s="8" t="s">
        <v>2135</v>
      </c>
      <c r="BB246" s="8">
        <v>1.0</v>
      </c>
      <c r="BC246" s="8">
        <v>26.0</v>
      </c>
      <c r="BD246" s="8" t="s">
        <v>2135</v>
      </c>
      <c r="BE246" s="8" t="s">
        <v>7264</v>
      </c>
      <c r="BF246" s="13" t="str">
        <f>HYPERLINK("http://dx.doi.org/10.1111/j.1365-2907.1997.tb00370.x","http://dx.doi.org/10.1111/j.1365-2907.1997.tb00370.x")</f>
        <v>http://dx.doi.org/10.1111/j.1365-2907.1997.tb00370.x</v>
      </c>
      <c r="BG246" s="8" t="s">
        <v>2135</v>
      </c>
      <c r="BH246" s="8" t="s">
        <v>2135</v>
      </c>
      <c r="BI246" s="8">
        <v>26.0</v>
      </c>
      <c r="BJ246" s="8" t="s">
        <v>3442</v>
      </c>
      <c r="BK246" s="8" t="s">
        <v>3352</v>
      </c>
      <c r="BL246" s="8" t="s">
        <v>3443</v>
      </c>
      <c r="BM246" s="8" t="s">
        <v>7265</v>
      </c>
      <c r="BN246" s="8" t="s">
        <v>2135</v>
      </c>
      <c r="BO246" s="8" t="s">
        <v>2135</v>
      </c>
      <c r="BP246" s="8" t="s">
        <v>2135</v>
      </c>
      <c r="BQ246" s="8" t="s">
        <v>2135</v>
      </c>
      <c r="BR246" s="8" t="s">
        <v>3355</v>
      </c>
      <c r="BS246" s="8" t="s">
        <v>7266</v>
      </c>
      <c r="BU246" s="8" t="s">
        <v>2147</v>
      </c>
      <c r="BW246" s="8" t="s">
        <v>2186</v>
      </c>
      <c r="BX246" s="8" t="s">
        <v>3216</v>
      </c>
      <c r="BY246" s="8" t="s">
        <v>3217</v>
      </c>
      <c r="BZ246" s="8" t="str">
        <f>HYPERLINK("https%3A%2F%2Fwww.webofscience.com%2Fwos%2Fwoscc%2Ffull-record%2FWOS:A1997WN22500001","View Full Record in Web of Science")</f>
        <v>View Full Record in Web of Science</v>
      </c>
    </row>
    <row r="247" ht="12.75" customHeight="1">
      <c r="A247" s="8" t="s">
        <v>3329</v>
      </c>
      <c r="B247" s="8" t="s">
        <v>7267</v>
      </c>
      <c r="C247" s="8" t="s">
        <v>2135</v>
      </c>
      <c r="D247" s="8" t="s">
        <v>2135</v>
      </c>
      <c r="E247" s="8" t="s">
        <v>2135</v>
      </c>
      <c r="F247" s="8" t="s">
        <v>7268</v>
      </c>
      <c r="G247" s="8" t="s">
        <v>2135</v>
      </c>
      <c r="H247" s="8" t="s">
        <v>2135</v>
      </c>
      <c r="I247" s="8" t="s">
        <v>2483</v>
      </c>
      <c r="J247" s="8" t="s">
        <v>7269</v>
      </c>
      <c r="K247" s="8" t="s">
        <v>2135</v>
      </c>
      <c r="L247" s="8" t="s">
        <v>2135</v>
      </c>
      <c r="M247" s="8" t="s">
        <v>3332</v>
      </c>
      <c r="N247" s="8" t="s">
        <v>3333</v>
      </c>
      <c r="O247" s="8" t="s">
        <v>2135</v>
      </c>
      <c r="P247" s="8" t="s">
        <v>2135</v>
      </c>
      <c r="Q247" s="8" t="s">
        <v>2135</v>
      </c>
      <c r="R247" s="8" t="s">
        <v>2135</v>
      </c>
      <c r="S247" s="8" t="s">
        <v>2135</v>
      </c>
      <c r="T247" s="8" t="s">
        <v>7270</v>
      </c>
      <c r="U247" s="8" t="s">
        <v>2135</v>
      </c>
      <c r="V247" s="8" t="s">
        <v>7271</v>
      </c>
      <c r="W247" s="8" t="s">
        <v>7272</v>
      </c>
      <c r="X247" s="8" t="s">
        <v>7273</v>
      </c>
      <c r="Y247" s="8" t="s">
        <v>7274</v>
      </c>
      <c r="Z247" s="8" t="s">
        <v>7275</v>
      </c>
      <c r="AA247" s="8" t="s">
        <v>7276</v>
      </c>
      <c r="AB247" s="8" t="s">
        <v>7277</v>
      </c>
      <c r="AC247" s="8" t="s">
        <v>2135</v>
      </c>
      <c r="AD247" s="8" t="s">
        <v>2135</v>
      </c>
      <c r="AE247" s="8" t="s">
        <v>2135</v>
      </c>
      <c r="AF247" s="8" t="s">
        <v>2135</v>
      </c>
      <c r="AG247" s="8">
        <v>5.0</v>
      </c>
      <c r="AH247" s="8">
        <v>0.0</v>
      </c>
      <c r="AI247" s="8">
        <v>0.0</v>
      </c>
      <c r="AJ247" s="8">
        <v>1.0</v>
      </c>
      <c r="AK247" s="8">
        <v>4.0</v>
      </c>
      <c r="AL247" s="8" t="s">
        <v>7278</v>
      </c>
      <c r="AM247" s="8" t="s">
        <v>7279</v>
      </c>
      <c r="AN247" s="8" t="s">
        <v>7280</v>
      </c>
      <c r="AO247" s="8" t="s">
        <v>7281</v>
      </c>
      <c r="AP247" s="8" t="s">
        <v>2135</v>
      </c>
      <c r="AQ247" s="8" t="s">
        <v>2135</v>
      </c>
      <c r="AR247" s="8" t="s">
        <v>7282</v>
      </c>
      <c r="AS247" s="8" t="s">
        <v>7283</v>
      </c>
      <c r="AT247" s="8" t="s">
        <v>2135</v>
      </c>
      <c r="AU247" s="8">
        <v>2018.0</v>
      </c>
      <c r="AV247" s="8">
        <v>7.0</v>
      </c>
      <c r="AW247" s="8" t="s">
        <v>2135</v>
      </c>
      <c r="AX247" s="8" t="s">
        <v>2135</v>
      </c>
      <c r="AY247" s="8" t="s">
        <v>2135</v>
      </c>
      <c r="AZ247" s="8" t="s">
        <v>2135</v>
      </c>
      <c r="BA247" s="8" t="s">
        <v>2135</v>
      </c>
      <c r="BB247" s="8">
        <v>4.0</v>
      </c>
      <c r="BC247" s="8">
        <v>9.0</v>
      </c>
      <c r="BD247" s="8" t="s">
        <v>2135</v>
      </c>
      <c r="BE247" s="8" t="s">
        <v>2135</v>
      </c>
      <c r="BF247" s="8" t="s">
        <v>2135</v>
      </c>
      <c r="BG247" s="8" t="s">
        <v>2135</v>
      </c>
      <c r="BH247" s="8" t="s">
        <v>2135</v>
      </c>
      <c r="BI247" s="8">
        <v>6.0</v>
      </c>
      <c r="BJ247" s="8" t="s">
        <v>7284</v>
      </c>
      <c r="BK247" s="8" t="s">
        <v>4654</v>
      </c>
      <c r="BL247" s="8" t="s">
        <v>7285</v>
      </c>
      <c r="BM247" s="8" t="s">
        <v>7286</v>
      </c>
      <c r="BN247" s="8" t="s">
        <v>2135</v>
      </c>
      <c r="BO247" s="8" t="s">
        <v>2135</v>
      </c>
      <c r="BP247" s="8" t="s">
        <v>2135</v>
      </c>
      <c r="BQ247" s="8" t="s">
        <v>2135</v>
      </c>
      <c r="BR247" s="8" t="s">
        <v>3355</v>
      </c>
      <c r="BS247" s="8" t="s">
        <v>7287</v>
      </c>
      <c r="BT247" s="8" t="s">
        <v>2484</v>
      </c>
      <c r="BU247" s="8" t="s">
        <v>2142</v>
      </c>
      <c r="BW247" s="8" t="s">
        <v>2143</v>
      </c>
      <c r="BX247" s="8" t="s">
        <v>3071</v>
      </c>
      <c r="BY247" s="8" t="s">
        <v>3072</v>
      </c>
      <c r="BZ247" s="8" t="str">
        <f>HYPERLINK("https%3A%2F%2Fwww.webofscience.com%2Fwos%2Fwoscc%2Ffull-record%2FWOS:000446219500002","View Full Record in Web of Science")</f>
        <v>View Full Record in Web of Science</v>
      </c>
    </row>
    <row r="248" ht="12.75" customHeight="1">
      <c r="A248" s="8" t="s">
        <v>3329</v>
      </c>
      <c r="B248" s="8" t="s">
        <v>7288</v>
      </c>
      <c r="C248" s="8" t="s">
        <v>2135</v>
      </c>
      <c r="D248" s="8" t="s">
        <v>2135</v>
      </c>
      <c r="E248" s="8" t="s">
        <v>2135</v>
      </c>
      <c r="F248" s="8" t="s">
        <v>7289</v>
      </c>
      <c r="G248" s="8" t="s">
        <v>2135</v>
      </c>
      <c r="H248" s="8" t="s">
        <v>2135</v>
      </c>
      <c r="I248" s="8" t="s">
        <v>1029</v>
      </c>
      <c r="J248" s="8" t="s">
        <v>5135</v>
      </c>
      <c r="K248" s="8" t="s">
        <v>2135</v>
      </c>
      <c r="L248" s="8" t="s">
        <v>2135</v>
      </c>
      <c r="M248" s="8" t="s">
        <v>3332</v>
      </c>
      <c r="N248" s="8" t="s">
        <v>3333</v>
      </c>
      <c r="O248" s="8" t="s">
        <v>2135</v>
      </c>
      <c r="P248" s="8" t="s">
        <v>2135</v>
      </c>
      <c r="Q248" s="8" t="s">
        <v>2135</v>
      </c>
      <c r="R248" s="8" t="s">
        <v>2135</v>
      </c>
      <c r="S248" s="8" t="s">
        <v>2135</v>
      </c>
      <c r="T248" s="8" t="s">
        <v>7290</v>
      </c>
      <c r="U248" s="8" t="s">
        <v>7291</v>
      </c>
      <c r="V248" s="8" t="s">
        <v>7292</v>
      </c>
      <c r="W248" s="8" t="s">
        <v>7293</v>
      </c>
      <c r="X248" s="8" t="s">
        <v>2135</v>
      </c>
      <c r="Y248" s="8" t="s">
        <v>7294</v>
      </c>
      <c r="Z248" s="8" t="s">
        <v>3570</v>
      </c>
      <c r="AA248" s="8" t="s">
        <v>2135</v>
      </c>
      <c r="AB248" s="8" t="s">
        <v>7295</v>
      </c>
      <c r="AC248" s="8" t="s">
        <v>7296</v>
      </c>
      <c r="AD248" s="8" t="s">
        <v>7296</v>
      </c>
      <c r="AE248" s="8" t="s">
        <v>7297</v>
      </c>
      <c r="AF248" s="8" t="s">
        <v>2135</v>
      </c>
      <c r="AG248" s="8">
        <v>85.0</v>
      </c>
      <c r="AH248" s="8">
        <v>28.0</v>
      </c>
      <c r="AI248" s="8">
        <v>35.0</v>
      </c>
      <c r="AJ248" s="8">
        <v>1.0</v>
      </c>
      <c r="AK248" s="8">
        <v>43.0</v>
      </c>
      <c r="AL248" s="8" t="s">
        <v>3479</v>
      </c>
      <c r="AM248" s="8" t="s">
        <v>4500</v>
      </c>
      <c r="AN248" s="8" t="s">
        <v>4501</v>
      </c>
      <c r="AO248" s="8" t="s">
        <v>5148</v>
      </c>
      <c r="AP248" s="8" t="s">
        <v>5149</v>
      </c>
      <c r="AQ248" s="8" t="s">
        <v>2135</v>
      </c>
      <c r="AR248" s="8" t="s">
        <v>5150</v>
      </c>
      <c r="AS248" s="8" t="s">
        <v>5151</v>
      </c>
      <c r="AT248" s="8" t="s">
        <v>3580</v>
      </c>
      <c r="AU248" s="8">
        <v>2009.0</v>
      </c>
      <c r="AV248" s="8">
        <v>18.0</v>
      </c>
      <c r="AW248" s="8">
        <v>11.0</v>
      </c>
      <c r="AX248" s="8" t="s">
        <v>2135</v>
      </c>
      <c r="AY248" s="8" t="s">
        <v>2135</v>
      </c>
      <c r="AZ248" s="8" t="s">
        <v>2135</v>
      </c>
      <c r="BA248" s="8" t="s">
        <v>2135</v>
      </c>
      <c r="BB248" s="8">
        <v>2941.0</v>
      </c>
      <c r="BC248" s="8">
        <v>2959.0</v>
      </c>
      <c r="BD248" s="8" t="s">
        <v>2135</v>
      </c>
      <c r="BE248" s="8" t="s">
        <v>7298</v>
      </c>
      <c r="BF248" s="13" t="str">
        <f>HYPERLINK("http://dx.doi.org/10.1007/s10531-009-9618-2","http://dx.doi.org/10.1007/s10531-009-9618-2")</f>
        <v>http://dx.doi.org/10.1007/s10531-009-9618-2</v>
      </c>
      <c r="BG248" s="8" t="s">
        <v>2135</v>
      </c>
      <c r="BH248" s="8" t="s">
        <v>2135</v>
      </c>
      <c r="BI248" s="8">
        <v>19.0</v>
      </c>
      <c r="BJ248" s="8" t="s">
        <v>3351</v>
      </c>
      <c r="BK248" s="8" t="s">
        <v>3352</v>
      </c>
      <c r="BL248" s="8" t="s">
        <v>3353</v>
      </c>
      <c r="BM248" s="8" t="s">
        <v>7299</v>
      </c>
      <c r="BN248" s="8" t="s">
        <v>2135</v>
      </c>
      <c r="BO248" s="8" t="s">
        <v>2135</v>
      </c>
      <c r="BP248" s="8" t="s">
        <v>2135</v>
      </c>
      <c r="BQ248" s="8" t="s">
        <v>2135</v>
      </c>
      <c r="BR248" s="8" t="s">
        <v>3355</v>
      </c>
      <c r="BS248" s="8" t="s">
        <v>7300</v>
      </c>
      <c r="BT248" s="8" t="s">
        <v>2379</v>
      </c>
      <c r="BU248" s="8" t="s">
        <v>2142</v>
      </c>
      <c r="BW248" s="8" t="s">
        <v>2143</v>
      </c>
      <c r="BX248" s="8" t="s">
        <v>3073</v>
      </c>
      <c r="BY248" s="8" t="s">
        <v>3074</v>
      </c>
      <c r="BZ248" s="8" t="str">
        <f>HYPERLINK("https%3A%2F%2Fwww.webofscience.com%2Fwos%2Fwoscc%2Ffull-record%2FWOS:000269916600010","View Full Record in Web of Science")</f>
        <v>View Full Record in Web of Science</v>
      </c>
    </row>
    <row r="249" ht="12.75" customHeight="1">
      <c r="A249" s="8" t="s">
        <v>3329</v>
      </c>
      <c r="B249" s="8" t="s">
        <v>7301</v>
      </c>
      <c r="C249" s="8" t="s">
        <v>2135</v>
      </c>
      <c r="D249" s="8" t="s">
        <v>2135</v>
      </c>
      <c r="E249" s="8" t="s">
        <v>2135</v>
      </c>
      <c r="F249" s="8" t="s">
        <v>7302</v>
      </c>
      <c r="G249" s="8" t="s">
        <v>2135</v>
      </c>
      <c r="H249" s="8" t="s">
        <v>2135</v>
      </c>
      <c r="I249" s="8" t="s">
        <v>1032</v>
      </c>
      <c r="J249" s="8" t="s">
        <v>3704</v>
      </c>
      <c r="K249" s="8" t="s">
        <v>2135</v>
      </c>
      <c r="L249" s="8" t="s">
        <v>2135</v>
      </c>
      <c r="M249" s="8" t="s">
        <v>3332</v>
      </c>
      <c r="N249" s="8" t="s">
        <v>3333</v>
      </c>
      <c r="O249" s="8" t="s">
        <v>2135</v>
      </c>
      <c r="P249" s="8" t="s">
        <v>2135</v>
      </c>
      <c r="Q249" s="8" t="s">
        <v>2135</v>
      </c>
      <c r="R249" s="8" t="s">
        <v>2135</v>
      </c>
      <c r="S249" s="8" t="s">
        <v>2135</v>
      </c>
      <c r="T249" s="8" t="s">
        <v>7303</v>
      </c>
      <c r="U249" s="8" t="s">
        <v>7304</v>
      </c>
      <c r="V249" s="8" t="s">
        <v>7305</v>
      </c>
      <c r="W249" s="8" t="s">
        <v>7306</v>
      </c>
      <c r="X249" s="8" t="s">
        <v>7307</v>
      </c>
      <c r="Y249" s="8" t="s">
        <v>7308</v>
      </c>
      <c r="Z249" s="8" t="s">
        <v>7309</v>
      </c>
      <c r="AA249" s="8" t="s">
        <v>7310</v>
      </c>
      <c r="AB249" s="8" t="s">
        <v>7311</v>
      </c>
      <c r="AC249" s="8" t="s">
        <v>7312</v>
      </c>
      <c r="AD249" s="8" t="s">
        <v>7313</v>
      </c>
      <c r="AE249" s="8" t="s">
        <v>7314</v>
      </c>
      <c r="AF249" s="8" t="s">
        <v>2135</v>
      </c>
      <c r="AG249" s="8">
        <v>47.0</v>
      </c>
      <c r="AH249" s="8">
        <v>11.0</v>
      </c>
      <c r="AI249" s="8">
        <v>12.0</v>
      </c>
      <c r="AJ249" s="8">
        <v>0.0</v>
      </c>
      <c r="AK249" s="8">
        <v>51.0</v>
      </c>
      <c r="AL249" s="8" t="s">
        <v>3505</v>
      </c>
      <c r="AM249" s="8" t="s">
        <v>3506</v>
      </c>
      <c r="AN249" s="8" t="s">
        <v>3507</v>
      </c>
      <c r="AO249" s="8" t="s">
        <v>3717</v>
      </c>
      <c r="AP249" s="8" t="s">
        <v>3718</v>
      </c>
      <c r="AQ249" s="8" t="s">
        <v>2135</v>
      </c>
      <c r="AR249" s="8" t="s">
        <v>3719</v>
      </c>
      <c r="AS249" s="8" t="s">
        <v>3720</v>
      </c>
      <c r="AT249" s="8" t="s">
        <v>3629</v>
      </c>
      <c r="AU249" s="8">
        <v>2015.0</v>
      </c>
      <c r="AV249" s="8">
        <v>80.0</v>
      </c>
      <c r="AW249" s="8">
        <v>1.0</v>
      </c>
      <c r="AX249" s="8" t="s">
        <v>2135</v>
      </c>
      <c r="AY249" s="8" t="s">
        <v>2135</v>
      </c>
      <c r="AZ249" s="8" t="s">
        <v>2135</v>
      </c>
      <c r="BA249" s="8" t="s">
        <v>2135</v>
      </c>
      <c r="BB249" s="8">
        <v>39.0</v>
      </c>
      <c r="BC249" s="8">
        <v>46.0</v>
      </c>
      <c r="BD249" s="8" t="s">
        <v>2135</v>
      </c>
      <c r="BE249" s="8" t="s">
        <v>7315</v>
      </c>
      <c r="BF249" s="13" t="str">
        <f>HYPERLINK("http://dx.doi.org/10.1016/j.mambio.2014.07.006","http://dx.doi.org/10.1016/j.mambio.2014.07.006")</f>
        <v>http://dx.doi.org/10.1016/j.mambio.2014.07.006</v>
      </c>
      <c r="BG249" s="8" t="s">
        <v>2135</v>
      </c>
      <c r="BH249" s="8" t="s">
        <v>2135</v>
      </c>
      <c r="BI249" s="8">
        <v>8.0</v>
      </c>
      <c r="BJ249" s="8" t="s">
        <v>3397</v>
      </c>
      <c r="BK249" s="8" t="s">
        <v>3352</v>
      </c>
      <c r="BL249" s="8" t="s">
        <v>3397</v>
      </c>
      <c r="BM249" s="8" t="s">
        <v>7316</v>
      </c>
      <c r="BN249" s="8" t="s">
        <v>2135</v>
      </c>
      <c r="BO249" s="8" t="s">
        <v>2135</v>
      </c>
      <c r="BP249" s="8" t="s">
        <v>2135</v>
      </c>
      <c r="BQ249" s="8" t="s">
        <v>2135</v>
      </c>
      <c r="BR249" s="8" t="s">
        <v>3355</v>
      </c>
      <c r="BS249" s="8" t="s">
        <v>7317</v>
      </c>
      <c r="BT249" s="8" t="s">
        <v>2185</v>
      </c>
      <c r="BU249" s="8" t="s">
        <v>2147</v>
      </c>
      <c r="BW249" s="8" t="s">
        <v>2186</v>
      </c>
      <c r="BX249" s="8" t="s">
        <v>3218</v>
      </c>
      <c r="BY249" s="8" t="s">
        <v>3219</v>
      </c>
      <c r="BZ249" s="8" t="str">
        <f>HYPERLINK("https%3A%2F%2Fwww.webofscience.com%2Fwos%2Fwoscc%2Ffull-record%2FWOS:000348892400006","View Full Record in Web of Science")</f>
        <v>View Full Record in Web of Science</v>
      </c>
    </row>
    <row r="250" ht="12.75" customHeight="1">
      <c r="A250" s="8" t="s">
        <v>3329</v>
      </c>
      <c r="B250" s="8" t="s">
        <v>7318</v>
      </c>
      <c r="C250" s="8" t="s">
        <v>2135</v>
      </c>
      <c r="D250" s="8" t="s">
        <v>2135</v>
      </c>
      <c r="E250" s="8" t="s">
        <v>2135</v>
      </c>
      <c r="F250" s="8" t="s">
        <v>7319</v>
      </c>
      <c r="G250" s="8" t="s">
        <v>2135</v>
      </c>
      <c r="H250" s="8" t="s">
        <v>2135</v>
      </c>
      <c r="I250" s="8" t="s">
        <v>1036</v>
      </c>
      <c r="J250" s="8" t="s">
        <v>4162</v>
      </c>
      <c r="K250" s="8" t="s">
        <v>2135</v>
      </c>
      <c r="L250" s="8" t="s">
        <v>2135</v>
      </c>
      <c r="M250" s="8" t="s">
        <v>3332</v>
      </c>
      <c r="N250" s="8" t="s">
        <v>3333</v>
      </c>
      <c r="O250" s="8" t="s">
        <v>2135</v>
      </c>
      <c r="P250" s="8" t="s">
        <v>2135</v>
      </c>
      <c r="Q250" s="8" t="s">
        <v>2135</v>
      </c>
      <c r="R250" s="8" t="s">
        <v>2135</v>
      </c>
      <c r="S250" s="8" t="s">
        <v>2135</v>
      </c>
      <c r="T250" s="8" t="s">
        <v>7320</v>
      </c>
      <c r="U250" s="8" t="s">
        <v>7321</v>
      </c>
      <c r="V250" s="8" t="s">
        <v>7322</v>
      </c>
      <c r="W250" s="8" t="s">
        <v>7323</v>
      </c>
      <c r="X250" s="8" t="s">
        <v>2135</v>
      </c>
      <c r="Y250" s="8" t="s">
        <v>7324</v>
      </c>
      <c r="Z250" s="8" t="s">
        <v>6583</v>
      </c>
      <c r="AA250" s="8" t="s">
        <v>2135</v>
      </c>
      <c r="AB250" s="8" t="s">
        <v>2135</v>
      </c>
      <c r="AC250" s="8" t="s">
        <v>2135</v>
      </c>
      <c r="AD250" s="8" t="s">
        <v>2135</v>
      </c>
      <c r="AE250" s="8" t="s">
        <v>2135</v>
      </c>
      <c r="AF250" s="8" t="s">
        <v>2135</v>
      </c>
      <c r="AG250" s="8">
        <v>47.0</v>
      </c>
      <c r="AH250" s="8">
        <v>65.0</v>
      </c>
      <c r="AI250" s="8">
        <v>80.0</v>
      </c>
      <c r="AJ250" s="8">
        <v>3.0</v>
      </c>
      <c r="AK250" s="8">
        <v>101.0</v>
      </c>
      <c r="AL250" s="8" t="s">
        <v>4276</v>
      </c>
      <c r="AM250" s="8" t="s">
        <v>4277</v>
      </c>
      <c r="AN250" s="8" t="s">
        <v>4278</v>
      </c>
      <c r="AO250" s="8" t="s">
        <v>4175</v>
      </c>
      <c r="AP250" s="8" t="s">
        <v>2135</v>
      </c>
      <c r="AQ250" s="8" t="s">
        <v>2135</v>
      </c>
      <c r="AR250" s="8" t="s">
        <v>4177</v>
      </c>
      <c r="AS250" s="8" t="s">
        <v>4178</v>
      </c>
      <c r="AT250" s="8" t="s">
        <v>3462</v>
      </c>
      <c r="AU250" s="8">
        <v>2007.0</v>
      </c>
      <c r="AV250" s="8">
        <v>71.0</v>
      </c>
      <c r="AW250" s="8">
        <v>7.0</v>
      </c>
      <c r="AX250" s="8" t="s">
        <v>2135</v>
      </c>
      <c r="AY250" s="8" t="s">
        <v>2135</v>
      </c>
      <c r="AZ250" s="8" t="s">
        <v>2135</v>
      </c>
      <c r="BA250" s="8" t="s">
        <v>2135</v>
      </c>
      <c r="BB250" s="8">
        <v>2180.0</v>
      </c>
      <c r="BC250" s="8">
        <v>2192.0</v>
      </c>
      <c r="BD250" s="8" t="s">
        <v>2135</v>
      </c>
      <c r="BE250" s="8" t="s">
        <v>7325</v>
      </c>
      <c r="BF250" s="13" t="str">
        <f>HYPERLINK("http://dx.doi.org/10.2193/2007-099","http://dx.doi.org/10.2193/2007-099")</f>
        <v>http://dx.doi.org/10.2193/2007-099</v>
      </c>
      <c r="BG250" s="8" t="s">
        <v>2135</v>
      </c>
      <c r="BH250" s="8" t="s">
        <v>2135</v>
      </c>
      <c r="BI250" s="8">
        <v>13.0</v>
      </c>
      <c r="BJ250" s="8" t="s">
        <v>3442</v>
      </c>
      <c r="BK250" s="8" t="s">
        <v>3352</v>
      </c>
      <c r="BL250" s="8" t="s">
        <v>3443</v>
      </c>
      <c r="BM250" s="8" t="s">
        <v>4280</v>
      </c>
      <c r="BN250" s="8" t="s">
        <v>2135</v>
      </c>
      <c r="BO250" s="8" t="s">
        <v>2135</v>
      </c>
      <c r="BP250" s="8" t="s">
        <v>2135</v>
      </c>
      <c r="BQ250" s="8" t="s">
        <v>2135</v>
      </c>
      <c r="BR250" s="8" t="s">
        <v>3355</v>
      </c>
      <c r="BS250" s="8" t="s">
        <v>7326</v>
      </c>
      <c r="BT250" s="8" t="s">
        <v>2216</v>
      </c>
      <c r="BU250" s="8" t="s">
        <v>2147</v>
      </c>
      <c r="BV250" s="8" t="s">
        <v>2217</v>
      </c>
      <c r="BW250" s="8" t="s">
        <v>2218</v>
      </c>
      <c r="BX250" s="8" t="s">
        <v>3027</v>
      </c>
      <c r="BY250" s="8" t="s">
        <v>3028</v>
      </c>
      <c r="BZ250" s="8" t="str">
        <f>HYPERLINK("https%3A%2F%2Fwww.webofscience.com%2Fwos%2Fwoscc%2Ffull-record%2FWOS:000249351100011","View Full Record in Web of Science")</f>
        <v>View Full Record in Web of Science</v>
      </c>
    </row>
    <row r="251" ht="12.75" customHeight="1">
      <c r="A251" s="8" t="s">
        <v>3329</v>
      </c>
      <c r="B251" s="8" t="s">
        <v>7327</v>
      </c>
      <c r="C251" s="8" t="s">
        <v>2135</v>
      </c>
      <c r="D251" s="8" t="s">
        <v>2135</v>
      </c>
      <c r="E251" s="8" t="s">
        <v>2135</v>
      </c>
      <c r="F251" s="8" t="s">
        <v>7328</v>
      </c>
      <c r="G251" s="8" t="s">
        <v>2135</v>
      </c>
      <c r="H251" s="8" t="s">
        <v>2135</v>
      </c>
      <c r="I251" s="8" t="s">
        <v>1038</v>
      </c>
      <c r="J251" s="8" t="s">
        <v>4162</v>
      </c>
      <c r="K251" s="8" t="s">
        <v>2135</v>
      </c>
      <c r="L251" s="8" t="s">
        <v>2135</v>
      </c>
      <c r="M251" s="8" t="s">
        <v>3332</v>
      </c>
      <c r="N251" s="8" t="s">
        <v>3333</v>
      </c>
      <c r="O251" s="8" t="s">
        <v>2135</v>
      </c>
      <c r="P251" s="8" t="s">
        <v>2135</v>
      </c>
      <c r="Q251" s="8" t="s">
        <v>2135</v>
      </c>
      <c r="R251" s="8" t="s">
        <v>2135</v>
      </c>
      <c r="S251" s="8" t="s">
        <v>2135</v>
      </c>
      <c r="T251" s="8" t="s">
        <v>7329</v>
      </c>
      <c r="U251" s="8" t="s">
        <v>7330</v>
      </c>
      <c r="V251" s="8" t="s">
        <v>7331</v>
      </c>
      <c r="W251" s="8" t="s">
        <v>7332</v>
      </c>
      <c r="X251" s="8" t="s">
        <v>2135</v>
      </c>
      <c r="Y251" s="8" t="s">
        <v>6475</v>
      </c>
      <c r="Z251" s="8" t="s">
        <v>7333</v>
      </c>
      <c r="AA251" s="8" t="s">
        <v>2135</v>
      </c>
      <c r="AB251" s="8" t="s">
        <v>2135</v>
      </c>
      <c r="AC251" s="8" t="s">
        <v>2135</v>
      </c>
      <c r="AD251" s="8" t="s">
        <v>2135</v>
      </c>
      <c r="AE251" s="8" t="s">
        <v>2135</v>
      </c>
      <c r="AF251" s="8" t="s">
        <v>2135</v>
      </c>
      <c r="AG251" s="8">
        <v>79.0</v>
      </c>
      <c r="AH251" s="8">
        <v>32.0</v>
      </c>
      <c r="AI251" s="8">
        <v>40.0</v>
      </c>
      <c r="AJ251" s="8">
        <v>0.0</v>
      </c>
      <c r="AK251" s="8">
        <v>65.0</v>
      </c>
      <c r="AL251" s="8" t="s">
        <v>4276</v>
      </c>
      <c r="AM251" s="8" t="s">
        <v>4277</v>
      </c>
      <c r="AN251" s="8" t="s">
        <v>4278</v>
      </c>
      <c r="AO251" s="8" t="s">
        <v>4175</v>
      </c>
      <c r="AP251" s="8" t="s">
        <v>2135</v>
      </c>
      <c r="AQ251" s="8" t="s">
        <v>2135</v>
      </c>
      <c r="AR251" s="8" t="s">
        <v>4177</v>
      </c>
      <c r="AS251" s="8" t="s">
        <v>4178</v>
      </c>
      <c r="AT251" s="8" t="s">
        <v>3462</v>
      </c>
      <c r="AU251" s="8">
        <v>2007.0</v>
      </c>
      <c r="AV251" s="8">
        <v>71.0</v>
      </c>
      <c r="AW251" s="8">
        <v>7.0</v>
      </c>
      <c r="AX251" s="8" t="s">
        <v>2135</v>
      </c>
      <c r="AY251" s="8" t="s">
        <v>2135</v>
      </c>
      <c r="AZ251" s="8" t="s">
        <v>2135</v>
      </c>
      <c r="BA251" s="8" t="s">
        <v>2135</v>
      </c>
      <c r="BB251" s="8">
        <v>2159.0</v>
      </c>
      <c r="BC251" s="8">
        <v>2169.0</v>
      </c>
      <c r="BD251" s="8" t="s">
        <v>2135</v>
      </c>
      <c r="BE251" s="8" t="s">
        <v>7334</v>
      </c>
      <c r="BF251" s="13" t="str">
        <f>HYPERLINK("http://dx.doi.org/10.2193/2007-094","http://dx.doi.org/10.2193/2007-094")</f>
        <v>http://dx.doi.org/10.2193/2007-094</v>
      </c>
      <c r="BG251" s="8" t="s">
        <v>2135</v>
      </c>
      <c r="BH251" s="8" t="s">
        <v>2135</v>
      </c>
      <c r="BI251" s="8">
        <v>11.0</v>
      </c>
      <c r="BJ251" s="8" t="s">
        <v>3442</v>
      </c>
      <c r="BK251" s="8" t="s">
        <v>3352</v>
      </c>
      <c r="BL251" s="8" t="s">
        <v>3443</v>
      </c>
      <c r="BM251" s="8" t="s">
        <v>4280</v>
      </c>
      <c r="BN251" s="8" t="s">
        <v>2135</v>
      </c>
      <c r="BO251" s="8" t="s">
        <v>2135</v>
      </c>
      <c r="BP251" s="8" t="s">
        <v>2135</v>
      </c>
      <c r="BQ251" s="8" t="s">
        <v>2135</v>
      </c>
      <c r="BR251" s="8" t="s">
        <v>3355</v>
      </c>
      <c r="BS251" s="8" t="s">
        <v>7335</v>
      </c>
      <c r="BT251" s="8" t="s">
        <v>2216</v>
      </c>
      <c r="BU251" s="8" t="s">
        <v>2147</v>
      </c>
      <c r="BV251" s="8" t="s">
        <v>2217</v>
      </c>
      <c r="BW251" s="8" t="s">
        <v>2218</v>
      </c>
      <c r="BX251" s="8" t="s">
        <v>3027</v>
      </c>
      <c r="BY251" s="8" t="s">
        <v>3028</v>
      </c>
      <c r="BZ251" s="8" t="str">
        <f>HYPERLINK("https%3A%2F%2Fwww.webofscience.com%2Fwos%2Fwoscc%2Ffull-record%2FWOS:000249351100009","View Full Record in Web of Science")</f>
        <v>View Full Record in Web of Science</v>
      </c>
    </row>
    <row r="252" ht="12.75" customHeight="1">
      <c r="A252" s="8" t="s">
        <v>3329</v>
      </c>
      <c r="B252" s="8" t="s">
        <v>7336</v>
      </c>
      <c r="C252" s="8" t="s">
        <v>2135</v>
      </c>
      <c r="D252" s="8" t="s">
        <v>2135</v>
      </c>
      <c r="E252" s="8" t="s">
        <v>2135</v>
      </c>
      <c r="F252" s="8" t="s">
        <v>7337</v>
      </c>
      <c r="G252" s="8" t="s">
        <v>2135</v>
      </c>
      <c r="H252" s="8" t="s">
        <v>2135</v>
      </c>
      <c r="I252" s="8" t="s">
        <v>1055</v>
      </c>
      <c r="J252" s="8" t="s">
        <v>4381</v>
      </c>
      <c r="K252" s="8" t="s">
        <v>2135</v>
      </c>
      <c r="L252" s="8" t="s">
        <v>2135</v>
      </c>
      <c r="M252" s="8" t="s">
        <v>3332</v>
      </c>
      <c r="N252" s="8" t="s">
        <v>3333</v>
      </c>
      <c r="O252" s="8" t="s">
        <v>2135</v>
      </c>
      <c r="P252" s="8" t="s">
        <v>2135</v>
      </c>
      <c r="Q252" s="8" t="s">
        <v>2135</v>
      </c>
      <c r="R252" s="8" t="s">
        <v>2135</v>
      </c>
      <c r="S252" s="8" t="s">
        <v>2135</v>
      </c>
      <c r="T252" s="8" t="s">
        <v>7338</v>
      </c>
      <c r="U252" s="8" t="s">
        <v>7339</v>
      </c>
      <c r="V252" s="8" t="s">
        <v>7340</v>
      </c>
      <c r="W252" s="8" t="s">
        <v>7341</v>
      </c>
      <c r="X252" s="8" t="s">
        <v>7342</v>
      </c>
      <c r="Y252" s="8" t="s">
        <v>4387</v>
      </c>
      <c r="Z252" s="8" t="s">
        <v>7343</v>
      </c>
      <c r="AA252" s="8" t="s">
        <v>7344</v>
      </c>
      <c r="AB252" s="8" t="s">
        <v>7345</v>
      </c>
      <c r="AC252" s="8" t="s">
        <v>7346</v>
      </c>
      <c r="AD252" s="8" t="s">
        <v>4392</v>
      </c>
      <c r="AE252" s="8" t="s">
        <v>7347</v>
      </c>
      <c r="AF252" s="8" t="s">
        <v>2135</v>
      </c>
      <c r="AG252" s="8">
        <v>97.0</v>
      </c>
      <c r="AH252" s="8">
        <v>13.0</v>
      </c>
      <c r="AI252" s="8">
        <v>16.0</v>
      </c>
      <c r="AJ252" s="8">
        <v>0.0</v>
      </c>
      <c r="AK252" s="8">
        <v>43.0</v>
      </c>
      <c r="AL252" s="8" t="s">
        <v>4394</v>
      </c>
      <c r="AM252" s="8" t="s">
        <v>3367</v>
      </c>
      <c r="AN252" s="8" t="s">
        <v>4395</v>
      </c>
      <c r="AO252" s="8" t="s">
        <v>4396</v>
      </c>
      <c r="AP252" s="8" t="s">
        <v>4397</v>
      </c>
      <c r="AQ252" s="8" t="s">
        <v>2135</v>
      </c>
      <c r="AR252" s="8" t="s">
        <v>4398</v>
      </c>
      <c r="AS252" s="8" t="s">
        <v>4399</v>
      </c>
      <c r="AT252" s="8" t="s">
        <v>3485</v>
      </c>
      <c r="AU252" s="8">
        <v>2020.0</v>
      </c>
      <c r="AV252" s="8">
        <v>109.0</v>
      </c>
      <c r="AW252" s="8" t="s">
        <v>2135</v>
      </c>
      <c r="AX252" s="8" t="s">
        <v>2135</v>
      </c>
      <c r="AY252" s="8" t="s">
        <v>2135</v>
      </c>
      <c r="AZ252" s="8" t="s">
        <v>2135</v>
      </c>
      <c r="BA252" s="8" t="s">
        <v>2135</v>
      </c>
      <c r="BB252" s="8" t="s">
        <v>2135</v>
      </c>
      <c r="BC252" s="8" t="s">
        <v>2135</v>
      </c>
      <c r="BD252" s="8">
        <v>105844.0</v>
      </c>
      <c r="BE252" s="8" t="s">
        <v>7348</v>
      </c>
      <c r="BF252" s="13" t="str">
        <f>HYPERLINK("http://dx.doi.org/10.1016/j.ecolind.2019.105844","http://dx.doi.org/10.1016/j.ecolind.2019.105844")</f>
        <v>http://dx.doi.org/10.1016/j.ecolind.2019.105844</v>
      </c>
      <c r="BG252" s="8" t="s">
        <v>2135</v>
      </c>
      <c r="BH252" s="8" t="s">
        <v>2135</v>
      </c>
      <c r="BI252" s="8">
        <v>11.0</v>
      </c>
      <c r="BJ252" s="8" t="s">
        <v>4401</v>
      </c>
      <c r="BK252" s="8" t="s">
        <v>3352</v>
      </c>
      <c r="BL252" s="8" t="s">
        <v>3353</v>
      </c>
      <c r="BM252" s="8" t="s">
        <v>7349</v>
      </c>
      <c r="BN252" s="8" t="s">
        <v>2135</v>
      </c>
      <c r="BO252" s="8" t="s">
        <v>2135</v>
      </c>
      <c r="BP252" s="8" t="s">
        <v>2135</v>
      </c>
      <c r="BQ252" s="8" t="s">
        <v>2135</v>
      </c>
      <c r="BR252" s="8" t="s">
        <v>3355</v>
      </c>
      <c r="BS252" s="8" t="s">
        <v>7350</v>
      </c>
      <c r="BT252" s="8" t="s">
        <v>2396</v>
      </c>
      <c r="BU252" s="8" t="s">
        <v>2283</v>
      </c>
      <c r="BW252" s="8" t="s">
        <v>2143</v>
      </c>
      <c r="BX252" s="8" t="s">
        <v>3075</v>
      </c>
      <c r="BY252" s="8" t="s">
        <v>2982</v>
      </c>
      <c r="BZ252" s="8" t="str">
        <f>HYPERLINK("https%3A%2F%2Fwww.webofscience.com%2Fwos%2Fwoscc%2Ffull-record%2FWOS:000500940400039","View Full Record in Web of Science")</f>
        <v>View Full Record in Web of Science</v>
      </c>
    </row>
    <row r="253" ht="12.75" customHeight="1">
      <c r="A253" s="8" t="s">
        <v>3329</v>
      </c>
      <c r="B253" s="8" t="s">
        <v>7351</v>
      </c>
      <c r="C253" s="8" t="s">
        <v>2135</v>
      </c>
      <c r="D253" s="8" t="s">
        <v>2135</v>
      </c>
      <c r="E253" s="8" t="s">
        <v>2135</v>
      </c>
      <c r="F253" s="8" t="s">
        <v>7352</v>
      </c>
      <c r="G253" s="8" t="s">
        <v>2135</v>
      </c>
      <c r="H253" s="8" t="s">
        <v>2135</v>
      </c>
      <c r="I253" s="8" t="s">
        <v>1053</v>
      </c>
      <c r="J253" s="8" t="s">
        <v>3704</v>
      </c>
      <c r="K253" s="8" t="s">
        <v>2135</v>
      </c>
      <c r="L253" s="8" t="s">
        <v>2135</v>
      </c>
      <c r="M253" s="8" t="s">
        <v>3332</v>
      </c>
      <c r="N253" s="8" t="s">
        <v>3333</v>
      </c>
      <c r="O253" s="8" t="s">
        <v>2135</v>
      </c>
      <c r="P253" s="8" t="s">
        <v>2135</v>
      </c>
      <c r="Q253" s="8" t="s">
        <v>2135</v>
      </c>
      <c r="R253" s="8" t="s">
        <v>2135</v>
      </c>
      <c r="S253" s="8" t="s">
        <v>2135</v>
      </c>
      <c r="T253" s="8" t="s">
        <v>7353</v>
      </c>
      <c r="U253" s="8" t="s">
        <v>7354</v>
      </c>
      <c r="V253" s="8" t="s">
        <v>7355</v>
      </c>
      <c r="W253" s="8" t="s">
        <v>7356</v>
      </c>
      <c r="X253" s="8" t="s">
        <v>7357</v>
      </c>
      <c r="Y253" s="8" t="s">
        <v>7358</v>
      </c>
      <c r="Z253" s="8" t="s">
        <v>7359</v>
      </c>
      <c r="AA253" s="8" t="s">
        <v>2135</v>
      </c>
      <c r="AB253" s="8" t="s">
        <v>7360</v>
      </c>
      <c r="AC253" s="8" t="s">
        <v>7361</v>
      </c>
      <c r="AD253" s="8" t="s">
        <v>7361</v>
      </c>
      <c r="AE253" s="8" t="s">
        <v>7362</v>
      </c>
      <c r="AF253" s="8" t="s">
        <v>2135</v>
      </c>
      <c r="AG253" s="8">
        <v>57.0</v>
      </c>
      <c r="AH253" s="8">
        <v>12.0</v>
      </c>
      <c r="AI253" s="8">
        <v>15.0</v>
      </c>
      <c r="AJ253" s="8">
        <v>1.0</v>
      </c>
      <c r="AK253" s="8">
        <v>27.0</v>
      </c>
      <c r="AL253" s="8" t="s">
        <v>3784</v>
      </c>
      <c r="AM253" s="8" t="s">
        <v>3785</v>
      </c>
      <c r="AN253" s="8" t="s">
        <v>3786</v>
      </c>
      <c r="AO253" s="8" t="s">
        <v>3717</v>
      </c>
      <c r="AP253" s="8" t="s">
        <v>3718</v>
      </c>
      <c r="AQ253" s="8" t="s">
        <v>2135</v>
      </c>
      <c r="AR253" s="8" t="s">
        <v>3719</v>
      </c>
      <c r="AS253" s="8" t="s">
        <v>3720</v>
      </c>
      <c r="AT253" s="8" t="s">
        <v>3462</v>
      </c>
      <c r="AU253" s="8">
        <v>2019.0</v>
      </c>
      <c r="AV253" s="8">
        <v>98.0</v>
      </c>
      <c r="AW253" s="8" t="s">
        <v>2135</v>
      </c>
      <c r="AX253" s="8" t="s">
        <v>2135</v>
      </c>
      <c r="AY253" s="8" t="s">
        <v>2135</v>
      </c>
      <c r="AZ253" s="8" t="s">
        <v>2135</v>
      </c>
      <c r="BA253" s="8" t="s">
        <v>2135</v>
      </c>
      <c r="BB253" s="8">
        <v>179.0</v>
      </c>
      <c r="BC253" s="8">
        <v>187.0</v>
      </c>
      <c r="BD253" s="8" t="s">
        <v>2135</v>
      </c>
      <c r="BE253" s="8" t="s">
        <v>7363</v>
      </c>
      <c r="BF253" s="13" t="str">
        <f>HYPERLINK("http://dx.doi.org/10.1016/j.mambio.2019.09.001","http://dx.doi.org/10.1016/j.mambio.2019.09.001")</f>
        <v>http://dx.doi.org/10.1016/j.mambio.2019.09.001</v>
      </c>
      <c r="BG253" s="8" t="s">
        <v>2135</v>
      </c>
      <c r="BH253" s="8" t="s">
        <v>2135</v>
      </c>
      <c r="BI253" s="8">
        <v>9.0</v>
      </c>
      <c r="BJ253" s="8" t="s">
        <v>3397</v>
      </c>
      <c r="BK253" s="8" t="s">
        <v>3352</v>
      </c>
      <c r="BL253" s="8" t="s">
        <v>3397</v>
      </c>
      <c r="BM253" s="8" t="s">
        <v>7364</v>
      </c>
      <c r="BN253" s="8" t="s">
        <v>2135</v>
      </c>
      <c r="BO253" s="8" t="s">
        <v>2135</v>
      </c>
      <c r="BP253" s="8" t="s">
        <v>2135</v>
      </c>
      <c r="BQ253" s="8" t="s">
        <v>2135</v>
      </c>
      <c r="BR253" s="8" t="s">
        <v>3355</v>
      </c>
      <c r="BS253" s="8" t="s">
        <v>7365</v>
      </c>
      <c r="BT253" s="8" t="s">
        <v>2161</v>
      </c>
      <c r="BU253" s="8" t="s">
        <v>2142</v>
      </c>
      <c r="BW253" s="8" t="s">
        <v>2143</v>
      </c>
      <c r="BX253" s="8" t="s">
        <v>3029</v>
      </c>
      <c r="BY253" s="8" t="s">
        <v>2982</v>
      </c>
      <c r="BZ253" s="8" t="str">
        <f>HYPERLINK("https%3A%2F%2Fwww.webofscience.com%2Fwos%2Fwoscc%2Ffull-record%2FWOS:000493957100021","View Full Record in Web of Science")</f>
        <v>View Full Record in Web of Science</v>
      </c>
    </row>
    <row r="254" ht="12.75" customHeight="1">
      <c r="A254" s="8" t="s">
        <v>3329</v>
      </c>
      <c r="B254" s="8" t="s">
        <v>7366</v>
      </c>
      <c r="C254" s="8" t="s">
        <v>2135</v>
      </c>
      <c r="D254" s="8" t="s">
        <v>2135</v>
      </c>
      <c r="E254" s="8" t="s">
        <v>2135</v>
      </c>
      <c r="F254" s="8" t="s">
        <v>7367</v>
      </c>
      <c r="G254" s="8" t="s">
        <v>2135</v>
      </c>
      <c r="H254" s="8" t="s">
        <v>2135</v>
      </c>
      <c r="I254" s="8" t="s">
        <v>1051</v>
      </c>
      <c r="J254" s="8" t="s">
        <v>5399</v>
      </c>
      <c r="K254" s="8" t="s">
        <v>2135</v>
      </c>
      <c r="L254" s="8" t="s">
        <v>2135</v>
      </c>
      <c r="M254" s="8" t="s">
        <v>3332</v>
      </c>
      <c r="N254" s="8" t="s">
        <v>3333</v>
      </c>
      <c r="O254" s="8" t="s">
        <v>2135</v>
      </c>
      <c r="P254" s="8" t="s">
        <v>2135</v>
      </c>
      <c r="Q254" s="8" t="s">
        <v>2135</v>
      </c>
      <c r="R254" s="8" t="s">
        <v>2135</v>
      </c>
      <c r="S254" s="8" t="s">
        <v>2135</v>
      </c>
      <c r="T254" s="8" t="s">
        <v>7368</v>
      </c>
      <c r="U254" s="8" t="s">
        <v>7369</v>
      </c>
      <c r="V254" s="8" t="s">
        <v>7370</v>
      </c>
      <c r="W254" s="8" t="s">
        <v>7371</v>
      </c>
      <c r="X254" s="8" t="s">
        <v>7372</v>
      </c>
      <c r="Y254" s="8" t="s">
        <v>7373</v>
      </c>
      <c r="Z254" s="8" t="s">
        <v>7374</v>
      </c>
      <c r="AA254" s="8" t="s">
        <v>7375</v>
      </c>
      <c r="AB254" s="8" t="s">
        <v>7376</v>
      </c>
      <c r="AC254" s="8" t="s">
        <v>7377</v>
      </c>
      <c r="AD254" s="8" t="s">
        <v>7378</v>
      </c>
      <c r="AE254" s="8" t="s">
        <v>7379</v>
      </c>
      <c r="AF254" s="8" t="s">
        <v>2135</v>
      </c>
      <c r="AG254" s="8">
        <v>91.0</v>
      </c>
      <c r="AH254" s="8">
        <v>63.0</v>
      </c>
      <c r="AI254" s="8">
        <v>75.0</v>
      </c>
      <c r="AJ254" s="8">
        <v>2.0</v>
      </c>
      <c r="AK254" s="8">
        <v>135.0</v>
      </c>
      <c r="AL254" s="8" t="s">
        <v>3342</v>
      </c>
      <c r="AM254" s="8" t="s">
        <v>3343</v>
      </c>
      <c r="AN254" s="8" t="s">
        <v>3344</v>
      </c>
      <c r="AO254" s="8" t="s">
        <v>5412</v>
      </c>
      <c r="AP254" s="8" t="s">
        <v>2135</v>
      </c>
      <c r="AQ254" s="8" t="s">
        <v>2135</v>
      </c>
      <c r="AR254" s="8" t="s">
        <v>5399</v>
      </c>
      <c r="AS254" s="8" t="s">
        <v>5413</v>
      </c>
      <c r="AT254" s="8" t="s">
        <v>3485</v>
      </c>
      <c r="AU254" s="8">
        <v>2019.0</v>
      </c>
      <c r="AV254" s="8">
        <v>10.0</v>
      </c>
      <c r="AW254" s="8">
        <v>2.0</v>
      </c>
      <c r="AX254" s="8" t="s">
        <v>2135</v>
      </c>
      <c r="AY254" s="8" t="s">
        <v>2135</v>
      </c>
      <c r="AZ254" s="8" t="s">
        <v>2135</v>
      </c>
      <c r="BA254" s="8" t="s">
        <v>2135</v>
      </c>
      <c r="BB254" s="8" t="s">
        <v>2135</v>
      </c>
      <c r="BC254" s="8" t="s">
        <v>2135</v>
      </c>
      <c r="BD254" s="8" t="s">
        <v>7380</v>
      </c>
      <c r="BE254" s="8" t="s">
        <v>7381</v>
      </c>
      <c r="BF254" s="13" t="str">
        <f>HYPERLINK("http://dx.doi.org/10.1002/ecs2.2611","http://dx.doi.org/10.1002/ecs2.2611")</f>
        <v>http://dx.doi.org/10.1002/ecs2.2611</v>
      </c>
      <c r="BG254" s="8" t="s">
        <v>2135</v>
      </c>
      <c r="BH254" s="8" t="s">
        <v>2135</v>
      </c>
      <c r="BI254" s="8">
        <v>23.0</v>
      </c>
      <c r="BJ254" s="8" t="s">
        <v>3681</v>
      </c>
      <c r="BK254" s="8" t="s">
        <v>4060</v>
      </c>
      <c r="BL254" s="8" t="s">
        <v>3632</v>
      </c>
      <c r="BM254" s="8" t="s">
        <v>7382</v>
      </c>
      <c r="BN254" s="8" t="s">
        <v>2135</v>
      </c>
      <c r="BO254" s="8" t="s">
        <v>5131</v>
      </c>
      <c r="BP254" s="8" t="s">
        <v>2135</v>
      </c>
      <c r="BQ254" s="8" t="s">
        <v>2135</v>
      </c>
      <c r="BR254" s="8" t="s">
        <v>3355</v>
      </c>
      <c r="BS254" s="8" t="s">
        <v>7383</v>
      </c>
      <c r="BT254" s="8" t="s">
        <v>2600</v>
      </c>
      <c r="BU254" s="8" t="s">
        <v>2147</v>
      </c>
      <c r="BV254" s="8" t="s">
        <v>2217</v>
      </c>
      <c r="BW254" s="8" t="s">
        <v>2218</v>
      </c>
      <c r="BX254" s="8" t="s">
        <v>3029</v>
      </c>
      <c r="BY254" s="8" t="s">
        <v>2982</v>
      </c>
      <c r="BZ254" s="8" t="str">
        <f>HYPERLINK("https%3A%2F%2Fwww.webofscience.com%2Fwos%2Fwoscc%2Ffull-record%2FWOS:000461577000030","View Full Record in Web of Science")</f>
        <v>View Full Record in Web of Science</v>
      </c>
    </row>
    <row r="255" ht="12.75" customHeight="1">
      <c r="A255" s="8" t="s">
        <v>3329</v>
      </c>
      <c r="B255" s="8" t="s">
        <v>7384</v>
      </c>
      <c r="C255" s="8" t="s">
        <v>2135</v>
      </c>
      <c r="D255" s="8" t="s">
        <v>2135</v>
      </c>
      <c r="E255" s="8" t="s">
        <v>2135</v>
      </c>
      <c r="F255" s="8" t="s">
        <v>7385</v>
      </c>
      <c r="G255" s="8" t="s">
        <v>2135</v>
      </c>
      <c r="H255" s="8" t="s">
        <v>2135</v>
      </c>
      <c r="I255" s="8" t="s">
        <v>1049</v>
      </c>
      <c r="J255" s="8" t="s">
        <v>4162</v>
      </c>
      <c r="K255" s="8" t="s">
        <v>2135</v>
      </c>
      <c r="L255" s="8" t="s">
        <v>2135</v>
      </c>
      <c r="M255" s="8" t="s">
        <v>3332</v>
      </c>
      <c r="N255" s="8" t="s">
        <v>3333</v>
      </c>
      <c r="O255" s="8" t="s">
        <v>2135</v>
      </c>
      <c r="P255" s="8" t="s">
        <v>2135</v>
      </c>
      <c r="Q255" s="8" t="s">
        <v>2135</v>
      </c>
      <c r="R255" s="8" t="s">
        <v>2135</v>
      </c>
      <c r="S255" s="8" t="s">
        <v>2135</v>
      </c>
      <c r="T255" s="8" t="s">
        <v>7386</v>
      </c>
      <c r="U255" s="8" t="s">
        <v>7387</v>
      </c>
      <c r="V255" s="8" t="s">
        <v>7388</v>
      </c>
      <c r="W255" s="8" t="s">
        <v>7389</v>
      </c>
      <c r="X255" s="8" t="s">
        <v>6464</v>
      </c>
      <c r="Y255" s="8" t="s">
        <v>7390</v>
      </c>
      <c r="Z255" s="8" t="s">
        <v>5468</v>
      </c>
      <c r="AA255" s="8" t="s">
        <v>4274</v>
      </c>
      <c r="AB255" s="8" t="s">
        <v>2135</v>
      </c>
      <c r="AC255" s="8" t="s">
        <v>7391</v>
      </c>
      <c r="AD255" s="8" t="s">
        <v>7391</v>
      </c>
      <c r="AE255" s="8" t="s">
        <v>7392</v>
      </c>
      <c r="AF255" s="8" t="s">
        <v>2135</v>
      </c>
      <c r="AG255" s="8">
        <v>46.0</v>
      </c>
      <c r="AH255" s="8">
        <v>14.0</v>
      </c>
      <c r="AI255" s="8">
        <v>16.0</v>
      </c>
      <c r="AJ255" s="8">
        <v>1.0</v>
      </c>
      <c r="AK255" s="8">
        <v>101.0</v>
      </c>
      <c r="AL255" s="8" t="s">
        <v>3342</v>
      </c>
      <c r="AM255" s="8" t="s">
        <v>3343</v>
      </c>
      <c r="AN255" s="8" t="s">
        <v>3344</v>
      </c>
      <c r="AO255" s="8" t="s">
        <v>4175</v>
      </c>
      <c r="AP255" s="8" t="s">
        <v>4176</v>
      </c>
      <c r="AQ255" s="8" t="s">
        <v>2135</v>
      </c>
      <c r="AR255" s="8" t="s">
        <v>4177</v>
      </c>
      <c r="AS255" s="8" t="s">
        <v>4178</v>
      </c>
      <c r="AT255" s="8" t="s">
        <v>3512</v>
      </c>
      <c r="AU255" s="8">
        <v>2017.0</v>
      </c>
      <c r="AV255" s="8">
        <v>81.0</v>
      </c>
      <c r="AW255" s="8">
        <v>5.0</v>
      </c>
      <c r="AX255" s="8" t="s">
        <v>2135</v>
      </c>
      <c r="AY255" s="8" t="s">
        <v>2135</v>
      </c>
      <c r="AZ255" s="8" t="s">
        <v>2135</v>
      </c>
      <c r="BA255" s="8" t="s">
        <v>2135</v>
      </c>
      <c r="BB255" s="8">
        <v>892.0</v>
      </c>
      <c r="BC255" s="8">
        <v>904.0</v>
      </c>
      <c r="BD255" s="8" t="s">
        <v>2135</v>
      </c>
      <c r="BE255" s="8" t="s">
        <v>7393</v>
      </c>
      <c r="BF255" s="13" t="str">
        <f>HYPERLINK("http://dx.doi.org/10.1002/jwmg.21243","http://dx.doi.org/10.1002/jwmg.21243")</f>
        <v>http://dx.doi.org/10.1002/jwmg.21243</v>
      </c>
      <c r="BG255" s="8" t="s">
        <v>2135</v>
      </c>
      <c r="BH255" s="8" t="s">
        <v>2135</v>
      </c>
      <c r="BI255" s="8">
        <v>13.0</v>
      </c>
      <c r="BJ255" s="8" t="s">
        <v>3442</v>
      </c>
      <c r="BK255" s="8" t="s">
        <v>3352</v>
      </c>
      <c r="BL255" s="8" t="s">
        <v>3443</v>
      </c>
      <c r="BM255" s="8" t="s">
        <v>7394</v>
      </c>
      <c r="BN255" s="8" t="s">
        <v>2135</v>
      </c>
      <c r="BO255" s="8" t="s">
        <v>2135</v>
      </c>
      <c r="BP255" s="8" t="s">
        <v>2135</v>
      </c>
      <c r="BQ255" s="8" t="s">
        <v>2135</v>
      </c>
      <c r="BR255" s="8" t="s">
        <v>3355</v>
      </c>
      <c r="BS255" s="8" t="s">
        <v>7395</v>
      </c>
      <c r="BT255" s="8" t="s">
        <v>2600</v>
      </c>
      <c r="BU255" s="8" t="s">
        <v>2147</v>
      </c>
      <c r="BV255" s="8" t="s">
        <v>2217</v>
      </c>
      <c r="BW255" s="8" t="s">
        <v>2700</v>
      </c>
      <c r="BX255" s="8" t="s">
        <v>3029</v>
      </c>
      <c r="BY255" s="8" t="s">
        <v>2982</v>
      </c>
      <c r="BZ255" s="8" t="str">
        <f>HYPERLINK("https%3A%2F%2Fwww.webofscience.com%2Fwos%2Fwoscc%2Ffull-record%2FWOS:000404132300014","View Full Record in Web of Science")</f>
        <v>View Full Record in Web of Science</v>
      </c>
    </row>
    <row r="256" ht="12.75" customHeight="1">
      <c r="A256" s="8" t="s">
        <v>3329</v>
      </c>
      <c r="B256" s="8" t="s">
        <v>7396</v>
      </c>
      <c r="C256" s="8" t="s">
        <v>2135</v>
      </c>
      <c r="D256" s="8" t="s">
        <v>2135</v>
      </c>
      <c r="E256" s="8" t="s">
        <v>2135</v>
      </c>
      <c r="F256" s="8" t="s">
        <v>7397</v>
      </c>
      <c r="G256" s="8" t="s">
        <v>2135</v>
      </c>
      <c r="H256" s="8" t="s">
        <v>2135</v>
      </c>
      <c r="I256" s="8" t="s">
        <v>1047</v>
      </c>
      <c r="J256" s="8" t="s">
        <v>5512</v>
      </c>
      <c r="K256" s="8" t="s">
        <v>2135</v>
      </c>
      <c r="L256" s="8" t="s">
        <v>2135</v>
      </c>
      <c r="M256" s="8" t="s">
        <v>4896</v>
      </c>
      <c r="N256" s="8" t="s">
        <v>3333</v>
      </c>
      <c r="O256" s="8" t="s">
        <v>2135</v>
      </c>
      <c r="P256" s="8" t="s">
        <v>2135</v>
      </c>
      <c r="Q256" s="8" t="s">
        <v>2135</v>
      </c>
      <c r="R256" s="8" t="s">
        <v>2135</v>
      </c>
      <c r="S256" s="8" t="s">
        <v>2135</v>
      </c>
      <c r="T256" s="8" t="s">
        <v>7398</v>
      </c>
      <c r="U256" s="8" t="s">
        <v>7399</v>
      </c>
      <c r="V256" s="8" t="s">
        <v>7400</v>
      </c>
      <c r="W256" s="8" t="s">
        <v>7401</v>
      </c>
      <c r="X256" s="8" t="s">
        <v>7402</v>
      </c>
      <c r="Y256" s="8" t="s">
        <v>7403</v>
      </c>
      <c r="Z256" s="8" t="s">
        <v>7404</v>
      </c>
      <c r="AA256" s="8" t="s">
        <v>7405</v>
      </c>
      <c r="AB256" s="8" t="s">
        <v>7406</v>
      </c>
      <c r="AC256" s="8" t="s">
        <v>2135</v>
      </c>
      <c r="AD256" s="8" t="s">
        <v>2135</v>
      </c>
      <c r="AE256" s="8" t="s">
        <v>2135</v>
      </c>
      <c r="AF256" s="8" t="s">
        <v>2135</v>
      </c>
      <c r="AG256" s="8">
        <v>22.0</v>
      </c>
      <c r="AH256" s="8">
        <v>4.0</v>
      </c>
      <c r="AI256" s="8">
        <v>11.0</v>
      </c>
      <c r="AJ256" s="8">
        <v>0.0</v>
      </c>
      <c r="AK256" s="8">
        <v>12.0</v>
      </c>
      <c r="AL256" s="8" t="s">
        <v>5522</v>
      </c>
      <c r="AM256" s="8" t="s">
        <v>5523</v>
      </c>
      <c r="AN256" s="8" t="s">
        <v>5524</v>
      </c>
      <c r="AO256" s="8" t="s">
        <v>5525</v>
      </c>
      <c r="AP256" s="8" t="s">
        <v>5526</v>
      </c>
      <c r="AQ256" s="8" t="s">
        <v>2135</v>
      </c>
      <c r="AR256" s="8" t="s">
        <v>5527</v>
      </c>
      <c r="AS256" s="8" t="s">
        <v>5528</v>
      </c>
      <c r="AT256" s="8" t="s">
        <v>3741</v>
      </c>
      <c r="AU256" s="8">
        <v>2011.0</v>
      </c>
      <c r="AV256" s="8">
        <v>82.0</v>
      </c>
      <c r="AW256" s="8">
        <v>4.0</v>
      </c>
      <c r="AX256" s="8" t="s">
        <v>2135</v>
      </c>
      <c r="AY256" s="8" t="s">
        <v>2135</v>
      </c>
      <c r="AZ256" s="8" t="s">
        <v>2135</v>
      </c>
      <c r="BA256" s="8" t="s">
        <v>2135</v>
      </c>
      <c r="BB256" s="8">
        <v>1343.0</v>
      </c>
      <c r="BC256" s="8">
        <v>1347.0</v>
      </c>
      <c r="BD256" s="8" t="s">
        <v>2135</v>
      </c>
      <c r="BE256" s="8" t="s">
        <v>2135</v>
      </c>
      <c r="BF256" s="8" t="s">
        <v>2135</v>
      </c>
      <c r="BG256" s="8" t="s">
        <v>2135</v>
      </c>
      <c r="BH256" s="8" t="s">
        <v>2135</v>
      </c>
      <c r="BI256" s="8">
        <v>5.0</v>
      </c>
      <c r="BJ256" s="8" t="s">
        <v>3604</v>
      </c>
      <c r="BK256" s="8" t="s">
        <v>3352</v>
      </c>
      <c r="BL256" s="8" t="s">
        <v>3605</v>
      </c>
      <c r="BM256" s="8" t="s">
        <v>7407</v>
      </c>
      <c r="BN256" s="8" t="s">
        <v>2135</v>
      </c>
      <c r="BO256" s="8" t="s">
        <v>2135</v>
      </c>
      <c r="BP256" s="8" t="s">
        <v>2135</v>
      </c>
      <c r="BQ256" s="8" t="s">
        <v>2135</v>
      </c>
      <c r="BR256" s="8" t="s">
        <v>3355</v>
      </c>
      <c r="BS256" s="8" t="s">
        <v>7408</v>
      </c>
      <c r="BT256" s="8" t="s">
        <v>2428</v>
      </c>
      <c r="BU256" s="8" t="s">
        <v>2147</v>
      </c>
      <c r="BW256" s="8" t="s">
        <v>2157</v>
      </c>
      <c r="BY256" s="8" t="s">
        <v>2982</v>
      </c>
      <c r="BZ256" s="8" t="str">
        <f>HYPERLINK("https%3A%2F%2Fwww.webofscience.com%2Fwos%2Fwoscc%2Ffull-record%2FWOS:000298076300031","View Full Record in Web of Science")</f>
        <v>View Full Record in Web of Science</v>
      </c>
    </row>
    <row r="257" ht="12.75" customHeight="1">
      <c r="A257" s="8" t="s">
        <v>3329</v>
      </c>
      <c r="B257" s="8" t="s">
        <v>7409</v>
      </c>
      <c r="C257" s="8" t="s">
        <v>2135</v>
      </c>
      <c r="D257" s="8" t="s">
        <v>2135</v>
      </c>
      <c r="E257" s="8" t="s">
        <v>2135</v>
      </c>
      <c r="F257" s="8" t="s">
        <v>7409</v>
      </c>
      <c r="G257" s="8" t="s">
        <v>2135</v>
      </c>
      <c r="H257" s="8" t="s">
        <v>2135</v>
      </c>
      <c r="I257" s="8" t="s">
        <v>1042</v>
      </c>
      <c r="J257" s="8" t="s">
        <v>4546</v>
      </c>
      <c r="K257" s="8" t="s">
        <v>2135</v>
      </c>
      <c r="L257" s="8" t="s">
        <v>2135</v>
      </c>
      <c r="M257" s="8" t="s">
        <v>3332</v>
      </c>
      <c r="N257" s="8" t="s">
        <v>3333</v>
      </c>
      <c r="O257" s="8" t="s">
        <v>2135</v>
      </c>
      <c r="P257" s="8" t="s">
        <v>2135</v>
      </c>
      <c r="Q257" s="8" t="s">
        <v>2135</v>
      </c>
      <c r="R257" s="8" t="s">
        <v>2135</v>
      </c>
      <c r="S257" s="8" t="s">
        <v>2135</v>
      </c>
      <c r="T257" s="8" t="s">
        <v>2135</v>
      </c>
      <c r="U257" s="8" t="s">
        <v>2135</v>
      </c>
      <c r="V257" s="8" t="s">
        <v>2135</v>
      </c>
      <c r="W257" s="8" t="s">
        <v>7410</v>
      </c>
      <c r="X257" s="8" t="s">
        <v>6912</v>
      </c>
      <c r="Y257" s="8" t="s">
        <v>2135</v>
      </c>
      <c r="Z257" s="8" t="s">
        <v>2135</v>
      </c>
      <c r="AA257" s="8" t="s">
        <v>2135</v>
      </c>
      <c r="AB257" s="8" t="s">
        <v>2135</v>
      </c>
      <c r="AC257" s="8" t="s">
        <v>2135</v>
      </c>
      <c r="AD257" s="8" t="s">
        <v>2135</v>
      </c>
      <c r="AE257" s="8" t="s">
        <v>2135</v>
      </c>
      <c r="AF257" s="8" t="s">
        <v>2135</v>
      </c>
      <c r="AG257" s="8">
        <v>25.0</v>
      </c>
      <c r="AH257" s="8">
        <v>8.0</v>
      </c>
      <c r="AI257" s="8">
        <v>12.0</v>
      </c>
      <c r="AJ257" s="8">
        <v>0.0</v>
      </c>
      <c r="AK257" s="8">
        <v>7.0</v>
      </c>
      <c r="AL257" s="8" t="s">
        <v>6966</v>
      </c>
      <c r="AM257" s="8" t="s">
        <v>3390</v>
      </c>
      <c r="AN257" s="8" t="s">
        <v>6967</v>
      </c>
      <c r="AO257" s="8" t="s">
        <v>4554</v>
      </c>
      <c r="AP257" s="8" t="s">
        <v>2135</v>
      </c>
      <c r="AQ257" s="8" t="s">
        <v>2135</v>
      </c>
      <c r="AR257" s="8" t="s">
        <v>4556</v>
      </c>
      <c r="AS257" s="8" t="s">
        <v>4557</v>
      </c>
      <c r="AT257" s="8" t="s">
        <v>3556</v>
      </c>
      <c r="AU257" s="8">
        <v>1997.0</v>
      </c>
      <c r="AV257" s="8">
        <v>13.0</v>
      </c>
      <c r="AW257" s="8">
        <v>2.0</v>
      </c>
      <c r="AX257" s="8" t="s">
        <v>2135</v>
      </c>
      <c r="AY257" s="8" t="s">
        <v>2135</v>
      </c>
      <c r="AZ257" s="8" t="s">
        <v>2135</v>
      </c>
      <c r="BA257" s="8" t="s">
        <v>2135</v>
      </c>
      <c r="BB257" s="8">
        <v>332.0</v>
      </c>
      <c r="BC257" s="8">
        <v>340.0</v>
      </c>
      <c r="BD257" s="8" t="s">
        <v>2135</v>
      </c>
      <c r="BE257" s="8" t="s">
        <v>7411</v>
      </c>
      <c r="BF257" s="13" t="str">
        <f>HYPERLINK("http://dx.doi.org/10.1111/j.1748-7692.1997.tb00639.x","http://dx.doi.org/10.1111/j.1748-7692.1997.tb00639.x")</f>
        <v>http://dx.doi.org/10.1111/j.1748-7692.1997.tb00639.x</v>
      </c>
      <c r="BG257" s="8" t="s">
        <v>2135</v>
      </c>
      <c r="BH257" s="8" t="s">
        <v>2135</v>
      </c>
      <c r="BI257" s="8">
        <v>9.0</v>
      </c>
      <c r="BJ257" s="8" t="s">
        <v>4559</v>
      </c>
      <c r="BK257" s="8" t="s">
        <v>3352</v>
      </c>
      <c r="BL257" s="8" t="s">
        <v>4559</v>
      </c>
      <c r="BM257" s="8" t="s">
        <v>7412</v>
      </c>
      <c r="BN257" s="8" t="s">
        <v>2135</v>
      </c>
      <c r="BO257" s="8" t="s">
        <v>2135</v>
      </c>
      <c r="BP257" s="8" t="s">
        <v>2135</v>
      </c>
      <c r="BQ257" s="8" t="s">
        <v>2135</v>
      </c>
      <c r="BR257" s="8" t="s">
        <v>3355</v>
      </c>
      <c r="BS257" s="8" t="s">
        <v>7413</v>
      </c>
      <c r="BT257" s="8" t="s">
        <v>2428</v>
      </c>
      <c r="BU257" s="8" t="s">
        <v>2147</v>
      </c>
      <c r="BW257" s="8" t="s">
        <v>2237</v>
      </c>
      <c r="BY257" s="8" t="s">
        <v>2982</v>
      </c>
      <c r="BZ257" s="8" t="str">
        <f>HYPERLINK("https%3A%2F%2Fwww.webofscience.com%2Fwos%2Fwoscc%2Ffull-record%2FWOS:A1997WU78900015","View Full Record in Web of Science")</f>
        <v>View Full Record in Web of Science</v>
      </c>
    </row>
    <row r="258" ht="12.75" customHeight="1">
      <c r="A258" s="8" t="s">
        <v>3329</v>
      </c>
      <c r="B258" s="8" t="s">
        <v>7414</v>
      </c>
      <c r="C258" s="8" t="s">
        <v>2135</v>
      </c>
      <c r="D258" s="8" t="s">
        <v>2135</v>
      </c>
      <c r="E258" s="8" t="s">
        <v>2135</v>
      </c>
      <c r="F258" s="8" t="s">
        <v>7415</v>
      </c>
      <c r="G258" s="8" t="s">
        <v>2135</v>
      </c>
      <c r="H258" s="8" t="s">
        <v>2135</v>
      </c>
      <c r="I258" s="8" t="s">
        <v>1091</v>
      </c>
      <c r="J258" s="8" t="s">
        <v>3747</v>
      </c>
      <c r="K258" s="8" t="s">
        <v>2135</v>
      </c>
      <c r="L258" s="8" t="s">
        <v>2135</v>
      </c>
      <c r="M258" s="8" t="s">
        <v>3332</v>
      </c>
      <c r="N258" s="8" t="s">
        <v>3333</v>
      </c>
      <c r="O258" s="8" t="s">
        <v>2135</v>
      </c>
      <c r="P258" s="8" t="s">
        <v>2135</v>
      </c>
      <c r="Q258" s="8" t="s">
        <v>2135</v>
      </c>
      <c r="R258" s="8" t="s">
        <v>2135</v>
      </c>
      <c r="S258" s="8" t="s">
        <v>2135</v>
      </c>
      <c r="T258" s="8" t="s">
        <v>7416</v>
      </c>
      <c r="U258" s="8" t="s">
        <v>7417</v>
      </c>
      <c r="V258" s="8" t="s">
        <v>7418</v>
      </c>
      <c r="W258" s="8" t="s">
        <v>7419</v>
      </c>
      <c r="X258" s="8" t="s">
        <v>7420</v>
      </c>
      <c r="Y258" s="8" t="s">
        <v>7421</v>
      </c>
      <c r="Z258" s="8" t="s">
        <v>7422</v>
      </c>
      <c r="AA258" s="8" t="s">
        <v>2135</v>
      </c>
      <c r="AB258" s="8" t="s">
        <v>2135</v>
      </c>
      <c r="AC258" s="8" t="s">
        <v>7423</v>
      </c>
      <c r="AD258" s="8" t="s">
        <v>7423</v>
      </c>
      <c r="AE258" s="8" t="s">
        <v>7424</v>
      </c>
      <c r="AF258" s="8" t="s">
        <v>2135</v>
      </c>
      <c r="AG258" s="8">
        <v>35.0</v>
      </c>
      <c r="AH258" s="8">
        <v>22.0</v>
      </c>
      <c r="AI258" s="8">
        <v>30.0</v>
      </c>
      <c r="AJ258" s="8">
        <v>1.0</v>
      </c>
      <c r="AK258" s="8">
        <v>112.0</v>
      </c>
      <c r="AL258" s="8" t="s">
        <v>3758</v>
      </c>
      <c r="AM258" s="8" t="s">
        <v>3759</v>
      </c>
      <c r="AN258" s="8" t="s">
        <v>3760</v>
      </c>
      <c r="AO258" s="8" t="s">
        <v>3761</v>
      </c>
      <c r="AP258" s="8" t="s">
        <v>3762</v>
      </c>
      <c r="AQ258" s="8" t="s">
        <v>2135</v>
      </c>
      <c r="AR258" s="8" t="s">
        <v>3763</v>
      </c>
      <c r="AS258" s="8" t="s">
        <v>3764</v>
      </c>
      <c r="AT258" s="8" t="s">
        <v>3629</v>
      </c>
      <c r="AU258" s="8">
        <v>2014.0</v>
      </c>
      <c r="AV258" s="8">
        <v>169.0</v>
      </c>
      <c r="AW258" s="8" t="s">
        <v>2135</v>
      </c>
      <c r="AX258" s="8" t="s">
        <v>2135</v>
      </c>
      <c r="AY258" s="8" t="s">
        <v>2135</v>
      </c>
      <c r="AZ258" s="8" t="s">
        <v>2135</v>
      </c>
      <c r="BA258" s="8" t="s">
        <v>2135</v>
      </c>
      <c r="BB258" s="8">
        <v>1.0</v>
      </c>
      <c r="BC258" s="8">
        <v>5.0</v>
      </c>
      <c r="BD258" s="8" t="s">
        <v>2135</v>
      </c>
      <c r="BE258" s="8" t="s">
        <v>7425</v>
      </c>
      <c r="BF258" s="13" t="str">
        <f>HYPERLINK("http://dx.doi.org/10.1016/j.biocon.2013.10.010","http://dx.doi.org/10.1016/j.biocon.2013.10.010")</f>
        <v>http://dx.doi.org/10.1016/j.biocon.2013.10.010</v>
      </c>
      <c r="BG258" s="8" t="s">
        <v>2135</v>
      </c>
      <c r="BH258" s="8" t="s">
        <v>2135</v>
      </c>
      <c r="BI258" s="8">
        <v>5.0</v>
      </c>
      <c r="BJ258" s="8" t="s">
        <v>3351</v>
      </c>
      <c r="BK258" s="8" t="s">
        <v>3352</v>
      </c>
      <c r="BL258" s="8" t="s">
        <v>3353</v>
      </c>
      <c r="BM258" s="8" t="s">
        <v>7426</v>
      </c>
      <c r="BN258" s="8" t="s">
        <v>2135</v>
      </c>
      <c r="BO258" s="8" t="s">
        <v>2135</v>
      </c>
      <c r="BP258" s="8" t="s">
        <v>2135</v>
      </c>
      <c r="BQ258" s="8" t="s">
        <v>2135</v>
      </c>
      <c r="BR258" s="8" t="s">
        <v>3355</v>
      </c>
      <c r="BS258" s="8" t="s">
        <v>7427</v>
      </c>
      <c r="BT258" s="8" t="s">
        <v>2600</v>
      </c>
      <c r="BU258" s="8" t="s">
        <v>2147</v>
      </c>
      <c r="BV258" s="8" t="s">
        <v>2217</v>
      </c>
      <c r="BW258" s="8" t="s">
        <v>2601</v>
      </c>
      <c r="BX258" s="8" t="s">
        <v>3181</v>
      </c>
      <c r="BY258" s="8" t="s">
        <v>3182</v>
      </c>
      <c r="BZ258" s="8" t="str">
        <f>HYPERLINK("https%3A%2F%2Fwww.webofscience.com%2Fwos%2Fwoscc%2Ffull-record%2FWOS:000333574400001","View Full Record in Web of Science")</f>
        <v>View Full Record in Web of Science</v>
      </c>
    </row>
    <row r="259" ht="12.75" customHeight="1">
      <c r="A259" s="8" t="s">
        <v>3329</v>
      </c>
      <c r="B259" s="8" t="s">
        <v>7428</v>
      </c>
      <c r="C259" s="8" t="s">
        <v>2135</v>
      </c>
      <c r="D259" s="8" t="s">
        <v>2135</v>
      </c>
      <c r="E259" s="8" t="s">
        <v>2135</v>
      </c>
      <c r="F259" s="8" t="s">
        <v>7429</v>
      </c>
      <c r="G259" s="8" t="s">
        <v>2135</v>
      </c>
      <c r="H259" s="8" t="s">
        <v>2135</v>
      </c>
      <c r="I259" s="8" t="s">
        <v>1087</v>
      </c>
      <c r="J259" s="8" t="s">
        <v>4530</v>
      </c>
      <c r="K259" s="8" t="s">
        <v>2135</v>
      </c>
      <c r="L259" s="8" t="s">
        <v>2135</v>
      </c>
      <c r="M259" s="8" t="s">
        <v>3332</v>
      </c>
      <c r="N259" s="8" t="s">
        <v>3333</v>
      </c>
      <c r="O259" s="8" t="s">
        <v>2135</v>
      </c>
      <c r="P259" s="8" t="s">
        <v>2135</v>
      </c>
      <c r="Q259" s="8" t="s">
        <v>2135</v>
      </c>
      <c r="R259" s="8" t="s">
        <v>2135</v>
      </c>
      <c r="S259" s="8" t="s">
        <v>2135</v>
      </c>
      <c r="T259" s="8" t="s">
        <v>2135</v>
      </c>
      <c r="U259" s="8" t="s">
        <v>7430</v>
      </c>
      <c r="V259" s="8" t="s">
        <v>7431</v>
      </c>
      <c r="W259" s="8" t="s">
        <v>7432</v>
      </c>
      <c r="X259" s="8" t="s">
        <v>3971</v>
      </c>
      <c r="Y259" s="8" t="s">
        <v>7433</v>
      </c>
      <c r="Z259" s="8" t="s">
        <v>7434</v>
      </c>
      <c r="AA259" s="8" t="s">
        <v>2135</v>
      </c>
      <c r="AB259" s="8" t="s">
        <v>2135</v>
      </c>
      <c r="AC259" s="8" t="s">
        <v>7435</v>
      </c>
      <c r="AD259" s="8" t="s">
        <v>7435</v>
      </c>
      <c r="AE259" s="8" t="s">
        <v>7436</v>
      </c>
      <c r="AF259" s="8" t="s">
        <v>2135</v>
      </c>
      <c r="AG259" s="8">
        <v>38.0</v>
      </c>
      <c r="AH259" s="8">
        <v>4.0</v>
      </c>
      <c r="AI259" s="8">
        <v>5.0</v>
      </c>
      <c r="AJ259" s="8">
        <v>1.0</v>
      </c>
      <c r="AK259" s="8">
        <v>148.0</v>
      </c>
      <c r="AL259" s="8" t="s">
        <v>4537</v>
      </c>
      <c r="AM259" s="8" t="s">
        <v>4538</v>
      </c>
      <c r="AN259" s="8" t="s">
        <v>4539</v>
      </c>
      <c r="AO259" s="8" t="s">
        <v>4540</v>
      </c>
      <c r="AP259" s="8" t="s">
        <v>7437</v>
      </c>
      <c r="AQ259" s="8" t="s">
        <v>2135</v>
      </c>
      <c r="AR259" s="8" t="s">
        <v>4541</v>
      </c>
      <c r="AS259" s="8" t="s">
        <v>4542</v>
      </c>
      <c r="AT259" s="8" t="s">
        <v>3395</v>
      </c>
      <c r="AU259" s="8">
        <v>2012.0</v>
      </c>
      <c r="AV259" s="8">
        <v>72.0</v>
      </c>
      <c r="AW259" s="8">
        <v>2.0</v>
      </c>
      <c r="AX259" s="8" t="s">
        <v>2135</v>
      </c>
      <c r="AY259" s="8" t="s">
        <v>2135</v>
      </c>
      <c r="AZ259" s="8" t="s">
        <v>2135</v>
      </c>
      <c r="BA259" s="8" t="s">
        <v>2135</v>
      </c>
      <c r="BB259" s="8">
        <v>129.0</v>
      </c>
      <c r="BC259" s="8">
        <v>133.0</v>
      </c>
      <c r="BD259" s="8" t="s">
        <v>2135</v>
      </c>
      <c r="BE259" s="8" t="s">
        <v>7438</v>
      </c>
      <c r="BF259" s="13" t="str">
        <f>HYPERLINK("http://dx.doi.org/10.3398/064.072.0201","http://dx.doi.org/10.3398/064.072.0201")</f>
        <v>http://dx.doi.org/10.3398/064.072.0201</v>
      </c>
      <c r="BG259" s="8" t="s">
        <v>2135</v>
      </c>
      <c r="BH259" s="8" t="s">
        <v>2135</v>
      </c>
      <c r="BI259" s="8">
        <v>5.0</v>
      </c>
      <c r="BJ259" s="8" t="s">
        <v>3558</v>
      </c>
      <c r="BK259" s="8" t="s">
        <v>3352</v>
      </c>
      <c r="BL259" s="8" t="s">
        <v>3353</v>
      </c>
      <c r="BM259" s="8" t="s">
        <v>7439</v>
      </c>
      <c r="BN259" s="8" t="s">
        <v>2135</v>
      </c>
      <c r="BO259" s="8" t="s">
        <v>2135</v>
      </c>
      <c r="BP259" s="8" t="s">
        <v>2135</v>
      </c>
      <c r="BQ259" s="8" t="s">
        <v>2135</v>
      </c>
      <c r="BR259" s="8" t="s">
        <v>3355</v>
      </c>
      <c r="BS259" s="8" t="s">
        <v>7440</v>
      </c>
      <c r="BT259" s="8" t="s">
        <v>2600</v>
      </c>
      <c r="BU259" s="8" t="s">
        <v>2147</v>
      </c>
      <c r="BV259" s="8" t="s">
        <v>2217</v>
      </c>
      <c r="BW259" s="8" t="s">
        <v>2601</v>
      </c>
      <c r="BX259" s="8" t="s">
        <v>3181</v>
      </c>
      <c r="BY259" s="8" t="s">
        <v>3182</v>
      </c>
      <c r="BZ259" s="8" t="str">
        <f>HYPERLINK("https%3A%2F%2Fwww.webofscience.com%2Fwos%2Fwoscc%2Ffull-record%2FWOS:000308283600001","View Full Record in Web of Science")</f>
        <v>View Full Record in Web of Science</v>
      </c>
    </row>
    <row r="260" ht="12.75" customHeight="1">
      <c r="A260" s="8" t="s">
        <v>3329</v>
      </c>
      <c r="B260" s="8" t="s">
        <v>7441</v>
      </c>
      <c r="C260" s="8" t="s">
        <v>2135</v>
      </c>
      <c r="D260" s="8" t="s">
        <v>2135</v>
      </c>
      <c r="E260" s="8" t="s">
        <v>2135</v>
      </c>
      <c r="F260" s="8" t="s">
        <v>7442</v>
      </c>
      <c r="G260" s="8" t="s">
        <v>2135</v>
      </c>
      <c r="H260" s="8" t="s">
        <v>2135</v>
      </c>
      <c r="I260" s="8" t="s">
        <v>1089</v>
      </c>
      <c r="J260" s="8" t="s">
        <v>4530</v>
      </c>
      <c r="K260" s="8" t="s">
        <v>2135</v>
      </c>
      <c r="L260" s="8" t="s">
        <v>2135</v>
      </c>
      <c r="M260" s="8" t="s">
        <v>3332</v>
      </c>
      <c r="N260" s="8" t="s">
        <v>3333</v>
      </c>
      <c r="O260" s="8" t="s">
        <v>2135</v>
      </c>
      <c r="P260" s="8" t="s">
        <v>2135</v>
      </c>
      <c r="Q260" s="8" t="s">
        <v>2135</v>
      </c>
      <c r="R260" s="8" t="s">
        <v>2135</v>
      </c>
      <c r="S260" s="8" t="s">
        <v>2135</v>
      </c>
      <c r="T260" s="8" t="s">
        <v>2135</v>
      </c>
      <c r="U260" s="8" t="s">
        <v>7443</v>
      </c>
      <c r="V260" s="8" t="s">
        <v>7444</v>
      </c>
      <c r="W260" s="8" t="s">
        <v>7445</v>
      </c>
      <c r="X260" s="8" t="s">
        <v>2135</v>
      </c>
      <c r="Y260" s="8" t="s">
        <v>7446</v>
      </c>
      <c r="Z260" s="8" t="s">
        <v>7447</v>
      </c>
      <c r="AA260" s="8" t="s">
        <v>2135</v>
      </c>
      <c r="AB260" s="8" t="s">
        <v>2135</v>
      </c>
      <c r="AC260" s="8" t="s">
        <v>2135</v>
      </c>
      <c r="AD260" s="8" t="s">
        <v>2135</v>
      </c>
      <c r="AE260" s="8" t="s">
        <v>2135</v>
      </c>
      <c r="AF260" s="8" t="s">
        <v>2135</v>
      </c>
      <c r="AG260" s="8">
        <v>71.0</v>
      </c>
      <c r="AH260" s="8">
        <v>17.0</v>
      </c>
      <c r="AI260" s="8">
        <v>22.0</v>
      </c>
      <c r="AJ260" s="8">
        <v>2.0</v>
      </c>
      <c r="AK260" s="8">
        <v>173.0</v>
      </c>
      <c r="AL260" s="8" t="s">
        <v>4537</v>
      </c>
      <c r="AM260" s="8" t="s">
        <v>4538</v>
      </c>
      <c r="AN260" s="8" t="s">
        <v>4539</v>
      </c>
      <c r="AO260" s="8" t="s">
        <v>4540</v>
      </c>
      <c r="AP260" s="8" t="s">
        <v>7437</v>
      </c>
      <c r="AQ260" s="8" t="s">
        <v>2135</v>
      </c>
      <c r="AR260" s="8" t="s">
        <v>4541</v>
      </c>
      <c r="AS260" s="8" t="s">
        <v>4542</v>
      </c>
      <c r="AT260" s="8" t="s">
        <v>3395</v>
      </c>
      <c r="AU260" s="8">
        <v>2012.0</v>
      </c>
      <c r="AV260" s="8">
        <v>72.0</v>
      </c>
      <c r="AW260" s="8">
        <v>2.0</v>
      </c>
      <c r="AX260" s="8" t="s">
        <v>2135</v>
      </c>
      <c r="AY260" s="8" t="s">
        <v>2135</v>
      </c>
      <c r="AZ260" s="8" t="s">
        <v>2135</v>
      </c>
      <c r="BA260" s="8" t="s">
        <v>2135</v>
      </c>
      <c r="BB260" s="8">
        <v>228.0</v>
      </c>
      <c r="BC260" s="8">
        <v>240.0</v>
      </c>
      <c r="BD260" s="8" t="s">
        <v>2135</v>
      </c>
      <c r="BE260" s="8" t="s">
        <v>7448</v>
      </c>
      <c r="BF260" s="13" t="str">
        <f>HYPERLINK("http://dx.doi.org/10.3398/064.072.0212","http://dx.doi.org/10.3398/064.072.0212")</f>
        <v>http://dx.doi.org/10.3398/064.072.0212</v>
      </c>
      <c r="BG260" s="8" t="s">
        <v>2135</v>
      </c>
      <c r="BH260" s="8" t="s">
        <v>2135</v>
      </c>
      <c r="BI260" s="8">
        <v>13.0</v>
      </c>
      <c r="BJ260" s="8" t="s">
        <v>3558</v>
      </c>
      <c r="BK260" s="8" t="s">
        <v>3352</v>
      </c>
      <c r="BL260" s="8" t="s">
        <v>3353</v>
      </c>
      <c r="BM260" s="8" t="s">
        <v>7439</v>
      </c>
      <c r="BN260" s="8" t="s">
        <v>2135</v>
      </c>
      <c r="BO260" s="8" t="s">
        <v>2135</v>
      </c>
      <c r="BP260" s="8" t="s">
        <v>2135</v>
      </c>
      <c r="BQ260" s="8" t="s">
        <v>2135</v>
      </c>
      <c r="BR260" s="8" t="s">
        <v>3355</v>
      </c>
      <c r="BS260" s="8" t="s">
        <v>7449</v>
      </c>
      <c r="BT260" s="8" t="s">
        <v>2600</v>
      </c>
      <c r="BU260" s="8" t="s">
        <v>2147</v>
      </c>
      <c r="BV260" s="8" t="s">
        <v>2217</v>
      </c>
      <c r="BW260" s="8" t="s">
        <v>2601</v>
      </c>
      <c r="BX260" s="8" t="s">
        <v>3181</v>
      </c>
      <c r="BY260" s="8" t="s">
        <v>3182</v>
      </c>
      <c r="BZ260" s="8" t="str">
        <f>HYPERLINK("https%3A%2F%2Fwww.webofscience.com%2Fwos%2Fwoscc%2Ffull-record%2FWOS:000308283600012","View Full Record in Web of Science")</f>
        <v>View Full Record in Web of Science</v>
      </c>
    </row>
    <row r="261" ht="12.75" customHeight="1">
      <c r="A261" s="8" t="s">
        <v>3329</v>
      </c>
      <c r="B261" s="8" t="s">
        <v>7450</v>
      </c>
      <c r="C261" s="8" t="s">
        <v>2135</v>
      </c>
      <c r="D261" s="8" t="s">
        <v>2135</v>
      </c>
      <c r="E261" s="8" t="s">
        <v>2135</v>
      </c>
      <c r="F261" s="8" t="s">
        <v>7451</v>
      </c>
      <c r="G261" s="8" t="s">
        <v>2135</v>
      </c>
      <c r="H261" s="8" t="s">
        <v>2135</v>
      </c>
      <c r="I261" s="8" t="s">
        <v>1085</v>
      </c>
      <c r="J261" s="8" t="s">
        <v>3380</v>
      </c>
      <c r="K261" s="8" t="s">
        <v>2135</v>
      </c>
      <c r="L261" s="8" t="s">
        <v>2135</v>
      </c>
      <c r="M261" s="8" t="s">
        <v>3332</v>
      </c>
      <c r="N261" s="8" t="s">
        <v>3333</v>
      </c>
      <c r="O261" s="8" t="s">
        <v>2135</v>
      </c>
      <c r="P261" s="8" t="s">
        <v>2135</v>
      </c>
      <c r="Q261" s="8" t="s">
        <v>2135</v>
      </c>
      <c r="R261" s="8" t="s">
        <v>2135</v>
      </c>
      <c r="S261" s="8" t="s">
        <v>2135</v>
      </c>
      <c r="T261" s="8" t="s">
        <v>7452</v>
      </c>
      <c r="U261" s="8" t="s">
        <v>7453</v>
      </c>
      <c r="V261" s="8" t="s">
        <v>7454</v>
      </c>
      <c r="W261" s="8" t="s">
        <v>7455</v>
      </c>
      <c r="X261" s="8" t="s">
        <v>7456</v>
      </c>
      <c r="Y261" s="8" t="s">
        <v>7457</v>
      </c>
      <c r="Z261" s="8" t="s">
        <v>7458</v>
      </c>
      <c r="AA261" s="8" t="s">
        <v>2135</v>
      </c>
      <c r="AB261" s="8" t="s">
        <v>2135</v>
      </c>
      <c r="AC261" s="8" t="s">
        <v>7459</v>
      </c>
      <c r="AD261" s="8" t="s">
        <v>7460</v>
      </c>
      <c r="AE261" s="8" t="s">
        <v>7461</v>
      </c>
      <c r="AF261" s="8" t="s">
        <v>2135</v>
      </c>
      <c r="AG261" s="8">
        <v>64.0</v>
      </c>
      <c r="AH261" s="8">
        <v>24.0</v>
      </c>
      <c r="AI261" s="8">
        <v>27.0</v>
      </c>
      <c r="AJ261" s="8">
        <v>0.0</v>
      </c>
      <c r="AK261" s="8">
        <v>64.0</v>
      </c>
      <c r="AL261" s="8" t="s">
        <v>3921</v>
      </c>
      <c r="AM261" s="8" t="s">
        <v>3922</v>
      </c>
      <c r="AN261" s="8" t="s">
        <v>3923</v>
      </c>
      <c r="AO261" s="8" t="s">
        <v>3392</v>
      </c>
      <c r="AP261" s="8" t="s">
        <v>4022</v>
      </c>
      <c r="AQ261" s="8" t="s">
        <v>2135</v>
      </c>
      <c r="AR261" s="8" t="s">
        <v>3393</v>
      </c>
      <c r="AS261" s="8" t="s">
        <v>3394</v>
      </c>
      <c r="AT261" s="8" t="s">
        <v>7462</v>
      </c>
      <c r="AU261" s="8">
        <v>2011.0</v>
      </c>
      <c r="AV261" s="8">
        <v>92.0</v>
      </c>
      <c r="AW261" s="8">
        <v>4.0</v>
      </c>
      <c r="AX261" s="8" t="s">
        <v>2135</v>
      </c>
      <c r="AY261" s="8" t="s">
        <v>2135</v>
      </c>
      <c r="AZ261" s="8" t="s">
        <v>2135</v>
      </c>
      <c r="BA261" s="8" t="s">
        <v>2135</v>
      </c>
      <c r="BB261" s="8">
        <v>721.0</v>
      </c>
      <c r="BC261" s="8">
        <v>731.0</v>
      </c>
      <c r="BD261" s="8" t="s">
        <v>2135</v>
      </c>
      <c r="BE261" s="8" t="s">
        <v>7463</v>
      </c>
      <c r="BF261" s="13" t="str">
        <f>HYPERLINK("http://dx.doi.org/10.1644/10-MAMM-S-115.1","http://dx.doi.org/10.1644/10-MAMM-S-115.1")</f>
        <v>http://dx.doi.org/10.1644/10-MAMM-S-115.1</v>
      </c>
      <c r="BG261" s="8" t="s">
        <v>2135</v>
      </c>
      <c r="BH261" s="8" t="s">
        <v>2135</v>
      </c>
      <c r="BI261" s="8">
        <v>11.0</v>
      </c>
      <c r="BJ261" s="8" t="s">
        <v>3397</v>
      </c>
      <c r="BK261" s="8" t="s">
        <v>3352</v>
      </c>
      <c r="BL261" s="8" t="s">
        <v>3397</v>
      </c>
      <c r="BM261" s="8" t="s">
        <v>7464</v>
      </c>
      <c r="BN261" s="8" t="s">
        <v>2135</v>
      </c>
      <c r="BO261" s="8" t="s">
        <v>3445</v>
      </c>
      <c r="BP261" s="8" t="s">
        <v>2135</v>
      </c>
      <c r="BQ261" s="8" t="s">
        <v>2135</v>
      </c>
      <c r="BR261" s="8" t="s">
        <v>3355</v>
      </c>
      <c r="BS261" s="8" t="s">
        <v>7465</v>
      </c>
      <c r="BT261" s="8" t="s">
        <v>2600</v>
      </c>
      <c r="BU261" s="8" t="s">
        <v>2147</v>
      </c>
      <c r="BV261" s="8" t="s">
        <v>2217</v>
      </c>
      <c r="BW261" s="8" t="s">
        <v>2601</v>
      </c>
      <c r="BX261" s="8" t="s">
        <v>3181</v>
      </c>
      <c r="BY261" s="8" t="s">
        <v>3182</v>
      </c>
      <c r="BZ261" s="8" t="str">
        <f>HYPERLINK("https%3A%2F%2Fwww.webofscience.com%2Fwos%2Fwoscc%2Ffull-record%2FWOS:000294314900004","View Full Record in Web of Science")</f>
        <v>View Full Record in Web of Science</v>
      </c>
    </row>
    <row r="262" ht="12.75" customHeight="1">
      <c r="A262" s="8" t="s">
        <v>3329</v>
      </c>
      <c r="B262" s="8" t="s">
        <v>7466</v>
      </c>
      <c r="C262" s="8" t="s">
        <v>2135</v>
      </c>
      <c r="D262" s="8" t="s">
        <v>2135</v>
      </c>
      <c r="E262" s="8" t="s">
        <v>2135</v>
      </c>
      <c r="F262" s="8" t="s">
        <v>7466</v>
      </c>
      <c r="G262" s="8" t="s">
        <v>2135</v>
      </c>
      <c r="H262" s="8" t="s">
        <v>2135</v>
      </c>
      <c r="I262" s="8" t="s">
        <v>1083</v>
      </c>
      <c r="J262" s="8" t="s">
        <v>7467</v>
      </c>
      <c r="K262" s="8" t="s">
        <v>2135</v>
      </c>
      <c r="L262" s="8" t="s">
        <v>2135</v>
      </c>
      <c r="M262" s="8" t="s">
        <v>3332</v>
      </c>
      <c r="N262" s="8" t="s">
        <v>3333</v>
      </c>
      <c r="O262" s="8" t="s">
        <v>2135</v>
      </c>
      <c r="P262" s="8" t="s">
        <v>2135</v>
      </c>
      <c r="Q262" s="8" t="s">
        <v>2135</v>
      </c>
      <c r="R262" s="8" t="s">
        <v>2135</v>
      </c>
      <c r="S262" s="8" t="s">
        <v>2135</v>
      </c>
      <c r="T262" s="8" t="s">
        <v>7468</v>
      </c>
      <c r="U262" s="8" t="s">
        <v>4338</v>
      </c>
      <c r="V262" s="8" t="s">
        <v>7469</v>
      </c>
      <c r="W262" s="8" t="s">
        <v>7470</v>
      </c>
      <c r="X262" s="8" t="s">
        <v>7471</v>
      </c>
      <c r="Y262" s="8" t="s">
        <v>7472</v>
      </c>
      <c r="Z262" s="8" t="s">
        <v>7473</v>
      </c>
      <c r="AA262" s="8" t="s">
        <v>7474</v>
      </c>
      <c r="AB262" s="8" t="s">
        <v>7475</v>
      </c>
      <c r="AC262" s="8" t="s">
        <v>2135</v>
      </c>
      <c r="AD262" s="8" t="s">
        <v>2135</v>
      </c>
      <c r="AE262" s="8" t="s">
        <v>2135</v>
      </c>
      <c r="AF262" s="8" t="s">
        <v>2135</v>
      </c>
      <c r="AG262" s="8">
        <v>31.0</v>
      </c>
      <c r="AH262" s="8">
        <v>40.0</v>
      </c>
      <c r="AI262" s="8">
        <v>53.0</v>
      </c>
      <c r="AJ262" s="8">
        <v>0.0</v>
      </c>
      <c r="AK262" s="8">
        <v>107.0</v>
      </c>
      <c r="AL262" s="8" t="s">
        <v>3342</v>
      </c>
      <c r="AM262" s="8" t="s">
        <v>3343</v>
      </c>
      <c r="AN262" s="8" t="s">
        <v>3344</v>
      </c>
      <c r="AO262" s="8" t="s">
        <v>7476</v>
      </c>
      <c r="AP262" s="8" t="s">
        <v>7477</v>
      </c>
      <c r="AQ262" s="8" t="s">
        <v>2135</v>
      </c>
      <c r="AR262" s="8" t="s">
        <v>7478</v>
      </c>
      <c r="AS262" s="8" t="s">
        <v>7479</v>
      </c>
      <c r="AT262" s="8" t="s">
        <v>2135</v>
      </c>
      <c r="AU262" s="8">
        <v>2003.0</v>
      </c>
      <c r="AV262" s="8">
        <v>22.0</v>
      </c>
      <c r="AW262" s="8">
        <v>3.0</v>
      </c>
      <c r="AX262" s="8" t="s">
        <v>2135</v>
      </c>
      <c r="AY262" s="8" t="s">
        <v>2135</v>
      </c>
      <c r="AZ262" s="8" t="s">
        <v>2135</v>
      </c>
      <c r="BA262" s="8" t="s">
        <v>2135</v>
      </c>
      <c r="BB262" s="8">
        <v>287.0</v>
      </c>
      <c r="BC262" s="8">
        <v>298.0</v>
      </c>
      <c r="BD262" s="8" t="s">
        <v>2135</v>
      </c>
      <c r="BE262" s="8" t="s">
        <v>7480</v>
      </c>
      <c r="BF262" s="13" t="str">
        <f>HYPERLINK("http://dx.doi.org/10.1002/zoo.10089","http://dx.doi.org/10.1002/zoo.10089")</f>
        <v>http://dx.doi.org/10.1002/zoo.10089</v>
      </c>
      <c r="BG262" s="8" t="s">
        <v>2135</v>
      </c>
      <c r="BH262" s="8" t="s">
        <v>2135</v>
      </c>
      <c r="BI262" s="8">
        <v>12.0</v>
      </c>
      <c r="BJ262" s="8" t="s">
        <v>7481</v>
      </c>
      <c r="BK262" s="8" t="s">
        <v>3352</v>
      </c>
      <c r="BL262" s="8" t="s">
        <v>7481</v>
      </c>
      <c r="BM262" s="8" t="s">
        <v>7482</v>
      </c>
      <c r="BN262" s="8" t="s">
        <v>2135</v>
      </c>
      <c r="BO262" s="8" t="s">
        <v>2135</v>
      </c>
      <c r="BP262" s="8" t="s">
        <v>2135</v>
      </c>
      <c r="BQ262" s="8" t="s">
        <v>2135</v>
      </c>
      <c r="BR262" s="8" t="s">
        <v>3355</v>
      </c>
      <c r="BS262" s="8" t="s">
        <v>7483</v>
      </c>
      <c r="BT262" s="8" t="s">
        <v>2600</v>
      </c>
      <c r="BU262" s="8" t="s">
        <v>2147</v>
      </c>
      <c r="BV262" s="8" t="s">
        <v>2217</v>
      </c>
      <c r="BW262" s="8" t="s">
        <v>2601</v>
      </c>
      <c r="BX262" s="8" t="s">
        <v>3181</v>
      </c>
      <c r="BY262" s="8" t="s">
        <v>3182</v>
      </c>
      <c r="BZ262" s="8" t="str">
        <f>HYPERLINK("https%3A%2F%2Fwww.webofscience.com%2Fwos%2Fwoscc%2Ffull-record%2FWOS:000183950800007","View Full Record in Web of Science")</f>
        <v>View Full Record in Web of Science</v>
      </c>
    </row>
    <row r="263" ht="12.75" customHeight="1">
      <c r="A263" s="8" t="s">
        <v>3329</v>
      </c>
      <c r="B263" s="8" t="s">
        <v>7484</v>
      </c>
      <c r="C263" s="8" t="s">
        <v>2135</v>
      </c>
      <c r="D263" s="8" t="s">
        <v>2135</v>
      </c>
      <c r="E263" s="8" t="s">
        <v>2135</v>
      </c>
      <c r="F263" s="8" t="s">
        <v>7484</v>
      </c>
      <c r="G263" s="8" t="s">
        <v>2135</v>
      </c>
      <c r="H263" s="8" t="s">
        <v>2135</v>
      </c>
      <c r="I263" s="8" t="s">
        <v>1441</v>
      </c>
      <c r="J263" s="8" t="s">
        <v>3941</v>
      </c>
      <c r="K263" s="8" t="s">
        <v>2135</v>
      </c>
      <c r="L263" s="8" t="s">
        <v>2135</v>
      </c>
      <c r="M263" s="8" t="s">
        <v>3332</v>
      </c>
      <c r="N263" s="8" t="s">
        <v>3333</v>
      </c>
      <c r="O263" s="8" t="s">
        <v>2135</v>
      </c>
      <c r="P263" s="8" t="s">
        <v>2135</v>
      </c>
      <c r="Q263" s="8" t="s">
        <v>2135</v>
      </c>
      <c r="R263" s="8" t="s">
        <v>2135</v>
      </c>
      <c r="S263" s="8" t="s">
        <v>2135</v>
      </c>
      <c r="T263" s="8" t="s">
        <v>2135</v>
      </c>
      <c r="U263" s="8" t="s">
        <v>7485</v>
      </c>
      <c r="V263" s="8" t="s">
        <v>7486</v>
      </c>
      <c r="W263" s="8" t="s">
        <v>7487</v>
      </c>
      <c r="X263" s="8" t="s">
        <v>7488</v>
      </c>
      <c r="Y263" s="8" t="s">
        <v>7489</v>
      </c>
      <c r="Z263" s="8" t="s">
        <v>7473</v>
      </c>
      <c r="AA263" s="8" t="s">
        <v>7490</v>
      </c>
      <c r="AB263" s="8" t="s">
        <v>7491</v>
      </c>
      <c r="AC263" s="8" t="s">
        <v>2135</v>
      </c>
      <c r="AD263" s="8" t="s">
        <v>2135</v>
      </c>
      <c r="AE263" s="8" t="s">
        <v>2135</v>
      </c>
      <c r="AF263" s="8" t="s">
        <v>2135</v>
      </c>
      <c r="AG263" s="8">
        <v>40.0</v>
      </c>
      <c r="AH263" s="8">
        <v>101.0</v>
      </c>
      <c r="AI263" s="8">
        <v>121.0</v>
      </c>
      <c r="AJ263" s="8">
        <v>3.0</v>
      </c>
      <c r="AK263" s="8">
        <v>94.0</v>
      </c>
      <c r="AL263" s="8" t="s">
        <v>3921</v>
      </c>
      <c r="AM263" s="8" t="s">
        <v>3922</v>
      </c>
      <c r="AN263" s="8" t="s">
        <v>3923</v>
      </c>
      <c r="AO263" s="8" t="s">
        <v>3953</v>
      </c>
      <c r="AP263" s="8" t="s">
        <v>3954</v>
      </c>
      <c r="AQ263" s="8" t="s">
        <v>2135</v>
      </c>
      <c r="AR263" s="8" t="s">
        <v>3955</v>
      </c>
      <c r="AS263" s="8" t="s">
        <v>3956</v>
      </c>
      <c r="AT263" s="8" t="s">
        <v>7492</v>
      </c>
      <c r="AU263" s="8">
        <v>2002.0</v>
      </c>
      <c r="AV263" s="8">
        <v>93.0</v>
      </c>
      <c r="AW263" s="8">
        <v>4.0</v>
      </c>
      <c r="AX263" s="8" t="s">
        <v>2135</v>
      </c>
      <c r="AY263" s="8" t="s">
        <v>2135</v>
      </c>
      <c r="AZ263" s="8" t="s">
        <v>2135</v>
      </c>
      <c r="BA263" s="8" t="s">
        <v>2135</v>
      </c>
      <c r="BB263" s="8">
        <v>231.0</v>
      </c>
      <c r="BC263" s="8">
        <v>237.0</v>
      </c>
      <c r="BD263" s="8" t="s">
        <v>2135</v>
      </c>
      <c r="BE263" s="8" t="s">
        <v>7493</v>
      </c>
      <c r="BF263" s="13" t="str">
        <f>HYPERLINK("http://dx.doi.org/10.1093/jhered/93.4.231","http://dx.doi.org/10.1093/jhered/93.4.231")</f>
        <v>http://dx.doi.org/10.1093/jhered/93.4.231</v>
      </c>
      <c r="BG263" s="8" t="s">
        <v>2135</v>
      </c>
      <c r="BH263" s="8" t="s">
        <v>2135</v>
      </c>
      <c r="BI263" s="8">
        <v>7.0</v>
      </c>
      <c r="BJ263" s="8" t="s">
        <v>3958</v>
      </c>
      <c r="BK263" s="8" t="s">
        <v>3352</v>
      </c>
      <c r="BL263" s="8" t="s">
        <v>3958</v>
      </c>
      <c r="BM263" s="8" t="s">
        <v>7494</v>
      </c>
      <c r="BN263" s="8">
        <v>1.2407208E7</v>
      </c>
      <c r="BO263" s="8" t="s">
        <v>3445</v>
      </c>
      <c r="BP263" s="8" t="s">
        <v>2135</v>
      </c>
      <c r="BQ263" s="8" t="s">
        <v>2135</v>
      </c>
      <c r="BR263" s="8" t="s">
        <v>3355</v>
      </c>
      <c r="BS263" s="8" t="s">
        <v>7495</v>
      </c>
      <c r="BT263" s="8" t="s">
        <v>2600</v>
      </c>
      <c r="BU263" s="8" t="s">
        <v>2147</v>
      </c>
      <c r="BV263" s="8" t="s">
        <v>2217</v>
      </c>
      <c r="BW263" s="8" t="s">
        <v>2601</v>
      </c>
      <c r="BY263" s="8" t="s">
        <v>3182</v>
      </c>
      <c r="BZ263" s="8" t="str">
        <f>HYPERLINK("https%3A%2F%2Fwww.webofscience.com%2Fwos%2Fwoscc%2Ffull-record%2FWOS:000178957400001","View Full Record in Web of Science")</f>
        <v>View Full Record in Web of Science</v>
      </c>
    </row>
    <row r="264" ht="12.75" customHeight="1">
      <c r="A264" s="8" t="s">
        <v>3329</v>
      </c>
      <c r="B264" s="8" t="s">
        <v>7496</v>
      </c>
      <c r="C264" s="8" t="s">
        <v>2135</v>
      </c>
      <c r="D264" s="8" t="s">
        <v>2135</v>
      </c>
      <c r="E264" s="8" t="s">
        <v>2135</v>
      </c>
      <c r="F264" s="8" t="s">
        <v>7496</v>
      </c>
      <c r="G264" s="8" t="s">
        <v>2135</v>
      </c>
      <c r="H264" s="8" t="s">
        <v>2135</v>
      </c>
      <c r="I264" s="8" t="s">
        <v>1439</v>
      </c>
      <c r="J264" s="8" t="s">
        <v>3380</v>
      </c>
      <c r="K264" s="8" t="s">
        <v>2135</v>
      </c>
      <c r="L264" s="8" t="s">
        <v>2135</v>
      </c>
      <c r="M264" s="8" t="s">
        <v>3332</v>
      </c>
      <c r="N264" s="8" t="s">
        <v>3333</v>
      </c>
      <c r="O264" s="8" t="s">
        <v>2135</v>
      </c>
      <c r="P264" s="8" t="s">
        <v>2135</v>
      </c>
      <c r="Q264" s="8" t="s">
        <v>2135</v>
      </c>
      <c r="R264" s="8" t="s">
        <v>2135</v>
      </c>
      <c r="S264" s="8" t="s">
        <v>2135</v>
      </c>
      <c r="T264" s="8" t="s">
        <v>7497</v>
      </c>
      <c r="U264" s="8" t="s">
        <v>2135</v>
      </c>
      <c r="V264" s="8" t="s">
        <v>7498</v>
      </c>
      <c r="W264" s="8" t="s">
        <v>7499</v>
      </c>
      <c r="X264" s="8" t="s">
        <v>7500</v>
      </c>
      <c r="Y264" s="8" t="s">
        <v>7501</v>
      </c>
      <c r="Z264" s="8" t="s">
        <v>7502</v>
      </c>
      <c r="AA264" s="8" t="s">
        <v>2135</v>
      </c>
      <c r="AB264" s="8" t="s">
        <v>2135</v>
      </c>
      <c r="AC264" s="8" t="s">
        <v>2135</v>
      </c>
      <c r="AD264" s="8" t="s">
        <v>2135</v>
      </c>
      <c r="AE264" s="8" t="s">
        <v>2135</v>
      </c>
      <c r="AF264" s="8" t="s">
        <v>2135</v>
      </c>
      <c r="AG264" s="8">
        <v>57.0</v>
      </c>
      <c r="AH264" s="8">
        <v>22.0</v>
      </c>
      <c r="AI264" s="8">
        <v>26.0</v>
      </c>
      <c r="AJ264" s="8">
        <v>3.0</v>
      </c>
      <c r="AK264" s="8">
        <v>58.0</v>
      </c>
      <c r="AL264" s="8" t="s">
        <v>3921</v>
      </c>
      <c r="AM264" s="8" t="s">
        <v>3922</v>
      </c>
      <c r="AN264" s="8" t="s">
        <v>3923</v>
      </c>
      <c r="AO264" s="8" t="s">
        <v>3392</v>
      </c>
      <c r="AP264" s="8" t="s">
        <v>4022</v>
      </c>
      <c r="AQ264" s="8" t="s">
        <v>2135</v>
      </c>
      <c r="AR264" s="8" t="s">
        <v>3393</v>
      </c>
      <c r="AS264" s="8" t="s">
        <v>3394</v>
      </c>
      <c r="AT264" s="8" t="s">
        <v>3765</v>
      </c>
      <c r="AU264" s="8">
        <v>2000.0</v>
      </c>
      <c r="AV264" s="8">
        <v>81.0</v>
      </c>
      <c r="AW264" s="8">
        <v>2.0</v>
      </c>
      <c r="AX264" s="8" t="s">
        <v>2135</v>
      </c>
      <c r="AY264" s="8" t="s">
        <v>2135</v>
      </c>
      <c r="AZ264" s="8" t="s">
        <v>2135</v>
      </c>
      <c r="BA264" s="8" t="s">
        <v>2135</v>
      </c>
      <c r="BB264" s="8">
        <v>422.0</v>
      </c>
      <c r="BC264" s="8">
        <v>433.0</v>
      </c>
      <c r="BD264" s="8" t="s">
        <v>2135</v>
      </c>
      <c r="BE264" s="8" t="s">
        <v>7503</v>
      </c>
      <c r="BF264" s="13" t="str">
        <f>HYPERLINK("http://dx.doi.org/10.1644/1545-1542(2000)081&lt;0422:FDACOB&gt;2.0.CO;2","http://dx.doi.org/10.1644/1545-1542(2000)081&lt;0422:FDACOB&gt;2.0.CO;2")</f>
        <v>http://dx.doi.org/10.1644/1545-1542(2000)081&lt;0422:FDACOB&gt;2.0.CO;2</v>
      </c>
      <c r="BG264" s="8" t="s">
        <v>2135</v>
      </c>
      <c r="BH264" s="8" t="s">
        <v>2135</v>
      </c>
      <c r="BI264" s="8">
        <v>12.0</v>
      </c>
      <c r="BJ264" s="8" t="s">
        <v>3397</v>
      </c>
      <c r="BK264" s="8" t="s">
        <v>3352</v>
      </c>
      <c r="BL264" s="8" t="s">
        <v>3397</v>
      </c>
      <c r="BM264" s="8" t="s">
        <v>7504</v>
      </c>
      <c r="BN264" s="8" t="s">
        <v>2135</v>
      </c>
      <c r="BO264" s="8" t="s">
        <v>2135</v>
      </c>
      <c r="BP264" s="8" t="s">
        <v>2135</v>
      </c>
      <c r="BQ264" s="8" t="s">
        <v>2135</v>
      </c>
      <c r="BR264" s="8" t="s">
        <v>3355</v>
      </c>
      <c r="BS264" s="8" t="s">
        <v>7505</v>
      </c>
      <c r="BT264" s="8" t="s">
        <v>2600</v>
      </c>
      <c r="BU264" s="8" t="s">
        <v>2147</v>
      </c>
      <c r="BV264" s="8" t="s">
        <v>2217</v>
      </c>
      <c r="BW264" s="8" t="s">
        <v>2601</v>
      </c>
      <c r="BY264" s="8" t="s">
        <v>3182</v>
      </c>
      <c r="BZ264" s="8" t="str">
        <f>HYPERLINK("https%3A%2F%2Fwww.webofscience.com%2Fwos%2Fwoscc%2Ffull-record%2FWOS:000087155200010","View Full Record in Web of Science")</f>
        <v>View Full Record in Web of Science</v>
      </c>
    </row>
    <row r="265" ht="12.75" customHeight="1">
      <c r="A265" s="8" t="s">
        <v>3329</v>
      </c>
      <c r="B265" s="8" t="s">
        <v>7506</v>
      </c>
      <c r="C265" s="8" t="s">
        <v>2135</v>
      </c>
      <c r="D265" s="8" t="s">
        <v>2135</v>
      </c>
      <c r="E265" s="8" t="s">
        <v>2135</v>
      </c>
      <c r="F265" s="8" t="s">
        <v>7506</v>
      </c>
      <c r="G265" s="8" t="s">
        <v>2135</v>
      </c>
      <c r="H265" s="8" t="s">
        <v>2135</v>
      </c>
      <c r="I265" s="8" t="s">
        <v>1065</v>
      </c>
      <c r="J265" s="8" t="s">
        <v>7507</v>
      </c>
      <c r="K265" s="8" t="s">
        <v>2135</v>
      </c>
      <c r="L265" s="8" t="s">
        <v>2135</v>
      </c>
      <c r="M265" s="8" t="s">
        <v>3332</v>
      </c>
      <c r="N265" s="8" t="s">
        <v>3333</v>
      </c>
      <c r="O265" s="8" t="s">
        <v>2135</v>
      </c>
      <c r="P265" s="8" t="s">
        <v>2135</v>
      </c>
      <c r="Q265" s="8" t="s">
        <v>2135</v>
      </c>
      <c r="R265" s="8" t="s">
        <v>2135</v>
      </c>
      <c r="S265" s="8" t="s">
        <v>2135</v>
      </c>
      <c r="T265" s="8" t="s">
        <v>7508</v>
      </c>
      <c r="U265" s="8" t="s">
        <v>2135</v>
      </c>
      <c r="V265" s="8" t="s">
        <v>7509</v>
      </c>
      <c r="W265" s="8" t="s">
        <v>7510</v>
      </c>
      <c r="X265" s="8" t="s">
        <v>7511</v>
      </c>
      <c r="Y265" s="8" t="s">
        <v>7512</v>
      </c>
      <c r="Z265" s="8" t="s">
        <v>7513</v>
      </c>
      <c r="AA265" s="8" t="s">
        <v>7514</v>
      </c>
      <c r="AB265" s="8" t="s">
        <v>7515</v>
      </c>
      <c r="AC265" s="8" t="s">
        <v>2135</v>
      </c>
      <c r="AD265" s="8" t="s">
        <v>2135</v>
      </c>
      <c r="AE265" s="8" t="s">
        <v>2135</v>
      </c>
      <c r="AF265" s="8" t="s">
        <v>2135</v>
      </c>
      <c r="AG265" s="8">
        <v>21.0</v>
      </c>
      <c r="AH265" s="8">
        <v>18.0</v>
      </c>
      <c r="AI265" s="8">
        <v>19.0</v>
      </c>
      <c r="AJ265" s="8">
        <v>0.0</v>
      </c>
      <c r="AK265" s="8">
        <v>17.0</v>
      </c>
      <c r="AL265" s="8" t="s">
        <v>7516</v>
      </c>
      <c r="AM265" s="8" t="s">
        <v>7517</v>
      </c>
      <c r="AN265" s="8" t="s">
        <v>7518</v>
      </c>
      <c r="AO265" s="8" t="s">
        <v>7519</v>
      </c>
      <c r="AP265" s="8" t="s">
        <v>7520</v>
      </c>
      <c r="AQ265" s="8" t="s">
        <v>2135</v>
      </c>
      <c r="AR265" s="8" t="s">
        <v>7521</v>
      </c>
      <c r="AS265" s="8" t="s">
        <v>7522</v>
      </c>
      <c r="AT265" s="8" t="s">
        <v>3721</v>
      </c>
      <c r="AU265" s="8">
        <v>2003.0</v>
      </c>
      <c r="AV265" s="8">
        <v>48.0</v>
      </c>
      <c r="AW265" s="8">
        <v>1.0</v>
      </c>
      <c r="AX265" s="8" t="s">
        <v>2135</v>
      </c>
      <c r="AY265" s="8" t="s">
        <v>2135</v>
      </c>
      <c r="AZ265" s="8" t="s">
        <v>2135</v>
      </c>
      <c r="BA265" s="8" t="s">
        <v>2135</v>
      </c>
      <c r="BB265" s="8">
        <v>55.0</v>
      </c>
      <c r="BC265" s="8">
        <v>59.0</v>
      </c>
      <c r="BD265" s="8" t="s">
        <v>2135</v>
      </c>
      <c r="BE265" s="8" t="s">
        <v>2135</v>
      </c>
      <c r="BF265" s="8" t="s">
        <v>2135</v>
      </c>
      <c r="BG265" s="8" t="s">
        <v>2135</v>
      </c>
      <c r="BH265" s="8" t="s">
        <v>2135</v>
      </c>
      <c r="BI265" s="8">
        <v>5.0</v>
      </c>
      <c r="BJ265" s="8" t="s">
        <v>7523</v>
      </c>
      <c r="BK265" s="8" t="s">
        <v>3352</v>
      </c>
      <c r="BL265" s="8" t="s">
        <v>7523</v>
      </c>
      <c r="BM265" s="8" t="s">
        <v>7524</v>
      </c>
      <c r="BN265" s="8" t="s">
        <v>2135</v>
      </c>
      <c r="BO265" s="8" t="s">
        <v>2135</v>
      </c>
      <c r="BP265" s="8" t="s">
        <v>2135</v>
      </c>
      <c r="BQ265" s="8" t="s">
        <v>2135</v>
      </c>
      <c r="BR265" s="8" t="s">
        <v>3355</v>
      </c>
      <c r="BS265" s="8" t="s">
        <v>7525</v>
      </c>
      <c r="BT265" s="8" t="s">
        <v>2497</v>
      </c>
      <c r="BU265" s="8" t="s">
        <v>2142</v>
      </c>
      <c r="BW265" s="8" t="s">
        <v>2168</v>
      </c>
      <c r="BX265" s="8" t="s">
        <v>2983</v>
      </c>
      <c r="BY265" s="8" t="s">
        <v>3166</v>
      </c>
      <c r="BZ265" s="8" t="str">
        <f>HYPERLINK("https%3A%2F%2Fwww.webofscience.com%2Fwos%2Fwoscc%2Ffull-record%2FWOS:000182261200008","View Full Record in Web of Science")</f>
        <v>View Full Record in Web of Science</v>
      </c>
    </row>
    <row r="266" ht="12.75" customHeight="1">
      <c r="A266" s="8" t="s">
        <v>3329</v>
      </c>
      <c r="B266" s="8" t="s">
        <v>7526</v>
      </c>
      <c r="C266" s="8" t="s">
        <v>2135</v>
      </c>
      <c r="D266" s="8" t="s">
        <v>2135</v>
      </c>
      <c r="E266" s="8" t="s">
        <v>2135</v>
      </c>
      <c r="F266" s="8" t="s">
        <v>7527</v>
      </c>
      <c r="G266" s="8" t="s">
        <v>2135</v>
      </c>
      <c r="H266" s="8" t="s">
        <v>2135</v>
      </c>
      <c r="I266" s="8" t="s">
        <v>1067</v>
      </c>
      <c r="J266" s="8" t="s">
        <v>6946</v>
      </c>
      <c r="K266" s="8" t="s">
        <v>2135</v>
      </c>
      <c r="L266" s="8" t="s">
        <v>2135</v>
      </c>
      <c r="M266" s="8" t="s">
        <v>3332</v>
      </c>
      <c r="N266" s="8" t="s">
        <v>3333</v>
      </c>
      <c r="O266" s="8" t="s">
        <v>2135</v>
      </c>
      <c r="P266" s="8" t="s">
        <v>2135</v>
      </c>
      <c r="Q266" s="8" t="s">
        <v>2135</v>
      </c>
      <c r="R266" s="8" t="s">
        <v>2135</v>
      </c>
      <c r="S266" s="8" t="s">
        <v>2135</v>
      </c>
      <c r="T266" s="8" t="s">
        <v>7528</v>
      </c>
      <c r="U266" s="8" t="s">
        <v>7529</v>
      </c>
      <c r="V266" s="8" t="s">
        <v>7530</v>
      </c>
      <c r="W266" s="8" t="s">
        <v>7531</v>
      </c>
      <c r="X266" s="8" t="s">
        <v>7532</v>
      </c>
      <c r="Y266" s="8" t="s">
        <v>7533</v>
      </c>
      <c r="Z266" s="8" t="s">
        <v>2135</v>
      </c>
      <c r="AA266" s="8" t="s">
        <v>7534</v>
      </c>
      <c r="AB266" s="8" t="s">
        <v>7535</v>
      </c>
      <c r="AC266" s="8" t="s">
        <v>7536</v>
      </c>
      <c r="AD266" s="8" t="s">
        <v>7536</v>
      </c>
      <c r="AE266" s="8" t="s">
        <v>7537</v>
      </c>
      <c r="AF266" s="8" t="s">
        <v>2135</v>
      </c>
      <c r="AG266" s="8">
        <v>44.0</v>
      </c>
      <c r="AH266" s="8">
        <v>16.0</v>
      </c>
      <c r="AI266" s="8">
        <v>17.0</v>
      </c>
      <c r="AJ266" s="8">
        <v>0.0</v>
      </c>
      <c r="AK266" s="8">
        <v>21.0</v>
      </c>
      <c r="AL266" s="8" t="s">
        <v>7538</v>
      </c>
      <c r="AM266" s="8" t="s">
        <v>7539</v>
      </c>
      <c r="AN266" s="8" t="s">
        <v>7540</v>
      </c>
      <c r="AO266" s="8" t="s">
        <v>6955</v>
      </c>
      <c r="AP266" s="8" t="s">
        <v>7541</v>
      </c>
      <c r="AQ266" s="8" t="s">
        <v>2135</v>
      </c>
      <c r="AR266" s="8" t="s">
        <v>6956</v>
      </c>
      <c r="AS266" s="8" t="s">
        <v>6957</v>
      </c>
      <c r="AT266" s="8" t="s">
        <v>3462</v>
      </c>
      <c r="AU266" s="8">
        <v>2008.0</v>
      </c>
      <c r="AV266" s="8">
        <v>39.0</v>
      </c>
      <c r="AW266" s="8">
        <v>3.0</v>
      </c>
      <c r="AX266" s="8" t="s">
        <v>2135</v>
      </c>
      <c r="AY266" s="8" t="s">
        <v>2135</v>
      </c>
      <c r="AZ266" s="8" t="s">
        <v>2135</v>
      </c>
      <c r="BA266" s="8" t="s">
        <v>2135</v>
      </c>
      <c r="BB266" s="8">
        <v>305.0</v>
      </c>
      <c r="BC266" s="8">
        <v>313.0</v>
      </c>
      <c r="BD266" s="8" t="s">
        <v>2135</v>
      </c>
      <c r="BE266" s="8" t="s">
        <v>7542</v>
      </c>
      <c r="BF266" s="13" t="str">
        <f>HYPERLINK("http://dx.doi.org/10.1638/2006-0033.1","http://dx.doi.org/10.1638/2006-0033.1")</f>
        <v>http://dx.doi.org/10.1638/2006-0033.1</v>
      </c>
      <c r="BG266" s="8" t="s">
        <v>2135</v>
      </c>
      <c r="BH266" s="8" t="s">
        <v>2135</v>
      </c>
      <c r="BI266" s="8">
        <v>9.0</v>
      </c>
      <c r="BJ266" s="8" t="s">
        <v>6958</v>
      </c>
      <c r="BK266" s="8" t="s">
        <v>3352</v>
      </c>
      <c r="BL266" s="8" t="s">
        <v>6958</v>
      </c>
      <c r="BM266" s="8" t="s">
        <v>7543</v>
      </c>
      <c r="BN266" s="8">
        <v>1.8816991E7</v>
      </c>
      <c r="BO266" s="8" t="s">
        <v>2135</v>
      </c>
      <c r="BP266" s="8" t="s">
        <v>2135</v>
      </c>
      <c r="BQ266" s="8" t="s">
        <v>2135</v>
      </c>
      <c r="BR266" s="8" t="s">
        <v>3355</v>
      </c>
      <c r="BS266" s="8" t="s">
        <v>7544</v>
      </c>
      <c r="BT266" s="8" t="s">
        <v>2497</v>
      </c>
      <c r="BU266" s="8" t="s">
        <v>2142</v>
      </c>
      <c r="BW266" s="8" t="s">
        <v>2168</v>
      </c>
      <c r="BX266" s="8" t="s">
        <v>3167</v>
      </c>
      <c r="BY266" s="8" t="s">
        <v>3168</v>
      </c>
      <c r="BZ266" s="8" t="str">
        <f>HYPERLINK("https%3A%2F%2Fwww.webofscience.com%2Fwos%2Fwoscc%2Ffull-record%2FWOS:000259417000003","View Full Record in Web of Science")</f>
        <v>View Full Record in Web of Science</v>
      </c>
    </row>
    <row r="267" ht="12.75" customHeight="1">
      <c r="A267" s="8" t="s">
        <v>3329</v>
      </c>
      <c r="B267" s="8" t="s">
        <v>7545</v>
      </c>
      <c r="C267" s="8" t="s">
        <v>2135</v>
      </c>
      <c r="D267" s="8" t="s">
        <v>2135</v>
      </c>
      <c r="E267" s="8" t="s">
        <v>2135</v>
      </c>
      <c r="F267" s="8" t="s">
        <v>7546</v>
      </c>
      <c r="G267" s="8" t="s">
        <v>2135</v>
      </c>
      <c r="H267" s="8" t="s">
        <v>2135</v>
      </c>
      <c r="I267" s="8" t="s">
        <v>1069</v>
      </c>
      <c r="J267" s="8" t="s">
        <v>3467</v>
      </c>
      <c r="K267" s="8" t="s">
        <v>2135</v>
      </c>
      <c r="L267" s="8" t="s">
        <v>2135</v>
      </c>
      <c r="M267" s="8" t="s">
        <v>3332</v>
      </c>
      <c r="N267" s="8" t="s">
        <v>3333</v>
      </c>
      <c r="O267" s="8" t="s">
        <v>2135</v>
      </c>
      <c r="P267" s="8" t="s">
        <v>2135</v>
      </c>
      <c r="Q267" s="8" t="s">
        <v>2135</v>
      </c>
      <c r="R267" s="8" t="s">
        <v>2135</v>
      </c>
      <c r="S267" s="8" t="s">
        <v>2135</v>
      </c>
      <c r="T267" s="8" t="s">
        <v>7547</v>
      </c>
      <c r="U267" s="8" t="s">
        <v>7548</v>
      </c>
      <c r="V267" s="8" t="s">
        <v>7549</v>
      </c>
      <c r="W267" s="8" t="s">
        <v>7550</v>
      </c>
      <c r="X267" s="8" t="s">
        <v>7551</v>
      </c>
      <c r="Y267" s="8" t="s">
        <v>7552</v>
      </c>
      <c r="Z267" s="8" t="s">
        <v>7553</v>
      </c>
      <c r="AA267" s="8" t="s">
        <v>7554</v>
      </c>
      <c r="AB267" s="8" t="s">
        <v>2135</v>
      </c>
      <c r="AC267" s="8" t="s">
        <v>7555</v>
      </c>
      <c r="AD267" s="8" t="s">
        <v>7556</v>
      </c>
      <c r="AE267" s="8" t="s">
        <v>7557</v>
      </c>
      <c r="AF267" s="8" t="s">
        <v>2135</v>
      </c>
      <c r="AG267" s="8">
        <v>44.0</v>
      </c>
      <c r="AH267" s="8">
        <v>3.0</v>
      </c>
      <c r="AI267" s="8">
        <v>3.0</v>
      </c>
      <c r="AJ267" s="8">
        <v>1.0</v>
      </c>
      <c r="AK267" s="8">
        <v>29.0</v>
      </c>
      <c r="AL267" s="8" t="s">
        <v>3479</v>
      </c>
      <c r="AM267" s="8" t="s">
        <v>3480</v>
      </c>
      <c r="AN267" s="8" t="s">
        <v>3739</v>
      </c>
      <c r="AO267" s="8" t="s">
        <v>3482</v>
      </c>
      <c r="AP267" s="8" t="s">
        <v>3740</v>
      </c>
      <c r="AQ267" s="8" t="s">
        <v>2135</v>
      </c>
      <c r="AR267" s="8" t="s">
        <v>3483</v>
      </c>
      <c r="AS267" s="8" t="s">
        <v>3484</v>
      </c>
      <c r="AT267" s="8" t="s">
        <v>3580</v>
      </c>
      <c r="AU267" s="8">
        <v>2017.0</v>
      </c>
      <c r="AV267" s="8">
        <v>63.0</v>
      </c>
      <c r="AW267" s="8">
        <v>5.0</v>
      </c>
      <c r="AX267" s="8" t="s">
        <v>2135</v>
      </c>
      <c r="AY267" s="8" t="s">
        <v>2135</v>
      </c>
      <c r="AZ267" s="8" t="s">
        <v>2135</v>
      </c>
      <c r="BA267" s="8" t="s">
        <v>2135</v>
      </c>
      <c r="BB267" s="8" t="s">
        <v>2135</v>
      </c>
      <c r="BC267" s="8" t="s">
        <v>2135</v>
      </c>
      <c r="BD267" s="8">
        <v>78.0</v>
      </c>
      <c r="BE267" s="8" t="s">
        <v>7558</v>
      </c>
      <c r="BF267" s="13" t="str">
        <f>HYPERLINK("http://dx.doi.org/10.1007/s10344-017-1135-0","http://dx.doi.org/10.1007/s10344-017-1135-0")</f>
        <v>http://dx.doi.org/10.1007/s10344-017-1135-0</v>
      </c>
      <c r="BG267" s="8" t="s">
        <v>2135</v>
      </c>
      <c r="BH267" s="8" t="s">
        <v>2135</v>
      </c>
      <c r="BI267" s="8">
        <v>10.0</v>
      </c>
      <c r="BJ267" s="8" t="s">
        <v>3442</v>
      </c>
      <c r="BK267" s="8" t="s">
        <v>3352</v>
      </c>
      <c r="BL267" s="8" t="s">
        <v>3443</v>
      </c>
      <c r="BM267" s="8" t="s">
        <v>7559</v>
      </c>
      <c r="BN267" s="8" t="s">
        <v>2135</v>
      </c>
      <c r="BO267" s="8" t="s">
        <v>3425</v>
      </c>
      <c r="BP267" s="8" t="s">
        <v>2135</v>
      </c>
      <c r="BQ267" s="8" t="s">
        <v>2135</v>
      </c>
      <c r="BR267" s="8" t="s">
        <v>3355</v>
      </c>
      <c r="BS267" s="8" t="s">
        <v>7560</v>
      </c>
      <c r="BU267" s="8" t="s">
        <v>2142</v>
      </c>
      <c r="BW267" s="8" t="s">
        <v>2168</v>
      </c>
      <c r="BX267" s="8" t="s">
        <v>3169</v>
      </c>
      <c r="BY267" s="8" t="s">
        <v>3170</v>
      </c>
      <c r="BZ267" s="8" t="str">
        <f>HYPERLINK("https%3A%2F%2Fwww.webofscience.com%2Fwos%2Fwoscc%2Ffull-record%2FWOS:000411059800007","View Full Record in Web of Science")</f>
        <v>View Full Record in Web of Science</v>
      </c>
    </row>
    <row r="268" ht="12.75" customHeight="1">
      <c r="A268" s="8" t="s">
        <v>3329</v>
      </c>
      <c r="B268" s="8" t="s">
        <v>7561</v>
      </c>
      <c r="C268" s="8" t="s">
        <v>2135</v>
      </c>
      <c r="D268" s="8" t="s">
        <v>2135</v>
      </c>
      <c r="E268" s="8" t="s">
        <v>2135</v>
      </c>
      <c r="F268" s="8" t="s">
        <v>7562</v>
      </c>
      <c r="G268" s="8" t="s">
        <v>2135</v>
      </c>
      <c r="H268" s="8" t="s">
        <v>2135</v>
      </c>
      <c r="I268" s="8" t="s">
        <v>1443</v>
      </c>
      <c r="J268" s="8" t="s">
        <v>7563</v>
      </c>
      <c r="K268" s="8" t="s">
        <v>2135</v>
      </c>
      <c r="L268" s="8" t="s">
        <v>2135</v>
      </c>
      <c r="M268" s="8" t="s">
        <v>3332</v>
      </c>
      <c r="N268" s="8" t="s">
        <v>3333</v>
      </c>
      <c r="O268" s="8" t="s">
        <v>2135</v>
      </c>
      <c r="P268" s="8" t="s">
        <v>2135</v>
      </c>
      <c r="Q268" s="8" t="s">
        <v>2135</v>
      </c>
      <c r="R268" s="8" t="s">
        <v>2135</v>
      </c>
      <c r="S268" s="8" t="s">
        <v>2135</v>
      </c>
      <c r="T268" s="8" t="s">
        <v>7564</v>
      </c>
      <c r="U268" s="8" t="s">
        <v>7565</v>
      </c>
      <c r="V268" s="8" t="s">
        <v>7566</v>
      </c>
      <c r="W268" s="8" t="s">
        <v>7567</v>
      </c>
      <c r="X268" s="8" t="s">
        <v>7568</v>
      </c>
      <c r="Y268" s="8" t="s">
        <v>7569</v>
      </c>
      <c r="Z268" s="8" t="s">
        <v>7570</v>
      </c>
      <c r="AA268" s="8" t="s">
        <v>7571</v>
      </c>
      <c r="AB268" s="8" t="s">
        <v>7572</v>
      </c>
      <c r="AC268" s="8" t="s">
        <v>2135</v>
      </c>
      <c r="AD268" s="8" t="s">
        <v>2135</v>
      </c>
      <c r="AE268" s="8" t="s">
        <v>2135</v>
      </c>
      <c r="AF268" s="8" t="s">
        <v>2135</v>
      </c>
      <c r="AG268" s="8">
        <v>95.0</v>
      </c>
      <c r="AH268" s="8">
        <v>20.0</v>
      </c>
      <c r="AI268" s="8">
        <v>25.0</v>
      </c>
      <c r="AJ268" s="8">
        <v>4.0</v>
      </c>
      <c r="AK268" s="8">
        <v>81.0</v>
      </c>
      <c r="AL268" s="8" t="s">
        <v>3342</v>
      </c>
      <c r="AM268" s="8" t="s">
        <v>3343</v>
      </c>
      <c r="AN268" s="8" t="s">
        <v>3344</v>
      </c>
      <c r="AO268" s="8" t="s">
        <v>7573</v>
      </c>
      <c r="AP268" s="8" t="s">
        <v>7574</v>
      </c>
      <c r="AQ268" s="8" t="s">
        <v>2135</v>
      </c>
      <c r="AR268" s="8" t="s">
        <v>7563</v>
      </c>
      <c r="AS268" s="8" t="s">
        <v>7575</v>
      </c>
      <c r="AT268" s="8" t="s">
        <v>3440</v>
      </c>
      <c r="AU268" s="8">
        <v>2018.0</v>
      </c>
      <c r="AV268" s="8">
        <v>41.0</v>
      </c>
      <c r="AW268" s="8">
        <v>11.0</v>
      </c>
      <c r="AX268" s="8" t="s">
        <v>2135</v>
      </c>
      <c r="AY268" s="8" t="s">
        <v>2135</v>
      </c>
      <c r="AZ268" s="8" t="s">
        <v>2135</v>
      </c>
      <c r="BA268" s="8" t="s">
        <v>2135</v>
      </c>
      <c r="BB268" s="8">
        <v>1751.0</v>
      </c>
      <c r="BC268" s="8">
        <v>1762.0</v>
      </c>
      <c r="BD268" s="8" t="s">
        <v>2135</v>
      </c>
      <c r="BE268" s="8" t="s">
        <v>7576</v>
      </c>
      <c r="BF268" s="13" t="str">
        <f>HYPERLINK("http://dx.doi.org/10.1111/ecog.03561","http://dx.doi.org/10.1111/ecog.03561")</f>
        <v>http://dx.doi.org/10.1111/ecog.03561</v>
      </c>
      <c r="BG268" s="8" t="s">
        <v>2135</v>
      </c>
      <c r="BH268" s="8" t="s">
        <v>2135</v>
      </c>
      <c r="BI268" s="8">
        <v>12.0</v>
      </c>
      <c r="BJ268" s="8" t="s">
        <v>3558</v>
      </c>
      <c r="BK268" s="8" t="s">
        <v>3352</v>
      </c>
      <c r="BL268" s="8" t="s">
        <v>3353</v>
      </c>
      <c r="BM268" s="8" t="s">
        <v>7577</v>
      </c>
      <c r="BN268" s="8" t="s">
        <v>2135</v>
      </c>
      <c r="BO268" s="8" t="s">
        <v>3445</v>
      </c>
      <c r="BP268" s="8" t="s">
        <v>2135</v>
      </c>
      <c r="BQ268" s="8" t="s">
        <v>2135</v>
      </c>
      <c r="BR268" s="8" t="s">
        <v>3355</v>
      </c>
      <c r="BS268" s="8" t="s">
        <v>7578</v>
      </c>
      <c r="BT268" s="8" t="s">
        <v>2600</v>
      </c>
      <c r="BU268" s="8" t="s">
        <v>2147</v>
      </c>
      <c r="BV268" s="8" t="s">
        <v>2217</v>
      </c>
      <c r="BW268" s="8" t="s">
        <v>2237</v>
      </c>
      <c r="BX268" s="8" t="s">
        <v>2983</v>
      </c>
      <c r="BY268" s="8" t="s">
        <v>2984</v>
      </c>
      <c r="BZ268" s="8" t="str">
        <f>HYPERLINK("https%3A%2F%2Fwww.webofscience.com%2Fwos%2Fwoscc%2Ffull-record%2FWOS:000449886600001","View Full Record in Web of Science")</f>
        <v>View Full Record in Web of Science</v>
      </c>
    </row>
    <row r="269" ht="12.75" customHeight="1">
      <c r="A269" s="8" t="s">
        <v>3329</v>
      </c>
      <c r="B269" s="8" t="s">
        <v>7579</v>
      </c>
      <c r="C269" s="8" t="s">
        <v>2135</v>
      </c>
      <c r="D269" s="8" t="s">
        <v>2135</v>
      </c>
      <c r="E269" s="8" t="s">
        <v>2135</v>
      </c>
      <c r="F269" s="8" t="s">
        <v>7580</v>
      </c>
      <c r="G269" s="8" t="s">
        <v>2135</v>
      </c>
      <c r="H269" s="8" t="s">
        <v>2135</v>
      </c>
      <c r="I269" s="8" t="s">
        <v>1079</v>
      </c>
      <c r="J269" s="8" t="s">
        <v>7581</v>
      </c>
      <c r="K269" s="8" t="s">
        <v>2135</v>
      </c>
      <c r="L269" s="8" t="s">
        <v>2135</v>
      </c>
      <c r="M269" s="8" t="s">
        <v>3332</v>
      </c>
      <c r="N269" s="8" t="s">
        <v>3333</v>
      </c>
      <c r="O269" s="8" t="s">
        <v>2135</v>
      </c>
      <c r="P269" s="8" t="s">
        <v>2135</v>
      </c>
      <c r="Q269" s="8" t="s">
        <v>2135</v>
      </c>
      <c r="R269" s="8" t="s">
        <v>2135</v>
      </c>
      <c r="S269" s="8" t="s">
        <v>2135</v>
      </c>
      <c r="T269" s="8" t="s">
        <v>7582</v>
      </c>
      <c r="U269" s="8" t="s">
        <v>7583</v>
      </c>
      <c r="V269" s="8" t="s">
        <v>7584</v>
      </c>
      <c r="W269" s="8" t="s">
        <v>7585</v>
      </c>
      <c r="X269" s="8" t="s">
        <v>7586</v>
      </c>
      <c r="Y269" s="8" t="s">
        <v>7587</v>
      </c>
      <c r="Z269" s="8" t="s">
        <v>7588</v>
      </c>
      <c r="AA269" s="8" t="s">
        <v>7589</v>
      </c>
      <c r="AB269" s="8" t="s">
        <v>7515</v>
      </c>
      <c r="AC269" s="8" t="s">
        <v>7590</v>
      </c>
      <c r="AD269" s="8" t="s">
        <v>7590</v>
      </c>
      <c r="AE269" s="8" t="s">
        <v>7591</v>
      </c>
      <c r="AF269" s="8" t="s">
        <v>2135</v>
      </c>
      <c r="AG269" s="8">
        <v>20.0</v>
      </c>
      <c r="AH269" s="8">
        <v>5.0</v>
      </c>
      <c r="AI269" s="8">
        <v>5.0</v>
      </c>
      <c r="AJ269" s="8">
        <v>1.0</v>
      </c>
      <c r="AK269" s="8">
        <v>25.0</v>
      </c>
      <c r="AL269" s="8" t="s">
        <v>3479</v>
      </c>
      <c r="AM269" s="8" t="s">
        <v>3480</v>
      </c>
      <c r="AN269" s="8" t="s">
        <v>3481</v>
      </c>
      <c r="AO269" s="8" t="s">
        <v>7592</v>
      </c>
      <c r="AP269" s="8" t="s">
        <v>7593</v>
      </c>
      <c r="AQ269" s="8" t="s">
        <v>2135</v>
      </c>
      <c r="AR269" s="8" t="s">
        <v>7594</v>
      </c>
      <c r="AS269" s="8" t="s">
        <v>7595</v>
      </c>
      <c r="AT269" s="8" t="s">
        <v>3580</v>
      </c>
      <c r="AU269" s="8">
        <v>2018.0</v>
      </c>
      <c r="AV269" s="8">
        <v>117.0</v>
      </c>
      <c r="AW269" s="8">
        <v>10.0</v>
      </c>
      <c r="AX269" s="8" t="s">
        <v>2135</v>
      </c>
      <c r="AY269" s="8" t="s">
        <v>2135</v>
      </c>
      <c r="AZ269" s="8" t="s">
        <v>2135</v>
      </c>
      <c r="BA269" s="8" t="s">
        <v>2135</v>
      </c>
      <c r="BB269" s="8">
        <v>3347.0</v>
      </c>
      <c r="BC269" s="8">
        <v>3350.0</v>
      </c>
      <c r="BD269" s="8" t="s">
        <v>2135</v>
      </c>
      <c r="BE269" s="8" t="s">
        <v>7596</v>
      </c>
      <c r="BF269" s="13" t="str">
        <f>HYPERLINK("http://dx.doi.org/10.1007/s00436-018-6043-z","http://dx.doi.org/10.1007/s00436-018-6043-z")</f>
        <v>http://dx.doi.org/10.1007/s00436-018-6043-z</v>
      </c>
      <c r="BG269" s="8" t="s">
        <v>2135</v>
      </c>
      <c r="BH269" s="8" t="s">
        <v>2135</v>
      </c>
      <c r="BI269" s="8">
        <v>4.0</v>
      </c>
      <c r="BJ269" s="8" t="s">
        <v>7597</v>
      </c>
      <c r="BK269" s="8" t="s">
        <v>3352</v>
      </c>
      <c r="BL269" s="8" t="s">
        <v>7597</v>
      </c>
      <c r="BM269" s="8" t="s">
        <v>7598</v>
      </c>
      <c r="BN269" s="8">
        <v>3.0182257E7</v>
      </c>
      <c r="BO269" s="8" t="s">
        <v>3425</v>
      </c>
      <c r="BP269" s="8" t="s">
        <v>2135</v>
      </c>
      <c r="BQ269" s="8" t="s">
        <v>2135</v>
      </c>
      <c r="BR269" s="8" t="s">
        <v>3355</v>
      </c>
      <c r="BS269" s="8" t="s">
        <v>7599</v>
      </c>
      <c r="BT269" s="8" t="s">
        <v>2497</v>
      </c>
      <c r="BU269" s="8" t="s">
        <v>2142</v>
      </c>
      <c r="BW269" s="8" t="s">
        <v>2168</v>
      </c>
      <c r="BX269" s="8" t="s">
        <v>3173</v>
      </c>
      <c r="BY269" s="8" t="s">
        <v>2986</v>
      </c>
      <c r="BZ269" s="8" t="str">
        <f>HYPERLINK("https%3A%2F%2Fwww.webofscience.com%2Fwos%2Fwoscc%2Ffull-record%2FWOS:000445159500036","View Full Record in Web of Science")</f>
        <v>View Full Record in Web of Science</v>
      </c>
    </row>
    <row r="270" ht="12.75" customHeight="1">
      <c r="A270" s="8" t="s">
        <v>3329</v>
      </c>
      <c r="B270" s="8" t="s">
        <v>7600</v>
      </c>
      <c r="C270" s="8" t="s">
        <v>2135</v>
      </c>
      <c r="D270" s="8" t="s">
        <v>2135</v>
      </c>
      <c r="E270" s="8" t="s">
        <v>2135</v>
      </c>
      <c r="F270" s="8" t="s">
        <v>7601</v>
      </c>
      <c r="G270" s="8" t="s">
        <v>2135</v>
      </c>
      <c r="H270" s="8" t="s">
        <v>2135</v>
      </c>
      <c r="I270" s="8" t="s">
        <v>1077</v>
      </c>
      <c r="J270" s="8" t="s">
        <v>7602</v>
      </c>
      <c r="K270" s="8" t="s">
        <v>2135</v>
      </c>
      <c r="L270" s="8" t="s">
        <v>2135</v>
      </c>
      <c r="M270" s="8" t="s">
        <v>3332</v>
      </c>
      <c r="N270" s="8" t="s">
        <v>3333</v>
      </c>
      <c r="O270" s="8" t="s">
        <v>2135</v>
      </c>
      <c r="P270" s="8" t="s">
        <v>2135</v>
      </c>
      <c r="Q270" s="8" t="s">
        <v>2135</v>
      </c>
      <c r="R270" s="8" t="s">
        <v>2135</v>
      </c>
      <c r="S270" s="8" t="s">
        <v>2135</v>
      </c>
      <c r="T270" s="8" t="s">
        <v>7603</v>
      </c>
      <c r="U270" s="8" t="s">
        <v>7604</v>
      </c>
      <c r="V270" s="8" t="s">
        <v>7605</v>
      </c>
      <c r="W270" s="8" t="s">
        <v>7606</v>
      </c>
      <c r="X270" s="8" t="s">
        <v>7607</v>
      </c>
      <c r="Y270" s="8" t="s">
        <v>7608</v>
      </c>
      <c r="Z270" s="8" t="s">
        <v>7609</v>
      </c>
      <c r="AA270" s="8" t="s">
        <v>7610</v>
      </c>
      <c r="AB270" s="8" t="s">
        <v>7611</v>
      </c>
      <c r="AC270" s="8" t="s">
        <v>7612</v>
      </c>
      <c r="AD270" s="8" t="s">
        <v>7613</v>
      </c>
      <c r="AE270" s="8" t="s">
        <v>7614</v>
      </c>
      <c r="AF270" s="8" t="s">
        <v>2135</v>
      </c>
      <c r="AG270" s="8">
        <v>32.0</v>
      </c>
      <c r="AH270" s="8">
        <v>53.0</v>
      </c>
      <c r="AI270" s="8">
        <v>58.0</v>
      </c>
      <c r="AJ270" s="8">
        <v>1.0</v>
      </c>
      <c r="AK270" s="8">
        <v>116.0</v>
      </c>
      <c r="AL270" s="8" t="s">
        <v>7615</v>
      </c>
      <c r="AM270" s="8" t="s">
        <v>3390</v>
      </c>
      <c r="AN270" s="8" t="s">
        <v>7616</v>
      </c>
      <c r="AO270" s="8" t="s">
        <v>7617</v>
      </c>
      <c r="AP270" s="8" t="s">
        <v>7618</v>
      </c>
      <c r="AQ270" s="8" t="s">
        <v>2135</v>
      </c>
      <c r="AR270" s="8" t="s">
        <v>7619</v>
      </c>
      <c r="AS270" s="8" t="s">
        <v>7620</v>
      </c>
      <c r="AT270" s="8" t="s">
        <v>3556</v>
      </c>
      <c r="AU270" s="8">
        <v>2012.0</v>
      </c>
      <c r="AV270" s="8">
        <v>48.0</v>
      </c>
      <c r="AW270" s="8">
        <v>2.0</v>
      </c>
      <c r="AX270" s="8" t="s">
        <v>2135</v>
      </c>
      <c r="AY270" s="8" t="s">
        <v>2135</v>
      </c>
      <c r="AZ270" s="8" t="s">
        <v>2135</v>
      </c>
      <c r="BA270" s="8" t="s">
        <v>2135</v>
      </c>
      <c r="BB270" s="8">
        <v>394.0</v>
      </c>
      <c r="BC270" s="8">
        <v>404.0</v>
      </c>
      <c r="BD270" s="8" t="s">
        <v>2135</v>
      </c>
      <c r="BE270" s="8" t="s">
        <v>7621</v>
      </c>
      <c r="BF270" s="13" t="str">
        <f>HYPERLINK("http://dx.doi.org/10.7589/0090-3558-48.2.394","http://dx.doi.org/10.7589/0090-3558-48.2.394")</f>
        <v>http://dx.doi.org/10.7589/0090-3558-48.2.394</v>
      </c>
      <c r="BG270" s="8" t="s">
        <v>2135</v>
      </c>
      <c r="BH270" s="8" t="s">
        <v>2135</v>
      </c>
      <c r="BI270" s="8">
        <v>11.0</v>
      </c>
      <c r="BJ270" s="8" t="s">
        <v>6958</v>
      </c>
      <c r="BK270" s="8" t="s">
        <v>3352</v>
      </c>
      <c r="BL270" s="8" t="s">
        <v>6958</v>
      </c>
      <c r="BM270" s="8" t="s">
        <v>7622</v>
      </c>
      <c r="BN270" s="8">
        <v>2.2493114E7</v>
      </c>
      <c r="BO270" s="8" t="s">
        <v>2135</v>
      </c>
      <c r="BP270" s="8" t="s">
        <v>2135</v>
      </c>
      <c r="BQ270" s="8" t="s">
        <v>2135</v>
      </c>
      <c r="BR270" s="8" t="s">
        <v>3355</v>
      </c>
      <c r="BS270" s="8" t="s">
        <v>7623</v>
      </c>
      <c r="BT270" s="8" t="s">
        <v>2600</v>
      </c>
      <c r="BU270" s="8" t="s">
        <v>2147</v>
      </c>
      <c r="BV270" s="8" t="s">
        <v>2217</v>
      </c>
      <c r="BW270" s="8" t="s">
        <v>2237</v>
      </c>
      <c r="BX270" s="8" t="s">
        <v>2985</v>
      </c>
      <c r="BY270" s="8" t="s">
        <v>2986</v>
      </c>
      <c r="BZ270" s="8" t="str">
        <f>HYPERLINK("https%3A%2F%2Fwww.webofscience.com%2Fwos%2Fwoscc%2Ffull-record%2FWOS:000302589000013","View Full Record in Web of Science")</f>
        <v>View Full Record in Web of Science</v>
      </c>
    </row>
    <row r="271" ht="12.75" customHeight="1">
      <c r="A271" s="8" t="s">
        <v>3329</v>
      </c>
      <c r="B271" s="8" t="s">
        <v>7624</v>
      </c>
      <c r="C271" s="8" t="s">
        <v>2135</v>
      </c>
      <c r="D271" s="8" t="s">
        <v>2135</v>
      </c>
      <c r="E271" s="8" t="s">
        <v>2135</v>
      </c>
      <c r="F271" s="8" t="s">
        <v>7625</v>
      </c>
      <c r="G271" s="8" t="s">
        <v>2135</v>
      </c>
      <c r="H271" s="8" t="s">
        <v>2135</v>
      </c>
      <c r="I271" s="8" t="s">
        <v>1104</v>
      </c>
      <c r="J271" s="8" t="s">
        <v>3796</v>
      </c>
      <c r="K271" s="8" t="s">
        <v>2135</v>
      </c>
      <c r="L271" s="8" t="s">
        <v>2135</v>
      </c>
      <c r="M271" s="8" t="s">
        <v>3332</v>
      </c>
      <c r="N271" s="8" t="s">
        <v>3492</v>
      </c>
      <c r="O271" s="8" t="s">
        <v>2135</v>
      </c>
      <c r="P271" s="8" t="s">
        <v>2135</v>
      </c>
      <c r="Q271" s="8" t="s">
        <v>2135</v>
      </c>
      <c r="R271" s="8" t="s">
        <v>2135</v>
      </c>
      <c r="S271" s="8" t="s">
        <v>2135</v>
      </c>
      <c r="T271" s="8" t="s">
        <v>7626</v>
      </c>
      <c r="U271" s="8" t="s">
        <v>7627</v>
      </c>
      <c r="V271" s="8" t="s">
        <v>7628</v>
      </c>
      <c r="W271" s="8" t="s">
        <v>7629</v>
      </c>
      <c r="X271" s="8" t="s">
        <v>5123</v>
      </c>
      <c r="Y271" s="8" t="s">
        <v>7630</v>
      </c>
      <c r="Z271" s="8" t="s">
        <v>7631</v>
      </c>
      <c r="AA271" s="8" t="s">
        <v>2135</v>
      </c>
      <c r="AB271" s="8" t="s">
        <v>2135</v>
      </c>
      <c r="AC271" s="8" t="s">
        <v>7632</v>
      </c>
      <c r="AD271" s="8" t="s">
        <v>7633</v>
      </c>
      <c r="AE271" s="8" t="s">
        <v>7634</v>
      </c>
      <c r="AF271" s="8" t="s">
        <v>2135</v>
      </c>
      <c r="AG271" s="8">
        <v>131.0</v>
      </c>
      <c r="AH271" s="8">
        <v>18.0</v>
      </c>
      <c r="AI271" s="8">
        <v>23.0</v>
      </c>
      <c r="AJ271" s="8">
        <v>0.0</v>
      </c>
      <c r="AK271" s="8">
        <v>127.0</v>
      </c>
      <c r="AL271" s="8" t="s">
        <v>3342</v>
      </c>
      <c r="AM271" s="8" t="s">
        <v>3343</v>
      </c>
      <c r="AN271" s="8" t="s">
        <v>3344</v>
      </c>
      <c r="AO271" s="8" t="s">
        <v>3808</v>
      </c>
      <c r="AP271" s="8" t="s">
        <v>3809</v>
      </c>
      <c r="AQ271" s="8" t="s">
        <v>2135</v>
      </c>
      <c r="AR271" s="8" t="s">
        <v>3810</v>
      </c>
      <c r="AS271" s="8" t="s">
        <v>3811</v>
      </c>
      <c r="AT271" s="8" t="s">
        <v>3556</v>
      </c>
      <c r="AU271" s="8">
        <v>2010.0</v>
      </c>
      <c r="AV271" s="8">
        <v>40.0</v>
      </c>
      <c r="AW271" s="8">
        <v>2.0</v>
      </c>
      <c r="AX271" s="8" t="s">
        <v>2135</v>
      </c>
      <c r="AY271" s="8" t="s">
        <v>2135</v>
      </c>
      <c r="AZ271" s="8" t="s">
        <v>2135</v>
      </c>
      <c r="BA271" s="8" t="s">
        <v>2135</v>
      </c>
      <c r="BB271" s="8">
        <v>103.0</v>
      </c>
      <c r="BC271" s="8">
        <v>124.0</v>
      </c>
      <c r="BD271" s="8" t="s">
        <v>2135</v>
      </c>
      <c r="BE271" s="8" t="s">
        <v>7635</v>
      </c>
      <c r="BF271" s="13" t="str">
        <f>HYPERLINK("http://dx.doi.org/10.1111/j.1365-2907.2009.00156.x","http://dx.doi.org/10.1111/j.1365-2907.2009.00156.x")</f>
        <v>http://dx.doi.org/10.1111/j.1365-2907.2009.00156.x</v>
      </c>
      <c r="BG271" s="8" t="s">
        <v>2135</v>
      </c>
      <c r="BH271" s="8" t="s">
        <v>2135</v>
      </c>
      <c r="BI271" s="8">
        <v>22.0</v>
      </c>
      <c r="BJ271" s="8" t="s">
        <v>3442</v>
      </c>
      <c r="BK271" s="8" t="s">
        <v>3352</v>
      </c>
      <c r="BL271" s="8" t="s">
        <v>3443</v>
      </c>
      <c r="BM271" s="8" t="s">
        <v>3813</v>
      </c>
      <c r="BN271" s="8" t="s">
        <v>2135</v>
      </c>
      <c r="BO271" s="8" t="s">
        <v>2135</v>
      </c>
      <c r="BP271" s="8" t="s">
        <v>2135</v>
      </c>
      <c r="BQ271" s="8" t="s">
        <v>2135</v>
      </c>
      <c r="BR271" s="8" t="s">
        <v>3355</v>
      </c>
      <c r="BS271" s="8" t="s">
        <v>7636</v>
      </c>
      <c r="BT271" s="8" t="s">
        <v>2600</v>
      </c>
      <c r="BU271" s="8" t="s">
        <v>2147</v>
      </c>
      <c r="BV271" s="8" t="s">
        <v>2217</v>
      </c>
      <c r="BW271" s="8" t="s">
        <v>2237</v>
      </c>
      <c r="BX271" s="8" t="s">
        <v>2987</v>
      </c>
      <c r="BY271" s="8" t="s">
        <v>2988</v>
      </c>
      <c r="BZ271" s="8" t="str">
        <f>HYPERLINK("https%3A%2F%2Fwww.webofscience.com%2Fwos%2Fwoscc%2Ffull-record%2FWOS:000275762100001","View Full Record in Web of Science")</f>
        <v>View Full Record in Web of Science</v>
      </c>
    </row>
    <row r="272" ht="12.75" customHeight="1">
      <c r="A272" s="8" t="s">
        <v>3329</v>
      </c>
      <c r="B272" s="8" t="s">
        <v>7637</v>
      </c>
      <c r="C272" s="8" t="s">
        <v>2135</v>
      </c>
      <c r="D272" s="8" t="s">
        <v>2135</v>
      </c>
      <c r="E272" s="8" t="s">
        <v>2135</v>
      </c>
      <c r="F272" s="8" t="s">
        <v>7638</v>
      </c>
      <c r="G272" s="8" t="s">
        <v>2135</v>
      </c>
      <c r="H272" s="8" t="s">
        <v>2135</v>
      </c>
      <c r="I272" s="8" t="s">
        <v>1109</v>
      </c>
      <c r="J272" s="8" t="s">
        <v>3637</v>
      </c>
      <c r="K272" s="8" t="s">
        <v>2135</v>
      </c>
      <c r="L272" s="8" t="s">
        <v>2135</v>
      </c>
      <c r="M272" s="8" t="s">
        <v>3332</v>
      </c>
      <c r="N272" s="8" t="s">
        <v>3333</v>
      </c>
      <c r="O272" s="8" t="s">
        <v>2135</v>
      </c>
      <c r="P272" s="8" t="s">
        <v>2135</v>
      </c>
      <c r="Q272" s="8" t="s">
        <v>2135</v>
      </c>
      <c r="R272" s="8" t="s">
        <v>2135</v>
      </c>
      <c r="S272" s="8" t="s">
        <v>2135</v>
      </c>
      <c r="T272" s="8" t="s">
        <v>2135</v>
      </c>
      <c r="U272" s="8" t="s">
        <v>7639</v>
      </c>
      <c r="V272" s="8" t="s">
        <v>7640</v>
      </c>
      <c r="W272" s="8" t="s">
        <v>7641</v>
      </c>
      <c r="X272" s="8" t="s">
        <v>7642</v>
      </c>
      <c r="Y272" s="8" t="s">
        <v>7643</v>
      </c>
      <c r="Z272" s="8" t="s">
        <v>7644</v>
      </c>
      <c r="AA272" s="8" t="s">
        <v>7645</v>
      </c>
      <c r="AB272" s="8" t="s">
        <v>7646</v>
      </c>
      <c r="AC272" s="8" t="s">
        <v>7647</v>
      </c>
      <c r="AD272" s="8" t="s">
        <v>7648</v>
      </c>
      <c r="AE272" s="8" t="s">
        <v>7649</v>
      </c>
      <c r="AF272" s="8" t="s">
        <v>2135</v>
      </c>
      <c r="AG272" s="8">
        <v>54.0</v>
      </c>
      <c r="AH272" s="8">
        <v>45.0</v>
      </c>
      <c r="AI272" s="8">
        <v>54.0</v>
      </c>
      <c r="AJ272" s="8">
        <v>1.0</v>
      </c>
      <c r="AK272" s="8">
        <v>63.0</v>
      </c>
      <c r="AL272" s="8" t="s">
        <v>3648</v>
      </c>
      <c r="AM272" s="8" t="s">
        <v>3649</v>
      </c>
      <c r="AN272" s="8" t="s">
        <v>3650</v>
      </c>
      <c r="AO272" s="8" t="s">
        <v>3651</v>
      </c>
      <c r="AP272" s="8" t="s">
        <v>2135</v>
      </c>
      <c r="AQ272" s="8" t="s">
        <v>2135</v>
      </c>
      <c r="AR272" s="8" t="s">
        <v>3637</v>
      </c>
      <c r="AS272" s="8" t="s">
        <v>3652</v>
      </c>
      <c r="AT272" s="8" t="s">
        <v>7650</v>
      </c>
      <c r="AU272" s="8">
        <v>2015.0</v>
      </c>
      <c r="AV272" s="8">
        <v>10.0</v>
      </c>
      <c r="AW272" s="8">
        <v>11.0</v>
      </c>
      <c r="AX272" s="8" t="s">
        <v>2135</v>
      </c>
      <c r="AY272" s="8" t="s">
        <v>2135</v>
      </c>
      <c r="AZ272" s="8" t="s">
        <v>2135</v>
      </c>
      <c r="BA272" s="8" t="s">
        <v>2135</v>
      </c>
      <c r="BB272" s="8" t="s">
        <v>2135</v>
      </c>
      <c r="BC272" s="8" t="s">
        <v>2135</v>
      </c>
      <c r="BD272" s="8" t="s">
        <v>7651</v>
      </c>
      <c r="BE272" s="8" t="s">
        <v>7652</v>
      </c>
      <c r="BF272" s="13" t="str">
        <f>HYPERLINK("http://dx.doi.org/10.1371/journal.pone.0140640","http://dx.doi.org/10.1371/journal.pone.0140640")</f>
        <v>http://dx.doi.org/10.1371/journal.pone.0140640</v>
      </c>
      <c r="BG272" s="8" t="s">
        <v>2135</v>
      </c>
      <c r="BH272" s="8" t="s">
        <v>2135</v>
      </c>
      <c r="BI272" s="8">
        <v>19.0</v>
      </c>
      <c r="BJ272" s="8" t="s">
        <v>3656</v>
      </c>
      <c r="BK272" s="8" t="s">
        <v>3352</v>
      </c>
      <c r="BL272" s="8" t="s">
        <v>3657</v>
      </c>
      <c r="BM272" s="8" t="s">
        <v>7653</v>
      </c>
      <c r="BN272" s="8">
        <v>2.6536481E7</v>
      </c>
      <c r="BO272" s="8" t="s">
        <v>3659</v>
      </c>
      <c r="BP272" s="8" t="s">
        <v>2135</v>
      </c>
      <c r="BQ272" s="8" t="s">
        <v>2135</v>
      </c>
      <c r="BR272" s="8" t="s">
        <v>3355</v>
      </c>
      <c r="BS272" s="8" t="s">
        <v>7654</v>
      </c>
      <c r="BT272" s="8" t="s">
        <v>2600</v>
      </c>
      <c r="BU272" s="8" t="s">
        <v>2147</v>
      </c>
      <c r="BV272" s="8" t="s">
        <v>2217</v>
      </c>
      <c r="BW272" s="8" t="s">
        <v>2224</v>
      </c>
      <c r="BX272" s="8" t="s">
        <v>3199</v>
      </c>
      <c r="BY272" s="8" t="s">
        <v>3200</v>
      </c>
      <c r="BZ272" s="8" t="str">
        <f>HYPERLINK("https%3A%2F%2Fwww.webofscience.com%2Fwos%2Fwoscc%2Ffull-record%2FWOS:000364298400028","View Full Record in Web of Science")</f>
        <v>View Full Record in Web of Science</v>
      </c>
    </row>
    <row r="273" ht="12.75" customHeight="1">
      <c r="A273" s="8" t="s">
        <v>3329</v>
      </c>
      <c r="B273" s="8" t="s">
        <v>7655</v>
      </c>
      <c r="C273" s="8" t="s">
        <v>2135</v>
      </c>
      <c r="D273" s="8" t="s">
        <v>2135</v>
      </c>
      <c r="E273" s="8" t="s">
        <v>2135</v>
      </c>
      <c r="F273" s="8" t="s">
        <v>7656</v>
      </c>
      <c r="G273" s="8" t="s">
        <v>2135</v>
      </c>
      <c r="H273" s="8" t="s">
        <v>2135</v>
      </c>
      <c r="I273" s="8" t="s">
        <v>1111</v>
      </c>
      <c r="J273" s="8" t="s">
        <v>3380</v>
      </c>
      <c r="K273" s="8" t="s">
        <v>2135</v>
      </c>
      <c r="L273" s="8" t="s">
        <v>2135</v>
      </c>
      <c r="M273" s="8" t="s">
        <v>3332</v>
      </c>
      <c r="N273" s="8" t="s">
        <v>3333</v>
      </c>
      <c r="O273" s="8" t="s">
        <v>2135</v>
      </c>
      <c r="P273" s="8" t="s">
        <v>2135</v>
      </c>
      <c r="Q273" s="8" t="s">
        <v>2135</v>
      </c>
      <c r="R273" s="8" t="s">
        <v>2135</v>
      </c>
      <c r="S273" s="8" t="s">
        <v>2135</v>
      </c>
      <c r="T273" s="8" t="s">
        <v>7657</v>
      </c>
      <c r="U273" s="8" t="s">
        <v>7658</v>
      </c>
      <c r="V273" s="8" t="s">
        <v>7659</v>
      </c>
      <c r="W273" s="8" t="s">
        <v>7660</v>
      </c>
      <c r="X273" s="8" t="s">
        <v>7661</v>
      </c>
      <c r="Y273" s="8" t="s">
        <v>7662</v>
      </c>
      <c r="Z273" s="8" t="s">
        <v>7663</v>
      </c>
      <c r="AA273" s="8" t="s">
        <v>7664</v>
      </c>
      <c r="AB273" s="8" t="s">
        <v>2135</v>
      </c>
      <c r="AC273" s="8" t="s">
        <v>7665</v>
      </c>
      <c r="AD273" s="8" t="s">
        <v>7665</v>
      </c>
      <c r="AE273" s="8" t="s">
        <v>7666</v>
      </c>
      <c r="AF273" s="8" t="s">
        <v>2135</v>
      </c>
      <c r="AG273" s="8">
        <v>77.0</v>
      </c>
      <c r="AH273" s="8">
        <v>19.0</v>
      </c>
      <c r="AI273" s="8">
        <v>26.0</v>
      </c>
      <c r="AJ273" s="8">
        <v>1.0</v>
      </c>
      <c r="AK273" s="8">
        <v>110.0</v>
      </c>
      <c r="AL273" s="8" t="s">
        <v>3921</v>
      </c>
      <c r="AM273" s="8" t="s">
        <v>3922</v>
      </c>
      <c r="AN273" s="8" t="s">
        <v>3923</v>
      </c>
      <c r="AO273" s="8" t="s">
        <v>3392</v>
      </c>
      <c r="AP273" s="8" t="s">
        <v>4022</v>
      </c>
      <c r="AQ273" s="8" t="s">
        <v>2135</v>
      </c>
      <c r="AR273" s="8" t="s">
        <v>3393</v>
      </c>
      <c r="AS273" s="8" t="s">
        <v>3394</v>
      </c>
      <c r="AT273" s="8" t="s">
        <v>3395</v>
      </c>
      <c r="AU273" s="8">
        <v>2015.0</v>
      </c>
      <c r="AV273" s="8">
        <v>96.0</v>
      </c>
      <c r="AW273" s="8">
        <v>4.0</v>
      </c>
      <c r="AX273" s="8" t="s">
        <v>2135</v>
      </c>
      <c r="AY273" s="8" t="s">
        <v>2135</v>
      </c>
      <c r="AZ273" s="8" t="s">
        <v>2135</v>
      </c>
      <c r="BA273" s="8" t="s">
        <v>2135</v>
      </c>
      <c r="BB273" s="8">
        <v>772.0</v>
      </c>
      <c r="BC273" s="8">
        <v>790.0</v>
      </c>
      <c r="BD273" s="8" t="s">
        <v>2135</v>
      </c>
      <c r="BE273" s="8" t="s">
        <v>7667</v>
      </c>
      <c r="BF273" s="13" t="str">
        <f>HYPERLINK("http://dx.doi.org/10.1093/jmammal/gyv083","http://dx.doi.org/10.1093/jmammal/gyv083")</f>
        <v>http://dx.doi.org/10.1093/jmammal/gyv083</v>
      </c>
      <c r="BG273" s="8" t="s">
        <v>2135</v>
      </c>
      <c r="BH273" s="8" t="s">
        <v>2135</v>
      </c>
      <c r="BI273" s="8">
        <v>19.0</v>
      </c>
      <c r="BJ273" s="8" t="s">
        <v>3397</v>
      </c>
      <c r="BK273" s="8" t="s">
        <v>3352</v>
      </c>
      <c r="BL273" s="8" t="s">
        <v>3397</v>
      </c>
      <c r="BM273" s="8" t="s">
        <v>7668</v>
      </c>
      <c r="BN273" s="8" t="s">
        <v>2135</v>
      </c>
      <c r="BO273" s="8" t="s">
        <v>2135</v>
      </c>
      <c r="BP273" s="8" t="s">
        <v>2135</v>
      </c>
      <c r="BQ273" s="8" t="s">
        <v>2135</v>
      </c>
      <c r="BR273" s="8" t="s">
        <v>3355</v>
      </c>
      <c r="BS273" s="8" t="s">
        <v>7669</v>
      </c>
      <c r="BT273" s="8" t="s">
        <v>2600</v>
      </c>
      <c r="BU273" s="8" t="s">
        <v>2147</v>
      </c>
      <c r="BV273" s="8" t="s">
        <v>2217</v>
      </c>
      <c r="BW273" s="8" t="s">
        <v>2224</v>
      </c>
      <c r="BX273" s="8" t="s">
        <v>3199</v>
      </c>
      <c r="BY273" s="8" t="s">
        <v>3200</v>
      </c>
      <c r="BZ273" s="8" t="str">
        <f>HYPERLINK("https%3A%2F%2Fwww.webofscience.com%2Fwos%2Fwoscc%2Ffull-record%2FWOS:000360582700015","View Full Record in Web of Science")</f>
        <v>View Full Record in Web of Science</v>
      </c>
    </row>
    <row r="274" ht="12.75" customHeight="1">
      <c r="A274" s="8" t="s">
        <v>3329</v>
      </c>
      <c r="B274" s="8" t="s">
        <v>7670</v>
      </c>
      <c r="C274" s="8" t="s">
        <v>2135</v>
      </c>
      <c r="D274" s="8" t="s">
        <v>2135</v>
      </c>
      <c r="E274" s="8" t="s">
        <v>2135</v>
      </c>
      <c r="F274" s="8" t="s">
        <v>7670</v>
      </c>
      <c r="G274" s="8" t="s">
        <v>2135</v>
      </c>
      <c r="H274" s="8" t="s">
        <v>2135</v>
      </c>
      <c r="I274" s="8" t="s">
        <v>1113</v>
      </c>
      <c r="J274" s="8" t="s">
        <v>7671</v>
      </c>
      <c r="K274" s="8" t="s">
        <v>2135</v>
      </c>
      <c r="L274" s="8" t="s">
        <v>2135</v>
      </c>
      <c r="M274" s="8" t="s">
        <v>3332</v>
      </c>
      <c r="N274" s="8" t="s">
        <v>3333</v>
      </c>
      <c r="O274" s="8" t="s">
        <v>2135</v>
      </c>
      <c r="P274" s="8" t="s">
        <v>2135</v>
      </c>
      <c r="Q274" s="8" t="s">
        <v>2135</v>
      </c>
      <c r="R274" s="8" t="s">
        <v>2135</v>
      </c>
      <c r="S274" s="8" t="s">
        <v>2135</v>
      </c>
      <c r="T274" s="8" t="s">
        <v>7672</v>
      </c>
      <c r="U274" s="8" t="s">
        <v>2135</v>
      </c>
      <c r="V274" s="8" t="s">
        <v>7673</v>
      </c>
      <c r="W274" s="8" t="s">
        <v>7674</v>
      </c>
      <c r="X274" s="8" t="s">
        <v>7675</v>
      </c>
      <c r="Y274" s="8" t="s">
        <v>7676</v>
      </c>
      <c r="Z274" s="8" t="s">
        <v>2135</v>
      </c>
      <c r="AA274" s="8" t="s">
        <v>2135</v>
      </c>
      <c r="AB274" s="8" t="s">
        <v>2135</v>
      </c>
      <c r="AC274" s="8" t="s">
        <v>2135</v>
      </c>
      <c r="AD274" s="8" t="s">
        <v>2135</v>
      </c>
      <c r="AE274" s="8" t="s">
        <v>2135</v>
      </c>
      <c r="AF274" s="8" t="s">
        <v>2135</v>
      </c>
      <c r="AG274" s="8">
        <v>12.0</v>
      </c>
      <c r="AH274" s="8">
        <v>13.0</v>
      </c>
      <c r="AI274" s="8">
        <v>17.0</v>
      </c>
      <c r="AJ274" s="8">
        <v>2.0</v>
      </c>
      <c r="AK274" s="8">
        <v>31.0</v>
      </c>
      <c r="AL274" s="8" t="s">
        <v>3366</v>
      </c>
      <c r="AM274" s="8" t="s">
        <v>3367</v>
      </c>
      <c r="AN274" s="8" t="s">
        <v>3368</v>
      </c>
      <c r="AO274" s="8" t="s">
        <v>7677</v>
      </c>
      <c r="AP274" s="8" t="s">
        <v>2135</v>
      </c>
      <c r="AQ274" s="8" t="s">
        <v>2135</v>
      </c>
      <c r="AR274" s="8" t="s">
        <v>7678</v>
      </c>
      <c r="AS274" s="8" t="s">
        <v>7679</v>
      </c>
      <c r="AT274" s="8" t="s">
        <v>7680</v>
      </c>
      <c r="AU274" s="8">
        <v>2002.0</v>
      </c>
      <c r="AV274" s="8">
        <v>89.0</v>
      </c>
      <c r="AW274" s="8" t="s">
        <v>6706</v>
      </c>
      <c r="AX274" s="8" t="s">
        <v>2135</v>
      </c>
      <c r="AY274" s="8" t="s">
        <v>2135</v>
      </c>
      <c r="AZ274" s="8" t="s">
        <v>2135</v>
      </c>
      <c r="BA274" s="8" t="s">
        <v>2135</v>
      </c>
      <c r="BB274" s="8">
        <v>187.0</v>
      </c>
      <c r="BC274" s="8">
        <v>195.0</v>
      </c>
      <c r="BD274" s="8" t="s">
        <v>7681</v>
      </c>
      <c r="BE274" s="8" t="s">
        <v>7682</v>
      </c>
      <c r="BF274" s="13" t="str">
        <f>HYPERLINK("http://dx.doi.org/10.1016/S0165-2427(02)00208-8","http://dx.doi.org/10.1016/S0165-2427(02)00208-8")</f>
        <v>http://dx.doi.org/10.1016/S0165-2427(02)00208-8</v>
      </c>
      <c r="BG274" s="8" t="s">
        <v>2135</v>
      </c>
      <c r="BH274" s="8" t="s">
        <v>2135</v>
      </c>
      <c r="BI274" s="8">
        <v>9.0</v>
      </c>
      <c r="BJ274" s="8" t="s">
        <v>7683</v>
      </c>
      <c r="BK274" s="8" t="s">
        <v>3352</v>
      </c>
      <c r="BL274" s="8" t="s">
        <v>7683</v>
      </c>
      <c r="BM274" s="8" t="s">
        <v>7684</v>
      </c>
      <c r="BN274" s="8">
        <v>1.238365E7</v>
      </c>
      <c r="BO274" s="8" t="s">
        <v>2135</v>
      </c>
      <c r="BP274" s="8" t="s">
        <v>2135</v>
      </c>
      <c r="BQ274" s="8" t="s">
        <v>2135</v>
      </c>
      <c r="BR274" s="8" t="s">
        <v>3355</v>
      </c>
      <c r="BS274" s="8" t="s">
        <v>7685</v>
      </c>
      <c r="BT274" s="8" t="s">
        <v>2600</v>
      </c>
      <c r="BU274" s="8" t="s">
        <v>2147</v>
      </c>
      <c r="BV274" s="8" t="s">
        <v>2217</v>
      </c>
      <c r="BW274" s="8" t="s">
        <v>2237</v>
      </c>
      <c r="BX274" s="8" t="s">
        <v>2989</v>
      </c>
      <c r="BY274" s="8" t="s">
        <v>2990</v>
      </c>
      <c r="BZ274" s="8" t="str">
        <f>HYPERLINK("https%3A%2F%2Fwww.webofscience.com%2Fwos%2Fwoscc%2Ffull-record%2FWOS:000178757000009","View Full Record in Web of Science")</f>
        <v>View Full Record in Web of Science</v>
      </c>
    </row>
    <row r="275" ht="12.75" customHeight="1">
      <c r="A275" s="8" t="s">
        <v>3329</v>
      </c>
      <c r="B275" s="8" t="s">
        <v>7686</v>
      </c>
      <c r="C275" s="8" t="s">
        <v>2135</v>
      </c>
      <c r="D275" s="8" t="s">
        <v>2135</v>
      </c>
      <c r="E275" s="8" t="s">
        <v>2135</v>
      </c>
      <c r="F275" s="8" t="s">
        <v>7687</v>
      </c>
      <c r="G275" s="8" t="s">
        <v>2135</v>
      </c>
      <c r="H275" s="8" t="s">
        <v>2135</v>
      </c>
      <c r="I275" s="8" t="s">
        <v>1115</v>
      </c>
      <c r="J275" s="8" t="s">
        <v>7688</v>
      </c>
      <c r="K275" s="8" t="s">
        <v>2135</v>
      </c>
      <c r="L275" s="8" t="s">
        <v>2135</v>
      </c>
      <c r="M275" s="8" t="s">
        <v>3332</v>
      </c>
      <c r="N275" s="8" t="s">
        <v>3333</v>
      </c>
      <c r="O275" s="8" t="s">
        <v>2135</v>
      </c>
      <c r="P275" s="8" t="s">
        <v>2135</v>
      </c>
      <c r="Q275" s="8" t="s">
        <v>2135</v>
      </c>
      <c r="R275" s="8" t="s">
        <v>2135</v>
      </c>
      <c r="S275" s="8" t="s">
        <v>2135</v>
      </c>
      <c r="T275" s="8" t="s">
        <v>2135</v>
      </c>
      <c r="U275" s="8" t="s">
        <v>7689</v>
      </c>
      <c r="V275" s="8" t="s">
        <v>7690</v>
      </c>
      <c r="W275" s="8" t="s">
        <v>7691</v>
      </c>
      <c r="X275" s="8" t="s">
        <v>7692</v>
      </c>
      <c r="Y275" s="8" t="s">
        <v>7693</v>
      </c>
      <c r="Z275" s="8" t="s">
        <v>7694</v>
      </c>
      <c r="AA275" s="8" t="s">
        <v>7610</v>
      </c>
      <c r="AB275" s="8" t="s">
        <v>7695</v>
      </c>
      <c r="AC275" s="8" t="s">
        <v>7696</v>
      </c>
      <c r="AD275" s="8" t="s">
        <v>7697</v>
      </c>
      <c r="AE275" s="8" t="s">
        <v>7698</v>
      </c>
      <c r="AF275" s="8" t="s">
        <v>2135</v>
      </c>
      <c r="AG275" s="8">
        <v>76.0</v>
      </c>
      <c r="AH275" s="8">
        <v>51.0</v>
      </c>
      <c r="AI275" s="8">
        <v>60.0</v>
      </c>
      <c r="AJ275" s="8">
        <v>1.0</v>
      </c>
      <c r="AK275" s="8">
        <v>80.0</v>
      </c>
      <c r="AL275" s="8" t="s">
        <v>3648</v>
      </c>
      <c r="AM275" s="8" t="s">
        <v>3649</v>
      </c>
      <c r="AN275" s="8" t="s">
        <v>3650</v>
      </c>
      <c r="AO275" s="8" t="s">
        <v>7699</v>
      </c>
      <c r="AP275" s="8" t="s">
        <v>2135</v>
      </c>
      <c r="AQ275" s="8" t="s">
        <v>2135</v>
      </c>
      <c r="AR275" s="8" t="s">
        <v>7700</v>
      </c>
      <c r="AS275" s="8" t="s">
        <v>7701</v>
      </c>
      <c r="AT275" s="8" t="s">
        <v>3765</v>
      </c>
      <c r="AU275" s="8">
        <v>2014.0</v>
      </c>
      <c r="AV275" s="8">
        <v>8.0</v>
      </c>
      <c r="AW275" s="8">
        <v>5.0</v>
      </c>
      <c r="AX275" s="8" t="s">
        <v>2135</v>
      </c>
      <c r="AY275" s="8" t="s">
        <v>2135</v>
      </c>
      <c r="AZ275" s="8" t="s">
        <v>2135</v>
      </c>
      <c r="BA275" s="8" t="s">
        <v>2135</v>
      </c>
      <c r="BB275" s="8" t="s">
        <v>2135</v>
      </c>
      <c r="BC275" s="8" t="s">
        <v>2135</v>
      </c>
      <c r="BD275" s="8" t="s">
        <v>7702</v>
      </c>
      <c r="BE275" s="8" t="s">
        <v>7703</v>
      </c>
      <c r="BF275" s="13" t="str">
        <f>HYPERLINK("http://dx.doi.org/10.1371/journal.pntd.0002852","http://dx.doi.org/10.1371/journal.pntd.0002852")</f>
        <v>http://dx.doi.org/10.1371/journal.pntd.0002852</v>
      </c>
      <c r="BG275" s="8" t="s">
        <v>2135</v>
      </c>
      <c r="BH275" s="8" t="s">
        <v>2135</v>
      </c>
      <c r="BI275" s="8">
        <v>14.0</v>
      </c>
      <c r="BJ275" s="8" t="s">
        <v>7704</v>
      </c>
      <c r="BK275" s="8" t="s">
        <v>3352</v>
      </c>
      <c r="BL275" s="8" t="s">
        <v>7704</v>
      </c>
      <c r="BM275" s="8" t="s">
        <v>7705</v>
      </c>
      <c r="BN275" s="8">
        <v>2.4874796E7</v>
      </c>
      <c r="BO275" s="8" t="s">
        <v>3659</v>
      </c>
      <c r="BP275" s="8" t="s">
        <v>2135</v>
      </c>
      <c r="BQ275" s="8" t="s">
        <v>2135</v>
      </c>
      <c r="BR275" s="8" t="s">
        <v>3355</v>
      </c>
      <c r="BS275" s="8" t="s">
        <v>7706</v>
      </c>
      <c r="BT275" s="8" t="s">
        <v>2600</v>
      </c>
      <c r="BU275" s="8" t="s">
        <v>2147</v>
      </c>
      <c r="BV275" s="8" t="s">
        <v>2217</v>
      </c>
      <c r="BW275" s="8" t="s">
        <v>2237</v>
      </c>
      <c r="BX275" s="8" t="s">
        <v>2985</v>
      </c>
      <c r="BY275" s="8" t="s">
        <v>2991</v>
      </c>
      <c r="BZ275" s="8" t="str">
        <f>HYPERLINK("https%3A%2F%2Fwww.webofscience.com%2Fwos%2Fwoscc%2Ffull-record%2FWOS:000337735100046","View Full Record in Web of Science")</f>
        <v>View Full Record in Web of Science</v>
      </c>
    </row>
    <row r="276" ht="12.75" customHeight="1">
      <c r="A276" s="8" t="s">
        <v>3329</v>
      </c>
      <c r="B276" s="8" t="s">
        <v>7707</v>
      </c>
      <c r="C276" s="8" t="s">
        <v>2135</v>
      </c>
      <c r="D276" s="8" t="s">
        <v>2135</v>
      </c>
      <c r="E276" s="8" t="s">
        <v>2135</v>
      </c>
      <c r="F276" s="8" t="s">
        <v>7708</v>
      </c>
      <c r="G276" s="8" t="s">
        <v>2135</v>
      </c>
      <c r="H276" s="8" t="s">
        <v>2135</v>
      </c>
      <c r="I276" s="8" t="s">
        <v>1119</v>
      </c>
      <c r="J276" s="8" t="s">
        <v>4162</v>
      </c>
      <c r="K276" s="8" t="s">
        <v>2135</v>
      </c>
      <c r="L276" s="8" t="s">
        <v>2135</v>
      </c>
      <c r="M276" s="8" t="s">
        <v>3332</v>
      </c>
      <c r="N276" s="8" t="s">
        <v>3333</v>
      </c>
      <c r="O276" s="8" t="s">
        <v>2135</v>
      </c>
      <c r="P276" s="8" t="s">
        <v>2135</v>
      </c>
      <c r="Q276" s="8" t="s">
        <v>2135</v>
      </c>
      <c r="R276" s="8" t="s">
        <v>2135</v>
      </c>
      <c r="S276" s="8" t="s">
        <v>2135</v>
      </c>
      <c r="T276" s="8" t="s">
        <v>7709</v>
      </c>
      <c r="U276" s="8" t="s">
        <v>7710</v>
      </c>
      <c r="V276" s="8" t="s">
        <v>7711</v>
      </c>
      <c r="W276" s="8" t="s">
        <v>7712</v>
      </c>
      <c r="X276" s="8" t="s">
        <v>7713</v>
      </c>
      <c r="Y276" s="8" t="s">
        <v>7662</v>
      </c>
      <c r="Z276" s="8" t="s">
        <v>7714</v>
      </c>
      <c r="AA276" s="8" t="s">
        <v>7715</v>
      </c>
      <c r="AB276" s="8" t="s">
        <v>2135</v>
      </c>
      <c r="AC276" s="8" t="s">
        <v>7716</v>
      </c>
      <c r="AD276" s="8" t="s">
        <v>7717</v>
      </c>
      <c r="AE276" s="8" t="s">
        <v>7718</v>
      </c>
      <c r="AF276" s="8" t="s">
        <v>2135</v>
      </c>
      <c r="AG276" s="8">
        <v>89.0</v>
      </c>
      <c r="AH276" s="8">
        <v>14.0</v>
      </c>
      <c r="AI276" s="8">
        <v>17.0</v>
      </c>
      <c r="AJ276" s="8">
        <v>0.0</v>
      </c>
      <c r="AK276" s="8">
        <v>106.0</v>
      </c>
      <c r="AL276" s="8" t="s">
        <v>3342</v>
      </c>
      <c r="AM276" s="8" t="s">
        <v>3343</v>
      </c>
      <c r="AN276" s="8" t="s">
        <v>3344</v>
      </c>
      <c r="AO276" s="8" t="s">
        <v>4175</v>
      </c>
      <c r="AP276" s="8" t="s">
        <v>4176</v>
      </c>
      <c r="AQ276" s="8" t="s">
        <v>2135</v>
      </c>
      <c r="AR276" s="8" t="s">
        <v>4177</v>
      </c>
      <c r="AS276" s="8" t="s">
        <v>4178</v>
      </c>
      <c r="AT276" s="8" t="s">
        <v>3556</v>
      </c>
      <c r="AU276" s="8">
        <v>2016.0</v>
      </c>
      <c r="AV276" s="8">
        <v>80.0</v>
      </c>
      <c r="AW276" s="8">
        <v>3.0</v>
      </c>
      <c r="AX276" s="8" t="s">
        <v>2135</v>
      </c>
      <c r="AY276" s="8" t="s">
        <v>2135</v>
      </c>
      <c r="AZ276" s="8" t="s">
        <v>2135</v>
      </c>
      <c r="BA276" s="8" t="s">
        <v>2135</v>
      </c>
      <c r="BB276" s="8">
        <v>438.0</v>
      </c>
      <c r="BC276" s="8">
        <v>451.0</v>
      </c>
      <c r="BD276" s="8" t="s">
        <v>2135</v>
      </c>
      <c r="BE276" s="8" t="s">
        <v>7719</v>
      </c>
      <c r="BF276" s="13" t="str">
        <f>HYPERLINK("http://dx.doi.org/10.1002/jwmg.1020","http://dx.doi.org/10.1002/jwmg.1020")</f>
        <v>http://dx.doi.org/10.1002/jwmg.1020</v>
      </c>
      <c r="BG276" s="8" t="s">
        <v>2135</v>
      </c>
      <c r="BH276" s="8" t="s">
        <v>2135</v>
      </c>
      <c r="BI276" s="8">
        <v>14.0</v>
      </c>
      <c r="BJ276" s="8" t="s">
        <v>3442</v>
      </c>
      <c r="BK276" s="8" t="s">
        <v>3352</v>
      </c>
      <c r="BL276" s="8" t="s">
        <v>3443</v>
      </c>
      <c r="BM276" s="8" t="s">
        <v>7720</v>
      </c>
      <c r="BN276" s="8" t="s">
        <v>2135</v>
      </c>
      <c r="BO276" s="8" t="s">
        <v>2135</v>
      </c>
      <c r="BP276" s="8" t="s">
        <v>2135</v>
      </c>
      <c r="BQ276" s="8" t="s">
        <v>2135</v>
      </c>
      <c r="BR276" s="8" t="s">
        <v>3355</v>
      </c>
      <c r="BS276" s="8" t="s">
        <v>7721</v>
      </c>
      <c r="BT276" s="8" t="s">
        <v>2600</v>
      </c>
      <c r="BU276" s="8" t="s">
        <v>2147</v>
      </c>
      <c r="BV276" s="8" t="s">
        <v>2217</v>
      </c>
      <c r="BW276" s="8" t="s">
        <v>2224</v>
      </c>
      <c r="BX276" s="8" t="s">
        <v>3201</v>
      </c>
      <c r="BY276" s="8" t="s">
        <v>3175</v>
      </c>
      <c r="BZ276" s="8" t="str">
        <f>HYPERLINK("https%3A%2F%2Fwww.webofscience.com%2Fwos%2Fwoscc%2Ffull-record%2FWOS:000373480100006","View Full Record in Web of Science")</f>
        <v>View Full Record in Web of Science</v>
      </c>
    </row>
    <row r="277" ht="12.75" customHeight="1">
      <c r="A277" s="8" t="s">
        <v>3329</v>
      </c>
      <c r="B277" s="8" t="s">
        <v>7722</v>
      </c>
      <c r="C277" s="8" t="s">
        <v>2135</v>
      </c>
      <c r="D277" s="8" t="s">
        <v>2135</v>
      </c>
      <c r="E277" s="8" t="s">
        <v>2135</v>
      </c>
      <c r="F277" s="8" t="s">
        <v>7722</v>
      </c>
      <c r="G277" s="8" t="s">
        <v>2135</v>
      </c>
      <c r="H277" s="8" t="s">
        <v>2135</v>
      </c>
      <c r="I277" s="8" t="s">
        <v>1117</v>
      </c>
      <c r="J277" s="8" t="s">
        <v>4986</v>
      </c>
      <c r="K277" s="8" t="s">
        <v>2135</v>
      </c>
      <c r="L277" s="8" t="s">
        <v>2135</v>
      </c>
      <c r="M277" s="8" t="s">
        <v>3332</v>
      </c>
      <c r="N277" s="8" t="s">
        <v>3333</v>
      </c>
      <c r="O277" s="8" t="s">
        <v>2135</v>
      </c>
      <c r="P277" s="8" t="s">
        <v>2135</v>
      </c>
      <c r="Q277" s="8" t="s">
        <v>2135</v>
      </c>
      <c r="R277" s="8" t="s">
        <v>2135</v>
      </c>
      <c r="S277" s="8" t="s">
        <v>2135</v>
      </c>
      <c r="T277" s="8" t="s">
        <v>7723</v>
      </c>
      <c r="U277" s="8" t="s">
        <v>7724</v>
      </c>
      <c r="V277" s="8" t="s">
        <v>7725</v>
      </c>
      <c r="W277" s="8" t="s">
        <v>7726</v>
      </c>
      <c r="X277" s="8" t="s">
        <v>7727</v>
      </c>
      <c r="Y277" s="8" t="s">
        <v>7728</v>
      </c>
      <c r="Z277" s="8" t="s">
        <v>7729</v>
      </c>
      <c r="AA277" s="8" t="s">
        <v>2135</v>
      </c>
      <c r="AB277" s="8" t="s">
        <v>2135</v>
      </c>
      <c r="AC277" s="8" t="s">
        <v>2135</v>
      </c>
      <c r="AD277" s="8" t="s">
        <v>2135</v>
      </c>
      <c r="AE277" s="8" t="s">
        <v>2135</v>
      </c>
      <c r="AF277" s="8" t="s">
        <v>2135</v>
      </c>
      <c r="AG277" s="8">
        <v>55.0</v>
      </c>
      <c r="AH277" s="8">
        <v>14.0</v>
      </c>
      <c r="AI277" s="8">
        <v>15.0</v>
      </c>
      <c r="AJ277" s="8">
        <v>0.0</v>
      </c>
      <c r="AK277" s="8">
        <v>12.0</v>
      </c>
      <c r="AL277" s="8" t="s">
        <v>4998</v>
      </c>
      <c r="AM277" s="8" t="s">
        <v>4999</v>
      </c>
      <c r="AN277" s="8" t="s">
        <v>5000</v>
      </c>
      <c r="AO277" s="8" t="s">
        <v>5001</v>
      </c>
      <c r="AP277" s="8" t="s">
        <v>5002</v>
      </c>
      <c r="AQ277" s="8" t="s">
        <v>2135</v>
      </c>
      <c r="AR277" s="8" t="s">
        <v>4986</v>
      </c>
      <c r="AS277" s="8" t="s">
        <v>5003</v>
      </c>
      <c r="AT277" s="8" t="s">
        <v>2135</v>
      </c>
      <c r="AU277" s="8">
        <v>2003.0</v>
      </c>
      <c r="AV277" s="8">
        <v>67.0</v>
      </c>
      <c r="AW277" s="8">
        <v>4.0</v>
      </c>
      <c r="AX277" s="8" t="s">
        <v>2135</v>
      </c>
      <c r="AY277" s="8" t="s">
        <v>2135</v>
      </c>
      <c r="AZ277" s="8" t="s">
        <v>2135</v>
      </c>
      <c r="BA277" s="8" t="s">
        <v>2135</v>
      </c>
      <c r="BB277" s="8">
        <v>473.0</v>
      </c>
      <c r="BC277" s="8">
        <v>484.0</v>
      </c>
      <c r="BD277" s="8" t="s">
        <v>2135</v>
      </c>
      <c r="BE277" s="8" t="s">
        <v>2135</v>
      </c>
      <c r="BF277" s="8" t="s">
        <v>2135</v>
      </c>
      <c r="BG277" s="8" t="s">
        <v>2135</v>
      </c>
      <c r="BH277" s="8" t="s">
        <v>2135</v>
      </c>
      <c r="BI277" s="8">
        <v>12.0</v>
      </c>
      <c r="BJ277" s="8" t="s">
        <v>3397</v>
      </c>
      <c r="BK277" s="8" t="s">
        <v>3352</v>
      </c>
      <c r="BL277" s="8" t="s">
        <v>3397</v>
      </c>
      <c r="BM277" s="8" t="s">
        <v>7730</v>
      </c>
      <c r="BN277" s="8" t="s">
        <v>2135</v>
      </c>
      <c r="BO277" s="8" t="s">
        <v>2135</v>
      </c>
      <c r="BP277" s="8" t="s">
        <v>2135</v>
      </c>
      <c r="BQ277" s="8" t="s">
        <v>2135</v>
      </c>
      <c r="BR277" s="8" t="s">
        <v>3355</v>
      </c>
      <c r="BS277" s="8" t="s">
        <v>7731</v>
      </c>
      <c r="BT277" s="8" t="s">
        <v>2497</v>
      </c>
      <c r="BU277" s="8" t="s">
        <v>2142</v>
      </c>
      <c r="BW277" s="8" t="s">
        <v>2168</v>
      </c>
      <c r="BX277" s="8" t="s">
        <v>3174</v>
      </c>
      <c r="BY277" s="8" t="s">
        <v>3175</v>
      </c>
      <c r="BZ277" s="8" t="str">
        <f>HYPERLINK("https%3A%2F%2Fwww.webofscience.com%2Fwos%2Fwoscc%2Ffull-record%2FWOS:000221196400001","View Full Record in Web of Science")</f>
        <v>View Full Record in Web of Science</v>
      </c>
    </row>
    <row r="278" ht="12.75" customHeight="1">
      <c r="A278" s="8" t="s">
        <v>3329</v>
      </c>
      <c r="B278" s="8" t="s">
        <v>7732</v>
      </c>
      <c r="C278" s="8" t="s">
        <v>2135</v>
      </c>
      <c r="D278" s="8" t="s">
        <v>2135</v>
      </c>
      <c r="E278" s="8" t="s">
        <v>2135</v>
      </c>
      <c r="F278" s="8" t="s">
        <v>7733</v>
      </c>
      <c r="G278" s="8" t="s">
        <v>2135</v>
      </c>
      <c r="H278" s="8" t="s">
        <v>2135</v>
      </c>
      <c r="I278" s="8" t="s">
        <v>1341</v>
      </c>
      <c r="J278" s="8" t="s">
        <v>4185</v>
      </c>
      <c r="K278" s="8" t="s">
        <v>2135</v>
      </c>
      <c r="L278" s="8" t="s">
        <v>2135</v>
      </c>
      <c r="M278" s="8" t="s">
        <v>3332</v>
      </c>
      <c r="N278" s="8" t="s">
        <v>3333</v>
      </c>
      <c r="O278" s="8" t="s">
        <v>2135</v>
      </c>
      <c r="P278" s="8" t="s">
        <v>2135</v>
      </c>
      <c r="Q278" s="8" t="s">
        <v>2135</v>
      </c>
      <c r="R278" s="8" t="s">
        <v>2135</v>
      </c>
      <c r="S278" s="8" t="s">
        <v>2135</v>
      </c>
      <c r="T278" s="8" t="s">
        <v>7734</v>
      </c>
      <c r="U278" s="8" t="s">
        <v>7735</v>
      </c>
      <c r="V278" s="8" t="s">
        <v>7736</v>
      </c>
      <c r="W278" s="8" t="s">
        <v>7737</v>
      </c>
      <c r="X278" s="8" t="s">
        <v>7738</v>
      </c>
      <c r="Y278" s="8" t="s">
        <v>7739</v>
      </c>
      <c r="Z278" s="8" t="s">
        <v>7740</v>
      </c>
      <c r="AA278" s="8" t="s">
        <v>7741</v>
      </c>
      <c r="AB278" s="8" t="s">
        <v>7742</v>
      </c>
      <c r="AC278" s="8" t="s">
        <v>2135</v>
      </c>
      <c r="AD278" s="8" t="s">
        <v>2135</v>
      </c>
      <c r="AE278" s="8" t="s">
        <v>2135</v>
      </c>
      <c r="AF278" s="8" t="s">
        <v>2135</v>
      </c>
      <c r="AG278" s="8">
        <v>50.0</v>
      </c>
      <c r="AH278" s="8">
        <v>10.0</v>
      </c>
      <c r="AI278" s="8">
        <v>10.0</v>
      </c>
      <c r="AJ278" s="8">
        <v>2.0</v>
      </c>
      <c r="AK278" s="8">
        <v>26.0</v>
      </c>
      <c r="AL278" s="8" t="s">
        <v>3342</v>
      </c>
      <c r="AM278" s="8" t="s">
        <v>3343</v>
      </c>
      <c r="AN278" s="8" t="s">
        <v>3344</v>
      </c>
      <c r="AO278" s="8" t="s">
        <v>4198</v>
      </c>
      <c r="AP278" s="8" t="s">
        <v>2135</v>
      </c>
      <c r="AQ278" s="8" t="s">
        <v>2135</v>
      </c>
      <c r="AR278" s="8" t="s">
        <v>4199</v>
      </c>
      <c r="AS278" s="8" t="s">
        <v>4200</v>
      </c>
      <c r="AT278" s="8" t="s">
        <v>3556</v>
      </c>
      <c r="AU278" s="8">
        <v>2020.0</v>
      </c>
      <c r="AV278" s="8">
        <v>10.0</v>
      </c>
      <c r="AW278" s="8">
        <v>7.0</v>
      </c>
      <c r="AX278" s="8" t="s">
        <v>2135</v>
      </c>
      <c r="AY278" s="8" t="s">
        <v>2135</v>
      </c>
      <c r="AZ278" s="8" t="s">
        <v>2135</v>
      </c>
      <c r="BA278" s="8" t="s">
        <v>2135</v>
      </c>
      <c r="BB278" s="8">
        <v>3318.0</v>
      </c>
      <c r="BC278" s="8">
        <v>3329.0</v>
      </c>
      <c r="BD278" s="8" t="s">
        <v>2135</v>
      </c>
      <c r="BE278" s="8" t="s">
        <v>7743</v>
      </c>
      <c r="BF278" s="13" t="str">
        <f>HYPERLINK("http://dx.doi.org/10.1002/ece3.6114","http://dx.doi.org/10.1002/ece3.6114")</f>
        <v>http://dx.doi.org/10.1002/ece3.6114</v>
      </c>
      <c r="BG278" s="8" t="s">
        <v>2135</v>
      </c>
      <c r="BH278" s="8" t="s">
        <v>2135</v>
      </c>
      <c r="BI278" s="8">
        <v>12.0</v>
      </c>
      <c r="BJ278" s="8" t="s">
        <v>4202</v>
      </c>
      <c r="BK278" s="8" t="s">
        <v>4060</v>
      </c>
      <c r="BL278" s="8" t="s">
        <v>4203</v>
      </c>
      <c r="BM278" s="8" t="s">
        <v>7744</v>
      </c>
      <c r="BN278" s="8">
        <v>3.2273989E7</v>
      </c>
      <c r="BO278" s="8" t="s">
        <v>3659</v>
      </c>
      <c r="BP278" s="8" t="s">
        <v>2135</v>
      </c>
      <c r="BQ278" s="8" t="s">
        <v>2135</v>
      </c>
      <c r="BR278" s="8" t="s">
        <v>3355</v>
      </c>
      <c r="BS278" s="8" t="s">
        <v>7745</v>
      </c>
      <c r="BT278" s="8" t="s">
        <v>2600</v>
      </c>
      <c r="BU278" s="8" t="s">
        <v>2147</v>
      </c>
      <c r="BV278" s="8" t="s">
        <v>2217</v>
      </c>
      <c r="BW278" s="8" t="s">
        <v>2237</v>
      </c>
      <c r="BX278" s="8" t="s">
        <v>2985</v>
      </c>
      <c r="BY278" s="8" t="s">
        <v>2992</v>
      </c>
      <c r="BZ278" s="8" t="str">
        <f>HYPERLINK("https%3A%2F%2Fwww.webofscience.com%2Fwos%2Fwoscc%2Ffull-record%2FWOS:000524417200013","View Full Record in Web of Science")</f>
        <v>View Full Record in Web of Science</v>
      </c>
    </row>
    <row r="279" ht="12.75" customHeight="1">
      <c r="A279" s="8" t="s">
        <v>3329</v>
      </c>
      <c r="B279" s="8" t="s">
        <v>7746</v>
      </c>
      <c r="C279" s="8" t="s">
        <v>2135</v>
      </c>
      <c r="D279" s="8" t="s">
        <v>2135</v>
      </c>
      <c r="E279" s="8" t="s">
        <v>2135</v>
      </c>
      <c r="F279" s="8" t="s">
        <v>7747</v>
      </c>
      <c r="G279" s="8" t="s">
        <v>2135</v>
      </c>
      <c r="H279" s="8" t="s">
        <v>2135</v>
      </c>
      <c r="I279" s="8" t="s">
        <v>1339</v>
      </c>
      <c r="J279" s="8" t="s">
        <v>7748</v>
      </c>
      <c r="K279" s="8" t="s">
        <v>2135</v>
      </c>
      <c r="L279" s="8" t="s">
        <v>2135</v>
      </c>
      <c r="M279" s="8" t="s">
        <v>3332</v>
      </c>
      <c r="N279" s="8" t="s">
        <v>3333</v>
      </c>
      <c r="O279" s="8" t="s">
        <v>2135</v>
      </c>
      <c r="P279" s="8" t="s">
        <v>2135</v>
      </c>
      <c r="Q279" s="8" t="s">
        <v>2135</v>
      </c>
      <c r="R279" s="8" t="s">
        <v>2135</v>
      </c>
      <c r="S279" s="8" t="s">
        <v>2135</v>
      </c>
      <c r="T279" s="8" t="s">
        <v>7749</v>
      </c>
      <c r="U279" s="8" t="s">
        <v>7750</v>
      </c>
      <c r="V279" s="8" t="s">
        <v>7751</v>
      </c>
      <c r="W279" s="8" t="s">
        <v>7752</v>
      </c>
      <c r="X279" s="8" t="s">
        <v>7753</v>
      </c>
      <c r="Y279" s="8" t="s">
        <v>7754</v>
      </c>
      <c r="Z279" s="8" t="s">
        <v>7755</v>
      </c>
      <c r="AA279" s="8" t="s">
        <v>7756</v>
      </c>
      <c r="AB279" s="8" t="s">
        <v>7757</v>
      </c>
      <c r="AC279" s="8" t="s">
        <v>7758</v>
      </c>
      <c r="AD279" s="8" t="s">
        <v>7758</v>
      </c>
      <c r="AE279" s="8" t="s">
        <v>7759</v>
      </c>
      <c r="AF279" s="8" t="s">
        <v>2135</v>
      </c>
      <c r="AG279" s="8">
        <v>46.0</v>
      </c>
      <c r="AH279" s="8">
        <v>5.0</v>
      </c>
      <c r="AI279" s="8">
        <v>7.0</v>
      </c>
      <c r="AJ279" s="8">
        <v>0.0</v>
      </c>
      <c r="AK279" s="8">
        <v>24.0</v>
      </c>
      <c r="AL279" s="8" t="s">
        <v>6103</v>
      </c>
      <c r="AM279" s="8" t="s">
        <v>6104</v>
      </c>
      <c r="AN279" s="8" t="s">
        <v>6105</v>
      </c>
      <c r="AO279" s="8" t="s">
        <v>7760</v>
      </c>
      <c r="AP279" s="8" t="s">
        <v>7761</v>
      </c>
      <c r="AQ279" s="8" t="s">
        <v>2135</v>
      </c>
      <c r="AR279" s="8" t="s">
        <v>7762</v>
      </c>
      <c r="AS279" s="8" t="s">
        <v>7763</v>
      </c>
      <c r="AT279" s="8" t="s">
        <v>2135</v>
      </c>
      <c r="AU279" s="8">
        <v>2020.0</v>
      </c>
      <c r="AV279" s="8">
        <v>137.0</v>
      </c>
      <c r="AW279" s="8">
        <v>3.0</v>
      </c>
      <c r="AX279" s="8" t="s">
        <v>2135</v>
      </c>
      <c r="AY279" s="8" t="s">
        <v>2135</v>
      </c>
      <c r="AZ279" s="8" t="s">
        <v>2135</v>
      </c>
      <c r="BA279" s="8" t="s">
        <v>2135</v>
      </c>
      <c r="BB279" s="8">
        <v>239.0</v>
      </c>
      <c r="BC279" s="8">
        <v>246.0</v>
      </c>
      <c r="BD279" s="8" t="s">
        <v>2135</v>
      </c>
      <c r="BE279" s="8" t="s">
        <v>7764</v>
      </c>
      <c r="BF279" s="13" t="str">
        <f>HYPERLINK("http://dx.doi.org/10.3354/dao03442","http://dx.doi.org/10.3354/dao03442")</f>
        <v>http://dx.doi.org/10.3354/dao03442</v>
      </c>
      <c r="BG279" s="8" t="s">
        <v>2135</v>
      </c>
      <c r="BH279" s="8" t="s">
        <v>2135</v>
      </c>
      <c r="BI279" s="8">
        <v>8.0</v>
      </c>
      <c r="BJ279" s="8" t="s">
        <v>7765</v>
      </c>
      <c r="BK279" s="8" t="s">
        <v>3352</v>
      </c>
      <c r="BL279" s="8" t="s">
        <v>7765</v>
      </c>
      <c r="BM279" s="8" t="s">
        <v>7766</v>
      </c>
      <c r="BN279" s="8">
        <v>3.2132276E7</v>
      </c>
      <c r="BO279" s="8" t="s">
        <v>2135</v>
      </c>
      <c r="BP279" s="8" t="s">
        <v>2135</v>
      </c>
      <c r="BQ279" s="8" t="s">
        <v>2135</v>
      </c>
      <c r="BR279" s="8" t="s">
        <v>3355</v>
      </c>
      <c r="BS279" s="8" t="s">
        <v>7767</v>
      </c>
      <c r="BT279" s="8" t="s">
        <v>2600</v>
      </c>
      <c r="BU279" s="8" t="s">
        <v>2147</v>
      </c>
      <c r="BV279" s="8" t="s">
        <v>2217</v>
      </c>
      <c r="BW279" s="8" t="s">
        <v>2237</v>
      </c>
      <c r="BX279" s="8" t="s">
        <v>2985</v>
      </c>
      <c r="BY279" s="8" t="s">
        <v>2992</v>
      </c>
      <c r="BZ279" s="8" t="str">
        <f>HYPERLINK("https%3A%2F%2Fwww.webofscience.com%2Fwos%2Fwoscc%2Ffull-record%2FWOS:000521736600008","View Full Record in Web of Science")</f>
        <v>View Full Record in Web of Science</v>
      </c>
    </row>
    <row r="280" ht="12.75" customHeight="1">
      <c r="A280" s="8" t="s">
        <v>3329</v>
      </c>
      <c r="B280" s="8" t="s">
        <v>7768</v>
      </c>
      <c r="C280" s="8" t="s">
        <v>2135</v>
      </c>
      <c r="D280" s="8" t="s">
        <v>2135</v>
      </c>
      <c r="E280" s="8" t="s">
        <v>2135</v>
      </c>
      <c r="F280" s="8" t="s">
        <v>7769</v>
      </c>
      <c r="G280" s="8" t="s">
        <v>2135</v>
      </c>
      <c r="H280" s="8" t="s">
        <v>2135</v>
      </c>
      <c r="I280" s="8" t="s">
        <v>1337</v>
      </c>
      <c r="J280" s="8" t="s">
        <v>4546</v>
      </c>
      <c r="K280" s="8" t="s">
        <v>2135</v>
      </c>
      <c r="L280" s="8" t="s">
        <v>2135</v>
      </c>
      <c r="M280" s="8" t="s">
        <v>3332</v>
      </c>
      <c r="N280" s="8" t="s">
        <v>3492</v>
      </c>
      <c r="O280" s="8" t="s">
        <v>2135</v>
      </c>
      <c r="P280" s="8" t="s">
        <v>2135</v>
      </c>
      <c r="Q280" s="8" t="s">
        <v>2135</v>
      </c>
      <c r="R280" s="8" t="s">
        <v>2135</v>
      </c>
      <c r="S280" s="8" t="s">
        <v>2135</v>
      </c>
      <c r="T280" s="8" t="s">
        <v>7770</v>
      </c>
      <c r="U280" s="8" t="s">
        <v>7771</v>
      </c>
      <c r="V280" s="8" t="s">
        <v>7772</v>
      </c>
      <c r="W280" s="8" t="s">
        <v>7773</v>
      </c>
      <c r="X280" s="8" t="s">
        <v>3385</v>
      </c>
      <c r="Y280" s="8" t="s">
        <v>7774</v>
      </c>
      <c r="Z280" s="8" t="s">
        <v>7775</v>
      </c>
      <c r="AA280" s="8" t="s">
        <v>7776</v>
      </c>
      <c r="AB280" s="8" t="s">
        <v>7777</v>
      </c>
      <c r="AC280" s="8" t="s">
        <v>2135</v>
      </c>
      <c r="AD280" s="8" t="s">
        <v>2135</v>
      </c>
      <c r="AE280" s="8" t="s">
        <v>2135</v>
      </c>
      <c r="AF280" s="8" t="s">
        <v>2135</v>
      </c>
      <c r="AG280" s="8">
        <v>113.0</v>
      </c>
      <c r="AH280" s="8">
        <v>6.0</v>
      </c>
      <c r="AI280" s="8">
        <v>6.0</v>
      </c>
      <c r="AJ280" s="8">
        <v>0.0</v>
      </c>
      <c r="AK280" s="8">
        <v>31.0</v>
      </c>
      <c r="AL280" s="8" t="s">
        <v>3342</v>
      </c>
      <c r="AM280" s="8" t="s">
        <v>3343</v>
      </c>
      <c r="AN280" s="8" t="s">
        <v>3344</v>
      </c>
      <c r="AO280" s="8" t="s">
        <v>4554</v>
      </c>
      <c r="AP280" s="8" t="s">
        <v>4555</v>
      </c>
      <c r="AQ280" s="8" t="s">
        <v>2135</v>
      </c>
      <c r="AR280" s="8" t="s">
        <v>4556</v>
      </c>
      <c r="AS280" s="8" t="s">
        <v>4557</v>
      </c>
      <c r="AT280" s="8" t="s">
        <v>3556</v>
      </c>
      <c r="AU280" s="8">
        <v>2020.0</v>
      </c>
      <c r="AV280" s="8">
        <v>36.0</v>
      </c>
      <c r="AW280" s="8">
        <v>2.0</v>
      </c>
      <c r="AX280" s="8" t="s">
        <v>2135</v>
      </c>
      <c r="AY280" s="8" t="s">
        <v>2135</v>
      </c>
      <c r="AZ280" s="8" t="s">
        <v>2135</v>
      </c>
      <c r="BA280" s="8" t="s">
        <v>2135</v>
      </c>
      <c r="BB280" s="8">
        <v>676.0</v>
      </c>
      <c r="BC280" s="8">
        <v>689.0</v>
      </c>
      <c r="BD280" s="8" t="s">
        <v>2135</v>
      </c>
      <c r="BE280" s="8" t="s">
        <v>7778</v>
      </c>
      <c r="BF280" s="13" t="str">
        <f>HYPERLINK("http://dx.doi.org/10.1111/mms.12659","http://dx.doi.org/10.1111/mms.12659")</f>
        <v>http://dx.doi.org/10.1111/mms.12659</v>
      </c>
      <c r="BG280" s="8" t="s">
        <v>2135</v>
      </c>
      <c r="BH280" s="8" t="s">
        <v>4180</v>
      </c>
      <c r="BI280" s="8">
        <v>14.0</v>
      </c>
      <c r="BJ280" s="8" t="s">
        <v>4559</v>
      </c>
      <c r="BK280" s="8" t="s">
        <v>3352</v>
      </c>
      <c r="BL280" s="8" t="s">
        <v>4559</v>
      </c>
      <c r="BM280" s="8" t="s">
        <v>7779</v>
      </c>
      <c r="BN280" s="8" t="s">
        <v>2135</v>
      </c>
      <c r="BO280" s="8" t="s">
        <v>2135</v>
      </c>
      <c r="BP280" s="8" t="s">
        <v>2135</v>
      </c>
      <c r="BQ280" s="8" t="s">
        <v>2135</v>
      </c>
      <c r="BR280" s="8" t="s">
        <v>3355</v>
      </c>
      <c r="BS280" s="8" t="s">
        <v>7780</v>
      </c>
      <c r="BT280" s="8" t="s">
        <v>2600</v>
      </c>
      <c r="BU280" s="8" t="s">
        <v>2147</v>
      </c>
      <c r="BV280" s="8" t="s">
        <v>2217</v>
      </c>
      <c r="BW280" s="8" t="s">
        <v>2237</v>
      </c>
      <c r="BX280" s="8" t="s">
        <v>2985</v>
      </c>
      <c r="BY280" s="8" t="s">
        <v>2992</v>
      </c>
      <c r="BZ280" s="8" t="str">
        <f>HYPERLINK("https%3A%2F%2Fwww.webofscience.com%2Fwos%2Fwoscc%2Ffull-record%2FWOS:000498598900001","View Full Record in Web of Science")</f>
        <v>View Full Record in Web of Science</v>
      </c>
    </row>
    <row r="281" ht="12.75" customHeight="1">
      <c r="A281" s="8" t="s">
        <v>3329</v>
      </c>
      <c r="B281" s="8" t="s">
        <v>7781</v>
      </c>
      <c r="C281" s="8" t="s">
        <v>2135</v>
      </c>
      <c r="D281" s="8" t="s">
        <v>2135</v>
      </c>
      <c r="E281" s="8" t="s">
        <v>2135</v>
      </c>
      <c r="F281" s="8" t="s">
        <v>7782</v>
      </c>
      <c r="G281" s="8" t="s">
        <v>2135</v>
      </c>
      <c r="H281" s="8" t="s">
        <v>2135</v>
      </c>
      <c r="I281" s="8" t="s">
        <v>1335</v>
      </c>
      <c r="J281" s="8" t="s">
        <v>7783</v>
      </c>
      <c r="K281" s="8" t="s">
        <v>2135</v>
      </c>
      <c r="L281" s="8" t="s">
        <v>2135</v>
      </c>
      <c r="M281" s="8" t="s">
        <v>3332</v>
      </c>
      <c r="N281" s="8" t="s">
        <v>3333</v>
      </c>
      <c r="O281" s="8" t="s">
        <v>2135</v>
      </c>
      <c r="P281" s="8" t="s">
        <v>2135</v>
      </c>
      <c r="Q281" s="8" t="s">
        <v>2135</v>
      </c>
      <c r="R281" s="8" t="s">
        <v>2135</v>
      </c>
      <c r="S281" s="8" t="s">
        <v>2135</v>
      </c>
      <c r="T281" s="8" t="s">
        <v>7784</v>
      </c>
      <c r="U281" s="8" t="s">
        <v>7785</v>
      </c>
      <c r="V281" s="8" t="s">
        <v>7786</v>
      </c>
      <c r="W281" s="8" t="s">
        <v>7787</v>
      </c>
      <c r="X281" s="8" t="s">
        <v>7788</v>
      </c>
      <c r="Y281" s="8" t="s">
        <v>7789</v>
      </c>
      <c r="Z281" s="8" t="s">
        <v>7790</v>
      </c>
      <c r="AA281" s="8" t="s">
        <v>7791</v>
      </c>
      <c r="AB281" s="8" t="s">
        <v>7792</v>
      </c>
      <c r="AC281" s="8" t="s">
        <v>7793</v>
      </c>
      <c r="AD281" s="8" t="s">
        <v>7794</v>
      </c>
      <c r="AE281" s="8" t="s">
        <v>7795</v>
      </c>
      <c r="AF281" s="8" t="s">
        <v>2135</v>
      </c>
      <c r="AG281" s="8">
        <v>55.0</v>
      </c>
      <c r="AH281" s="8">
        <v>4.0</v>
      </c>
      <c r="AI281" s="8">
        <v>4.0</v>
      </c>
      <c r="AJ281" s="8">
        <v>1.0</v>
      </c>
      <c r="AK281" s="8">
        <v>60.0</v>
      </c>
      <c r="AL281" s="8" t="s">
        <v>4394</v>
      </c>
      <c r="AM281" s="8" t="s">
        <v>3367</v>
      </c>
      <c r="AN281" s="8" t="s">
        <v>4395</v>
      </c>
      <c r="AO281" s="8" t="s">
        <v>7796</v>
      </c>
      <c r="AP281" s="8" t="s">
        <v>7797</v>
      </c>
      <c r="AQ281" s="8" t="s">
        <v>2135</v>
      </c>
      <c r="AR281" s="8" t="s">
        <v>7798</v>
      </c>
      <c r="AS281" s="8" t="s">
        <v>7799</v>
      </c>
      <c r="AT281" s="8" t="s">
        <v>7800</v>
      </c>
      <c r="AU281" s="8">
        <v>2019.0</v>
      </c>
      <c r="AV281" s="8">
        <v>691.0</v>
      </c>
      <c r="AW281" s="8" t="s">
        <v>2135</v>
      </c>
      <c r="AX281" s="8" t="s">
        <v>2135</v>
      </c>
      <c r="AY281" s="8" t="s">
        <v>2135</v>
      </c>
      <c r="AZ281" s="8" t="s">
        <v>2135</v>
      </c>
      <c r="BA281" s="8" t="s">
        <v>2135</v>
      </c>
      <c r="BB281" s="8">
        <v>789.0</v>
      </c>
      <c r="BC281" s="8">
        <v>798.0</v>
      </c>
      <c r="BD281" s="8" t="s">
        <v>2135</v>
      </c>
      <c r="BE281" s="8" t="s">
        <v>7801</v>
      </c>
      <c r="BF281" s="13" t="str">
        <f>HYPERLINK("http://dx.doi.org/10.1016/j.scitotenv.2019.07.040","http://dx.doi.org/10.1016/j.scitotenv.2019.07.040")</f>
        <v>http://dx.doi.org/10.1016/j.scitotenv.2019.07.040</v>
      </c>
      <c r="BG281" s="8" t="s">
        <v>2135</v>
      </c>
      <c r="BH281" s="8" t="s">
        <v>2135</v>
      </c>
      <c r="BI281" s="8">
        <v>10.0</v>
      </c>
      <c r="BJ281" s="8" t="s">
        <v>6399</v>
      </c>
      <c r="BK281" s="8" t="s">
        <v>3352</v>
      </c>
      <c r="BL281" s="8" t="s">
        <v>3632</v>
      </c>
      <c r="BM281" s="8" t="s">
        <v>7802</v>
      </c>
      <c r="BN281" s="8">
        <v>3.1326802E7</v>
      </c>
      <c r="BO281" s="8" t="s">
        <v>3560</v>
      </c>
      <c r="BP281" s="8" t="s">
        <v>2135</v>
      </c>
      <c r="BQ281" s="8" t="s">
        <v>2135</v>
      </c>
      <c r="BR281" s="8" t="s">
        <v>3355</v>
      </c>
      <c r="BS281" s="8" t="s">
        <v>7803</v>
      </c>
      <c r="BT281" s="8" t="s">
        <v>2600</v>
      </c>
      <c r="BU281" s="8" t="s">
        <v>2147</v>
      </c>
      <c r="BV281" s="8" t="s">
        <v>2217</v>
      </c>
      <c r="BW281" s="8" t="s">
        <v>2237</v>
      </c>
      <c r="BX281" s="8" t="s">
        <v>2985</v>
      </c>
      <c r="BY281" s="8" t="s">
        <v>2992</v>
      </c>
      <c r="BZ281" s="8" t="str">
        <f>HYPERLINK("https%3A%2F%2Fwww.webofscience.com%2Fwos%2Fwoscc%2Ffull-record%2FWOS:000504009600075","View Full Record in Web of Science")</f>
        <v>View Full Record in Web of Science</v>
      </c>
    </row>
    <row r="282" ht="12.75" customHeight="1">
      <c r="A282" s="8" t="s">
        <v>3329</v>
      </c>
      <c r="B282" s="8" t="s">
        <v>7804</v>
      </c>
      <c r="C282" s="8" t="s">
        <v>2135</v>
      </c>
      <c r="D282" s="8" t="s">
        <v>2135</v>
      </c>
      <c r="E282" s="8" t="s">
        <v>2135</v>
      </c>
      <c r="F282" s="8" t="s">
        <v>7805</v>
      </c>
      <c r="G282" s="8" t="s">
        <v>2135</v>
      </c>
      <c r="H282" s="8" t="s">
        <v>2135</v>
      </c>
      <c r="I282" s="8" t="s">
        <v>1325</v>
      </c>
      <c r="J282" s="8" t="s">
        <v>7806</v>
      </c>
      <c r="K282" s="8" t="s">
        <v>2135</v>
      </c>
      <c r="L282" s="8" t="s">
        <v>2135</v>
      </c>
      <c r="M282" s="8" t="s">
        <v>3332</v>
      </c>
      <c r="N282" s="8" t="s">
        <v>3333</v>
      </c>
      <c r="O282" s="8" t="s">
        <v>2135</v>
      </c>
      <c r="P282" s="8" t="s">
        <v>2135</v>
      </c>
      <c r="Q282" s="8" t="s">
        <v>2135</v>
      </c>
      <c r="R282" s="8" t="s">
        <v>2135</v>
      </c>
      <c r="S282" s="8" t="s">
        <v>2135</v>
      </c>
      <c r="T282" s="8" t="s">
        <v>7807</v>
      </c>
      <c r="U282" s="8" t="s">
        <v>7808</v>
      </c>
      <c r="V282" s="8" t="s">
        <v>7809</v>
      </c>
      <c r="W282" s="8" t="s">
        <v>7810</v>
      </c>
      <c r="X282" s="8" t="s">
        <v>7811</v>
      </c>
      <c r="Y282" s="8" t="s">
        <v>7812</v>
      </c>
      <c r="Z282" s="8" t="s">
        <v>7813</v>
      </c>
      <c r="AA282" s="8" t="s">
        <v>7814</v>
      </c>
      <c r="AB282" s="8" t="s">
        <v>7815</v>
      </c>
      <c r="AC282" s="8" t="s">
        <v>2135</v>
      </c>
      <c r="AD282" s="8" t="s">
        <v>2135</v>
      </c>
      <c r="AE282" s="8" t="s">
        <v>2135</v>
      </c>
      <c r="AF282" s="8" t="s">
        <v>2135</v>
      </c>
      <c r="AG282" s="8">
        <v>44.0</v>
      </c>
      <c r="AH282" s="8">
        <v>15.0</v>
      </c>
      <c r="AI282" s="8">
        <v>16.0</v>
      </c>
      <c r="AJ282" s="8">
        <v>1.0</v>
      </c>
      <c r="AK282" s="8">
        <v>3.0</v>
      </c>
      <c r="AL282" s="8" t="s">
        <v>7816</v>
      </c>
      <c r="AM282" s="8" t="s">
        <v>3624</v>
      </c>
      <c r="AN282" s="8" t="s">
        <v>7817</v>
      </c>
      <c r="AO282" s="8" t="s">
        <v>7818</v>
      </c>
      <c r="AP282" s="8" t="s">
        <v>7819</v>
      </c>
      <c r="AQ282" s="8" t="s">
        <v>2135</v>
      </c>
      <c r="AR282" s="8" t="s">
        <v>7820</v>
      </c>
      <c r="AS282" s="8" t="s">
        <v>7821</v>
      </c>
      <c r="AT282" s="8" t="s">
        <v>3462</v>
      </c>
      <c r="AU282" s="8">
        <v>2019.0</v>
      </c>
      <c r="AV282" s="8">
        <v>66.0</v>
      </c>
      <c r="AW282" s="8">
        <v>5.0</v>
      </c>
      <c r="AX282" s="8" t="s">
        <v>2135</v>
      </c>
      <c r="AY282" s="8" t="s">
        <v>2135</v>
      </c>
      <c r="AZ282" s="8" t="s">
        <v>2135</v>
      </c>
      <c r="BA282" s="8" t="s">
        <v>2135</v>
      </c>
      <c r="BB282" s="8">
        <v>1864.0</v>
      </c>
      <c r="BC282" s="8">
        <v>1872.0</v>
      </c>
      <c r="BD282" s="8" t="s">
        <v>2135</v>
      </c>
      <c r="BE282" s="8" t="s">
        <v>7822</v>
      </c>
      <c r="BF282" s="13" t="str">
        <f>HYPERLINK("http://dx.doi.org/10.1111/tbed.13212","http://dx.doi.org/10.1111/tbed.13212")</f>
        <v>http://dx.doi.org/10.1111/tbed.13212</v>
      </c>
      <c r="BG282" s="8" t="s">
        <v>2135</v>
      </c>
      <c r="BH282" s="8" t="s">
        <v>2135</v>
      </c>
      <c r="BI282" s="8">
        <v>9.0</v>
      </c>
      <c r="BJ282" s="8" t="s">
        <v>7823</v>
      </c>
      <c r="BK282" s="8" t="s">
        <v>3352</v>
      </c>
      <c r="BL282" s="8" t="s">
        <v>7823</v>
      </c>
      <c r="BM282" s="8" t="s">
        <v>7824</v>
      </c>
      <c r="BN282" s="8">
        <v>3.1022323E7</v>
      </c>
      <c r="BO282" s="8" t="s">
        <v>2135</v>
      </c>
      <c r="BP282" s="8" t="s">
        <v>2135</v>
      </c>
      <c r="BQ282" s="8" t="s">
        <v>2135</v>
      </c>
      <c r="BR282" s="8" t="s">
        <v>3355</v>
      </c>
      <c r="BS282" s="8" t="s">
        <v>7825</v>
      </c>
      <c r="BT282" s="8" t="s">
        <v>2379</v>
      </c>
      <c r="BU282" s="8" t="s">
        <v>2142</v>
      </c>
      <c r="BW282" s="8" t="s">
        <v>2143</v>
      </c>
      <c r="BX282" s="8" t="s">
        <v>2985</v>
      </c>
      <c r="BY282" s="8" t="s">
        <v>2992</v>
      </c>
      <c r="BZ282" s="8" t="str">
        <f>HYPERLINK("https%3A%2F%2Fwww.webofscience.com%2Fwos%2Fwoscc%2Ffull-record%2FWOS:000485002800008","View Full Record in Web of Science")</f>
        <v>View Full Record in Web of Science</v>
      </c>
    </row>
    <row r="283" ht="12.75" customHeight="1">
      <c r="A283" s="8" t="s">
        <v>3329</v>
      </c>
      <c r="B283" s="8" t="s">
        <v>7826</v>
      </c>
      <c r="C283" s="8" t="s">
        <v>2135</v>
      </c>
      <c r="D283" s="8" t="s">
        <v>2135</v>
      </c>
      <c r="E283" s="8" t="s">
        <v>2135</v>
      </c>
      <c r="F283" s="8" t="s">
        <v>7827</v>
      </c>
      <c r="G283" s="8" t="s">
        <v>2135</v>
      </c>
      <c r="H283" s="8" t="s">
        <v>2135</v>
      </c>
      <c r="I283" s="8" t="s">
        <v>1333</v>
      </c>
      <c r="J283" s="8" t="s">
        <v>7828</v>
      </c>
      <c r="K283" s="8" t="s">
        <v>2135</v>
      </c>
      <c r="L283" s="8" t="s">
        <v>2135</v>
      </c>
      <c r="M283" s="8" t="s">
        <v>3332</v>
      </c>
      <c r="N283" s="8" t="s">
        <v>3333</v>
      </c>
      <c r="O283" s="8" t="s">
        <v>2135</v>
      </c>
      <c r="P283" s="8" t="s">
        <v>2135</v>
      </c>
      <c r="Q283" s="8" t="s">
        <v>2135</v>
      </c>
      <c r="R283" s="8" t="s">
        <v>2135</v>
      </c>
      <c r="S283" s="8" t="s">
        <v>2135</v>
      </c>
      <c r="T283" s="8" t="s">
        <v>7829</v>
      </c>
      <c r="U283" s="8" t="s">
        <v>7830</v>
      </c>
      <c r="V283" s="8" t="s">
        <v>7831</v>
      </c>
      <c r="W283" s="8" t="s">
        <v>7832</v>
      </c>
      <c r="X283" s="8" t="s">
        <v>7833</v>
      </c>
      <c r="Y283" s="8" t="s">
        <v>7834</v>
      </c>
      <c r="Z283" s="8" t="s">
        <v>7835</v>
      </c>
      <c r="AA283" s="8" t="s">
        <v>7836</v>
      </c>
      <c r="AB283" s="8" t="s">
        <v>7837</v>
      </c>
      <c r="AC283" s="8" t="s">
        <v>7838</v>
      </c>
      <c r="AD283" s="8" t="s">
        <v>7838</v>
      </c>
      <c r="AE283" s="8" t="s">
        <v>7839</v>
      </c>
      <c r="AF283" s="8" t="s">
        <v>2135</v>
      </c>
      <c r="AG283" s="8">
        <v>25.0</v>
      </c>
      <c r="AH283" s="8">
        <v>8.0</v>
      </c>
      <c r="AI283" s="8">
        <v>9.0</v>
      </c>
      <c r="AJ283" s="8">
        <v>0.0</v>
      </c>
      <c r="AK283" s="8">
        <v>12.0</v>
      </c>
      <c r="AL283" s="8" t="s">
        <v>3366</v>
      </c>
      <c r="AM283" s="8" t="s">
        <v>3367</v>
      </c>
      <c r="AN283" s="8" t="s">
        <v>3368</v>
      </c>
      <c r="AO283" s="8" t="s">
        <v>7840</v>
      </c>
      <c r="AP283" s="8" t="s">
        <v>2135</v>
      </c>
      <c r="AQ283" s="8" t="s">
        <v>2135</v>
      </c>
      <c r="AR283" s="8" t="s">
        <v>7841</v>
      </c>
      <c r="AS283" s="8" t="s">
        <v>7842</v>
      </c>
      <c r="AT283" s="8" t="s">
        <v>3395</v>
      </c>
      <c r="AU283" s="8">
        <v>2019.0</v>
      </c>
      <c r="AV283" s="8">
        <v>9.0</v>
      </c>
      <c r="AW283" s="8" t="s">
        <v>2135</v>
      </c>
      <c r="AX283" s="8" t="s">
        <v>2135</v>
      </c>
      <c r="AY283" s="8" t="s">
        <v>2135</v>
      </c>
      <c r="AZ283" s="8" t="s">
        <v>2135</v>
      </c>
      <c r="BA283" s="8" t="s">
        <v>2135</v>
      </c>
      <c r="BB283" s="8">
        <v>60.0</v>
      </c>
      <c r="BC283" s="8">
        <v>67.0</v>
      </c>
      <c r="BD283" s="8" t="s">
        <v>2135</v>
      </c>
      <c r="BE283" s="8" t="s">
        <v>7843</v>
      </c>
      <c r="BF283" s="13" t="str">
        <f>HYPERLINK("http://dx.doi.org/10.1016/j.ijppaw.2019.03.009","http://dx.doi.org/10.1016/j.ijppaw.2019.03.009")</f>
        <v>http://dx.doi.org/10.1016/j.ijppaw.2019.03.009</v>
      </c>
      <c r="BG283" s="8" t="s">
        <v>2135</v>
      </c>
      <c r="BH283" s="8" t="s">
        <v>2135</v>
      </c>
      <c r="BI283" s="8">
        <v>8.0</v>
      </c>
      <c r="BJ283" s="8" t="s">
        <v>7844</v>
      </c>
      <c r="BK283" s="8" t="s">
        <v>3352</v>
      </c>
      <c r="BL283" s="8" t="s">
        <v>7845</v>
      </c>
      <c r="BM283" s="8" t="s">
        <v>7846</v>
      </c>
      <c r="BN283" s="8">
        <v>3.1011527E7</v>
      </c>
      <c r="BO283" s="8" t="s">
        <v>5131</v>
      </c>
      <c r="BP283" s="8" t="s">
        <v>2135</v>
      </c>
      <c r="BQ283" s="8" t="s">
        <v>2135</v>
      </c>
      <c r="BR283" s="8" t="s">
        <v>3355</v>
      </c>
      <c r="BS283" s="8" t="s">
        <v>7847</v>
      </c>
      <c r="BT283" s="8" t="s">
        <v>2600</v>
      </c>
      <c r="BU283" s="8" t="s">
        <v>2147</v>
      </c>
      <c r="BV283" s="8" t="s">
        <v>2217</v>
      </c>
      <c r="BW283" s="8" t="s">
        <v>2237</v>
      </c>
      <c r="BX283" s="8" t="s">
        <v>2985</v>
      </c>
      <c r="BY283" s="8" t="s">
        <v>2992</v>
      </c>
      <c r="BZ283" s="8" t="str">
        <f>HYPERLINK("https%3A%2F%2Fwww.webofscience.com%2Fwos%2Fwoscc%2Ffull-record%2FWOS:000474905300010","View Full Record in Web of Science")</f>
        <v>View Full Record in Web of Science</v>
      </c>
    </row>
    <row r="284" ht="12.75" customHeight="1">
      <c r="A284" s="8" t="s">
        <v>3329</v>
      </c>
      <c r="B284" s="8" t="s">
        <v>7848</v>
      </c>
      <c r="C284" s="8" t="s">
        <v>2135</v>
      </c>
      <c r="D284" s="8" t="s">
        <v>2135</v>
      </c>
      <c r="E284" s="8" t="s">
        <v>2135</v>
      </c>
      <c r="F284" s="8" t="s">
        <v>7849</v>
      </c>
      <c r="G284" s="8" t="s">
        <v>2135</v>
      </c>
      <c r="H284" s="8" t="s">
        <v>2135</v>
      </c>
      <c r="I284" s="8" t="s">
        <v>1331</v>
      </c>
      <c r="J284" s="8" t="s">
        <v>7850</v>
      </c>
      <c r="K284" s="8" t="s">
        <v>2135</v>
      </c>
      <c r="L284" s="8" t="s">
        <v>2135</v>
      </c>
      <c r="M284" s="8" t="s">
        <v>3332</v>
      </c>
      <c r="N284" s="8" t="s">
        <v>3333</v>
      </c>
      <c r="O284" s="8" t="s">
        <v>2135</v>
      </c>
      <c r="P284" s="8" t="s">
        <v>2135</v>
      </c>
      <c r="Q284" s="8" t="s">
        <v>2135</v>
      </c>
      <c r="R284" s="8" t="s">
        <v>2135</v>
      </c>
      <c r="S284" s="8" t="s">
        <v>2135</v>
      </c>
      <c r="T284" s="8" t="s">
        <v>7851</v>
      </c>
      <c r="U284" s="8" t="s">
        <v>7852</v>
      </c>
      <c r="V284" s="8" t="s">
        <v>7853</v>
      </c>
      <c r="W284" s="8" t="s">
        <v>7854</v>
      </c>
      <c r="X284" s="8" t="s">
        <v>7855</v>
      </c>
      <c r="Y284" s="8" t="s">
        <v>7856</v>
      </c>
      <c r="Z284" s="8" t="s">
        <v>7857</v>
      </c>
      <c r="AA284" s="8" t="s">
        <v>7858</v>
      </c>
      <c r="AB284" s="8" t="s">
        <v>7859</v>
      </c>
      <c r="AC284" s="8" t="s">
        <v>7860</v>
      </c>
      <c r="AD284" s="8" t="s">
        <v>7861</v>
      </c>
      <c r="AE284" s="8" t="s">
        <v>7862</v>
      </c>
      <c r="AF284" s="8" t="s">
        <v>2135</v>
      </c>
      <c r="AG284" s="8">
        <v>24.0</v>
      </c>
      <c r="AH284" s="8">
        <v>18.0</v>
      </c>
      <c r="AI284" s="8">
        <v>21.0</v>
      </c>
      <c r="AJ284" s="8">
        <v>1.0</v>
      </c>
      <c r="AK284" s="8">
        <v>12.0</v>
      </c>
      <c r="AL284" s="8" t="s">
        <v>7863</v>
      </c>
      <c r="AM284" s="8" t="s">
        <v>3624</v>
      </c>
      <c r="AN284" s="8" t="s">
        <v>7864</v>
      </c>
      <c r="AO284" s="8" t="s">
        <v>7865</v>
      </c>
      <c r="AP284" s="8" t="s">
        <v>2135</v>
      </c>
      <c r="AQ284" s="8" t="s">
        <v>2135</v>
      </c>
      <c r="AR284" s="8" t="s">
        <v>7866</v>
      </c>
      <c r="AS284" s="8" t="s">
        <v>7867</v>
      </c>
      <c r="AT284" s="8" t="s">
        <v>7868</v>
      </c>
      <c r="AU284" s="8">
        <v>2019.0</v>
      </c>
      <c r="AV284" s="8">
        <v>12.0</v>
      </c>
      <c r="AW284" s="8" t="s">
        <v>2135</v>
      </c>
      <c r="AX284" s="8" t="s">
        <v>2135</v>
      </c>
      <c r="AY284" s="8" t="s">
        <v>2135</v>
      </c>
      <c r="AZ284" s="8" t="s">
        <v>2135</v>
      </c>
      <c r="BA284" s="8" t="s">
        <v>2135</v>
      </c>
      <c r="BB284" s="8" t="s">
        <v>2135</v>
      </c>
      <c r="BC284" s="8" t="s">
        <v>2135</v>
      </c>
      <c r="BD284" s="8">
        <v>370.0</v>
      </c>
      <c r="BE284" s="8" t="s">
        <v>7869</v>
      </c>
      <c r="BF284" s="13" t="str">
        <f>HYPERLINK("http://dx.doi.org/10.1186/s13071-019-3631-4","http://dx.doi.org/10.1186/s13071-019-3631-4")</f>
        <v>http://dx.doi.org/10.1186/s13071-019-3631-4</v>
      </c>
      <c r="BG284" s="8" t="s">
        <v>2135</v>
      </c>
      <c r="BH284" s="8" t="s">
        <v>2135</v>
      </c>
      <c r="BI284" s="8">
        <v>6.0</v>
      </c>
      <c r="BJ284" s="8" t="s">
        <v>7870</v>
      </c>
      <c r="BK284" s="8" t="s">
        <v>3352</v>
      </c>
      <c r="BL284" s="8" t="s">
        <v>7870</v>
      </c>
      <c r="BM284" s="8" t="s">
        <v>7871</v>
      </c>
      <c r="BN284" s="8">
        <v>3.1349861E7</v>
      </c>
      <c r="BO284" s="8" t="s">
        <v>3659</v>
      </c>
      <c r="BP284" s="8" t="s">
        <v>2135</v>
      </c>
      <c r="BQ284" s="8" t="s">
        <v>2135</v>
      </c>
      <c r="BR284" s="8" t="s">
        <v>3355</v>
      </c>
      <c r="BS284" s="8" t="s">
        <v>7872</v>
      </c>
      <c r="BT284" s="8" t="s">
        <v>2484</v>
      </c>
      <c r="BU284" s="8" t="s">
        <v>2142</v>
      </c>
      <c r="BW284" s="8" t="s">
        <v>2311</v>
      </c>
      <c r="BX284" s="8" t="s">
        <v>2983</v>
      </c>
      <c r="BY284" s="8" t="s">
        <v>2992</v>
      </c>
      <c r="BZ284" s="8" t="str">
        <f>HYPERLINK("https%3A%2F%2Fwww.webofscience.com%2Fwos%2Fwoscc%2Ffull-record%2FWOS:000477592400005","View Full Record in Web of Science")</f>
        <v>View Full Record in Web of Science</v>
      </c>
    </row>
    <row r="285" ht="12.75" customHeight="1">
      <c r="A285" s="8" t="s">
        <v>3329</v>
      </c>
      <c r="B285" s="8" t="s">
        <v>7873</v>
      </c>
      <c r="C285" s="8" t="s">
        <v>2135</v>
      </c>
      <c r="D285" s="8" t="s">
        <v>2135</v>
      </c>
      <c r="E285" s="8" t="s">
        <v>2135</v>
      </c>
      <c r="F285" s="8" t="s">
        <v>7874</v>
      </c>
      <c r="G285" s="8" t="s">
        <v>2135</v>
      </c>
      <c r="H285" s="8" t="s">
        <v>2135</v>
      </c>
      <c r="I285" s="8" t="s">
        <v>1327</v>
      </c>
      <c r="J285" s="8" t="s">
        <v>4612</v>
      </c>
      <c r="K285" s="8" t="s">
        <v>2135</v>
      </c>
      <c r="L285" s="8" t="s">
        <v>2135</v>
      </c>
      <c r="M285" s="8" t="s">
        <v>3332</v>
      </c>
      <c r="N285" s="8" t="s">
        <v>3333</v>
      </c>
      <c r="O285" s="8" t="s">
        <v>2135</v>
      </c>
      <c r="P285" s="8" t="s">
        <v>2135</v>
      </c>
      <c r="Q285" s="8" t="s">
        <v>2135</v>
      </c>
      <c r="R285" s="8" t="s">
        <v>2135</v>
      </c>
      <c r="S285" s="8" t="s">
        <v>2135</v>
      </c>
      <c r="T285" s="8" t="s">
        <v>7875</v>
      </c>
      <c r="U285" s="8" t="s">
        <v>7876</v>
      </c>
      <c r="V285" s="8" t="s">
        <v>7877</v>
      </c>
      <c r="W285" s="8" t="s">
        <v>7878</v>
      </c>
      <c r="X285" s="8" t="s">
        <v>7879</v>
      </c>
      <c r="Y285" s="8" t="s">
        <v>7880</v>
      </c>
      <c r="Z285" s="8" t="s">
        <v>5736</v>
      </c>
      <c r="AA285" s="8" t="s">
        <v>5315</v>
      </c>
      <c r="AB285" s="8" t="s">
        <v>7881</v>
      </c>
      <c r="AC285" s="8" t="s">
        <v>7882</v>
      </c>
      <c r="AD285" s="8" t="s">
        <v>7883</v>
      </c>
      <c r="AE285" s="8" t="s">
        <v>7884</v>
      </c>
      <c r="AF285" s="8" t="s">
        <v>2135</v>
      </c>
      <c r="AG285" s="8">
        <v>92.0</v>
      </c>
      <c r="AH285" s="8">
        <v>22.0</v>
      </c>
      <c r="AI285" s="8">
        <v>25.0</v>
      </c>
      <c r="AJ285" s="8">
        <v>1.0</v>
      </c>
      <c r="AK285" s="8">
        <v>31.0</v>
      </c>
      <c r="AL285" s="8" t="s">
        <v>3479</v>
      </c>
      <c r="AM285" s="8" t="s">
        <v>4500</v>
      </c>
      <c r="AN285" s="8" t="s">
        <v>4501</v>
      </c>
      <c r="AO285" s="8" t="s">
        <v>4626</v>
      </c>
      <c r="AP285" s="8" t="s">
        <v>4627</v>
      </c>
      <c r="AQ285" s="8" t="s">
        <v>2135</v>
      </c>
      <c r="AR285" s="8" t="s">
        <v>4628</v>
      </c>
      <c r="AS285" s="8" t="s">
        <v>4629</v>
      </c>
      <c r="AT285" s="8" t="s">
        <v>3556</v>
      </c>
      <c r="AU285" s="8">
        <v>2019.0</v>
      </c>
      <c r="AV285" s="8">
        <v>20.0</v>
      </c>
      <c r="AW285" s="8">
        <v>2.0</v>
      </c>
      <c r="AX285" s="8" t="s">
        <v>2135</v>
      </c>
      <c r="AY285" s="8" t="s">
        <v>2135</v>
      </c>
      <c r="AZ285" s="8" t="s">
        <v>2135</v>
      </c>
      <c r="BA285" s="8" t="s">
        <v>2135</v>
      </c>
      <c r="BB285" s="8">
        <v>153.0</v>
      </c>
      <c r="BC285" s="8">
        <v>166.0</v>
      </c>
      <c r="BD285" s="8" t="s">
        <v>2135</v>
      </c>
      <c r="BE285" s="8" t="s">
        <v>7885</v>
      </c>
      <c r="BF285" s="13" t="str">
        <f>HYPERLINK("http://dx.doi.org/10.1007/s10592-018-1120-5","http://dx.doi.org/10.1007/s10592-018-1120-5")</f>
        <v>http://dx.doi.org/10.1007/s10592-018-1120-5</v>
      </c>
      <c r="BG285" s="8" t="s">
        <v>2135</v>
      </c>
      <c r="BH285" s="8" t="s">
        <v>2135</v>
      </c>
      <c r="BI285" s="8">
        <v>14.0</v>
      </c>
      <c r="BJ285" s="8" t="s">
        <v>4631</v>
      </c>
      <c r="BK285" s="8" t="s">
        <v>3352</v>
      </c>
      <c r="BL285" s="8" t="s">
        <v>4632</v>
      </c>
      <c r="BM285" s="8" t="s">
        <v>7023</v>
      </c>
      <c r="BN285" s="8" t="s">
        <v>2135</v>
      </c>
      <c r="BO285" s="8" t="s">
        <v>2135</v>
      </c>
      <c r="BP285" s="8" t="s">
        <v>2135</v>
      </c>
      <c r="BQ285" s="8" t="s">
        <v>2135</v>
      </c>
      <c r="BR285" s="8" t="s">
        <v>3355</v>
      </c>
      <c r="BS285" s="8" t="s">
        <v>7886</v>
      </c>
      <c r="BU285" s="8" t="s">
        <v>2147</v>
      </c>
      <c r="BV285" s="8" t="s">
        <v>2217</v>
      </c>
      <c r="BW285" s="8" t="s">
        <v>2700</v>
      </c>
      <c r="BX285" s="8" t="s">
        <v>3118</v>
      </c>
      <c r="BY285" s="8" t="s">
        <v>2992</v>
      </c>
      <c r="BZ285" s="8" t="str">
        <f>HYPERLINK("https%3A%2F%2Fwww.webofscience.com%2Fwos%2Fwoscc%2Ffull-record%2FWOS:000462207000002","View Full Record in Web of Science")</f>
        <v>View Full Record in Web of Science</v>
      </c>
    </row>
    <row r="286" ht="12.75" customHeight="1">
      <c r="A286" s="8" t="s">
        <v>3329</v>
      </c>
      <c r="B286" s="8" t="s">
        <v>7887</v>
      </c>
      <c r="C286" s="8" t="s">
        <v>2135</v>
      </c>
      <c r="D286" s="8" t="s">
        <v>2135</v>
      </c>
      <c r="E286" s="8" t="s">
        <v>2135</v>
      </c>
      <c r="F286" s="8" t="s">
        <v>7888</v>
      </c>
      <c r="G286" s="8" t="s">
        <v>2135</v>
      </c>
      <c r="H286" s="8" t="s">
        <v>2135</v>
      </c>
      <c r="I286" s="8" t="s">
        <v>1316</v>
      </c>
      <c r="J286" s="8" t="s">
        <v>7828</v>
      </c>
      <c r="K286" s="8" t="s">
        <v>2135</v>
      </c>
      <c r="L286" s="8" t="s">
        <v>2135</v>
      </c>
      <c r="M286" s="8" t="s">
        <v>3332</v>
      </c>
      <c r="N286" s="8" t="s">
        <v>3333</v>
      </c>
      <c r="O286" s="8" t="s">
        <v>2135</v>
      </c>
      <c r="P286" s="8" t="s">
        <v>2135</v>
      </c>
      <c r="Q286" s="8" t="s">
        <v>2135</v>
      </c>
      <c r="R286" s="8" t="s">
        <v>2135</v>
      </c>
      <c r="S286" s="8" t="s">
        <v>2135</v>
      </c>
      <c r="T286" s="8" t="s">
        <v>7889</v>
      </c>
      <c r="U286" s="8" t="s">
        <v>7890</v>
      </c>
      <c r="V286" s="8" t="s">
        <v>7891</v>
      </c>
      <c r="W286" s="8" t="s">
        <v>7892</v>
      </c>
      <c r="X286" s="8" t="s">
        <v>7893</v>
      </c>
      <c r="Y286" s="8" t="s">
        <v>7894</v>
      </c>
      <c r="Z286" s="8" t="s">
        <v>7895</v>
      </c>
      <c r="AA286" s="8" t="s">
        <v>7896</v>
      </c>
      <c r="AB286" s="8" t="s">
        <v>7897</v>
      </c>
      <c r="AC286" s="8" t="s">
        <v>7898</v>
      </c>
      <c r="AD286" s="8" t="s">
        <v>7898</v>
      </c>
      <c r="AE286" s="8" t="s">
        <v>7899</v>
      </c>
      <c r="AF286" s="8" t="s">
        <v>2135</v>
      </c>
      <c r="AG286" s="8">
        <v>30.0</v>
      </c>
      <c r="AH286" s="8">
        <v>11.0</v>
      </c>
      <c r="AI286" s="8">
        <v>11.0</v>
      </c>
      <c r="AJ286" s="8">
        <v>0.0</v>
      </c>
      <c r="AK286" s="8">
        <v>11.0</v>
      </c>
      <c r="AL286" s="8" t="s">
        <v>4394</v>
      </c>
      <c r="AM286" s="8" t="s">
        <v>3367</v>
      </c>
      <c r="AN286" s="8" t="s">
        <v>4395</v>
      </c>
      <c r="AO286" s="8" t="s">
        <v>7840</v>
      </c>
      <c r="AP286" s="8" t="s">
        <v>2135</v>
      </c>
      <c r="AQ286" s="8" t="s">
        <v>2135</v>
      </c>
      <c r="AR286" s="8" t="s">
        <v>7841</v>
      </c>
      <c r="AS286" s="8" t="s">
        <v>7842</v>
      </c>
      <c r="AT286" s="8" t="s">
        <v>3741</v>
      </c>
      <c r="AU286" s="8">
        <v>2018.0</v>
      </c>
      <c r="AV286" s="8">
        <v>7.0</v>
      </c>
      <c r="AW286" s="8">
        <v>3.0</v>
      </c>
      <c r="AX286" s="8" t="s">
        <v>2135</v>
      </c>
      <c r="AY286" s="8" t="s">
        <v>2135</v>
      </c>
      <c r="AZ286" s="8" t="s">
        <v>2135</v>
      </c>
      <c r="BA286" s="8" t="s">
        <v>2135</v>
      </c>
      <c r="BB286" s="8">
        <v>386.0</v>
      </c>
      <c r="BC286" s="8">
        <v>390.0</v>
      </c>
      <c r="BD286" s="8" t="s">
        <v>2135</v>
      </c>
      <c r="BE286" s="8" t="s">
        <v>7900</v>
      </c>
      <c r="BF286" s="13" t="str">
        <f>HYPERLINK("http://dx.doi.org/10.1016/j.ijppaw.2018.09.009","http://dx.doi.org/10.1016/j.ijppaw.2018.09.009")</f>
        <v>http://dx.doi.org/10.1016/j.ijppaw.2018.09.009</v>
      </c>
      <c r="BG286" s="8" t="s">
        <v>2135</v>
      </c>
      <c r="BH286" s="8" t="s">
        <v>2135</v>
      </c>
      <c r="BI286" s="8">
        <v>5.0</v>
      </c>
      <c r="BJ286" s="8" t="s">
        <v>7844</v>
      </c>
      <c r="BK286" s="8" t="s">
        <v>3352</v>
      </c>
      <c r="BL286" s="8" t="s">
        <v>7845</v>
      </c>
      <c r="BM286" s="8" t="s">
        <v>7901</v>
      </c>
      <c r="BN286" s="8">
        <v>3.0370218E7</v>
      </c>
      <c r="BO286" s="8" t="s">
        <v>3659</v>
      </c>
      <c r="BP286" s="8" t="s">
        <v>2135</v>
      </c>
      <c r="BQ286" s="8" t="s">
        <v>2135</v>
      </c>
      <c r="BR286" s="8" t="s">
        <v>3355</v>
      </c>
      <c r="BS286" s="8" t="s">
        <v>7902</v>
      </c>
      <c r="BT286" s="8" t="s">
        <v>2600</v>
      </c>
      <c r="BU286" s="8" t="s">
        <v>2147</v>
      </c>
      <c r="BV286" s="8" t="s">
        <v>2217</v>
      </c>
      <c r="BW286" s="8" t="s">
        <v>2237</v>
      </c>
      <c r="BX286" s="8" t="s">
        <v>2985</v>
      </c>
      <c r="BY286" s="8" t="s">
        <v>2992</v>
      </c>
      <c r="BZ286" s="8" t="str">
        <f>HYPERLINK("https%3A%2F%2Fwww.webofscience.com%2Fwos%2Fwoscc%2Ffull-record%2FWOS:000452065700020","View Full Record in Web of Science")</f>
        <v>View Full Record in Web of Science</v>
      </c>
    </row>
    <row r="287" ht="12.75" customHeight="1">
      <c r="A287" s="8" t="s">
        <v>3329</v>
      </c>
      <c r="B287" s="8" t="s">
        <v>7903</v>
      </c>
      <c r="C287" s="8" t="s">
        <v>2135</v>
      </c>
      <c r="D287" s="8" t="s">
        <v>2135</v>
      </c>
      <c r="E287" s="8" t="s">
        <v>2135</v>
      </c>
      <c r="F287" s="8" t="s">
        <v>7904</v>
      </c>
      <c r="G287" s="8" t="s">
        <v>2135</v>
      </c>
      <c r="H287" s="8" t="s">
        <v>2135</v>
      </c>
      <c r="I287" s="8" t="s">
        <v>1314</v>
      </c>
      <c r="J287" s="8" t="s">
        <v>4986</v>
      </c>
      <c r="K287" s="8" t="s">
        <v>2135</v>
      </c>
      <c r="L287" s="8" t="s">
        <v>2135</v>
      </c>
      <c r="M287" s="8" t="s">
        <v>3332</v>
      </c>
      <c r="N287" s="8" t="s">
        <v>3333</v>
      </c>
      <c r="O287" s="8" t="s">
        <v>2135</v>
      </c>
      <c r="P287" s="8" t="s">
        <v>2135</v>
      </c>
      <c r="Q287" s="8" t="s">
        <v>2135</v>
      </c>
      <c r="R287" s="8" t="s">
        <v>2135</v>
      </c>
      <c r="S287" s="8" t="s">
        <v>2135</v>
      </c>
      <c r="T287" s="8" t="s">
        <v>7905</v>
      </c>
      <c r="U287" s="8" t="s">
        <v>7906</v>
      </c>
      <c r="V287" s="8" t="s">
        <v>7907</v>
      </c>
      <c r="W287" s="8" t="s">
        <v>7908</v>
      </c>
      <c r="X287" s="8" t="s">
        <v>7727</v>
      </c>
      <c r="Y287" s="8" t="s">
        <v>7909</v>
      </c>
      <c r="Z287" s="8" t="s">
        <v>7910</v>
      </c>
      <c r="AA287" s="8" t="s">
        <v>2135</v>
      </c>
      <c r="AB287" s="8" t="s">
        <v>2135</v>
      </c>
      <c r="AC287" s="8" t="s">
        <v>2135</v>
      </c>
      <c r="AD287" s="8" t="s">
        <v>2135</v>
      </c>
      <c r="AE287" s="8" t="s">
        <v>2135</v>
      </c>
      <c r="AF287" s="8" t="s">
        <v>2135</v>
      </c>
      <c r="AG287" s="8">
        <v>68.0</v>
      </c>
      <c r="AH287" s="8">
        <v>24.0</v>
      </c>
      <c r="AI287" s="8">
        <v>26.0</v>
      </c>
      <c r="AJ287" s="8">
        <v>2.0</v>
      </c>
      <c r="AK287" s="8">
        <v>51.0</v>
      </c>
      <c r="AL287" s="8" t="s">
        <v>4998</v>
      </c>
      <c r="AM287" s="8" t="s">
        <v>4999</v>
      </c>
      <c r="AN287" s="8" t="s">
        <v>5000</v>
      </c>
      <c r="AO287" s="8" t="s">
        <v>5001</v>
      </c>
      <c r="AP287" s="8" t="s">
        <v>5002</v>
      </c>
      <c r="AQ287" s="8" t="s">
        <v>2135</v>
      </c>
      <c r="AR287" s="8" t="s">
        <v>4986</v>
      </c>
      <c r="AS287" s="8" t="s">
        <v>5003</v>
      </c>
      <c r="AT287" s="8" t="s">
        <v>3440</v>
      </c>
      <c r="AU287" s="8">
        <v>2018.0</v>
      </c>
      <c r="AV287" s="8">
        <v>82.0</v>
      </c>
      <c r="AW287" s="8">
        <v>6.0</v>
      </c>
      <c r="AX287" s="8" t="s">
        <v>2135</v>
      </c>
      <c r="AY287" s="8" t="s">
        <v>2135</v>
      </c>
      <c r="AZ287" s="8" t="s">
        <v>2135</v>
      </c>
      <c r="BA287" s="8" t="s">
        <v>2135</v>
      </c>
      <c r="BB287" s="8">
        <v>580.0</v>
      </c>
      <c r="BC287" s="8">
        <v>588.0</v>
      </c>
      <c r="BD287" s="8" t="s">
        <v>2135</v>
      </c>
      <c r="BE287" s="8" t="s">
        <v>7911</v>
      </c>
      <c r="BF287" s="13" t="str">
        <f>HYPERLINK("http://dx.doi.org/10.1515/mammalia-2017-0013","http://dx.doi.org/10.1515/mammalia-2017-0013")</f>
        <v>http://dx.doi.org/10.1515/mammalia-2017-0013</v>
      </c>
      <c r="BG287" s="8" t="s">
        <v>2135</v>
      </c>
      <c r="BH287" s="8" t="s">
        <v>2135</v>
      </c>
      <c r="BI287" s="8">
        <v>9.0</v>
      </c>
      <c r="BJ287" s="8" t="s">
        <v>3397</v>
      </c>
      <c r="BK287" s="8" t="s">
        <v>3352</v>
      </c>
      <c r="BL287" s="8" t="s">
        <v>3397</v>
      </c>
      <c r="BM287" s="8" t="s">
        <v>7912</v>
      </c>
      <c r="BN287" s="8" t="s">
        <v>2135</v>
      </c>
      <c r="BO287" s="8" t="s">
        <v>2135</v>
      </c>
      <c r="BP287" s="8" t="s">
        <v>2135</v>
      </c>
      <c r="BQ287" s="8" t="s">
        <v>2135</v>
      </c>
      <c r="BR287" s="8" t="s">
        <v>3355</v>
      </c>
      <c r="BS287" s="8" t="s">
        <v>7913</v>
      </c>
      <c r="BT287" s="8" t="s">
        <v>2497</v>
      </c>
      <c r="BU287" s="8" t="s">
        <v>2142</v>
      </c>
      <c r="BW287" s="8" t="s">
        <v>2168</v>
      </c>
      <c r="BX287" s="8" t="s">
        <v>3010</v>
      </c>
      <c r="BY287" s="8" t="s">
        <v>2992</v>
      </c>
      <c r="BZ287" s="8" t="str">
        <f>HYPERLINK("https%3A%2F%2Fwww.webofscience.com%2Fwos%2Fwoscc%2Ffull-record%2FWOS:000449147100006","View Full Record in Web of Science")</f>
        <v>View Full Record in Web of Science</v>
      </c>
    </row>
    <row r="288" ht="12.75" customHeight="1">
      <c r="A288" s="8" t="s">
        <v>3329</v>
      </c>
      <c r="B288" s="8" t="s">
        <v>7914</v>
      </c>
      <c r="C288" s="8" t="s">
        <v>2135</v>
      </c>
      <c r="D288" s="8" t="s">
        <v>2135</v>
      </c>
      <c r="E288" s="8" t="s">
        <v>2135</v>
      </c>
      <c r="F288" s="8" t="s">
        <v>7915</v>
      </c>
      <c r="G288" s="8" t="s">
        <v>2135</v>
      </c>
      <c r="H288" s="8" t="s">
        <v>2135</v>
      </c>
      <c r="I288" s="8" t="s">
        <v>1318</v>
      </c>
      <c r="J288" s="8" t="s">
        <v>7916</v>
      </c>
      <c r="K288" s="8" t="s">
        <v>2135</v>
      </c>
      <c r="L288" s="8" t="s">
        <v>2135</v>
      </c>
      <c r="M288" s="8" t="s">
        <v>3332</v>
      </c>
      <c r="N288" s="8" t="s">
        <v>3333</v>
      </c>
      <c r="O288" s="8" t="s">
        <v>2135</v>
      </c>
      <c r="P288" s="8" t="s">
        <v>2135</v>
      </c>
      <c r="Q288" s="8" t="s">
        <v>2135</v>
      </c>
      <c r="R288" s="8" t="s">
        <v>2135</v>
      </c>
      <c r="S288" s="8" t="s">
        <v>2135</v>
      </c>
      <c r="T288" s="8" t="s">
        <v>7917</v>
      </c>
      <c r="U288" s="8" t="s">
        <v>7918</v>
      </c>
      <c r="V288" s="8" t="s">
        <v>7919</v>
      </c>
      <c r="W288" s="8" t="s">
        <v>7920</v>
      </c>
      <c r="X288" s="8" t="s">
        <v>7921</v>
      </c>
      <c r="Y288" s="8" t="s">
        <v>7922</v>
      </c>
      <c r="Z288" s="8" t="s">
        <v>7923</v>
      </c>
      <c r="AA288" s="8" t="s">
        <v>7924</v>
      </c>
      <c r="AB288" s="8" t="s">
        <v>7925</v>
      </c>
      <c r="AC288" s="8" t="s">
        <v>2135</v>
      </c>
      <c r="AD288" s="8" t="s">
        <v>2135</v>
      </c>
      <c r="AE288" s="8" t="s">
        <v>2135</v>
      </c>
      <c r="AF288" s="8" t="s">
        <v>2135</v>
      </c>
      <c r="AG288" s="8">
        <v>29.0</v>
      </c>
      <c r="AH288" s="8">
        <v>11.0</v>
      </c>
      <c r="AI288" s="8">
        <v>14.0</v>
      </c>
      <c r="AJ288" s="8">
        <v>2.0</v>
      </c>
      <c r="AK288" s="8">
        <v>13.0</v>
      </c>
      <c r="AL288" s="8" t="s">
        <v>7926</v>
      </c>
      <c r="AM288" s="8" t="s">
        <v>7927</v>
      </c>
      <c r="AN288" s="8" t="s">
        <v>7928</v>
      </c>
      <c r="AO288" s="8" t="s">
        <v>7929</v>
      </c>
      <c r="AP288" s="8" t="s">
        <v>7930</v>
      </c>
      <c r="AQ288" s="8" t="s">
        <v>2135</v>
      </c>
      <c r="AR288" s="8" t="s">
        <v>7931</v>
      </c>
      <c r="AS288" s="8" t="s">
        <v>7932</v>
      </c>
      <c r="AT288" s="8" t="s">
        <v>3462</v>
      </c>
      <c r="AU288" s="8">
        <v>2018.0</v>
      </c>
      <c r="AV288" s="8">
        <v>39.0</v>
      </c>
      <c r="AW288" s="8">
        <v>9.0</v>
      </c>
      <c r="AX288" s="8" t="s">
        <v>2135</v>
      </c>
      <c r="AY288" s="8" t="s">
        <v>2135</v>
      </c>
      <c r="AZ288" s="8" t="s">
        <v>2135</v>
      </c>
      <c r="BA288" s="8" t="s">
        <v>2135</v>
      </c>
      <c r="BB288" s="8">
        <v>1844.0</v>
      </c>
      <c r="BC288" s="8">
        <v>1848.0</v>
      </c>
      <c r="BD288" s="8" t="s">
        <v>2135</v>
      </c>
      <c r="BE288" s="8" t="s">
        <v>7933</v>
      </c>
      <c r="BF288" s="13" t="str">
        <f>HYPERLINK("http://dx.doi.org/10.1590/1678-5150-PVB-5744","http://dx.doi.org/10.1590/1678-5150-PVB-5744")</f>
        <v>http://dx.doi.org/10.1590/1678-5150-PVB-5744</v>
      </c>
      <c r="BG288" s="8" t="s">
        <v>2135</v>
      </c>
      <c r="BH288" s="8" t="s">
        <v>2135</v>
      </c>
      <c r="BI288" s="8">
        <v>5.0</v>
      </c>
      <c r="BJ288" s="8" t="s">
        <v>6958</v>
      </c>
      <c r="BK288" s="8" t="s">
        <v>3352</v>
      </c>
      <c r="BL288" s="8" t="s">
        <v>6958</v>
      </c>
      <c r="BM288" s="8" t="s">
        <v>7934</v>
      </c>
      <c r="BN288" s="8" t="s">
        <v>2135</v>
      </c>
      <c r="BO288" s="8" t="s">
        <v>3659</v>
      </c>
      <c r="BP288" s="8" t="s">
        <v>2135</v>
      </c>
      <c r="BQ288" s="8" t="s">
        <v>2135</v>
      </c>
      <c r="BR288" s="8" t="s">
        <v>3355</v>
      </c>
      <c r="BS288" s="8" t="s">
        <v>7935</v>
      </c>
      <c r="BT288" s="8" t="s">
        <v>2185</v>
      </c>
      <c r="BU288" s="8" t="s">
        <v>2147</v>
      </c>
      <c r="BW288" s="8" t="s">
        <v>2157</v>
      </c>
      <c r="BX288" s="8" t="s">
        <v>2985</v>
      </c>
      <c r="BY288" s="8" t="s">
        <v>2992</v>
      </c>
      <c r="BZ288" s="8" t="str">
        <f>HYPERLINK("https%3A%2F%2Fwww.webofscience.com%2Fwos%2Fwoscc%2Ffull-record%2FWOS:000449559300021","View Full Record in Web of Science")</f>
        <v>View Full Record in Web of Science</v>
      </c>
    </row>
    <row r="289" ht="12.75" customHeight="1">
      <c r="A289" s="8" t="s">
        <v>3329</v>
      </c>
      <c r="B289" s="8" t="s">
        <v>7936</v>
      </c>
      <c r="C289" s="8" t="s">
        <v>2135</v>
      </c>
      <c r="D289" s="8" t="s">
        <v>2135</v>
      </c>
      <c r="E289" s="8" t="s">
        <v>2135</v>
      </c>
      <c r="F289" s="8" t="s">
        <v>7937</v>
      </c>
      <c r="G289" s="8" t="s">
        <v>2135</v>
      </c>
      <c r="H289" s="8" t="s">
        <v>2135</v>
      </c>
      <c r="I289" s="8" t="s">
        <v>1320</v>
      </c>
      <c r="J289" s="8" t="s">
        <v>3637</v>
      </c>
      <c r="K289" s="8" t="s">
        <v>2135</v>
      </c>
      <c r="L289" s="8" t="s">
        <v>2135</v>
      </c>
      <c r="M289" s="8" t="s">
        <v>3332</v>
      </c>
      <c r="N289" s="8" t="s">
        <v>3333</v>
      </c>
      <c r="O289" s="8" t="s">
        <v>2135</v>
      </c>
      <c r="P289" s="8" t="s">
        <v>2135</v>
      </c>
      <c r="Q289" s="8" t="s">
        <v>2135</v>
      </c>
      <c r="R289" s="8" t="s">
        <v>2135</v>
      </c>
      <c r="S289" s="8" t="s">
        <v>2135</v>
      </c>
      <c r="T289" s="8" t="s">
        <v>2135</v>
      </c>
      <c r="U289" s="8" t="s">
        <v>7938</v>
      </c>
      <c r="V289" s="8" t="s">
        <v>7939</v>
      </c>
      <c r="W289" s="8" t="s">
        <v>7940</v>
      </c>
      <c r="X289" s="8" t="s">
        <v>7941</v>
      </c>
      <c r="Y289" s="8" t="s">
        <v>7942</v>
      </c>
      <c r="Z289" s="8" t="s">
        <v>7943</v>
      </c>
      <c r="AA289" s="8" t="s">
        <v>7944</v>
      </c>
      <c r="AB289" s="8" t="s">
        <v>7945</v>
      </c>
      <c r="AC289" s="8" t="s">
        <v>7946</v>
      </c>
      <c r="AD289" s="8" t="s">
        <v>7947</v>
      </c>
      <c r="AE289" s="8" t="s">
        <v>7948</v>
      </c>
      <c r="AF289" s="8" t="s">
        <v>2135</v>
      </c>
      <c r="AG289" s="8">
        <v>71.0</v>
      </c>
      <c r="AH289" s="8">
        <v>44.0</v>
      </c>
      <c r="AI289" s="8">
        <v>53.0</v>
      </c>
      <c r="AJ289" s="8">
        <v>6.0</v>
      </c>
      <c r="AK289" s="8">
        <v>73.0</v>
      </c>
      <c r="AL289" s="8" t="s">
        <v>3648</v>
      </c>
      <c r="AM289" s="8" t="s">
        <v>3649</v>
      </c>
      <c r="AN289" s="8" t="s">
        <v>3650</v>
      </c>
      <c r="AO289" s="8" t="s">
        <v>3651</v>
      </c>
      <c r="AP289" s="8" t="s">
        <v>2135</v>
      </c>
      <c r="AQ289" s="8" t="s">
        <v>2135</v>
      </c>
      <c r="AR289" s="8" t="s">
        <v>3637</v>
      </c>
      <c r="AS289" s="8" t="s">
        <v>3652</v>
      </c>
      <c r="AT289" s="8" t="s">
        <v>7949</v>
      </c>
      <c r="AU289" s="8">
        <v>2018.0</v>
      </c>
      <c r="AV289" s="8">
        <v>13.0</v>
      </c>
      <c r="AW289" s="8">
        <v>6.0</v>
      </c>
      <c r="AX289" s="8" t="s">
        <v>2135</v>
      </c>
      <c r="AY289" s="8" t="s">
        <v>2135</v>
      </c>
      <c r="AZ289" s="8" t="s">
        <v>2135</v>
      </c>
      <c r="BA289" s="8" t="s">
        <v>2135</v>
      </c>
      <c r="BB289" s="8" t="s">
        <v>2135</v>
      </c>
      <c r="BC289" s="8" t="s">
        <v>2135</v>
      </c>
      <c r="BD289" s="8" t="s">
        <v>7950</v>
      </c>
      <c r="BE289" s="8" t="s">
        <v>7951</v>
      </c>
      <c r="BF289" s="13" t="str">
        <f>HYPERLINK("http://dx.doi.org/10.1371/journal.pone.0199085","http://dx.doi.org/10.1371/journal.pone.0199085")</f>
        <v>http://dx.doi.org/10.1371/journal.pone.0199085</v>
      </c>
      <c r="BG289" s="8" t="s">
        <v>2135</v>
      </c>
      <c r="BH289" s="8" t="s">
        <v>2135</v>
      </c>
      <c r="BI289" s="8">
        <v>16.0</v>
      </c>
      <c r="BJ289" s="8" t="s">
        <v>3656</v>
      </c>
      <c r="BK289" s="8" t="s">
        <v>3352</v>
      </c>
      <c r="BL289" s="8" t="s">
        <v>3657</v>
      </c>
      <c r="BM289" s="8" t="s">
        <v>7952</v>
      </c>
      <c r="BN289" s="8">
        <v>2.9924844E7</v>
      </c>
      <c r="BO289" s="8" t="s">
        <v>3659</v>
      </c>
      <c r="BP289" s="8" t="s">
        <v>2135</v>
      </c>
      <c r="BQ289" s="8" t="s">
        <v>2135</v>
      </c>
      <c r="BR289" s="8" t="s">
        <v>3355</v>
      </c>
      <c r="BS289" s="8" t="s">
        <v>7953</v>
      </c>
      <c r="BT289" s="8" t="s">
        <v>2272</v>
      </c>
      <c r="BU289" s="8" t="s">
        <v>2147</v>
      </c>
      <c r="BW289" s="8" t="s">
        <v>2148</v>
      </c>
      <c r="BX289" s="8" t="s">
        <v>2985</v>
      </c>
      <c r="BY289" s="8" t="s">
        <v>2992</v>
      </c>
      <c r="BZ289" s="8" t="str">
        <f>HYPERLINK("https%3A%2F%2Fwww.webofscience.com%2Fwos%2Fwoscc%2Ffull-record%2FWOS:000435655600045","View Full Record in Web of Science")</f>
        <v>View Full Record in Web of Science</v>
      </c>
    </row>
    <row r="290" ht="12.75" customHeight="1">
      <c r="A290" s="8" t="s">
        <v>3329</v>
      </c>
      <c r="B290" s="8" t="s">
        <v>7954</v>
      </c>
      <c r="C290" s="8" t="s">
        <v>2135</v>
      </c>
      <c r="D290" s="8" t="s">
        <v>2135</v>
      </c>
      <c r="E290" s="8" t="s">
        <v>2135</v>
      </c>
      <c r="F290" s="8" t="s">
        <v>7955</v>
      </c>
      <c r="G290" s="8" t="s">
        <v>2135</v>
      </c>
      <c r="H290" s="8" t="s">
        <v>2135</v>
      </c>
      <c r="I290" s="8" t="s">
        <v>1322</v>
      </c>
      <c r="J290" s="8" t="s">
        <v>7581</v>
      </c>
      <c r="K290" s="8" t="s">
        <v>2135</v>
      </c>
      <c r="L290" s="8" t="s">
        <v>2135</v>
      </c>
      <c r="M290" s="8" t="s">
        <v>3332</v>
      </c>
      <c r="N290" s="8" t="s">
        <v>3333</v>
      </c>
      <c r="O290" s="8" t="s">
        <v>2135</v>
      </c>
      <c r="P290" s="8" t="s">
        <v>2135</v>
      </c>
      <c r="Q290" s="8" t="s">
        <v>2135</v>
      </c>
      <c r="R290" s="8" t="s">
        <v>2135</v>
      </c>
      <c r="S290" s="8" t="s">
        <v>2135</v>
      </c>
      <c r="T290" s="8" t="s">
        <v>7956</v>
      </c>
      <c r="U290" s="8" t="s">
        <v>7957</v>
      </c>
      <c r="V290" s="8" t="s">
        <v>7958</v>
      </c>
      <c r="W290" s="8" t="s">
        <v>7959</v>
      </c>
      <c r="X290" s="8" t="s">
        <v>7960</v>
      </c>
      <c r="Y290" s="8" t="s">
        <v>7961</v>
      </c>
      <c r="Z290" s="8" t="s">
        <v>7962</v>
      </c>
      <c r="AA290" s="8" t="s">
        <v>7963</v>
      </c>
      <c r="AB290" s="8" t="s">
        <v>7964</v>
      </c>
      <c r="AC290" s="8" t="s">
        <v>7965</v>
      </c>
      <c r="AD290" s="8" t="s">
        <v>7966</v>
      </c>
      <c r="AE290" s="8" t="s">
        <v>7967</v>
      </c>
      <c r="AF290" s="8" t="s">
        <v>2135</v>
      </c>
      <c r="AG290" s="8">
        <v>14.0</v>
      </c>
      <c r="AH290" s="8">
        <v>14.0</v>
      </c>
      <c r="AI290" s="8">
        <v>16.0</v>
      </c>
      <c r="AJ290" s="8">
        <v>0.0</v>
      </c>
      <c r="AK290" s="8">
        <v>13.0</v>
      </c>
      <c r="AL290" s="8" t="s">
        <v>3479</v>
      </c>
      <c r="AM290" s="8" t="s">
        <v>3480</v>
      </c>
      <c r="AN290" s="8" t="s">
        <v>3481</v>
      </c>
      <c r="AO290" s="8" t="s">
        <v>7592</v>
      </c>
      <c r="AP290" s="8" t="s">
        <v>7593</v>
      </c>
      <c r="AQ290" s="8" t="s">
        <v>2135</v>
      </c>
      <c r="AR290" s="8" t="s">
        <v>7594</v>
      </c>
      <c r="AS290" s="8" t="s">
        <v>7595</v>
      </c>
      <c r="AT290" s="8" t="s">
        <v>3721</v>
      </c>
      <c r="AU290" s="8">
        <v>2018.0</v>
      </c>
      <c r="AV290" s="8">
        <v>117.0</v>
      </c>
      <c r="AW290" s="8">
        <v>3.0</v>
      </c>
      <c r="AX290" s="8" t="s">
        <v>2135</v>
      </c>
      <c r="AY290" s="8" t="s">
        <v>2135</v>
      </c>
      <c r="AZ290" s="8" t="s">
        <v>2135</v>
      </c>
      <c r="BA290" s="8" t="s">
        <v>2135</v>
      </c>
      <c r="BB290" s="8">
        <v>929.0</v>
      </c>
      <c r="BC290" s="8">
        <v>931.0</v>
      </c>
      <c r="BD290" s="8" t="s">
        <v>2135</v>
      </c>
      <c r="BE290" s="8" t="s">
        <v>7968</v>
      </c>
      <c r="BF290" s="13" t="str">
        <f>HYPERLINK("http://dx.doi.org/10.1007/s00436-018-5769-y","http://dx.doi.org/10.1007/s00436-018-5769-y")</f>
        <v>http://dx.doi.org/10.1007/s00436-018-5769-y</v>
      </c>
      <c r="BG290" s="8" t="s">
        <v>2135</v>
      </c>
      <c r="BH290" s="8" t="s">
        <v>2135</v>
      </c>
      <c r="BI290" s="8">
        <v>3.0</v>
      </c>
      <c r="BJ290" s="8" t="s">
        <v>7597</v>
      </c>
      <c r="BK290" s="8" t="s">
        <v>3352</v>
      </c>
      <c r="BL290" s="8" t="s">
        <v>7597</v>
      </c>
      <c r="BM290" s="8" t="s">
        <v>7969</v>
      </c>
      <c r="BN290" s="8">
        <v>2.9374324E7</v>
      </c>
      <c r="BO290" s="8" t="s">
        <v>2135</v>
      </c>
      <c r="BP290" s="8" t="s">
        <v>2135</v>
      </c>
      <c r="BQ290" s="8" t="s">
        <v>2135</v>
      </c>
      <c r="BR290" s="8" t="s">
        <v>3355</v>
      </c>
      <c r="BS290" s="8" t="s">
        <v>7970</v>
      </c>
      <c r="BT290" s="8" t="s">
        <v>2491</v>
      </c>
      <c r="BU290" s="8" t="s">
        <v>2142</v>
      </c>
      <c r="BW290" s="8" t="s">
        <v>2143</v>
      </c>
      <c r="BX290" s="8" t="s">
        <v>2983</v>
      </c>
      <c r="BY290" s="8" t="s">
        <v>2992</v>
      </c>
      <c r="BZ290" s="8" t="str">
        <f>HYPERLINK("https%3A%2F%2Fwww.webofscience.com%2Fwos%2Fwoscc%2Ffull-record%2FWOS:000426550800035","View Full Record in Web of Science")</f>
        <v>View Full Record in Web of Science</v>
      </c>
    </row>
    <row r="291" ht="12.75" customHeight="1">
      <c r="A291" s="8" t="s">
        <v>3329</v>
      </c>
      <c r="B291" s="8" t="s">
        <v>7971</v>
      </c>
      <c r="C291" s="8" t="s">
        <v>2135</v>
      </c>
      <c r="D291" s="8" t="s">
        <v>2135</v>
      </c>
      <c r="E291" s="8" t="s">
        <v>2135</v>
      </c>
      <c r="F291" s="8" t="s">
        <v>7972</v>
      </c>
      <c r="G291" s="8" t="s">
        <v>2135</v>
      </c>
      <c r="H291" s="8" t="s">
        <v>2135</v>
      </c>
      <c r="I291" s="8" t="s">
        <v>1308</v>
      </c>
      <c r="J291" s="8" t="s">
        <v>7602</v>
      </c>
      <c r="K291" s="8" t="s">
        <v>2135</v>
      </c>
      <c r="L291" s="8" t="s">
        <v>2135</v>
      </c>
      <c r="M291" s="8" t="s">
        <v>3332</v>
      </c>
      <c r="N291" s="8" t="s">
        <v>3333</v>
      </c>
      <c r="O291" s="8" t="s">
        <v>2135</v>
      </c>
      <c r="P291" s="8" t="s">
        <v>2135</v>
      </c>
      <c r="Q291" s="8" t="s">
        <v>2135</v>
      </c>
      <c r="R291" s="8" t="s">
        <v>2135</v>
      </c>
      <c r="S291" s="8" t="s">
        <v>2135</v>
      </c>
      <c r="T291" s="8" t="s">
        <v>7973</v>
      </c>
      <c r="U291" s="8" t="s">
        <v>2135</v>
      </c>
      <c r="V291" s="8" t="s">
        <v>7974</v>
      </c>
      <c r="W291" s="8" t="s">
        <v>7975</v>
      </c>
      <c r="X291" s="8" t="s">
        <v>7976</v>
      </c>
      <c r="Y291" s="8" t="s">
        <v>7977</v>
      </c>
      <c r="Z291" s="8" t="s">
        <v>7978</v>
      </c>
      <c r="AA291" s="8" t="s">
        <v>7979</v>
      </c>
      <c r="AB291" s="8" t="s">
        <v>7980</v>
      </c>
      <c r="AC291" s="8" t="s">
        <v>7981</v>
      </c>
      <c r="AD291" s="8" t="s">
        <v>7982</v>
      </c>
      <c r="AE291" s="8" t="s">
        <v>7983</v>
      </c>
      <c r="AF291" s="8" t="s">
        <v>2135</v>
      </c>
      <c r="AG291" s="8">
        <v>13.0</v>
      </c>
      <c r="AH291" s="8">
        <v>12.0</v>
      </c>
      <c r="AI291" s="8">
        <v>13.0</v>
      </c>
      <c r="AJ291" s="8">
        <v>0.0</v>
      </c>
      <c r="AK291" s="8">
        <v>27.0</v>
      </c>
      <c r="AL291" s="8" t="s">
        <v>7615</v>
      </c>
      <c r="AM291" s="8" t="s">
        <v>3390</v>
      </c>
      <c r="AN291" s="8" t="s">
        <v>7616</v>
      </c>
      <c r="AO291" s="8" t="s">
        <v>7617</v>
      </c>
      <c r="AP291" s="8" t="s">
        <v>7618</v>
      </c>
      <c r="AQ291" s="8" t="s">
        <v>2135</v>
      </c>
      <c r="AR291" s="8" t="s">
        <v>7619</v>
      </c>
      <c r="AS291" s="8" t="s">
        <v>7620</v>
      </c>
      <c r="AT291" s="8" t="s">
        <v>3580</v>
      </c>
      <c r="AU291" s="8">
        <v>2017.0</v>
      </c>
      <c r="AV291" s="8">
        <v>53.0</v>
      </c>
      <c r="AW291" s="8">
        <v>4.0</v>
      </c>
      <c r="AX291" s="8" t="s">
        <v>2135</v>
      </c>
      <c r="AY291" s="8" t="s">
        <v>2135</v>
      </c>
      <c r="AZ291" s="8" t="s">
        <v>2135</v>
      </c>
      <c r="BA291" s="8" t="s">
        <v>2135</v>
      </c>
      <c r="BB291" s="8">
        <v>906.0</v>
      </c>
      <c r="BC291" s="8">
        <v>910.0</v>
      </c>
      <c r="BD291" s="8" t="s">
        <v>2135</v>
      </c>
      <c r="BE291" s="8" t="s">
        <v>7984</v>
      </c>
      <c r="BF291" s="13" t="str">
        <f>HYPERLINK("http://dx.doi.org/10.7589/2017-01-011","http://dx.doi.org/10.7589/2017-01-011")</f>
        <v>http://dx.doi.org/10.7589/2017-01-011</v>
      </c>
      <c r="BG291" s="8" t="s">
        <v>2135</v>
      </c>
      <c r="BH291" s="8" t="s">
        <v>2135</v>
      </c>
      <c r="BI291" s="8">
        <v>5.0</v>
      </c>
      <c r="BJ291" s="8" t="s">
        <v>6958</v>
      </c>
      <c r="BK291" s="8" t="s">
        <v>3352</v>
      </c>
      <c r="BL291" s="8" t="s">
        <v>6958</v>
      </c>
      <c r="BM291" s="8" t="s">
        <v>7985</v>
      </c>
      <c r="BN291" s="8">
        <v>2.8513329E7</v>
      </c>
      <c r="BO291" s="8" t="s">
        <v>2135</v>
      </c>
      <c r="BP291" s="8" t="s">
        <v>2135</v>
      </c>
      <c r="BQ291" s="8" t="s">
        <v>2135</v>
      </c>
      <c r="BR291" s="8" t="s">
        <v>3355</v>
      </c>
      <c r="BS291" s="8" t="s">
        <v>7986</v>
      </c>
      <c r="BT291" s="8" t="s">
        <v>2600</v>
      </c>
      <c r="BU291" s="8" t="s">
        <v>2147</v>
      </c>
      <c r="BV291" s="8" t="s">
        <v>2217</v>
      </c>
      <c r="BW291" s="8" t="s">
        <v>2237</v>
      </c>
      <c r="BX291" s="8" t="s">
        <v>2985</v>
      </c>
      <c r="BY291" s="8" t="s">
        <v>2992</v>
      </c>
      <c r="BZ291" s="8" t="str">
        <f>HYPERLINK("https%3A%2F%2Fwww.webofscience.com%2Fwos%2Fwoscc%2Ffull-record%2FWOS:000412579200027","View Full Record in Web of Science")</f>
        <v>View Full Record in Web of Science</v>
      </c>
    </row>
    <row r="292" ht="12.75" customHeight="1">
      <c r="A292" s="8" t="s">
        <v>3329</v>
      </c>
      <c r="B292" s="8" t="s">
        <v>7987</v>
      </c>
      <c r="C292" s="8" t="s">
        <v>2135</v>
      </c>
      <c r="D292" s="8" t="s">
        <v>2135</v>
      </c>
      <c r="E292" s="8" t="s">
        <v>2135</v>
      </c>
      <c r="F292" s="8" t="s">
        <v>7988</v>
      </c>
      <c r="G292" s="8" t="s">
        <v>2135</v>
      </c>
      <c r="H292" s="8" t="s">
        <v>2135</v>
      </c>
      <c r="I292" s="8" t="s">
        <v>1304</v>
      </c>
      <c r="J292" s="8" t="s">
        <v>7748</v>
      </c>
      <c r="K292" s="8" t="s">
        <v>2135</v>
      </c>
      <c r="L292" s="8" t="s">
        <v>2135</v>
      </c>
      <c r="M292" s="8" t="s">
        <v>3332</v>
      </c>
      <c r="N292" s="8" t="s">
        <v>3333</v>
      </c>
      <c r="O292" s="8" t="s">
        <v>2135</v>
      </c>
      <c r="P292" s="8" t="s">
        <v>2135</v>
      </c>
      <c r="Q292" s="8" t="s">
        <v>2135</v>
      </c>
      <c r="R292" s="8" t="s">
        <v>2135</v>
      </c>
      <c r="S292" s="8" t="s">
        <v>2135</v>
      </c>
      <c r="T292" s="8" t="s">
        <v>7989</v>
      </c>
      <c r="U292" s="8" t="s">
        <v>7990</v>
      </c>
      <c r="V292" s="8" t="s">
        <v>7991</v>
      </c>
      <c r="W292" s="8" t="s">
        <v>7992</v>
      </c>
      <c r="X292" s="8" t="s">
        <v>7993</v>
      </c>
      <c r="Y292" s="8" t="s">
        <v>7994</v>
      </c>
      <c r="Z292" s="8" t="s">
        <v>7995</v>
      </c>
      <c r="AA292" s="8" t="s">
        <v>7996</v>
      </c>
      <c r="AB292" s="8" t="s">
        <v>7997</v>
      </c>
      <c r="AC292" s="8" t="s">
        <v>7998</v>
      </c>
      <c r="AD292" s="8" t="s">
        <v>7999</v>
      </c>
      <c r="AE292" s="8" t="s">
        <v>8000</v>
      </c>
      <c r="AF292" s="8" t="s">
        <v>2135</v>
      </c>
      <c r="AG292" s="8">
        <v>47.0</v>
      </c>
      <c r="AH292" s="8">
        <v>10.0</v>
      </c>
      <c r="AI292" s="8">
        <v>11.0</v>
      </c>
      <c r="AJ292" s="8">
        <v>0.0</v>
      </c>
      <c r="AK292" s="8">
        <v>45.0</v>
      </c>
      <c r="AL292" s="8" t="s">
        <v>6103</v>
      </c>
      <c r="AM292" s="8" t="s">
        <v>6104</v>
      </c>
      <c r="AN292" s="8" t="s">
        <v>6105</v>
      </c>
      <c r="AO292" s="8" t="s">
        <v>7760</v>
      </c>
      <c r="AP292" s="8" t="s">
        <v>7761</v>
      </c>
      <c r="AQ292" s="8" t="s">
        <v>2135</v>
      </c>
      <c r="AR292" s="8" t="s">
        <v>7762</v>
      </c>
      <c r="AS292" s="8" t="s">
        <v>7763</v>
      </c>
      <c r="AT292" s="8" t="s">
        <v>8001</v>
      </c>
      <c r="AU292" s="8">
        <v>2017.0</v>
      </c>
      <c r="AV292" s="8">
        <v>126.0</v>
      </c>
      <c r="AW292" s="8">
        <v>1.0</v>
      </c>
      <c r="AX292" s="8" t="s">
        <v>2135</v>
      </c>
      <c r="AY292" s="8" t="s">
        <v>2135</v>
      </c>
      <c r="AZ292" s="8" t="s">
        <v>2135</v>
      </c>
      <c r="BA292" s="8" t="s">
        <v>2135</v>
      </c>
      <c r="BB292" s="8">
        <v>25.0</v>
      </c>
      <c r="BC292" s="8">
        <v>31.0</v>
      </c>
      <c r="BD292" s="8" t="s">
        <v>2135</v>
      </c>
      <c r="BE292" s="8" t="s">
        <v>8002</v>
      </c>
      <c r="BF292" s="13" t="str">
        <f>HYPERLINK("http://dx.doi.org/10.3354/dao03156","http://dx.doi.org/10.3354/dao03156")</f>
        <v>http://dx.doi.org/10.3354/dao03156</v>
      </c>
      <c r="BG292" s="8" t="s">
        <v>2135</v>
      </c>
      <c r="BH292" s="8" t="s">
        <v>2135</v>
      </c>
      <c r="BI292" s="8">
        <v>7.0</v>
      </c>
      <c r="BJ292" s="8" t="s">
        <v>7765</v>
      </c>
      <c r="BK292" s="8" t="s">
        <v>3352</v>
      </c>
      <c r="BL292" s="8" t="s">
        <v>7765</v>
      </c>
      <c r="BM292" s="8" t="s">
        <v>8003</v>
      </c>
      <c r="BN292" s="8">
        <v>2.8930082E7</v>
      </c>
      <c r="BO292" s="8" t="s">
        <v>2135</v>
      </c>
      <c r="BP292" s="8" t="s">
        <v>2135</v>
      </c>
      <c r="BQ292" s="8" t="s">
        <v>2135</v>
      </c>
      <c r="BR292" s="8" t="s">
        <v>3355</v>
      </c>
      <c r="BS292" s="8" t="s">
        <v>8004</v>
      </c>
      <c r="BT292" s="8" t="s">
        <v>2185</v>
      </c>
      <c r="BU292" s="8" t="s">
        <v>2147</v>
      </c>
      <c r="BW292" s="8" t="s">
        <v>2206</v>
      </c>
      <c r="BX292" s="8" t="s">
        <v>2983</v>
      </c>
      <c r="BY292" s="8" t="s">
        <v>2992</v>
      </c>
      <c r="BZ292" s="8" t="str">
        <f>HYPERLINK("https%3A%2F%2Fwww.webofscience.com%2Fwos%2Fwoscc%2Ffull-record%2FWOS:000412292600003","View Full Record in Web of Science")</f>
        <v>View Full Record in Web of Science</v>
      </c>
    </row>
    <row r="293" ht="12.75" customHeight="1">
      <c r="A293" s="8" t="s">
        <v>3329</v>
      </c>
      <c r="B293" s="8" t="s">
        <v>8005</v>
      </c>
      <c r="C293" s="8" t="s">
        <v>2135</v>
      </c>
      <c r="D293" s="8" t="s">
        <v>2135</v>
      </c>
      <c r="E293" s="8" t="s">
        <v>2135</v>
      </c>
      <c r="F293" s="8" t="s">
        <v>8006</v>
      </c>
      <c r="G293" s="8" t="s">
        <v>2135</v>
      </c>
      <c r="H293" s="8" t="s">
        <v>2135</v>
      </c>
      <c r="I293" s="8" t="s">
        <v>1294</v>
      </c>
      <c r="J293" s="8" t="s">
        <v>8007</v>
      </c>
      <c r="K293" s="8" t="s">
        <v>2135</v>
      </c>
      <c r="L293" s="8" t="s">
        <v>2135</v>
      </c>
      <c r="M293" s="8" t="s">
        <v>3332</v>
      </c>
      <c r="N293" s="8" t="s">
        <v>8008</v>
      </c>
      <c r="O293" s="8" t="s">
        <v>2135</v>
      </c>
      <c r="P293" s="8" t="s">
        <v>2135</v>
      </c>
      <c r="Q293" s="8" t="s">
        <v>2135</v>
      </c>
      <c r="R293" s="8" t="s">
        <v>2135</v>
      </c>
      <c r="S293" s="8" t="s">
        <v>2135</v>
      </c>
      <c r="T293" s="8" t="s">
        <v>8009</v>
      </c>
      <c r="U293" s="8" t="s">
        <v>8010</v>
      </c>
      <c r="V293" s="8" t="s">
        <v>8011</v>
      </c>
      <c r="W293" s="8" t="s">
        <v>8012</v>
      </c>
      <c r="X293" s="8" t="s">
        <v>8013</v>
      </c>
      <c r="Y293" s="8" t="s">
        <v>8014</v>
      </c>
      <c r="Z293" s="8" t="s">
        <v>8015</v>
      </c>
      <c r="AA293" s="8" t="s">
        <v>2135</v>
      </c>
      <c r="AB293" s="8" t="s">
        <v>2135</v>
      </c>
      <c r="AC293" s="8" t="s">
        <v>2135</v>
      </c>
      <c r="AD293" s="8" t="s">
        <v>2135</v>
      </c>
      <c r="AE293" s="8" t="s">
        <v>2135</v>
      </c>
      <c r="AF293" s="8" t="s">
        <v>2135</v>
      </c>
      <c r="AG293" s="8">
        <v>21.0</v>
      </c>
      <c r="AH293" s="8">
        <v>11.0</v>
      </c>
      <c r="AI293" s="8">
        <v>13.0</v>
      </c>
      <c r="AJ293" s="8">
        <v>3.0</v>
      </c>
      <c r="AK293" s="8">
        <v>85.0</v>
      </c>
      <c r="AL293" s="8" t="s">
        <v>3479</v>
      </c>
      <c r="AM293" s="8" t="s">
        <v>3480</v>
      </c>
      <c r="AN293" s="8" t="s">
        <v>3481</v>
      </c>
      <c r="AO293" s="8" t="s">
        <v>8016</v>
      </c>
      <c r="AP293" s="8" t="s">
        <v>8017</v>
      </c>
      <c r="AQ293" s="8" t="s">
        <v>2135</v>
      </c>
      <c r="AR293" s="8" t="s">
        <v>8007</v>
      </c>
      <c r="AS293" s="8" t="s">
        <v>8018</v>
      </c>
      <c r="AT293" s="8" t="s">
        <v>3462</v>
      </c>
      <c r="AU293" s="8">
        <v>2017.0</v>
      </c>
      <c r="AV293" s="8">
        <v>14.0</v>
      </c>
      <c r="AW293" s="8">
        <v>3.0</v>
      </c>
      <c r="AX293" s="8" t="s">
        <v>2135</v>
      </c>
      <c r="AY293" s="8" t="s">
        <v>2135</v>
      </c>
      <c r="AZ293" s="8" t="s">
        <v>2135</v>
      </c>
      <c r="BA293" s="8" t="s">
        <v>2135</v>
      </c>
      <c r="BB293" s="8">
        <v>432.0</v>
      </c>
      <c r="BC293" s="8">
        <v>437.0</v>
      </c>
      <c r="BD293" s="8" t="s">
        <v>2135</v>
      </c>
      <c r="BE293" s="8" t="s">
        <v>8019</v>
      </c>
      <c r="BF293" s="13" t="str">
        <f>HYPERLINK("http://dx.doi.org/10.1007/s10393-017-1273-6","http://dx.doi.org/10.1007/s10393-017-1273-6")</f>
        <v>http://dx.doi.org/10.1007/s10393-017-1273-6</v>
      </c>
      <c r="BG293" s="8" t="s">
        <v>2135</v>
      </c>
      <c r="BH293" s="8" t="s">
        <v>2135</v>
      </c>
      <c r="BI293" s="8">
        <v>6.0</v>
      </c>
      <c r="BJ293" s="8" t="s">
        <v>3351</v>
      </c>
      <c r="BK293" s="8" t="s">
        <v>3352</v>
      </c>
      <c r="BL293" s="8" t="s">
        <v>3353</v>
      </c>
      <c r="BM293" s="8" t="s">
        <v>8020</v>
      </c>
      <c r="BN293" s="8">
        <v>2.8879613E7</v>
      </c>
      <c r="BO293" s="8" t="s">
        <v>2135</v>
      </c>
      <c r="BP293" s="8" t="s">
        <v>2135</v>
      </c>
      <c r="BQ293" s="8" t="s">
        <v>2135</v>
      </c>
      <c r="BR293" s="8" t="s">
        <v>3355</v>
      </c>
      <c r="BS293" s="8" t="s">
        <v>8021</v>
      </c>
      <c r="BT293" s="8" t="s">
        <v>2600</v>
      </c>
      <c r="BU293" s="8" t="s">
        <v>2147</v>
      </c>
      <c r="BV293" s="8" t="s">
        <v>2217</v>
      </c>
      <c r="BW293" s="8" t="s">
        <v>2601</v>
      </c>
      <c r="BX293" s="8" t="s">
        <v>2983</v>
      </c>
      <c r="BY293" s="8" t="s">
        <v>2992</v>
      </c>
      <c r="BZ293" s="8" t="str">
        <f>HYPERLINK("https%3A%2F%2Fwww.webofscience.com%2Fwos%2Fwoscc%2Ffull-record%2FWOS:000414153000001","View Full Record in Web of Science")</f>
        <v>View Full Record in Web of Science</v>
      </c>
    </row>
    <row r="294" ht="12.75" customHeight="1">
      <c r="A294" s="8" t="s">
        <v>3329</v>
      </c>
      <c r="B294" s="8" t="s">
        <v>8022</v>
      </c>
      <c r="C294" s="8" t="s">
        <v>2135</v>
      </c>
      <c r="D294" s="8" t="s">
        <v>2135</v>
      </c>
      <c r="E294" s="8" t="s">
        <v>2135</v>
      </c>
      <c r="F294" s="8" t="s">
        <v>8023</v>
      </c>
      <c r="G294" s="8" t="s">
        <v>2135</v>
      </c>
      <c r="H294" s="8" t="s">
        <v>2135</v>
      </c>
      <c r="I294" s="8" t="s">
        <v>1296</v>
      </c>
      <c r="J294" s="8" t="s">
        <v>8007</v>
      </c>
      <c r="K294" s="8" t="s">
        <v>2135</v>
      </c>
      <c r="L294" s="8" t="s">
        <v>2135</v>
      </c>
      <c r="M294" s="8" t="s">
        <v>3332</v>
      </c>
      <c r="N294" s="8" t="s">
        <v>3333</v>
      </c>
      <c r="O294" s="8" t="s">
        <v>2135</v>
      </c>
      <c r="P294" s="8" t="s">
        <v>2135</v>
      </c>
      <c r="Q294" s="8" t="s">
        <v>2135</v>
      </c>
      <c r="R294" s="8" t="s">
        <v>2135</v>
      </c>
      <c r="S294" s="8" t="s">
        <v>2135</v>
      </c>
      <c r="T294" s="8" t="s">
        <v>8024</v>
      </c>
      <c r="U294" s="8" t="s">
        <v>8025</v>
      </c>
      <c r="V294" s="8" t="s">
        <v>8026</v>
      </c>
      <c r="W294" s="8" t="s">
        <v>8027</v>
      </c>
      <c r="X294" s="8" t="s">
        <v>3971</v>
      </c>
      <c r="Y294" s="8" t="s">
        <v>8028</v>
      </c>
      <c r="Z294" s="8" t="s">
        <v>8029</v>
      </c>
      <c r="AA294" s="8" t="s">
        <v>2135</v>
      </c>
      <c r="AB294" s="8" t="s">
        <v>8030</v>
      </c>
      <c r="AC294" s="8" t="s">
        <v>8031</v>
      </c>
      <c r="AD294" s="8" t="s">
        <v>8032</v>
      </c>
      <c r="AE294" s="8" t="s">
        <v>8033</v>
      </c>
      <c r="AF294" s="8" t="s">
        <v>2135</v>
      </c>
      <c r="AG294" s="8">
        <v>50.0</v>
      </c>
      <c r="AH294" s="8">
        <v>50.0</v>
      </c>
      <c r="AI294" s="8">
        <v>55.0</v>
      </c>
      <c r="AJ294" s="8">
        <v>1.0</v>
      </c>
      <c r="AK294" s="8">
        <v>14.0</v>
      </c>
      <c r="AL294" s="8" t="s">
        <v>3479</v>
      </c>
      <c r="AM294" s="8" t="s">
        <v>3480</v>
      </c>
      <c r="AN294" s="8" t="s">
        <v>3739</v>
      </c>
      <c r="AO294" s="8" t="s">
        <v>8016</v>
      </c>
      <c r="AP294" s="8" t="s">
        <v>8017</v>
      </c>
      <c r="AQ294" s="8" t="s">
        <v>2135</v>
      </c>
      <c r="AR294" s="8" t="s">
        <v>8007</v>
      </c>
      <c r="AS294" s="8" t="s">
        <v>8018</v>
      </c>
      <c r="AT294" s="8" t="s">
        <v>3462</v>
      </c>
      <c r="AU294" s="8">
        <v>2017.0</v>
      </c>
      <c r="AV294" s="8">
        <v>14.0</v>
      </c>
      <c r="AW294" s="8">
        <v>3.0</v>
      </c>
      <c r="AX294" s="8" t="s">
        <v>2135</v>
      </c>
      <c r="AY294" s="8" t="s">
        <v>2135</v>
      </c>
      <c r="AZ294" s="8" t="s">
        <v>2135</v>
      </c>
      <c r="BA294" s="8" t="s">
        <v>2135</v>
      </c>
      <c r="BB294" s="8">
        <v>451.0</v>
      </c>
      <c r="BC294" s="8">
        <v>462.0</v>
      </c>
      <c r="BD294" s="8" t="s">
        <v>2135</v>
      </c>
      <c r="BE294" s="8" t="s">
        <v>8034</v>
      </c>
      <c r="BF294" s="13" t="str">
        <f>HYPERLINK("http://dx.doi.org/10.1007/s10393-017-1236-y","http://dx.doi.org/10.1007/s10393-017-1236-y")</f>
        <v>http://dx.doi.org/10.1007/s10393-017-1236-y</v>
      </c>
      <c r="BG294" s="8" t="s">
        <v>2135</v>
      </c>
      <c r="BH294" s="8" t="s">
        <v>2135</v>
      </c>
      <c r="BI294" s="8">
        <v>12.0</v>
      </c>
      <c r="BJ294" s="8" t="s">
        <v>3351</v>
      </c>
      <c r="BK294" s="8" t="s">
        <v>3352</v>
      </c>
      <c r="BL294" s="8" t="s">
        <v>3353</v>
      </c>
      <c r="BM294" s="8" t="s">
        <v>8020</v>
      </c>
      <c r="BN294" s="8">
        <v>2.864309E7</v>
      </c>
      <c r="BO294" s="8" t="s">
        <v>3583</v>
      </c>
      <c r="BP294" s="8" t="s">
        <v>2135</v>
      </c>
      <c r="BQ294" s="8" t="s">
        <v>2135</v>
      </c>
      <c r="BR294" s="8" t="s">
        <v>3355</v>
      </c>
      <c r="BS294" s="8" t="s">
        <v>8035</v>
      </c>
      <c r="BT294" s="8" t="s">
        <v>2600</v>
      </c>
      <c r="BU294" s="8" t="s">
        <v>2147</v>
      </c>
      <c r="BV294" s="8" t="s">
        <v>2217</v>
      </c>
      <c r="BW294" s="8" t="s">
        <v>2601</v>
      </c>
      <c r="BX294" s="8" t="s">
        <v>2983</v>
      </c>
      <c r="BY294" s="8" t="s">
        <v>2992</v>
      </c>
      <c r="BZ294" s="8" t="str">
        <f>HYPERLINK("https%3A%2F%2Fwww.webofscience.com%2Fwos%2Fwoscc%2Ffull-record%2FWOS:000414153000003","View Full Record in Web of Science")</f>
        <v>View Full Record in Web of Science</v>
      </c>
    </row>
    <row r="295" ht="12.75" customHeight="1">
      <c r="A295" s="8" t="s">
        <v>3329</v>
      </c>
      <c r="B295" s="8" t="s">
        <v>8036</v>
      </c>
      <c r="C295" s="8" t="s">
        <v>2135</v>
      </c>
      <c r="D295" s="8" t="s">
        <v>2135</v>
      </c>
      <c r="E295" s="8" t="s">
        <v>2135</v>
      </c>
      <c r="F295" s="8" t="s">
        <v>8037</v>
      </c>
      <c r="G295" s="8" t="s">
        <v>2135</v>
      </c>
      <c r="H295" s="8" t="s">
        <v>2135</v>
      </c>
      <c r="I295" s="8" t="s">
        <v>1298</v>
      </c>
      <c r="J295" s="8" t="s">
        <v>7602</v>
      </c>
      <c r="K295" s="8" t="s">
        <v>2135</v>
      </c>
      <c r="L295" s="8" t="s">
        <v>2135</v>
      </c>
      <c r="M295" s="8" t="s">
        <v>3332</v>
      </c>
      <c r="N295" s="8" t="s">
        <v>3333</v>
      </c>
      <c r="O295" s="8" t="s">
        <v>2135</v>
      </c>
      <c r="P295" s="8" t="s">
        <v>2135</v>
      </c>
      <c r="Q295" s="8" t="s">
        <v>2135</v>
      </c>
      <c r="R295" s="8" t="s">
        <v>2135</v>
      </c>
      <c r="S295" s="8" t="s">
        <v>2135</v>
      </c>
      <c r="T295" s="8" t="s">
        <v>8038</v>
      </c>
      <c r="U295" s="8" t="s">
        <v>8039</v>
      </c>
      <c r="V295" s="8" t="s">
        <v>8040</v>
      </c>
      <c r="W295" s="8" t="s">
        <v>8041</v>
      </c>
      <c r="X295" s="8" t="s">
        <v>8042</v>
      </c>
      <c r="Y295" s="8" t="s">
        <v>8043</v>
      </c>
      <c r="Z295" s="8" t="s">
        <v>8044</v>
      </c>
      <c r="AA295" s="8" t="s">
        <v>8045</v>
      </c>
      <c r="AB295" s="8" t="s">
        <v>8046</v>
      </c>
      <c r="AC295" s="8" t="s">
        <v>8047</v>
      </c>
      <c r="AD295" s="8" t="s">
        <v>8048</v>
      </c>
      <c r="AE295" s="8" t="s">
        <v>8049</v>
      </c>
      <c r="AF295" s="8" t="s">
        <v>2135</v>
      </c>
      <c r="AG295" s="8">
        <v>71.0</v>
      </c>
      <c r="AH295" s="8">
        <v>2.0</v>
      </c>
      <c r="AI295" s="8">
        <v>3.0</v>
      </c>
      <c r="AJ295" s="8">
        <v>1.0</v>
      </c>
      <c r="AK295" s="8">
        <v>45.0</v>
      </c>
      <c r="AL295" s="8" t="s">
        <v>7615</v>
      </c>
      <c r="AM295" s="8" t="s">
        <v>3390</v>
      </c>
      <c r="AN295" s="8" t="s">
        <v>7616</v>
      </c>
      <c r="AO295" s="8" t="s">
        <v>7617</v>
      </c>
      <c r="AP295" s="8" t="s">
        <v>7618</v>
      </c>
      <c r="AQ295" s="8" t="s">
        <v>2135</v>
      </c>
      <c r="AR295" s="8" t="s">
        <v>7619</v>
      </c>
      <c r="AS295" s="8" t="s">
        <v>7620</v>
      </c>
      <c r="AT295" s="8" t="s">
        <v>3512</v>
      </c>
      <c r="AU295" s="8">
        <v>2017.0</v>
      </c>
      <c r="AV295" s="8">
        <v>53.0</v>
      </c>
      <c r="AW295" s="8">
        <v>3.0</v>
      </c>
      <c r="AX295" s="8" t="s">
        <v>2135</v>
      </c>
      <c r="AY295" s="8" t="s">
        <v>2135</v>
      </c>
      <c r="AZ295" s="8" t="s">
        <v>2135</v>
      </c>
      <c r="BA295" s="8" t="s">
        <v>2135</v>
      </c>
      <c r="BB295" s="8">
        <v>521.0</v>
      </c>
      <c r="BC295" s="8">
        <v>531.0</v>
      </c>
      <c r="BD295" s="8" t="s">
        <v>2135</v>
      </c>
      <c r="BE295" s="8" t="s">
        <v>8050</v>
      </c>
      <c r="BF295" s="13" t="str">
        <f>HYPERLINK("http://dx.doi.org/10.7589/2016-09-202","http://dx.doi.org/10.7589/2016-09-202")</f>
        <v>http://dx.doi.org/10.7589/2016-09-202</v>
      </c>
      <c r="BG295" s="8" t="s">
        <v>2135</v>
      </c>
      <c r="BH295" s="8" t="s">
        <v>2135</v>
      </c>
      <c r="BI295" s="8">
        <v>11.0</v>
      </c>
      <c r="BJ295" s="8" t="s">
        <v>6958</v>
      </c>
      <c r="BK295" s="8" t="s">
        <v>3352</v>
      </c>
      <c r="BL295" s="8" t="s">
        <v>6958</v>
      </c>
      <c r="BM295" s="8" t="s">
        <v>8051</v>
      </c>
      <c r="BN295" s="8">
        <v>2.8384062E7</v>
      </c>
      <c r="BO295" s="8" t="s">
        <v>2135</v>
      </c>
      <c r="BP295" s="8" t="s">
        <v>2135</v>
      </c>
      <c r="BQ295" s="8" t="s">
        <v>2135</v>
      </c>
      <c r="BR295" s="8" t="s">
        <v>3355</v>
      </c>
      <c r="BS295" s="8" t="s">
        <v>8052</v>
      </c>
      <c r="BT295" s="8" t="s">
        <v>2600</v>
      </c>
      <c r="BU295" s="8" t="s">
        <v>2147</v>
      </c>
      <c r="BV295" s="8" t="s">
        <v>2217</v>
      </c>
      <c r="BW295" s="8" t="s">
        <v>2601</v>
      </c>
      <c r="BX295" s="8" t="s">
        <v>2983</v>
      </c>
      <c r="BY295" s="8" t="s">
        <v>2992</v>
      </c>
      <c r="BZ295" s="8" t="str">
        <f>HYPERLINK("https%3A%2F%2Fwww.webofscience.com%2Fwos%2Fwoscc%2Ffull-record%2FWOS:000405093800009","View Full Record in Web of Science")</f>
        <v>View Full Record in Web of Science</v>
      </c>
    </row>
    <row r="296" ht="12.75" customHeight="1">
      <c r="A296" s="8" t="s">
        <v>3329</v>
      </c>
      <c r="B296" s="8" t="s">
        <v>8053</v>
      </c>
      <c r="C296" s="8" t="s">
        <v>2135</v>
      </c>
      <c r="D296" s="8" t="s">
        <v>2135</v>
      </c>
      <c r="E296" s="8" t="s">
        <v>2135</v>
      </c>
      <c r="F296" s="8" t="s">
        <v>8054</v>
      </c>
      <c r="G296" s="8" t="s">
        <v>2135</v>
      </c>
      <c r="H296" s="8" t="s">
        <v>2135</v>
      </c>
      <c r="I296" s="8" t="s">
        <v>1312</v>
      </c>
      <c r="J296" s="8" t="s">
        <v>7602</v>
      </c>
      <c r="K296" s="8" t="s">
        <v>2135</v>
      </c>
      <c r="L296" s="8" t="s">
        <v>2135</v>
      </c>
      <c r="M296" s="8" t="s">
        <v>3332</v>
      </c>
      <c r="N296" s="8" t="s">
        <v>3333</v>
      </c>
      <c r="O296" s="8" t="s">
        <v>2135</v>
      </c>
      <c r="P296" s="8" t="s">
        <v>2135</v>
      </c>
      <c r="Q296" s="8" t="s">
        <v>2135</v>
      </c>
      <c r="R296" s="8" t="s">
        <v>2135</v>
      </c>
      <c r="S296" s="8" t="s">
        <v>2135</v>
      </c>
      <c r="T296" s="8" t="s">
        <v>8055</v>
      </c>
      <c r="U296" s="8" t="s">
        <v>8056</v>
      </c>
      <c r="V296" s="8" t="s">
        <v>8057</v>
      </c>
      <c r="W296" s="8" t="s">
        <v>8058</v>
      </c>
      <c r="X296" s="8" t="s">
        <v>8059</v>
      </c>
      <c r="Y296" s="8" t="s">
        <v>8060</v>
      </c>
      <c r="Z296" s="8" t="s">
        <v>8061</v>
      </c>
      <c r="AA296" s="8" t="s">
        <v>8062</v>
      </c>
      <c r="AB296" s="8" t="s">
        <v>8063</v>
      </c>
      <c r="AC296" s="8" t="s">
        <v>8064</v>
      </c>
      <c r="AD296" s="8" t="s">
        <v>8065</v>
      </c>
      <c r="AE296" s="8" t="s">
        <v>8066</v>
      </c>
      <c r="AF296" s="8" t="s">
        <v>2135</v>
      </c>
      <c r="AG296" s="8">
        <v>48.0</v>
      </c>
      <c r="AH296" s="8">
        <v>22.0</v>
      </c>
      <c r="AI296" s="8">
        <v>24.0</v>
      </c>
      <c r="AJ296" s="8">
        <v>0.0</v>
      </c>
      <c r="AK296" s="8">
        <v>25.0</v>
      </c>
      <c r="AL296" s="8" t="s">
        <v>7615</v>
      </c>
      <c r="AM296" s="8" t="s">
        <v>3390</v>
      </c>
      <c r="AN296" s="8" t="s">
        <v>7616</v>
      </c>
      <c r="AO296" s="8" t="s">
        <v>7617</v>
      </c>
      <c r="AP296" s="8" t="s">
        <v>7618</v>
      </c>
      <c r="AQ296" s="8" t="s">
        <v>2135</v>
      </c>
      <c r="AR296" s="8" t="s">
        <v>7619</v>
      </c>
      <c r="AS296" s="8" t="s">
        <v>7620</v>
      </c>
      <c r="AT296" s="8" t="s">
        <v>3512</v>
      </c>
      <c r="AU296" s="8">
        <v>2017.0</v>
      </c>
      <c r="AV296" s="8">
        <v>53.0</v>
      </c>
      <c r="AW296" s="8">
        <v>3.0</v>
      </c>
      <c r="AX296" s="8" t="s">
        <v>2135</v>
      </c>
      <c r="AY296" s="8" t="s">
        <v>2135</v>
      </c>
      <c r="AZ296" s="8" t="s">
        <v>2135</v>
      </c>
      <c r="BA296" s="8" t="s">
        <v>2135</v>
      </c>
      <c r="BB296" s="8">
        <v>532.0</v>
      </c>
      <c r="BC296" s="8">
        <v>542.0</v>
      </c>
      <c r="BD296" s="8" t="s">
        <v>2135</v>
      </c>
      <c r="BE296" s="8" t="s">
        <v>8067</v>
      </c>
      <c r="BF296" s="13" t="str">
        <f>HYPERLINK("http://dx.doi.org/10.7589/2016-04-082","http://dx.doi.org/10.7589/2016-04-082")</f>
        <v>http://dx.doi.org/10.7589/2016-04-082</v>
      </c>
      <c r="BG296" s="8" t="s">
        <v>2135</v>
      </c>
      <c r="BH296" s="8" t="s">
        <v>2135</v>
      </c>
      <c r="BI296" s="8">
        <v>11.0</v>
      </c>
      <c r="BJ296" s="8" t="s">
        <v>6958</v>
      </c>
      <c r="BK296" s="8" t="s">
        <v>3352</v>
      </c>
      <c r="BL296" s="8" t="s">
        <v>6958</v>
      </c>
      <c r="BM296" s="8" t="s">
        <v>8051</v>
      </c>
      <c r="BN296" s="8">
        <v>2.8192039E7</v>
      </c>
      <c r="BO296" s="8" t="s">
        <v>2135</v>
      </c>
      <c r="BP296" s="8" t="s">
        <v>2135</v>
      </c>
      <c r="BQ296" s="8" t="s">
        <v>2135</v>
      </c>
      <c r="BR296" s="8" t="s">
        <v>3355</v>
      </c>
      <c r="BS296" s="8" t="s">
        <v>8068</v>
      </c>
      <c r="BT296" s="8" t="s">
        <v>2600</v>
      </c>
      <c r="BU296" s="8" t="s">
        <v>2147</v>
      </c>
      <c r="BV296" s="8" t="s">
        <v>2217</v>
      </c>
      <c r="BW296" s="8" t="s">
        <v>2237</v>
      </c>
      <c r="BX296" s="8" t="s">
        <v>2985</v>
      </c>
      <c r="BY296" s="8" t="s">
        <v>2992</v>
      </c>
      <c r="BZ296" s="8" t="str">
        <f>HYPERLINK("https%3A%2F%2Fwww.webofscience.com%2Fwos%2Fwoscc%2Ffull-record%2FWOS:000405093800010","View Full Record in Web of Science")</f>
        <v>View Full Record in Web of Science</v>
      </c>
    </row>
    <row r="297" ht="12.75" customHeight="1">
      <c r="A297" s="8" t="s">
        <v>3329</v>
      </c>
      <c r="B297" s="8" t="s">
        <v>8069</v>
      </c>
      <c r="C297" s="8" t="s">
        <v>2135</v>
      </c>
      <c r="D297" s="8" t="s">
        <v>2135</v>
      </c>
      <c r="E297" s="8" t="s">
        <v>2135</v>
      </c>
      <c r="F297" s="8" t="s">
        <v>8070</v>
      </c>
      <c r="G297" s="8" t="s">
        <v>2135</v>
      </c>
      <c r="H297" s="8" t="s">
        <v>2135</v>
      </c>
      <c r="I297" s="8" t="s">
        <v>1302</v>
      </c>
      <c r="J297" s="8" t="s">
        <v>3831</v>
      </c>
      <c r="K297" s="8" t="s">
        <v>2135</v>
      </c>
      <c r="L297" s="8" t="s">
        <v>2135</v>
      </c>
      <c r="M297" s="8" t="s">
        <v>3332</v>
      </c>
      <c r="N297" s="8" t="s">
        <v>3333</v>
      </c>
      <c r="O297" s="8" t="s">
        <v>2135</v>
      </c>
      <c r="P297" s="8" t="s">
        <v>2135</v>
      </c>
      <c r="Q297" s="8" t="s">
        <v>2135</v>
      </c>
      <c r="R297" s="8" t="s">
        <v>2135</v>
      </c>
      <c r="S297" s="8" t="s">
        <v>2135</v>
      </c>
      <c r="T297" s="8" t="s">
        <v>8071</v>
      </c>
      <c r="U297" s="8" t="s">
        <v>8072</v>
      </c>
      <c r="V297" s="8" t="s">
        <v>8073</v>
      </c>
      <c r="W297" s="8" t="s">
        <v>8074</v>
      </c>
      <c r="X297" s="8" t="s">
        <v>8075</v>
      </c>
      <c r="Y297" s="8" t="s">
        <v>8076</v>
      </c>
      <c r="Z297" s="8" t="s">
        <v>5269</v>
      </c>
      <c r="AA297" s="8" t="s">
        <v>8077</v>
      </c>
      <c r="AB297" s="8" t="s">
        <v>8078</v>
      </c>
      <c r="AC297" s="8" t="s">
        <v>8079</v>
      </c>
      <c r="AD297" s="8" t="s">
        <v>8080</v>
      </c>
      <c r="AE297" s="8" t="s">
        <v>8081</v>
      </c>
      <c r="AF297" s="8" t="s">
        <v>2135</v>
      </c>
      <c r="AG297" s="8">
        <v>42.0</v>
      </c>
      <c r="AH297" s="8">
        <v>13.0</v>
      </c>
      <c r="AI297" s="8">
        <v>13.0</v>
      </c>
      <c r="AJ297" s="8">
        <v>0.0</v>
      </c>
      <c r="AK297" s="8">
        <v>21.0</v>
      </c>
      <c r="AL297" s="8" t="s">
        <v>8082</v>
      </c>
      <c r="AM297" s="8" t="s">
        <v>3844</v>
      </c>
      <c r="AN297" s="8" t="s">
        <v>3845</v>
      </c>
      <c r="AO297" s="8" t="s">
        <v>3846</v>
      </c>
      <c r="AP297" s="8" t="s">
        <v>3847</v>
      </c>
      <c r="AQ297" s="8" t="s">
        <v>2135</v>
      </c>
      <c r="AR297" s="8" t="s">
        <v>3848</v>
      </c>
      <c r="AS297" s="8" t="s">
        <v>3849</v>
      </c>
      <c r="AT297" s="8" t="s">
        <v>3349</v>
      </c>
      <c r="AU297" s="8">
        <v>2017.0</v>
      </c>
      <c r="AV297" s="8">
        <v>95.0</v>
      </c>
      <c r="AW297" s="8">
        <v>6.0</v>
      </c>
      <c r="AX297" s="8" t="s">
        <v>2135</v>
      </c>
      <c r="AY297" s="8" t="s">
        <v>2135</v>
      </c>
      <c r="AZ297" s="8" t="s">
        <v>2135</v>
      </c>
      <c r="BA297" s="8" t="s">
        <v>2135</v>
      </c>
      <c r="BB297" s="8">
        <v>443.0</v>
      </c>
      <c r="BC297" s="8">
        <v>451.0</v>
      </c>
      <c r="BD297" s="8" t="s">
        <v>2135</v>
      </c>
      <c r="BE297" s="8" t="s">
        <v>8083</v>
      </c>
      <c r="BF297" s="13" t="str">
        <f>HYPERLINK("http://dx.doi.org/10.1139/cjz-2016-0171","http://dx.doi.org/10.1139/cjz-2016-0171")</f>
        <v>http://dx.doi.org/10.1139/cjz-2016-0171</v>
      </c>
      <c r="BG297" s="8" t="s">
        <v>2135</v>
      </c>
      <c r="BH297" s="8" t="s">
        <v>2135</v>
      </c>
      <c r="BI297" s="8">
        <v>9.0</v>
      </c>
      <c r="BJ297" s="8" t="s">
        <v>3397</v>
      </c>
      <c r="BK297" s="8" t="s">
        <v>3352</v>
      </c>
      <c r="BL297" s="8" t="s">
        <v>3397</v>
      </c>
      <c r="BM297" s="8" t="s">
        <v>8084</v>
      </c>
      <c r="BN297" s="8" t="s">
        <v>2135</v>
      </c>
      <c r="BO297" s="8" t="s">
        <v>2135</v>
      </c>
      <c r="BP297" s="8" t="s">
        <v>2135</v>
      </c>
      <c r="BQ297" s="8" t="s">
        <v>2135</v>
      </c>
      <c r="BR297" s="8" t="s">
        <v>3355</v>
      </c>
      <c r="BS297" s="8" t="s">
        <v>8085</v>
      </c>
      <c r="BT297" s="8" t="s">
        <v>2216</v>
      </c>
      <c r="BU297" s="8" t="s">
        <v>2147</v>
      </c>
      <c r="BV297" s="8" t="s">
        <v>2217</v>
      </c>
      <c r="BW297" s="8" t="s">
        <v>2155</v>
      </c>
      <c r="BX297" s="8" t="s">
        <v>3010</v>
      </c>
      <c r="BY297" s="8" t="s">
        <v>2992</v>
      </c>
      <c r="BZ297" s="8" t="str">
        <f>HYPERLINK("https%3A%2F%2Fwww.webofscience.com%2Fwos%2Fwoscc%2Ffull-record%2FWOS:000403354800009","View Full Record in Web of Science")</f>
        <v>View Full Record in Web of Science</v>
      </c>
    </row>
    <row r="298" ht="12.75" customHeight="1">
      <c r="A298" s="8" t="s">
        <v>3329</v>
      </c>
      <c r="B298" s="8" t="s">
        <v>8086</v>
      </c>
      <c r="C298" s="8" t="s">
        <v>2135</v>
      </c>
      <c r="D298" s="8" t="s">
        <v>2135</v>
      </c>
      <c r="E298" s="8" t="s">
        <v>2135</v>
      </c>
      <c r="F298" s="8" t="s">
        <v>8087</v>
      </c>
      <c r="G298" s="8" t="s">
        <v>2135</v>
      </c>
      <c r="H298" s="8" t="s">
        <v>2135</v>
      </c>
      <c r="I298" s="8" t="s">
        <v>1290</v>
      </c>
      <c r="J298" s="8" t="s">
        <v>3637</v>
      </c>
      <c r="K298" s="8" t="s">
        <v>2135</v>
      </c>
      <c r="L298" s="8" t="s">
        <v>2135</v>
      </c>
      <c r="M298" s="8" t="s">
        <v>3332</v>
      </c>
      <c r="N298" s="8" t="s">
        <v>3333</v>
      </c>
      <c r="O298" s="8" t="s">
        <v>2135</v>
      </c>
      <c r="P298" s="8" t="s">
        <v>2135</v>
      </c>
      <c r="Q298" s="8" t="s">
        <v>2135</v>
      </c>
      <c r="R298" s="8" t="s">
        <v>2135</v>
      </c>
      <c r="S298" s="8" t="s">
        <v>2135</v>
      </c>
      <c r="T298" s="8" t="s">
        <v>2135</v>
      </c>
      <c r="U298" s="8" t="s">
        <v>8088</v>
      </c>
      <c r="V298" s="8" t="s">
        <v>8089</v>
      </c>
      <c r="W298" s="8" t="s">
        <v>8090</v>
      </c>
      <c r="X298" s="8" t="s">
        <v>8091</v>
      </c>
      <c r="Y298" s="8" t="s">
        <v>8092</v>
      </c>
      <c r="Z298" s="8" t="s">
        <v>8093</v>
      </c>
      <c r="AA298" s="8" t="s">
        <v>8094</v>
      </c>
      <c r="AB298" s="8" t="s">
        <v>8095</v>
      </c>
      <c r="AC298" s="8" t="s">
        <v>8096</v>
      </c>
      <c r="AD298" s="8" t="s">
        <v>8097</v>
      </c>
      <c r="AE298" s="8" t="s">
        <v>8098</v>
      </c>
      <c r="AF298" s="8" t="s">
        <v>2135</v>
      </c>
      <c r="AG298" s="8">
        <v>88.0</v>
      </c>
      <c r="AH298" s="8">
        <v>59.0</v>
      </c>
      <c r="AI298" s="8">
        <v>66.0</v>
      </c>
      <c r="AJ298" s="8">
        <v>3.0</v>
      </c>
      <c r="AK298" s="8">
        <v>75.0</v>
      </c>
      <c r="AL298" s="8" t="s">
        <v>3648</v>
      </c>
      <c r="AM298" s="8" t="s">
        <v>3649</v>
      </c>
      <c r="AN298" s="8" t="s">
        <v>3650</v>
      </c>
      <c r="AO298" s="8" t="s">
        <v>3651</v>
      </c>
      <c r="AP298" s="8" t="s">
        <v>2135</v>
      </c>
      <c r="AQ298" s="8" t="s">
        <v>2135</v>
      </c>
      <c r="AR298" s="8" t="s">
        <v>3637</v>
      </c>
      <c r="AS298" s="8" t="s">
        <v>3652</v>
      </c>
      <c r="AT298" s="8" t="s">
        <v>8099</v>
      </c>
      <c r="AU298" s="8">
        <v>2017.0</v>
      </c>
      <c r="AV298" s="8">
        <v>12.0</v>
      </c>
      <c r="AW298" s="8">
        <v>4.0</v>
      </c>
      <c r="AX298" s="8" t="s">
        <v>2135</v>
      </c>
      <c r="AY298" s="8" t="s">
        <v>2135</v>
      </c>
      <c r="AZ298" s="8" t="s">
        <v>2135</v>
      </c>
      <c r="BA298" s="8" t="s">
        <v>2135</v>
      </c>
      <c r="BB298" s="8" t="s">
        <v>2135</v>
      </c>
      <c r="BC298" s="8" t="s">
        <v>2135</v>
      </c>
      <c r="BD298" s="8" t="s">
        <v>8100</v>
      </c>
      <c r="BE298" s="8" t="s">
        <v>8101</v>
      </c>
      <c r="BF298" s="13" t="str">
        <f>HYPERLINK("http://dx.doi.org/10.1371/journal.pone.0175469","http://dx.doi.org/10.1371/journal.pone.0175469")</f>
        <v>http://dx.doi.org/10.1371/journal.pone.0175469</v>
      </c>
      <c r="BG298" s="8" t="s">
        <v>2135</v>
      </c>
      <c r="BH298" s="8" t="s">
        <v>2135</v>
      </c>
      <c r="BI298" s="8">
        <v>20.0</v>
      </c>
      <c r="BJ298" s="8" t="s">
        <v>3656</v>
      </c>
      <c r="BK298" s="8" t="s">
        <v>3352</v>
      </c>
      <c r="BL298" s="8" t="s">
        <v>3657</v>
      </c>
      <c r="BM298" s="8" t="s">
        <v>8102</v>
      </c>
      <c r="BN298" s="8">
        <v>2.8399176E7</v>
      </c>
      <c r="BO298" s="8" t="s">
        <v>3659</v>
      </c>
      <c r="BP298" s="8" t="s">
        <v>2135</v>
      </c>
      <c r="BQ298" s="8" t="s">
        <v>2135</v>
      </c>
      <c r="BR298" s="8" t="s">
        <v>3355</v>
      </c>
      <c r="BS298" s="8" t="s">
        <v>8103</v>
      </c>
      <c r="BT298" s="8" t="s">
        <v>2345</v>
      </c>
      <c r="BU298" s="8" t="s">
        <v>2142</v>
      </c>
      <c r="BW298" s="8" t="s">
        <v>2180</v>
      </c>
      <c r="BX298" s="8" t="s">
        <v>2983</v>
      </c>
      <c r="BY298" s="8" t="s">
        <v>2992</v>
      </c>
      <c r="BZ298" s="8" t="str">
        <f>HYPERLINK("https%3A%2F%2Fwww.webofscience.com%2Fwos%2Fwoscc%2Ffull-record%2FWOS:000399949000042","View Full Record in Web of Science")</f>
        <v>View Full Record in Web of Science</v>
      </c>
    </row>
    <row r="299" ht="12.75" customHeight="1">
      <c r="A299" s="8" t="s">
        <v>3329</v>
      </c>
      <c r="B299" s="8" t="s">
        <v>8104</v>
      </c>
      <c r="C299" s="8" t="s">
        <v>2135</v>
      </c>
      <c r="D299" s="8" t="s">
        <v>2135</v>
      </c>
      <c r="E299" s="8" t="s">
        <v>2135</v>
      </c>
      <c r="F299" s="8" t="s">
        <v>8105</v>
      </c>
      <c r="G299" s="8" t="s">
        <v>2135</v>
      </c>
      <c r="H299" s="8" t="s">
        <v>2135</v>
      </c>
      <c r="I299" s="8" t="s">
        <v>1310</v>
      </c>
      <c r="J299" s="8" t="s">
        <v>7602</v>
      </c>
      <c r="K299" s="8" t="s">
        <v>2135</v>
      </c>
      <c r="L299" s="8" t="s">
        <v>2135</v>
      </c>
      <c r="M299" s="8" t="s">
        <v>3332</v>
      </c>
      <c r="N299" s="8" t="s">
        <v>3333</v>
      </c>
      <c r="O299" s="8" t="s">
        <v>2135</v>
      </c>
      <c r="P299" s="8" t="s">
        <v>2135</v>
      </c>
      <c r="Q299" s="8" t="s">
        <v>2135</v>
      </c>
      <c r="R299" s="8" t="s">
        <v>2135</v>
      </c>
      <c r="S299" s="8" t="s">
        <v>2135</v>
      </c>
      <c r="T299" s="8" t="s">
        <v>8106</v>
      </c>
      <c r="U299" s="8" t="s">
        <v>8107</v>
      </c>
      <c r="V299" s="8" t="s">
        <v>8108</v>
      </c>
      <c r="W299" s="8" t="s">
        <v>8109</v>
      </c>
      <c r="X299" s="8" t="s">
        <v>8110</v>
      </c>
      <c r="Y299" s="8" t="s">
        <v>8111</v>
      </c>
      <c r="Z299" s="8" t="s">
        <v>8112</v>
      </c>
      <c r="AA299" s="8" t="s">
        <v>8113</v>
      </c>
      <c r="AB299" s="8" t="s">
        <v>8114</v>
      </c>
      <c r="AC299" s="8" t="s">
        <v>8115</v>
      </c>
      <c r="AD299" s="8" t="s">
        <v>8115</v>
      </c>
      <c r="AE299" s="8" t="s">
        <v>8116</v>
      </c>
      <c r="AF299" s="8" t="s">
        <v>2135</v>
      </c>
      <c r="AG299" s="8">
        <v>57.0</v>
      </c>
      <c r="AH299" s="8">
        <v>6.0</v>
      </c>
      <c r="AI299" s="8">
        <v>6.0</v>
      </c>
      <c r="AJ299" s="8">
        <v>0.0</v>
      </c>
      <c r="AK299" s="8">
        <v>14.0</v>
      </c>
      <c r="AL299" s="8" t="s">
        <v>7615</v>
      </c>
      <c r="AM299" s="8" t="s">
        <v>3390</v>
      </c>
      <c r="AN299" s="8" t="s">
        <v>7616</v>
      </c>
      <c r="AO299" s="8" t="s">
        <v>7617</v>
      </c>
      <c r="AP299" s="8" t="s">
        <v>7618</v>
      </c>
      <c r="AQ299" s="8" t="s">
        <v>2135</v>
      </c>
      <c r="AR299" s="8" t="s">
        <v>7619</v>
      </c>
      <c r="AS299" s="8" t="s">
        <v>7620</v>
      </c>
      <c r="AT299" s="8" t="s">
        <v>3556</v>
      </c>
      <c r="AU299" s="8">
        <v>2017.0</v>
      </c>
      <c r="AV299" s="8">
        <v>53.0</v>
      </c>
      <c r="AW299" s="8">
        <v>2.0</v>
      </c>
      <c r="AX299" s="8" t="s">
        <v>2135</v>
      </c>
      <c r="AY299" s="8" t="s">
        <v>2135</v>
      </c>
      <c r="AZ299" s="8" t="s">
        <v>2135</v>
      </c>
      <c r="BA299" s="8" t="s">
        <v>2135</v>
      </c>
      <c r="BB299" s="8">
        <v>215.0</v>
      </c>
      <c r="BC299" s="8">
        <v>227.0</v>
      </c>
      <c r="BD299" s="8" t="s">
        <v>2135</v>
      </c>
      <c r="BE299" s="8" t="s">
        <v>8117</v>
      </c>
      <c r="BF299" s="13" t="str">
        <f>HYPERLINK("http://dx.doi.org/10.7589/2015-12-326","http://dx.doi.org/10.7589/2015-12-326")</f>
        <v>http://dx.doi.org/10.7589/2015-12-326</v>
      </c>
      <c r="BG299" s="8" t="s">
        <v>2135</v>
      </c>
      <c r="BH299" s="8" t="s">
        <v>2135</v>
      </c>
      <c r="BI299" s="8">
        <v>13.0</v>
      </c>
      <c r="BJ299" s="8" t="s">
        <v>6958</v>
      </c>
      <c r="BK299" s="8" t="s">
        <v>3352</v>
      </c>
      <c r="BL299" s="8" t="s">
        <v>6958</v>
      </c>
      <c r="BM299" s="8" t="s">
        <v>8118</v>
      </c>
      <c r="BN299" s="8">
        <v>2.8151078E7</v>
      </c>
      <c r="BO299" s="8" t="s">
        <v>2135</v>
      </c>
      <c r="BP299" s="8" t="s">
        <v>2135</v>
      </c>
      <c r="BQ299" s="8" t="s">
        <v>2135</v>
      </c>
      <c r="BR299" s="8" t="s">
        <v>3355</v>
      </c>
      <c r="BS299" s="8" t="s">
        <v>8119</v>
      </c>
      <c r="BT299" s="8" t="s">
        <v>2600</v>
      </c>
      <c r="BU299" s="8" t="s">
        <v>2147</v>
      </c>
      <c r="BV299" s="8" t="s">
        <v>2217</v>
      </c>
      <c r="BW299" s="8" t="s">
        <v>2237</v>
      </c>
      <c r="BX299" s="8" t="s">
        <v>2985</v>
      </c>
      <c r="BY299" s="8" t="s">
        <v>2992</v>
      </c>
      <c r="BZ299" s="8" t="str">
        <f>HYPERLINK("https%3A%2F%2Fwww.webofscience.com%2Fwos%2Fwoscc%2Ffull-record%2FWOS:000399156700002","View Full Record in Web of Science")</f>
        <v>View Full Record in Web of Science</v>
      </c>
    </row>
    <row r="300" ht="12.75" customHeight="1">
      <c r="A300" s="8" t="s">
        <v>3329</v>
      </c>
      <c r="B300" s="8" t="s">
        <v>8120</v>
      </c>
      <c r="C300" s="8" t="s">
        <v>2135</v>
      </c>
      <c r="D300" s="8" t="s">
        <v>2135</v>
      </c>
      <c r="E300" s="8" t="s">
        <v>2135</v>
      </c>
      <c r="F300" s="8" t="s">
        <v>8121</v>
      </c>
      <c r="G300" s="8" t="s">
        <v>2135</v>
      </c>
      <c r="H300" s="8" t="s">
        <v>2135</v>
      </c>
      <c r="I300" s="8" t="s">
        <v>1292</v>
      </c>
      <c r="J300" s="8" t="s">
        <v>6946</v>
      </c>
      <c r="K300" s="8" t="s">
        <v>2135</v>
      </c>
      <c r="L300" s="8" t="s">
        <v>2135</v>
      </c>
      <c r="M300" s="8" t="s">
        <v>3332</v>
      </c>
      <c r="N300" s="8" t="s">
        <v>3333</v>
      </c>
      <c r="O300" s="8" t="s">
        <v>2135</v>
      </c>
      <c r="P300" s="8" t="s">
        <v>2135</v>
      </c>
      <c r="Q300" s="8" t="s">
        <v>2135</v>
      </c>
      <c r="R300" s="8" t="s">
        <v>2135</v>
      </c>
      <c r="S300" s="8" t="s">
        <v>2135</v>
      </c>
      <c r="T300" s="8" t="s">
        <v>8122</v>
      </c>
      <c r="U300" s="8" t="s">
        <v>8123</v>
      </c>
      <c r="V300" s="8" t="s">
        <v>8124</v>
      </c>
      <c r="W300" s="8" t="s">
        <v>8125</v>
      </c>
      <c r="X300" s="8" t="s">
        <v>8126</v>
      </c>
      <c r="Y300" s="8" t="s">
        <v>8127</v>
      </c>
      <c r="Z300" s="8" t="s">
        <v>8128</v>
      </c>
      <c r="AA300" s="8" t="s">
        <v>8129</v>
      </c>
      <c r="AB300" s="8" t="s">
        <v>8130</v>
      </c>
      <c r="AC300" s="8" t="s">
        <v>2135</v>
      </c>
      <c r="AD300" s="8" t="s">
        <v>2135</v>
      </c>
      <c r="AE300" s="8" t="s">
        <v>2135</v>
      </c>
      <c r="AF300" s="8" t="s">
        <v>2135</v>
      </c>
      <c r="AG300" s="8">
        <v>14.0</v>
      </c>
      <c r="AH300" s="8">
        <v>3.0</v>
      </c>
      <c r="AI300" s="8">
        <v>4.0</v>
      </c>
      <c r="AJ300" s="8">
        <v>0.0</v>
      </c>
      <c r="AK300" s="8">
        <v>11.0</v>
      </c>
      <c r="AL300" s="8" t="s">
        <v>7538</v>
      </c>
      <c r="AM300" s="8" t="s">
        <v>7539</v>
      </c>
      <c r="AN300" s="8" t="s">
        <v>7540</v>
      </c>
      <c r="AO300" s="8" t="s">
        <v>6955</v>
      </c>
      <c r="AP300" s="8" t="s">
        <v>7541</v>
      </c>
      <c r="AQ300" s="8" t="s">
        <v>2135</v>
      </c>
      <c r="AR300" s="8" t="s">
        <v>6956</v>
      </c>
      <c r="AS300" s="8" t="s">
        <v>6957</v>
      </c>
      <c r="AT300" s="8" t="s">
        <v>3721</v>
      </c>
      <c r="AU300" s="8">
        <v>2017.0</v>
      </c>
      <c r="AV300" s="8">
        <v>48.0</v>
      </c>
      <c r="AW300" s="8">
        <v>1.0</v>
      </c>
      <c r="AX300" s="8" t="s">
        <v>2135</v>
      </c>
      <c r="AY300" s="8" t="s">
        <v>2135</v>
      </c>
      <c r="AZ300" s="8" t="s">
        <v>2135</v>
      </c>
      <c r="BA300" s="8" t="s">
        <v>2135</v>
      </c>
      <c r="BB300" s="8">
        <v>220.0</v>
      </c>
      <c r="BC300" s="8">
        <v>223.0</v>
      </c>
      <c r="BD300" s="8" t="s">
        <v>2135</v>
      </c>
      <c r="BE300" s="8" t="s">
        <v>8131</v>
      </c>
      <c r="BF300" s="13" t="str">
        <f>HYPERLINK("http://dx.doi.org/10.1638/2016-0082.1","http://dx.doi.org/10.1638/2016-0082.1")</f>
        <v>http://dx.doi.org/10.1638/2016-0082.1</v>
      </c>
      <c r="BG300" s="8" t="s">
        <v>2135</v>
      </c>
      <c r="BH300" s="8" t="s">
        <v>2135</v>
      </c>
      <c r="BI300" s="8">
        <v>4.0</v>
      </c>
      <c r="BJ300" s="8" t="s">
        <v>6958</v>
      </c>
      <c r="BK300" s="8" t="s">
        <v>3352</v>
      </c>
      <c r="BL300" s="8" t="s">
        <v>6958</v>
      </c>
      <c r="BM300" s="8" t="s">
        <v>8132</v>
      </c>
      <c r="BN300" s="8">
        <v>2.8363063E7</v>
      </c>
      <c r="BO300" s="8" t="s">
        <v>2135</v>
      </c>
      <c r="BP300" s="8" t="s">
        <v>2135</v>
      </c>
      <c r="BQ300" s="8" t="s">
        <v>2135</v>
      </c>
      <c r="BR300" s="8" t="s">
        <v>3355</v>
      </c>
      <c r="BS300" s="8" t="s">
        <v>8133</v>
      </c>
      <c r="BU300" s="8" t="s">
        <v>2142</v>
      </c>
      <c r="BW300" s="8" t="s">
        <v>2168</v>
      </c>
      <c r="BX300" s="8" t="s">
        <v>2983</v>
      </c>
      <c r="BY300" s="8" t="s">
        <v>2992</v>
      </c>
      <c r="BZ300" s="8" t="str">
        <f>HYPERLINK("https%3A%2F%2Fwww.webofscience.com%2Fwos%2Fwoscc%2Ffull-record%2FWOS:000400353900031","View Full Record in Web of Science")</f>
        <v>View Full Record in Web of Science</v>
      </c>
    </row>
    <row r="301" ht="12.75" customHeight="1">
      <c r="A301" s="8" t="s">
        <v>3329</v>
      </c>
      <c r="B301" s="8" t="s">
        <v>8134</v>
      </c>
      <c r="C301" s="8" t="s">
        <v>2135</v>
      </c>
      <c r="D301" s="8" t="s">
        <v>2135</v>
      </c>
      <c r="E301" s="8" t="s">
        <v>2135</v>
      </c>
      <c r="F301" s="8" t="s">
        <v>8135</v>
      </c>
      <c r="G301" s="8" t="s">
        <v>2135</v>
      </c>
      <c r="H301" s="8" t="s">
        <v>2135</v>
      </c>
      <c r="I301" s="8" t="s">
        <v>1287</v>
      </c>
      <c r="J301" s="8" t="s">
        <v>8136</v>
      </c>
      <c r="K301" s="8" t="s">
        <v>2135</v>
      </c>
      <c r="L301" s="8" t="s">
        <v>2135</v>
      </c>
      <c r="M301" s="8" t="s">
        <v>3332</v>
      </c>
      <c r="N301" s="8" t="s">
        <v>3333</v>
      </c>
      <c r="O301" s="8" t="s">
        <v>2135</v>
      </c>
      <c r="P301" s="8" t="s">
        <v>2135</v>
      </c>
      <c r="Q301" s="8" t="s">
        <v>2135</v>
      </c>
      <c r="R301" s="8" t="s">
        <v>2135</v>
      </c>
      <c r="S301" s="8" t="s">
        <v>2135</v>
      </c>
      <c r="T301" s="8" t="s">
        <v>2135</v>
      </c>
      <c r="U301" s="8" t="s">
        <v>8137</v>
      </c>
      <c r="V301" s="8" t="s">
        <v>8138</v>
      </c>
      <c r="W301" s="8" t="s">
        <v>8139</v>
      </c>
      <c r="X301" s="8" t="s">
        <v>8140</v>
      </c>
      <c r="Y301" s="8" t="s">
        <v>8141</v>
      </c>
      <c r="Z301" s="8" t="s">
        <v>8142</v>
      </c>
      <c r="AA301" s="8" t="s">
        <v>8143</v>
      </c>
      <c r="AB301" s="8" t="s">
        <v>8144</v>
      </c>
      <c r="AC301" s="8" t="s">
        <v>8145</v>
      </c>
      <c r="AD301" s="8" t="s">
        <v>8146</v>
      </c>
      <c r="AE301" s="8" t="s">
        <v>8147</v>
      </c>
      <c r="AF301" s="8" t="s">
        <v>2135</v>
      </c>
      <c r="AG301" s="8">
        <v>99.0</v>
      </c>
      <c r="AH301" s="8">
        <v>14.0</v>
      </c>
      <c r="AI301" s="8">
        <v>19.0</v>
      </c>
      <c r="AJ301" s="8">
        <v>4.0</v>
      </c>
      <c r="AK301" s="8">
        <v>46.0</v>
      </c>
      <c r="AL301" s="8" t="s">
        <v>8148</v>
      </c>
      <c r="AM301" s="8" t="s">
        <v>4999</v>
      </c>
      <c r="AN301" s="8" t="s">
        <v>8149</v>
      </c>
      <c r="AO301" s="8" t="s">
        <v>8150</v>
      </c>
      <c r="AP301" s="8" t="s">
        <v>2135</v>
      </c>
      <c r="AQ301" s="8" t="s">
        <v>2135</v>
      </c>
      <c r="AR301" s="8" t="s">
        <v>8151</v>
      </c>
      <c r="AS301" s="8" t="s">
        <v>8152</v>
      </c>
      <c r="AT301" s="8" t="s">
        <v>8153</v>
      </c>
      <c r="AU301" s="8">
        <v>2017.0</v>
      </c>
      <c r="AV301" s="8">
        <v>7.0</v>
      </c>
      <c r="AW301" s="8" t="s">
        <v>2135</v>
      </c>
      <c r="AX301" s="8" t="s">
        <v>2135</v>
      </c>
      <c r="AY301" s="8" t="s">
        <v>2135</v>
      </c>
      <c r="AZ301" s="8" t="s">
        <v>2135</v>
      </c>
      <c r="BA301" s="8" t="s">
        <v>2135</v>
      </c>
      <c r="BB301" s="8" t="s">
        <v>2135</v>
      </c>
      <c r="BC301" s="8" t="s">
        <v>2135</v>
      </c>
      <c r="BD301" s="8">
        <v>41611.0</v>
      </c>
      <c r="BE301" s="8" t="s">
        <v>8154</v>
      </c>
      <c r="BF301" s="13" t="str">
        <f>HYPERLINK("http://dx.doi.org/10.1038/srep41611","http://dx.doi.org/10.1038/srep41611")</f>
        <v>http://dx.doi.org/10.1038/srep41611</v>
      </c>
      <c r="BG301" s="8" t="s">
        <v>2135</v>
      </c>
      <c r="BH301" s="8" t="s">
        <v>2135</v>
      </c>
      <c r="BI301" s="8">
        <v>13.0</v>
      </c>
      <c r="BJ301" s="8" t="s">
        <v>3656</v>
      </c>
      <c r="BK301" s="8" t="s">
        <v>3352</v>
      </c>
      <c r="BL301" s="8" t="s">
        <v>3657</v>
      </c>
      <c r="BM301" s="8" t="s">
        <v>8155</v>
      </c>
      <c r="BN301" s="8">
        <v>2.8128366E7</v>
      </c>
      <c r="BO301" s="8" t="s">
        <v>3659</v>
      </c>
      <c r="BP301" s="8" t="s">
        <v>2135</v>
      </c>
      <c r="BQ301" s="8" t="s">
        <v>2135</v>
      </c>
      <c r="BR301" s="8" t="s">
        <v>3355</v>
      </c>
      <c r="BS301" s="8" t="s">
        <v>8156</v>
      </c>
      <c r="BT301" s="8" t="s">
        <v>2493</v>
      </c>
      <c r="BU301" s="8" t="s">
        <v>2283</v>
      </c>
      <c r="BW301" s="8" t="s">
        <v>2361</v>
      </c>
      <c r="BX301" s="8" t="s">
        <v>3118</v>
      </c>
      <c r="BY301" s="8" t="s">
        <v>2992</v>
      </c>
      <c r="BZ301" s="8" t="str">
        <f>HYPERLINK("https%3A%2F%2Fwww.webofscience.com%2Fwos%2Fwoscc%2Ffull-record%2FWOS:000392913100001","View Full Record in Web of Science")</f>
        <v>View Full Record in Web of Science</v>
      </c>
    </row>
    <row r="302" ht="12.75" customHeight="1">
      <c r="A302" s="8" t="s">
        <v>3329</v>
      </c>
      <c r="B302" s="8" t="s">
        <v>8157</v>
      </c>
      <c r="C302" s="8" t="s">
        <v>2135</v>
      </c>
      <c r="D302" s="8" t="s">
        <v>2135</v>
      </c>
      <c r="E302" s="8" t="s">
        <v>2135</v>
      </c>
      <c r="F302" s="8" t="s">
        <v>8158</v>
      </c>
      <c r="G302" s="8" t="s">
        <v>2135</v>
      </c>
      <c r="H302" s="8" t="s">
        <v>2135</v>
      </c>
      <c r="I302" s="8" t="s">
        <v>1300</v>
      </c>
      <c r="J302" s="8" t="s">
        <v>8159</v>
      </c>
      <c r="K302" s="8" t="s">
        <v>2135</v>
      </c>
      <c r="L302" s="8" t="s">
        <v>2135</v>
      </c>
      <c r="M302" s="8" t="s">
        <v>3332</v>
      </c>
      <c r="N302" s="8" t="s">
        <v>3333</v>
      </c>
      <c r="O302" s="8" t="s">
        <v>2135</v>
      </c>
      <c r="P302" s="8" t="s">
        <v>2135</v>
      </c>
      <c r="Q302" s="8" t="s">
        <v>2135</v>
      </c>
      <c r="R302" s="8" t="s">
        <v>2135</v>
      </c>
      <c r="S302" s="8" t="s">
        <v>2135</v>
      </c>
      <c r="T302" s="8" t="s">
        <v>8160</v>
      </c>
      <c r="U302" s="8" t="s">
        <v>8161</v>
      </c>
      <c r="V302" s="8" t="s">
        <v>8162</v>
      </c>
      <c r="W302" s="8" t="s">
        <v>8163</v>
      </c>
      <c r="X302" s="8" t="s">
        <v>8164</v>
      </c>
      <c r="Y302" s="8" t="s">
        <v>8165</v>
      </c>
      <c r="Z302" s="8" t="s">
        <v>8166</v>
      </c>
      <c r="AA302" s="8" t="s">
        <v>2135</v>
      </c>
      <c r="AB302" s="8" t="s">
        <v>8167</v>
      </c>
      <c r="AC302" s="8" t="s">
        <v>8168</v>
      </c>
      <c r="AD302" s="8" t="s">
        <v>8169</v>
      </c>
      <c r="AE302" s="8" t="s">
        <v>8170</v>
      </c>
      <c r="AF302" s="8" t="s">
        <v>2135</v>
      </c>
      <c r="AG302" s="8">
        <v>23.0</v>
      </c>
      <c r="AH302" s="8">
        <v>16.0</v>
      </c>
      <c r="AI302" s="8">
        <v>18.0</v>
      </c>
      <c r="AJ302" s="8">
        <v>1.0</v>
      </c>
      <c r="AK302" s="8">
        <v>16.0</v>
      </c>
      <c r="AL302" s="8" t="s">
        <v>5073</v>
      </c>
      <c r="AM302" s="8" t="s">
        <v>5074</v>
      </c>
      <c r="AN302" s="8" t="s">
        <v>5488</v>
      </c>
      <c r="AO302" s="8" t="s">
        <v>8171</v>
      </c>
      <c r="AP302" s="8" t="s">
        <v>8172</v>
      </c>
      <c r="AQ302" s="8" t="s">
        <v>2135</v>
      </c>
      <c r="AR302" s="8" t="s">
        <v>8173</v>
      </c>
      <c r="AS302" s="8" t="s">
        <v>8174</v>
      </c>
      <c r="AT302" s="8" t="s">
        <v>2135</v>
      </c>
      <c r="AU302" s="8">
        <v>2017.0</v>
      </c>
      <c r="AV302" s="8">
        <v>37.0</v>
      </c>
      <c r="AW302" s="8">
        <v>1.0</v>
      </c>
      <c r="AX302" s="8" t="s">
        <v>2135</v>
      </c>
      <c r="AY302" s="8" t="s">
        <v>2135</v>
      </c>
      <c r="AZ302" s="8" t="s">
        <v>2135</v>
      </c>
      <c r="BA302" s="8" t="s">
        <v>2135</v>
      </c>
      <c r="BB302" s="8">
        <v>207.0</v>
      </c>
      <c r="BC302" s="8">
        <v>211.0</v>
      </c>
      <c r="BD302" s="8" t="s">
        <v>2135</v>
      </c>
      <c r="BE302" s="8" t="s">
        <v>8175</v>
      </c>
      <c r="BF302" s="13" t="str">
        <f>HYPERLINK("http://dx.doi.org/10.1080/01652176.2017.1336810","http://dx.doi.org/10.1080/01652176.2017.1336810")</f>
        <v>http://dx.doi.org/10.1080/01652176.2017.1336810</v>
      </c>
      <c r="BG302" s="8" t="s">
        <v>2135</v>
      </c>
      <c r="BH302" s="8" t="s">
        <v>2135</v>
      </c>
      <c r="BI302" s="8">
        <v>5.0</v>
      </c>
      <c r="BJ302" s="8" t="s">
        <v>6958</v>
      </c>
      <c r="BK302" s="8" t="s">
        <v>3352</v>
      </c>
      <c r="BL302" s="8" t="s">
        <v>6958</v>
      </c>
      <c r="BM302" s="8" t="s">
        <v>8176</v>
      </c>
      <c r="BN302" s="8">
        <v>2.8635524E7</v>
      </c>
      <c r="BO302" s="8" t="s">
        <v>8177</v>
      </c>
      <c r="BP302" s="8" t="s">
        <v>2135</v>
      </c>
      <c r="BQ302" s="8" t="s">
        <v>2135</v>
      </c>
      <c r="BR302" s="8" t="s">
        <v>3355</v>
      </c>
      <c r="BS302" s="8" t="s">
        <v>8178</v>
      </c>
      <c r="BT302" s="8" t="s">
        <v>2146</v>
      </c>
      <c r="BU302" s="8" t="s">
        <v>2147</v>
      </c>
      <c r="BW302" s="8" t="s">
        <v>2155</v>
      </c>
      <c r="BX302" s="8" t="s">
        <v>2983</v>
      </c>
      <c r="BY302" s="8" t="s">
        <v>2992</v>
      </c>
      <c r="BZ302" s="8" t="str">
        <f>HYPERLINK("https%3A%2F%2Fwww.webofscience.com%2Fwos%2Fwoscc%2Ffull-record%2FWOS:000422988100009","View Full Record in Web of Science")</f>
        <v>View Full Record in Web of Science</v>
      </c>
    </row>
    <row r="303" ht="12.75" customHeight="1">
      <c r="A303" s="8" t="s">
        <v>3329</v>
      </c>
      <c r="B303" s="8" t="s">
        <v>8179</v>
      </c>
      <c r="C303" s="8" t="s">
        <v>2135</v>
      </c>
      <c r="D303" s="8" t="s">
        <v>2135</v>
      </c>
      <c r="E303" s="8" t="s">
        <v>2135</v>
      </c>
      <c r="F303" s="8" t="s">
        <v>8180</v>
      </c>
      <c r="G303" s="8" t="s">
        <v>2135</v>
      </c>
      <c r="H303" s="8" t="s">
        <v>2135</v>
      </c>
      <c r="I303" s="8" t="s">
        <v>1306</v>
      </c>
      <c r="J303" s="8" t="s">
        <v>7602</v>
      </c>
      <c r="K303" s="8" t="s">
        <v>2135</v>
      </c>
      <c r="L303" s="8" t="s">
        <v>2135</v>
      </c>
      <c r="M303" s="8" t="s">
        <v>3332</v>
      </c>
      <c r="N303" s="8" t="s">
        <v>3333</v>
      </c>
      <c r="O303" s="8" t="s">
        <v>2135</v>
      </c>
      <c r="P303" s="8" t="s">
        <v>2135</v>
      </c>
      <c r="Q303" s="8" t="s">
        <v>2135</v>
      </c>
      <c r="R303" s="8" t="s">
        <v>2135</v>
      </c>
      <c r="S303" s="8" t="s">
        <v>2135</v>
      </c>
      <c r="T303" s="8" t="s">
        <v>8181</v>
      </c>
      <c r="U303" s="8" t="s">
        <v>8182</v>
      </c>
      <c r="V303" s="8" t="s">
        <v>8183</v>
      </c>
      <c r="W303" s="8" t="s">
        <v>8184</v>
      </c>
      <c r="X303" s="8" t="s">
        <v>8185</v>
      </c>
      <c r="Y303" s="8" t="s">
        <v>8186</v>
      </c>
      <c r="Z303" s="8" t="s">
        <v>8187</v>
      </c>
      <c r="AA303" s="8" t="s">
        <v>2135</v>
      </c>
      <c r="AB303" s="8" t="s">
        <v>8188</v>
      </c>
      <c r="AC303" s="8" t="s">
        <v>8189</v>
      </c>
      <c r="AD303" s="8" t="s">
        <v>8190</v>
      </c>
      <c r="AE303" s="8" t="s">
        <v>8191</v>
      </c>
      <c r="AF303" s="8" t="s">
        <v>2135</v>
      </c>
      <c r="AG303" s="8">
        <v>30.0</v>
      </c>
      <c r="AH303" s="8">
        <v>9.0</v>
      </c>
      <c r="AI303" s="8">
        <v>9.0</v>
      </c>
      <c r="AJ303" s="8">
        <v>0.0</v>
      </c>
      <c r="AK303" s="8">
        <v>28.0</v>
      </c>
      <c r="AL303" s="8" t="s">
        <v>7615</v>
      </c>
      <c r="AM303" s="8" t="s">
        <v>3390</v>
      </c>
      <c r="AN303" s="8" t="s">
        <v>7616</v>
      </c>
      <c r="AO303" s="8" t="s">
        <v>7617</v>
      </c>
      <c r="AP303" s="8" t="s">
        <v>7618</v>
      </c>
      <c r="AQ303" s="8" t="s">
        <v>2135</v>
      </c>
      <c r="AR303" s="8" t="s">
        <v>7619</v>
      </c>
      <c r="AS303" s="8" t="s">
        <v>7620</v>
      </c>
      <c r="AT303" s="8" t="s">
        <v>3629</v>
      </c>
      <c r="AU303" s="8">
        <v>2017.0</v>
      </c>
      <c r="AV303" s="8">
        <v>53.0</v>
      </c>
      <c r="AW303" s="8">
        <v>1.0</v>
      </c>
      <c r="AX303" s="8" t="s">
        <v>2135</v>
      </c>
      <c r="AY303" s="8" t="s">
        <v>2135</v>
      </c>
      <c r="AZ303" s="8" t="s">
        <v>2135</v>
      </c>
      <c r="BA303" s="8" t="s">
        <v>2135</v>
      </c>
      <c r="BB303" s="8">
        <v>73.0</v>
      </c>
      <c r="BC303" s="8">
        <v>80.0</v>
      </c>
      <c r="BD303" s="8" t="s">
        <v>2135</v>
      </c>
      <c r="BE303" s="8" t="s">
        <v>8192</v>
      </c>
      <c r="BF303" s="13" t="str">
        <f>HYPERLINK("http://dx.doi.org/10.7589/2016-02-040","http://dx.doi.org/10.7589/2016-02-040")</f>
        <v>http://dx.doi.org/10.7589/2016-02-040</v>
      </c>
      <c r="BG303" s="8" t="s">
        <v>2135</v>
      </c>
      <c r="BH303" s="8" t="s">
        <v>2135</v>
      </c>
      <c r="BI303" s="8">
        <v>8.0</v>
      </c>
      <c r="BJ303" s="8" t="s">
        <v>6958</v>
      </c>
      <c r="BK303" s="8" t="s">
        <v>3352</v>
      </c>
      <c r="BL303" s="8" t="s">
        <v>6958</v>
      </c>
      <c r="BM303" s="8" t="s">
        <v>8193</v>
      </c>
      <c r="BN303" s="8">
        <v>2.7749192E7</v>
      </c>
      <c r="BO303" s="8" t="s">
        <v>2135</v>
      </c>
      <c r="BP303" s="8" t="s">
        <v>2135</v>
      </c>
      <c r="BQ303" s="8" t="s">
        <v>2135</v>
      </c>
      <c r="BR303" s="8" t="s">
        <v>3355</v>
      </c>
      <c r="BS303" s="8" t="s">
        <v>8194</v>
      </c>
      <c r="BT303" s="8" t="s">
        <v>2216</v>
      </c>
      <c r="BU303" s="8" t="s">
        <v>2147</v>
      </c>
      <c r="BV303" s="8" t="s">
        <v>2217</v>
      </c>
      <c r="BW303" s="8" t="s">
        <v>2256</v>
      </c>
      <c r="BX303" s="8" t="s">
        <v>2983</v>
      </c>
      <c r="BY303" s="8" t="s">
        <v>2992</v>
      </c>
      <c r="BZ303" s="8" t="str">
        <f>HYPERLINK("https%3A%2F%2Fwww.webofscience.com%2Fwos%2Fwoscc%2Ffull-record%2FWOS:000392380700009","View Full Record in Web of Science")</f>
        <v>View Full Record in Web of Science</v>
      </c>
    </row>
    <row r="304" ht="12.75" customHeight="1">
      <c r="A304" s="8" t="s">
        <v>3329</v>
      </c>
      <c r="B304" s="8" t="s">
        <v>8195</v>
      </c>
      <c r="C304" s="8" t="s">
        <v>2135</v>
      </c>
      <c r="D304" s="8" t="s">
        <v>2135</v>
      </c>
      <c r="E304" s="8" t="s">
        <v>2135</v>
      </c>
      <c r="F304" s="8" t="s">
        <v>8196</v>
      </c>
      <c r="G304" s="8" t="s">
        <v>2135</v>
      </c>
      <c r="H304" s="8" t="s">
        <v>2135</v>
      </c>
      <c r="I304" s="8" t="s">
        <v>1285</v>
      </c>
      <c r="J304" s="8" t="s">
        <v>8197</v>
      </c>
      <c r="K304" s="8" t="s">
        <v>2135</v>
      </c>
      <c r="L304" s="8" t="s">
        <v>2135</v>
      </c>
      <c r="M304" s="8" t="s">
        <v>3332</v>
      </c>
      <c r="N304" s="8" t="s">
        <v>3333</v>
      </c>
      <c r="O304" s="8" t="s">
        <v>2135</v>
      </c>
      <c r="P304" s="8" t="s">
        <v>2135</v>
      </c>
      <c r="Q304" s="8" t="s">
        <v>2135</v>
      </c>
      <c r="R304" s="8" t="s">
        <v>2135</v>
      </c>
      <c r="S304" s="8" t="s">
        <v>2135</v>
      </c>
      <c r="T304" s="8" t="s">
        <v>8198</v>
      </c>
      <c r="U304" s="8" t="s">
        <v>8199</v>
      </c>
      <c r="V304" s="8" t="s">
        <v>8200</v>
      </c>
      <c r="W304" s="8" t="s">
        <v>8201</v>
      </c>
      <c r="X304" s="8" t="s">
        <v>8202</v>
      </c>
      <c r="Y304" s="8" t="s">
        <v>8203</v>
      </c>
      <c r="Z304" s="8" t="s">
        <v>8204</v>
      </c>
      <c r="AA304" s="8" t="s">
        <v>8205</v>
      </c>
      <c r="AB304" s="8" t="s">
        <v>8206</v>
      </c>
      <c r="AC304" s="8" t="s">
        <v>8207</v>
      </c>
      <c r="AD304" s="8" t="s">
        <v>8208</v>
      </c>
      <c r="AE304" s="8" t="s">
        <v>8209</v>
      </c>
      <c r="AF304" s="8" t="s">
        <v>2135</v>
      </c>
      <c r="AG304" s="8">
        <v>46.0</v>
      </c>
      <c r="AH304" s="8">
        <v>25.0</v>
      </c>
      <c r="AI304" s="8">
        <v>27.0</v>
      </c>
      <c r="AJ304" s="8">
        <v>1.0</v>
      </c>
      <c r="AK304" s="8">
        <v>39.0</v>
      </c>
      <c r="AL304" s="8" t="s">
        <v>4394</v>
      </c>
      <c r="AM304" s="8" t="s">
        <v>3367</v>
      </c>
      <c r="AN304" s="8" t="s">
        <v>4395</v>
      </c>
      <c r="AO304" s="8" t="s">
        <v>8210</v>
      </c>
      <c r="AP304" s="8" t="s">
        <v>8211</v>
      </c>
      <c r="AQ304" s="8" t="s">
        <v>2135</v>
      </c>
      <c r="AR304" s="8" t="s">
        <v>8212</v>
      </c>
      <c r="AS304" s="8" t="s">
        <v>8213</v>
      </c>
      <c r="AT304" s="8" t="s">
        <v>8214</v>
      </c>
      <c r="AU304" s="8">
        <v>2016.0</v>
      </c>
      <c r="AV304" s="8">
        <v>230.0</v>
      </c>
      <c r="AW304" s="8" t="s">
        <v>2135</v>
      </c>
      <c r="AX304" s="8" t="s">
        <v>2135</v>
      </c>
      <c r="AY304" s="8" t="s">
        <v>2135</v>
      </c>
      <c r="AZ304" s="8" t="s">
        <v>2135</v>
      </c>
      <c r="BA304" s="8" t="s">
        <v>2135</v>
      </c>
      <c r="BB304" s="8">
        <v>25.0</v>
      </c>
      <c r="BC304" s="8">
        <v>32.0</v>
      </c>
      <c r="BD304" s="8" t="s">
        <v>2135</v>
      </c>
      <c r="BE304" s="8" t="s">
        <v>8215</v>
      </c>
      <c r="BF304" s="13" t="str">
        <f>HYPERLINK("http://dx.doi.org/10.1016/j.vetpar.2016.10.021","http://dx.doi.org/10.1016/j.vetpar.2016.10.021")</f>
        <v>http://dx.doi.org/10.1016/j.vetpar.2016.10.021</v>
      </c>
      <c r="BG304" s="8" t="s">
        <v>2135</v>
      </c>
      <c r="BH304" s="8" t="s">
        <v>2135</v>
      </c>
      <c r="BI304" s="8">
        <v>8.0</v>
      </c>
      <c r="BJ304" s="8" t="s">
        <v>8216</v>
      </c>
      <c r="BK304" s="8" t="s">
        <v>3352</v>
      </c>
      <c r="BL304" s="8" t="s">
        <v>8216</v>
      </c>
      <c r="BM304" s="8" t="s">
        <v>8217</v>
      </c>
      <c r="BN304" s="8">
        <v>2.7884438E7</v>
      </c>
      <c r="BO304" s="8" t="s">
        <v>3560</v>
      </c>
      <c r="BP304" s="8" t="s">
        <v>2135</v>
      </c>
      <c r="BQ304" s="8" t="s">
        <v>2135</v>
      </c>
      <c r="BR304" s="8" t="s">
        <v>3355</v>
      </c>
      <c r="BS304" s="8" t="s">
        <v>8218</v>
      </c>
      <c r="BU304" s="8" t="s">
        <v>2142</v>
      </c>
      <c r="BW304" s="8" t="s">
        <v>2143</v>
      </c>
      <c r="BX304" s="8" t="s">
        <v>2985</v>
      </c>
      <c r="BY304" s="8" t="s">
        <v>2992</v>
      </c>
      <c r="BZ304" s="8" t="str">
        <f>HYPERLINK("https%3A%2F%2Fwww.webofscience.com%2Fwos%2Fwoscc%2Ffull-record%2FWOS:000389733000006","View Full Record in Web of Science")</f>
        <v>View Full Record in Web of Science</v>
      </c>
    </row>
    <row r="305" ht="12.75" customHeight="1">
      <c r="A305" s="8" t="s">
        <v>3329</v>
      </c>
      <c r="B305" s="8" t="s">
        <v>8219</v>
      </c>
      <c r="C305" s="8" t="s">
        <v>2135</v>
      </c>
      <c r="D305" s="8" t="s">
        <v>2135</v>
      </c>
      <c r="E305" s="8" t="s">
        <v>2135</v>
      </c>
      <c r="F305" s="8" t="s">
        <v>8220</v>
      </c>
      <c r="G305" s="8" t="s">
        <v>2135</v>
      </c>
      <c r="H305" s="8" t="s">
        <v>2135</v>
      </c>
      <c r="I305" s="8" t="s">
        <v>1274</v>
      </c>
      <c r="J305" s="8" t="s">
        <v>7850</v>
      </c>
      <c r="K305" s="8" t="s">
        <v>2135</v>
      </c>
      <c r="L305" s="8" t="s">
        <v>2135</v>
      </c>
      <c r="M305" s="8" t="s">
        <v>3332</v>
      </c>
      <c r="N305" s="8" t="s">
        <v>3492</v>
      </c>
      <c r="O305" s="8" t="s">
        <v>2135</v>
      </c>
      <c r="P305" s="8" t="s">
        <v>2135</v>
      </c>
      <c r="Q305" s="8" t="s">
        <v>2135</v>
      </c>
      <c r="R305" s="8" t="s">
        <v>2135</v>
      </c>
      <c r="S305" s="8" t="s">
        <v>2135</v>
      </c>
      <c r="T305" s="8" t="s">
        <v>8221</v>
      </c>
      <c r="U305" s="8" t="s">
        <v>8222</v>
      </c>
      <c r="V305" s="8" t="s">
        <v>8223</v>
      </c>
      <c r="W305" s="8" t="s">
        <v>8224</v>
      </c>
      <c r="X305" s="8" t="s">
        <v>8225</v>
      </c>
      <c r="Y305" s="8" t="s">
        <v>8226</v>
      </c>
      <c r="Z305" s="8" t="s">
        <v>8227</v>
      </c>
      <c r="AA305" s="8" t="s">
        <v>8228</v>
      </c>
      <c r="AB305" s="8" t="s">
        <v>8229</v>
      </c>
      <c r="AC305" s="8" t="s">
        <v>8230</v>
      </c>
      <c r="AD305" s="8" t="s">
        <v>8231</v>
      </c>
      <c r="AE305" s="8" t="s">
        <v>8232</v>
      </c>
      <c r="AF305" s="8" t="s">
        <v>2135</v>
      </c>
      <c r="AG305" s="8">
        <v>144.0</v>
      </c>
      <c r="AH305" s="8">
        <v>95.0</v>
      </c>
      <c r="AI305" s="8">
        <v>101.0</v>
      </c>
      <c r="AJ305" s="8">
        <v>1.0</v>
      </c>
      <c r="AK305" s="8">
        <v>47.0</v>
      </c>
      <c r="AL305" s="8" t="s">
        <v>7863</v>
      </c>
      <c r="AM305" s="8" t="s">
        <v>3624</v>
      </c>
      <c r="AN305" s="8" t="s">
        <v>7864</v>
      </c>
      <c r="AO305" s="8" t="s">
        <v>7865</v>
      </c>
      <c r="AP305" s="8" t="s">
        <v>2135</v>
      </c>
      <c r="AQ305" s="8" t="s">
        <v>2135</v>
      </c>
      <c r="AR305" s="8" t="s">
        <v>7866</v>
      </c>
      <c r="AS305" s="8" t="s">
        <v>7867</v>
      </c>
      <c r="AT305" s="8" t="s">
        <v>8233</v>
      </c>
      <c r="AU305" s="8">
        <v>2016.0</v>
      </c>
      <c r="AV305" s="8">
        <v>9.0</v>
      </c>
      <c r="AW305" s="8" t="s">
        <v>2135</v>
      </c>
      <c r="AX305" s="8" t="s">
        <v>2135</v>
      </c>
      <c r="AY305" s="8" t="s">
        <v>2135</v>
      </c>
      <c r="AZ305" s="8" t="s">
        <v>2135</v>
      </c>
      <c r="BA305" s="8" t="s">
        <v>2135</v>
      </c>
      <c r="BB305" s="8" t="s">
        <v>2135</v>
      </c>
      <c r="BC305" s="8" t="s">
        <v>2135</v>
      </c>
      <c r="BD305" s="8">
        <v>538.0</v>
      </c>
      <c r="BE305" s="8" t="s">
        <v>8234</v>
      </c>
      <c r="BF305" s="13" t="str">
        <f>HYPERLINK("http://dx.doi.org/10.1186/s13071-016-1808-7","http://dx.doi.org/10.1186/s13071-016-1808-7")</f>
        <v>http://dx.doi.org/10.1186/s13071-016-1808-7</v>
      </c>
      <c r="BG305" s="8" t="s">
        <v>2135</v>
      </c>
      <c r="BH305" s="8" t="s">
        <v>2135</v>
      </c>
      <c r="BI305" s="8">
        <v>19.0</v>
      </c>
      <c r="BJ305" s="8" t="s">
        <v>7870</v>
      </c>
      <c r="BK305" s="8" t="s">
        <v>3352</v>
      </c>
      <c r="BL305" s="8" t="s">
        <v>7870</v>
      </c>
      <c r="BM305" s="8" t="s">
        <v>8235</v>
      </c>
      <c r="BN305" s="8">
        <v>2.7724937E7</v>
      </c>
      <c r="BO305" s="8" t="s">
        <v>3659</v>
      </c>
      <c r="BP305" s="8" t="s">
        <v>2135</v>
      </c>
      <c r="BQ305" s="8" t="s">
        <v>2135</v>
      </c>
      <c r="BR305" s="8" t="s">
        <v>3355</v>
      </c>
      <c r="BS305" s="8" t="s">
        <v>8236</v>
      </c>
      <c r="BU305" s="8" t="s">
        <v>2142</v>
      </c>
      <c r="BW305" s="8" t="s">
        <v>2517</v>
      </c>
      <c r="BX305" s="8" t="s">
        <v>2983</v>
      </c>
      <c r="BY305" s="8" t="s">
        <v>2992</v>
      </c>
      <c r="BZ305" s="8" t="str">
        <f>HYPERLINK("https%3A%2F%2Fwww.webofscience.com%2Fwos%2Fwoscc%2Ffull-record%2FWOS:000384847200003","View Full Record in Web of Science")</f>
        <v>View Full Record in Web of Science</v>
      </c>
    </row>
    <row r="306" ht="12.75" customHeight="1">
      <c r="A306" s="8" t="s">
        <v>3329</v>
      </c>
      <c r="B306" s="8" t="s">
        <v>8237</v>
      </c>
      <c r="C306" s="8" t="s">
        <v>2135</v>
      </c>
      <c r="D306" s="8" t="s">
        <v>2135</v>
      </c>
      <c r="E306" s="8" t="s">
        <v>2135</v>
      </c>
      <c r="F306" s="8" t="s">
        <v>8238</v>
      </c>
      <c r="G306" s="8" t="s">
        <v>2135</v>
      </c>
      <c r="H306" s="8" t="s">
        <v>2135</v>
      </c>
      <c r="I306" s="8" t="s">
        <v>1281</v>
      </c>
      <c r="J306" s="8" t="s">
        <v>5135</v>
      </c>
      <c r="K306" s="8" t="s">
        <v>2135</v>
      </c>
      <c r="L306" s="8" t="s">
        <v>2135</v>
      </c>
      <c r="M306" s="8" t="s">
        <v>3332</v>
      </c>
      <c r="N306" s="8" t="s">
        <v>8008</v>
      </c>
      <c r="O306" s="8" t="s">
        <v>2135</v>
      </c>
      <c r="P306" s="8" t="s">
        <v>2135</v>
      </c>
      <c r="Q306" s="8" t="s">
        <v>2135</v>
      </c>
      <c r="R306" s="8" t="s">
        <v>2135</v>
      </c>
      <c r="S306" s="8" t="s">
        <v>2135</v>
      </c>
      <c r="T306" s="8" t="s">
        <v>8239</v>
      </c>
      <c r="U306" s="8" t="s">
        <v>8240</v>
      </c>
      <c r="V306" s="8" t="s">
        <v>8241</v>
      </c>
      <c r="W306" s="8" t="s">
        <v>8242</v>
      </c>
      <c r="X306" s="8" t="s">
        <v>8243</v>
      </c>
      <c r="Y306" s="8" t="s">
        <v>8244</v>
      </c>
      <c r="Z306" s="8" t="s">
        <v>8245</v>
      </c>
      <c r="AA306" s="8" t="s">
        <v>8246</v>
      </c>
      <c r="AB306" s="8" t="s">
        <v>8247</v>
      </c>
      <c r="AC306" s="8" t="s">
        <v>2135</v>
      </c>
      <c r="AD306" s="8" t="s">
        <v>2135</v>
      </c>
      <c r="AE306" s="8" t="s">
        <v>2135</v>
      </c>
      <c r="AF306" s="8" t="s">
        <v>2135</v>
      </c>
      <c r="AG306" s="8">
        <v>35.0</v>
      </c>
      <c r="AH306" s="8">
        <v>5.0</v>
      </c>
      <c r="AI306" s="8">
        <v>5.0</v>
      </c>
      <c r="AJ306" s="8">
        <v>0.0</v>
      </c>
      <c r="AK306" s="8">
        <v>28.0</v>
      </c>
      <c r="AL306" s="8" t="s">
        <v>3479</v>
      </c>
      <c r="AM306" s="8" t="s">
        <v>4500</v>
      </c>
      <c r="AN306" s="8" t="s">
        <v>4501</v>
      </c>
      <c r="AO306" s="8" t="s">
        <v>5148</v>
      </c>
      <c r="AP306" s="8" t="s">
        <v>5149</v>
      </c>
      <c r="AQ306" s="8" t="s">
        <v>2135</v>
      </c>
      <c r="AR306" s="8" t="s">
        <v>5150</v>
      </c>
      <c r="AS306" s="8" t="s">
        <v>5151</v>
      </c>
      <c r="AT306" s="8" t="s">
        <v>3395</v>
      </c>
      <c r="AU306" s="8">
        <v>2016.0</v>
      </c>
      <c r="AV306" s="8">
        <v>25.0</v>
      </c>
      <c r="AW306" s="8">
        <v>9.0</v>
      </c>
      <c r="AX306" s="8" t="s">
        <v>2135</v>
      </c>
      <c r="AY306" s="8" t="s">
        <v>2135</v>
      </c>
      <c r="AZ306" s="8" t="s">
        <v>2135</v>
      </c>
      <c r="BA306" s="8" t="s">
        <v>2135</v>
      </c>
      <c r="BB306" s="8">
        <v>1795.0</v>
      </c>
      <c r="BC306" s="8">
        <v>1800.0</v>
      </c>
      <c r="BD306" s="8" t="s">
        <v>2135</v>
      </c>
      <c r="BE306" s="8" t="s">
        <v>8248</v>
      </c>
      <c r="BF306" s="13" t="str">
        <f>HYPERLINK("http://dx.doi.org/10.1007/s10531-016-1156-0","http://dx.doi.org/10.1007/s10531-016-1156-0")</f>
        <v>http://dx.doi.org/10.1007/s10531-016-1156-0</v>
      </c>
      <c r="BG306" s="8" t="s">
        <v>2135</v>
      </c>
      <c r="BH306" s="8" t="s">
        <v>2135</v>
      </c>
      <c r="BI306" s="8">
        <v>6.0</v>
      </c>
      <c r="BJ306" s="8" t="s">
        <v>3351</v>
      </c>
      <c r="BK306" s="8" t="s">
        <v>3352</v>
      </c>
      <c r="BL306" s="8" t="s">
        <v>3353</v>
      </c>
      <c r="BM306" s="8" t="s">
        <v>8249</v>
      </c>
      <c r="BN306" s="8" t="s">
        <v>2135</v>
      </c>
      <c r="BO306" s="8" t="s">
        <v>2135</v>
      </c>
      <c r="BP306" s="8" t="s">
        <v>2135</v>
      </c>
      <c r="BQ306" s="8" t="s">
        <v>2135</v>
      </c>
      <c r="BR306" s="8" t="s">
        <v>3355</v>
      </c>
      <c r="BS306" s="8" t="s">
        <v>8250</v>
      </c>
      <c r="BU306" s="8" t="s">
        <v>2142</v>
      </c>
      <c r="BW306" s="8" t="s">
        <v>2168</v>
      </c>
      <c r="BX306" s="8" t="s">
        <v>3010</v>
      </c>
      <c r="BY306" s="8" t="s">
        <v>2992</v>
      </c>
      <c r="BZ306" s="8" t="str">
        <f>HYPERLINK("https%3A%2F%2Fwww.webofscience.com%2Fwos%2Fwoscc%2Ffull-record%2FWOS:000379853300011","View Full Record in Web of Science")</f>
        <v>View Full Record in Web of Science</v>
      </c>
    </row>
    <row r="307" ht="12.75" customHeight="1">
      <c r="A307" s="8" t="s">
        <v>3329</v>
      </c>
      <c r="B307" s="8" t="s">
        <v>8251</v>
      </c>
      <c r="C307" s="8" t="s">
        <v>2135</v>
      </c>
      <c r="D307" s="8" t="s">
        <v>2135</v>
      </c>
      <c r="E307" s="8" t="s">
        <v>2135</v>
      </c>
      <c r="F307" s="8" t="s">
        <v>8252</v>
      </c>
      <c r="G307" s="8" t="s">
        <v>2135</v>
      </c>
      <c r="H307" s="8" t="s">
        <v>2135</v>
      </c>
      <c r="I307" s="8" t="s">
        <v>1279</v>
      </c>
      <c r="J307" s="8" t="s">
        <v>7581</v>
      </c>
      <c r="K307" s="8" t="s">
        <v>2135</v>
      </c>
      <c r="L307" s="8" t="s">
        <v>2135</v>
      </c>
      <c r="M307" s="8" t="s">
        <v>3332</v>
      </c>
      <c r="N307" s="8" t="s">
        <v>3333</v>
      </c>
      <c r="O307" s="8" t="s">
        <v>2135</v>
      </c>
      <c r="P307" s="8" t="s">
        <v>2135</v>
      </c>
      <c r="Q307" s="8" t="s">
        <v>2135</v>
      </c>
      <c r="R307" s="8" t="s">
        <v>2135</v>
      </c>
      <c r="S307" s="8" t="s">
        <v>2135</v>
      </c>
      <c r="T307" s="8" t="s">
        <v>8253</v>
      </c>
      <c r="U307" s="8" t="s">
        <v>8254</v>
      </c>
      <c r="V307" s="8" t="s">
        <v>8255</v>
      </c>
      <c r="W307" s="8" t="s">
        <v>8256</v>
      </c>
      <c r="X307" s="8" t="s">
        <v>7586</v>
      </c>
      <c r="Y307" s="8" t="s">
        <v>8257</v>
      </c>
      <c r="Z307" s="8" t="s">
        <v>8258</v>
      </c>
      <c r="AA307" s="8" t="s">
        <v>8259</v>
      </c>
      <c r="AB307" s="8" t="s">
        <v>8260</v>
      </c>
      <c r="AC307" s="8" t="s">
        <v>8261</v>
      </c>
      <c r="AD307" s="8" t="s">
        <v>8262</v>
      </c>
      <c r="AE307" s="8" t="s">
        <v>8263</v>
      </c>
      <c r="AF307" s="8" t="s">
        <v>2135</v>
      </c>
      <c r="AG307" s="8">
        <v>26.0</v>
      </c>
      <c r="AH307" s="8">
        <v>5.0</v>
      </c>
      <c r="AI307" s="8">
        <v>5.0</v>
      </c>
      <c r="AJ307" s="8">
        <v>0.0</v>
      </c>
      <c r="AK307" s="8">
        <v>13.0</v>
      </c>
      <c r="AL307" s="8" t="s">
        <v>3479</v>
      </c>
      <c r="AM307" s="8" t="s">
        <v>3480</v>
      </c>
      <c r="AN307" s="8" t="s">
        <v>3739</v>
      </c>
      <c r="AO307" s="8" t="s">
        <v>7592</v>
      </c>
      <c r="AP307" s="8" t="s">
        <v>7593</v>
      </c>
      <c r="AQ307" s="8" t="s">
        <v>2135</v>
      </c>
      <c r="AR307" s="8" t="s">
        <v>7594</v>
      </c>
      <c r="AS307" s="8" t="s">
        <v>7595</v>
      </c>
      <c r="AT307" s="8" t="s">
        <v>3349</v>
      </c>
      <c r="AU307" s="8">
        <v>2016.0</v>
      </c>
      <c r="AV307" s="8">
        <v>115.0</v>
      </c>
      <c r="AW307" s="8">
        <v>6.0</v>
      </c>
      <c r="AX307" s="8" t="s">
        <v>2135</v>
      </c>
      <c r="AY307" s="8" t="s">
        <v>2135</v>
      </c>
      <c r="AZ307" s="8" t="s">
        <v>2135</v>
      </c>
      <c r="BA307" s="8" t="s">
        <v>2135</v>
      </c>
      <c r="BB307" s="8">
        <v>2499.0</v>
      </c>
      <c r="BC307" s="8">
        <v>2503.0</v>
      </c>
      <c r="BD307" s="8" t="s">
        <v>2135</v>
      </c>
      <c r="BE307" s="8" t="s">
        <v>8264</v>
      </c>
      <c r="BF307" s="13" t="str">
        <f>HYPERLINK("http://dx.doi.org/10.1007/s00436-016-5021-6","http://dx.doi.org/10.1007/s00436-016-5021-6")</f>
        <v>http://dx.doi.org/10.1007/s00436-016-5021-6</v>
      </c>
      <c r="BG307" s="8" t="s">
        <v>2135</v>
      </c>
      <c r="BH307" s="8" t="s">
        <v>2135</v>
      </c>
      <c r="BI307" s="8">
        <v>5.0</v>
      </c>
      <c r="BJ307" s="8" t="s">
        <v>7597</v>
      </c>
      <c r="BK307" s="8" t="s">
        <v>3352</v>
      </c>
      <c r="BL307" s="8" t="s">
        <v>7597</v>
      </c>
      <c r="BM307" s="8" t="s">
        <v>8265</v>
      </c>
      <c r="BN307" s="8">
        <v>2.7008189E7</v>
      </c>
      <c r="BO307" s="8" t="s">
        <v>2135</v>
      </c>
      <c r="BP307" s="8" t="s">
        <v>2135</v>
      </c>
      <c r="BQ307" s="8" t="s">
        <v>2135</v>
      </c>
      <c r="BR307" s="8" t="s">
        <v>3355</v>
      </c>
      <c r="BS307" s="8" t="s">
        <v>8266</v>
      </c>
      <c r="BU307" s="8" t="s">
        <v>2142</v>
      </c>
      <c r="BW307" s="8" t="s">
        <v>2168</v>
      </c>
      <c r="BX307" s="8" t="s">
        <v>3010</v>
      </c>
      <c r="BY307" s="8" t="s">
        <v>2992</v>
      </c>
      <c r="BZ307" s="8" t="str">
        <f>HYPERLINK("https%3A%2F%2Fwww.webofscience.com%2Fwos%2Fwoscc%2Ffull-record%2FWOS:000376101000041","View Full Record in Web of Science")</f>
        <v>View Full Record in Web of Science</v>
      </c>
    </row>
    <row r="308" ht="12.75" customHeight="1">
      <c r="A308" s="8" t="s">
        <v>3329</v>
      </c>
      <c r="B308" s="8" t="s">
        <v>8267</v>
      </c>
      <c r="C308" s="8" t="s">
        <v>2135</v>
      </c>
      <c r="D308" s="8" t="s">
        <v>2135</v>
      </c>
      <c r="E308" s="8" t="s">
        <v>2135</v>
      </c>
      <c r="F308" s="8" t="s">
        <v>8268</v>
      </c>
      <c r="G308" s="8" t="s">
        <v>2135</v>
      </c>
      <c r="H308" s="8" t="s">
        <v>2135</v>
      </c>
      <c r="I308" s="8" t="s">
        <v>1283</v>
      </c>
      <c r="J308" s="8" t="s">
        <v>8269</v>
      </c>
      <c r="K308" s="8" t="s">
        <v>2135</v>
      </c>
      <c r="L308" s="8" t="s">
        <v>2135</v>
      </c>
      <c r="M308" s="8" t="s">
        <v>3332</v>
      </c>
      <c r="N308" s="8" t="s">
        <v>3333</v>
      </c>
      <c r="O308" s="8" t="s">
        <v>2135</v>
      </c>
      <c r="P308" s="8" t="s">
        <v>2135</v>
      </c>
      <c r="Q308" s="8" t="s">
        <v>2135</v>
      </c>
      <c r="R308" s="8" t="s">
        <v>2135</v>
      </c>
      <c r="S308" s="8" t="s">
        <v>2135</v>
      </c>
      <c r="T308" s="8" t="s">
        <v>8270</v>
      </c>
      <c r="U308" s="8" t="s">
        <v>8271</v>
      </c>
      <c r="V308" s="8" t="s">
        <v>8272</v>
      </c>
      <c r="W308" s="8" t="s">
        <v>8273</v>
      </c>
      <c r="X308" s="8" t="s">
        <v>8274</v>
      </c>
      <c r="Y308" s="8" t="s">
        <v>8275</v>
      </c>
      <c r="Z308" s="8" t="s">
        <v>7609</v>
      </c>
      <c r="AA308" s="8" t="s">
        <v>2135</v>
      </c>
      <c r="AB308" s="8" t="s">
        <v>8276</v>
      </c>
      <c r="AC308" s="8" t="s">
        <v>8277</v>
      </c>
      <c r="AD308" s="8" t="s">
        <v>8278</v>
      </c>
      <c r="AE308" s="8" t="s">
        <v>8279</v>
      </c>
      <c r="AF308" s="8" t="s">
        <v>2135</v>
      </c>
      <c r="AG308" s="8">
        <v>54.0</v>
      </c>
      <c r="AH308" s="8">
        <v>22.0</v>
      </c>
      <c r="AI308" s="8">
        <v>23.0</v>
      </c>
      <c r="AJ308" s="8">
        <v>1.0</v>
      </c>
      <c r="AK308" s="8">
        <v>43.0</v>
      </c>
      <c r="AL308" s="8" t="s">
        <v>3550</v>
      </c>
      <c r="AM308" s="8" t="s">
        <v>3480</v>
      </c>
      <c r="AN308" s="8" t="s">
        <v>6058</v>
      </c>
      <c r="AO308" s="8" t="s">
        <v>8280</v>
      </c>
      <c r="AP308" s="8" t="s">
        <v>8281</v>
      </c>
      <c r="AQ308" s="8" t="s">
        <v>2135</v>
      </c>
      <c r="AR308" s="8" t="s">
        <v>8269</v>
      </c>
      <c r="AS308" s="8" t="s">
        <v>7597</v>
      </c>
      <c r="AT308" s="8" t="s">
        <v>3721</v>
      </c>
      <c r="AU308" s="8">
        <v>2016.0</v>
      </c>
      <c r="AV308" s="8">
        <v>143.0</v>
      </c>
      <c r="AW308" s="8">
        <v>3.0</v>
      </c>
      <c r="AX308" s="8" t="s">
        <v>2135</v>
      </c>
      <c r="AY308" s="8" t="s">
        <v>2135</v>
      </c>
      <c r="AZ308" s="8" t="s">
        <v>2135</v>
      </c>
      <c r="BA308" s="8" t="s">
        <v>2135</v>
      </c>
      <c r="BB308" s="8">
        <v>276.0</v>
      </c>
      <c r="BC308" s="8">
        <v>288.0</v>
      </c>
      <c r="BD308" s="8" t="s">
        <v>2135</v>
      </c>
      <c r="BE308" s="8" t="s">
        <v>8282</v>
      </c>
      <c r="BF308" s="13" t="str">
        <f>HYPERLINK("http://dx.doi.org/10.1017/S0031182015001377","http://dx.doi.org/10.1017/S0031182015001377")</f>
        <v>http://dx.doi.org/10.1017/S0031182015001377</v>
      </c>
      <c r="BG308" s="8" t="s">
        <v>2135</v>
      </c>
      <c r="BH308" s="8" t="s">
        <v>2135</v>
      </c>
      <c r="BI308" s="8">
        <v>13.0</v>
      </c>
      <c r="BJ308" s="8" t="s">
        <v>7597</v>
      </c>
      <c r="BK308" s="8" t="s">
        <v>3352</v>
      </c>
      <c r="BL308" s="8" t="s">
        <v>7597</v>
      </c>
      <c r="BM308" s="8" t="s">
        <v>8283</v>
      </c>
      <c r="BN308" s="8">
        <v>2.649461E7</v>
      </c>
      <c r="BO308" s="8" t="s">
        <v>2135</v>
      </c>
      <c r="BP308" s="8" t="s">
        <v>2135</v>
      </c>
      <c r="BQ308" s="8" t="s">
        <v>2135</v>
      </c>
      <c r="BR308" s="8" t="s">
        <v>3355</v>
      </c>
      <c r="BS308" s="8" t="s">
        <v>8284</v>
      </c>
      <c r="BT308" s="8" t="s">
        <v>2600</v>
      </c>
      <c r="BU308" s="8" t="s">
        <v>2147</v>
      </c>
      <c r="BV308" s="8" t="s">
        <v>2217</v>
      </c>
      <c r="BW308" s="8" t="s">
        <v>2237</v>
      </c>
      <c r="BX308" s="8" t="s">
        <v>2985</v>
      </c>
      <c r="BY308" s="8" t="s">
        <v>2992</v>
      </c>
      <c r="BZ308" s="8" t="str">
        <f>HYPERLINK("https%3A%2F%2Fwww.webofscience.com%2Fwos%2Fwoscc%2Ffull-record%2FWOS:000372816200003","View Full Record in Web of Science")</f>
        <v>View Full Record in Web of Science</v>
      </c>
    </row>
    <row r="309" ht="12.75" customHeight="1">
      <c r="A309" s="8" t="s">
        <v>3329</v>
      </c>
      <c r="B309" s="8" t="s">
        <v>8285</v>
      </c>
      <c r="C309" s="8" t="s">
        <v>2135</v>
      </c>
      <c r="D309" s="8" t="s">
        <v>2135</v>
      </c>
      <c r="E309" s="8" t="s">
        <v>2135</v>
      </c>
      <c r="F309" s="8" t="s">
        <v>8286</v>
      </c>
      <c r="G309" s="8" t="s">
        <v>2135</v>
      </c>
      <c r="H309" s="8" t="s">
        <v>2135</v>
      </c>
      <c r="I309" s="8" t="s">
        <v>1272</v>
      </c>
      <c r="J309" s="8" t="s">
        <v>7602</v>
      </c>
      <c r="K309" s="8" t="s">
        <v>2135</v>
      </c>
      <c r="L309" s="8" t="s">
        <v>2135</v>
      </c>
      <c r="M309" s="8" t="s">
        <v>3332</v>
      </c>
      <c r="N309" s="8" t="s">
        <v>3333</v>
      </c>
      <c r="O309" s="8" t="s">
        <v>2135</v>
      </c>
      <c r="P309" s="8" t="s">
        <v>2135</v>
      </c>
      <c r="Q309" s="8" t="s">
        <v>2135</v>
      </c>
      <c r="R309" s="8" t="s">
        <v>2135</v>
      </c>
      <c r="S309" s="8" t="s">
        <v>2135</v>
      </c>
      <c r="T309" s="8" t="s">
        <v>8287</v>
      </c>
      <c r="U309" s="8" t="s">
        <v>8288</v>
      </c>
      <c r="V309" s="8" t="s">
        <v>8289</v>
      </c>
      <c r="W309" s="8" t="s">
        <v>8290</v>
      </c>
      <c r="X309" s="8" t="s">
        <v>8291</v>
      </c>
      <c r="Y309" s="8" t="s">
        <v>8292</v>
      </c>
      <c r="Z309" s="8" t="s">
        <v>8293</v>
      </c>
      <c r="AA309" s="8" t="s">
        <v>8294</v>
      </c>
      <c r="AB309" s="8" t="s">
        <v>2135</v>
      </c>
      <c r="AC309" s="8" t="s">
        <v>8295</v>
      </c>
      <c r="AD309" s="8" t="s">
        <v>8296</v>
      </c>
      <c r="AE309" s="8" t="s">
        <v>8297</v>
      </c>
      <c r="AF309" s="8" t="s">
        <v>2135</v>
      </c>
      <c r="AG309" s="8">
        <v>63.0</v>
      </c>
      <c r="AH309" s="8">
        <v>16.0</v>
      </c>
      <c r="AI309" s="8">
        <v>19.0</v>
      </c>
      <c r="AJ309" s="8">
        <v>0.0</v>
      </c>
      <c r="AK309" s="8">
        <v>60.0</v>
      </c>
      <c r="AL309" s="8" t="s">
        <v>7615</v>
      </c>
      <c r="AM309" s="8" t="s">
        <v>3390</v>
      </c>
      <c r="AN309" s="8" t="s">
        <v>7616</v>
      </c>
      <c r="AO309" s="8" t="s">
        <v>7617</v>
      </c>
      <c r="AP309" s="8" t="s">
        <v>7618</v>
      </c>
      <c r="AQ309" s="8" t="s">
        <v>2135</v>
      </c>
      <c r="AR309" s="8" t="s">
        <v>7619</v>
      </c>
      <c r="AS309" s="8" t="s">
        <v>7620</v>
      </c>
      <c r="AT309" s="8" t="s">
        <v>3629</v>
      </c>
      <c r="AU309" s="8">
        <v>2016.0</v>
      </c>
      <c r="AV309" s="8">
        <v>52.0</v>
      </c>
      <c r="AW309" s="8">
        <v>1.0</v>
      </c>
      <c r="AX309" s="8" t="s">
        <v>2135</v>
      </c>
      <c r="AY309" s="8" t="s">
        <v>2135</v>
      </c>
      <c r="AZ309" s="8" t="s">
        <v>2135</v>
      </c>
      <c r="BA309" s="8" t="s">
        <v>2135</v>
      </c>
      <c r="BB309" s="8">
        <v>22.0</v>
      </c>
      <c r="BC309" s="8">
        <v>32.0</v>
      </c>
      <c r="BD309" s="8" t="s">
        <v>2135</v>
      </c>
      <c r="BE309" s="8" t="s">
        <v>8298</v>
      </c>
      <c r="BF309" s="13" t="str">
        <f>HYPERLINK("http://dx.doi.org/10.7589/2015-04-082","http://dx.doi.org/10.7589/2015-04-082")</f>
        <v>http://dx.doi.org/10.7589/2015-04-082</v>
      </c>
      <c r="BG309" s="8" t="s">
        <v>2135</v>
      </c>
      <c r="BH309" s="8" t="s">
        <v>2135</v>
      </c>
      <c r="BI309" s="8">
        <v>11.0</v>
      </c>
      <c r="BJ309" s="8" t="s">
        <v>6958</v>
      </c>
      <c r="BK309" s="8" t="s">
        <v>3352</v>
      </c>
      <c r="BL309" s="8" t="s">
        <v>6958</v>
      </c>
      <c r="BM309" s="8" t="s">
        <v>8299</v>
      </c>
      <c r="BN309" s="8">
        <v>2.6528576E7</v>
      </c>
      <c r="BO309" s="8" t="s">
        <v>2135</v>
      </c>
      <c r="BP309" s="8" t="s">
        <v>2135</v>
      </c>
      <c r="BQ309" s="8" t="s">
        <v>2135</v>
      </c>
      <c r="BR309" s="8" t="s">
        <v>3355</v>
      </c>
      <c r="BS309" s="8" t="s">
        <v>8300</v>
      </c>
      <c r="BT309" s="8" t="s">
        <v>2497</v>
      </c>
      <c r="BU309" s="8" t="s">
        <v>2142</v>
      </c>
      <c r="BW309" s="8" t="s">
        <v>2168</v>
      </c>
      <c r="BX309" s="8" t="s">
        <v>3010</v>
      </c>
      <c r="BY309" s="8" t="s">
        <v>2992</v>
      </c>
      <c r="BZ309" s="8" t="str">
        <f>HYPERLINK("https%3A%2F%2Fwww.webofscience.com%2Fwos%2Fwoscc%2Ffull-record%2FWOS:000367901800003","View Full Record in Web of Science")</f>
        <v>View Full Record in Web of Science</v>
      </c>
    </row>
    <row r="310" ht="12.75" customHeight="1">
      <c r="A310" s="8" t="s">
        <v>3329</v>
      </c>
      <c r="B310" s="8" t="s">
        <v>8301</v>
      </c>
      <c r="C310" s="8" t="s">
        <v>2135</v>
      </c>
      <c r="D310" s="8" t="s">
        <v>2135</v>
      </c>
      <c r="E310" s="8" t="s">
        <v>2135</v>
      </c>
      <c r="F310" s="8" t="s">
        <v>8302</v>
      </c>
      <c r="G310" s="8" t="s">
        <v>2135</v>
      </c>
      <c r="H310" s="8" t="s">
        <v>2135</v>
      </c>
      <c r="I310" s="8" t="s">
        <v>1269</v>
      </c>
      <c r="J310" s="8" t="s">
        <v>3637</v>
      </c>
      <c r="K310" s="8" t="s">
        <v>2135</v>
      </c>
      <c r="L310" s="8" t="s">
        <v>2135</v>
      </c>
      <c r="M310" s="8" t="s">
        <v>3332</v>
      </c>
      <c r="N310" s="8" t="s">
        <v>3333</v>
      </c>
      <c r="O310" s="8" t="s">
        <v>2135</v>
      </c>
      <c r="P310" s="8" t="s">
        <v>2135</v>
      </c>
      <c r="Q310" s="8" t="s">
        <v>2135</v>
      </c>
      <c r="R310" s="8" t="s">
        <v>2135</v>
      </c>
      <c r="S310" s="8" t="s">
        <v>2135</v>
      </c>
      <c r="T310" s="8" t="s">
        <v>2135</v>
      </c>
      <c r="U310" s="8" t="s">
        <v>8303</v>
      </c>
      <c r="V310" s="8" t="s">
        <v>8304</v>
      </c>
      <c r="W310" s="8" t="s">
        <v>8305</v>
      </c>
      <c r="X310" s="8" t="s">
        <v>8306</v>
      </c>
      <c r="Y310" s="8" t="s">
        <v>8307</v>
      </c>
      <c r="Z310" s="8" t="s">
        <v>8308</v>
      </c>
      <c r="AA310" s="8" t="s">
        <v>8309</v>
      </c>
      <c r="AB310" s="8" t="s">
        <v>8310</v>
      </c>
      <c r="AC310" s="8" t="s">
        <v>8311</v>
      </c>
      <c r="AD310" s="8" t="s">
        <v>8312</v>
      </c>
      <c r="AE310" s="8" t="s">
        <v>8313</v>
      </c>
      <c r="AF310" s="8" t="s">
        <v>2135</v>
      </c>
      <c r="AG310" s="8">
        <v>110.0</v>
      </c>
      <c r="AH310" s="8">
        <v>30.0</v>
      </c>
      <c r="AI310" s="8">
        <v>30.0</v>
      </c>
      <c r="AJ310" s="8">
        <v>0.0</v>
      </c>
      <c r="AK310" s="8">
        <v>57.0</v>
      </c>
      <c r="AL310" s="8" t="s">
        <v>3648</v>
      </c>
      <c r="AM310" s="8" t="s">
        <v>3649</v>
      </c>
      <c r="AN310" s="8" t="s">
        <v>3650</v>
      </c>
      <c r="AO310" s="8" t="s">
        <v>3651</v>
      </c>
      <c r="AP310" s="8" t="s">
        <v>2135</v>
      </c>
      <c r="AQ310" s="8" t="s">
        <v>2135</v>
      </c>
      <c r="AR310" s="8" t="s">
        <v>3637</v>
      </c>
      <c r="AS310" s="8" t="s">
        <v>3652</v>
      </c>
      <c r="AT310" s="8" t="s">
        <v>8314</v>
      </c>
      <c r="AU310" s="8">
        <v>2015.0</v>
      </c>
      <c r="AV310" s="8">
        <v>10.0</v>
      </c>
      <c r="AW310" s="8">
        <v>10.0</v>
      </c>
      <c r="AX310" s="8" t="s">
        <v>2135</v>
      </c>
      <c r="AY310" s="8" t="s">
        <v>2135</v>
      </c>
      <c r="AZ310" s="8" t="s">
        <v>2135</v>
      </c>
      <c r="BA310" s="8" t="s">
        <v>2135</v>
      </c>
      <c r="BB310" s="8" t="s">
        <v>2135</v>
      </c>
      <c r="BC310" s="8" t="s">
        <v>2135</v>
      </c>
      <c r="BD310" s="8" t="s">
        <v>8315</v>
      </c>
      <c r="BE310" s="8" t="s">
        <v>8316</v>
      </c>
      <c r="BF310" s="13" t="str">
        <f>HYPERLINK("http://dx.doi.org/10.1371/journal.pone.0140170","http://dx.doi.org/10.1371/journal.pone.0140170")</f>
        <v>http://dx.doi.org/10.1371/journal.pone.0140170</v>
      </c>
      <c r="BG310" s="8" t="s">
        <v>2135</v>
      </c>
      <c r="BH310" s="8" t="s">
        <v>2135</v>
      </c>
      <c r="BI310" s="8">
        <v>21.0</v>
      </c>
      <c r="BJ310" s="8" t="s">
        <v>3656</v>
      </c>
      <c r="BK310" s="8" t="s">
        <v>3352</v>
      </c>
      <c r="BL310" s="8" t="s">
        <v>3657</v>
      </c>
      <c r="BM310" s="8" t="s">
        <v>8317</v>
      </c>
      <c r="BN310" s="8">
        <v>2.6448462E7</v>
      </c>
      <c r="BO310" s="8" t="s">
        <v>3659</v>
      </c>
      <c r="BP310" s="8" t="s">
        <v>2135</v>
      </c>
      <c r="BQ310" s="8" t="s">
        <v>2135</v>
      </c>
      <c r="BR310" s="8" t="s">
        <v>3355</v>
      </c>
      <c r="BS310" s="8" t="s">
        <v>8318</v>
      </c>
      <c r="BT310" s="8" t="s">
        <v>2216</v>
      </c>
      <c r="BU310" s="8" t="s">
        <v>2147</v>
      </c>
      <c r="BV310" s="8" t="s">
        <v>2217</v>
      </c>
      <c r="BW310" s="8" t="s">
        <v>2218</v>
      </c>
      <c r="BY310" s="8" t="s">
        <v>2992</v>
      </c>
      <c r="BZ310" s="8" t="str">
        <f>HYPERLINK("https%3A%2F%2Fwww.webofscience.com%2Fwos%2Fwoscc%2Ffull-record%2FWOS:000362511000101","View Full Record in Web of Science")</f>
        <v>View Full Record in Web of Science</v>
      </c>
    </row>
    <row r="311" ht="12.75" customHeight="1">
      <c r="A311" s="8" t="s">
        <v>3329</v>
      </c>
      <c r="B311" s="8" t="s">
        <v>8319</v>
      </c>
      <c r="C311" s="8" t="s">
        <v>2135</v>
      </c>
      <c r="D311" s="8" t="s">
        <v>2135</v>
      </c>
      <c r="E311" s="8" t="s">
        <v>2135</v>
      </c>
      <c r="F311" s="8" t="s">
        <v>8320</v>
      </c>
      <c r="G311" s="8" t="s">
        <v>2135</v>
      </c>
      <c r="H311" s="8" t="s">
        <v>2135</v>
      </c>
      <c r="I311" s="8" t="s">
        <v>1265</v>
      </c>
      <c r="J311" s="8" t="s">
        <v>3747</v>
      </c>
      <c r="K311" s="8" t="s">
        <v>2135</v>
      </c>
      <c r="L311" s="8" t="s">
        <v>2135</v>
      </c>
      <c r="M311" s="8" t="s">
        <v>3332</v>
      </c>
      <c r="N311" s="8" t="s">
        <v>3333</v>
      </c>
      <c r="O311" s="8" t="s">
        <v>2135</v>
      </c>
      <c r="P311" s="8" t="s">
        <v>2135</v>
      </c>
      <c r="Q311" s="8" t="s">
        <v>2135</v>
      </c>
      <c r="R311" s="8" t="s">
        <v>2135</v>
      </c>
      <c r="S311" s="8" t="s">
        <v>2135</v>
      </c>
      <c r="T311" s="8" t="s">
        <v>8321</v>
      </c>
      <c r="U311" s="8" t="s">
        <v>8322</v>
      </c>
      <c r="V311" s="8" t="s">
        <v>8323</v>
      </c>
      <c r="W311" s="8" t="s">
        <v>8324</v>
      </c>
      <c r="X311" s="8" t="s">
        <v>8325</v>
      </c>
      <c r="Y311" s="8" t="s">
        <v>8326</v>
      </c>
      <c r="Z311" s="8" t="s">
        <v>8327</v>
      </c>
      <c r="AA311" s="8" t="s">
        <v>8328</v>
      </c>
      <c r="AB311" s="8" t="s">
        <v>8329</v>
      </c>
      <c r="AC311" s="8" t="s">
        <v>8330</v>
      </c>
      <c r="AD311" s="8" t="s">
        <v>8331</v>
      </c>
      <c r="AE311" s="8" t="s">
        <v>8332</v>
      </c>
      <c r="AF311" s="8" t="s">
        <v>2135</v>
      </c>
      <c r="AG311" s="8">
        <v>67.0</v>
      </c>
      <c r="AH311" s="8">
        <v>27.0</v>
      </c>
      <c r="AI311" s="8">
        <v>28.0</v>
      </c>
      <c r="AJ311" s="8">
        <v>0.0</v>
      </c>
      <c r="AK311" s="8">
        <v>74.0</v>
      </c>
      <c r="AL311" s="8" t="s">
        <v>3758</v>
      </c>
      <c r="AM311" s="8" t="s">
        <v>3759</v>
      </c>
      <c r="AN311" s="8" t="s">
        <v>3760</v>
      </c>
      <c r="AO311" s="8" t="s">
        <v>3761</v>
      </c>
      <c r="AP311" s="8" t="s">
        <v>3762</v>
      </c>
      <c r="AQ311" s="8" t="s">
        <v>2135</v>
      </c>
      <c r="AR311" s="8" t="s">
        <v>3763</v>
      </c>
      <c r="AS311" s="8" t="s">
        <v>3764</v>
      </c>
      <c r="AT311" s="8" t="s">
        <v>3349</v>
      </c>
      <c r="AU311" s="8">
        <v>2015.0</v>
      </c>
      <c r="AV311" s="8">
        <v>186.0</v>
      </c>
      <c r="AW311" s="8" t="s">
        <v>2135</v>
      </c>
      <c r="AX311" s="8" t="s">
        <v>2135</v>
      </c>
      <c r="AY311" s="8" t="s">
        <v>2135</v>
      </c>
      <c r="AZ311" s="8" t="s">
        <v>2135</v>
      </c>
      <c r="BA311" s="8" t="s">
        <v>2135</v>
      </c>
      <c r="BB311" s="8">
        <v>28.0</v>
      </c>
      <c r="BC311" s="8">
        <v>34.0</v>
      </c>
      <c r="BD311" s="8" t="s">
        <v>2135</v>
      </c>
      <c r="BE311" s="8" t="s">
        <v>8333</v>
      </c>
      <c r="BF311" s="13" t="str">
        <f>HYPERLINK("http://dx.doi.org/10.1016/j.biocon.2015.02.030","http://dx.doi.org/10.1016/j.biocon.2015.02.030")</f>
        <v>http://dx.doi.org/10.1016/j.biocon.2015.02.030</v>
      </c>
      <c r="BG311" s="8" t="s">
        <v>2135</v>
      </c>
      <c r="BH311" s="8" t="s">
        <v>2135</v>
      </c>
      <c r="BI311" s="8">
        <v>7.0</v>
      </c>
      <c r="BJ311" s="8" t="s">
        <v>3351</v>
      </c>
      <c r="BK311" s="8" t="s">
        <v>3352</v>
      </c>
      <c r="BL311" s="8" t="s">
        <v>3353</v>
      </c>
      <c r="BM311" s="8" t="s">
        <v>8334</v>
      </c>
      <c r="BN311" s="8" t="s">
        <v>2135</v>
      </c>
      <c r="BO311" s="8" t="s">
        <v>2135</v>
      </c>
      <c r="BP311" s="8" t="s">
        <v>2135</v>
      </c>
      <c r="BQ311" s="8" t="s">
        <v>2135</v>
      </c>
      <c r="BR311" s="8" t="s">
        <v>3355</v>
      </c>
      <c r="BS311" s="8" t="s">
        <v>8335</v>
      </c>
      <c r="BU311" s="8" t="s">
        <v>2142</v>
      </c>
      <c r="BW311" s="8" t="s">
        <v>2340</v>
      </c>
      <c r="BX311" s="8" t="s">
        <v>3010</v>
      </c>
      <c r="BY311" s="8" t="s">
        <v>2992</v>
      </c>
      <c r="BZ311" s="8" t="str">
        <f>HYPERLINK("https%3A%2F%2Fwww.webofscience.com%2Fwos%2Fwoscc%2Ffull-record%2FWOS:000355061300004","View Full Record in Web of Science")</f>
        <v>View Full Record in Web of Science</v>
      </c>
    </row>
    <row r="312" ht="12.75" customHeight="1">
      <c r="A312" s="8" t="s">
        <v>3329</v>
      </c>
      <c r="B312" s="8" t="s">
        <v>8336</v>
      </c>
      <c r="C312" s="8" t="s">
        <v>2135</v>
      </c>
      <c r="D312" s="8" t="s">
        <v>2135</v>
      </c>
      <c r="E312" s="8" t="s">
        <v>2135</v>
      </c>
      <c r="F312" s="8" t="s">
        <v>8337</v>
      </c>
      <c r="G312" s="8" t="s">
        <v>2135</v>
      </c>
      <c r="H312" s="8" t="s">
        <v>2135</v>
      </c>
      <c r="I312" s="8" t="s">
        <v>1267</v>
      </c>
      <c r="J312" s="8" t="s">
        <v>7602</v>
      </c>
      <c r="K312" s="8" t="s">
        <v>2135</v>
      </c>
      <c r="L312" s="8" t="s">
        <v>2135</v>
      </c>
      <c r="M312" s="8" t="s">
        <v>3332</v>
      </c>
      <c r="N312" s="8" t="s">
        <v>3333</v>
      </c>
      <c r="O312" s="8" t="s">
        <v>2135</v>
      </c>
      <c r="P312" s="8" t="s">
        <v>2135</v>
      </c>
      <c r="Q312" s="8" t="s">
        <v>2135</v>
      </c>
      <c r="R312" s="8" t="s">
        <v>2135</v>
      </c>
      <c r="S312" s="8" t="s">
        <v>2135</v>
      </c>
      <c r="T312" s="8" t="s">
        <v>8338</v>
      </c>
      <c r="U312" s="8" t="s">
        <v>8339</v>
      </c>
      <c r="V312" s="8" t="s">
        <v>8340</v>
      </c>
      <c r="W312" s="8" t="s">
        <v>8341</v>
      </c>
      <c r="X312" s="8" t="s">
        <v>8342</v>
      </c>
      <c r="Y312" s="8" t="s">
        <v>8343</v>
      </c>
      <c r="Z312" s="8" t="s">
        <v>8344</v>
      </c>
      <c r="AA312" s="8" t="s">
        <v>8345</v>
      </c>
      <c r="AB312" s="8" t="s">
        <v>8346</v>
      </c>
      <c r="AC312" s="8" t="s">
        <v>2135</v>
      </c>
      <c r="AD312" s="8" t="s">
        <v>2135</v>
      </c>
      <c r="AE312" s="8" t="s">
        <v>2135</v>
      </c>
      <c r="AF312" s="8" t="s">
        <v>2135</v>
      </c>
      <c r="AG312" s="8">
        <v>36.0</v>
      </c>
      <c r="AH312" s="8">
        <v>13.0</v>
      </c>
      <c r="AI312" s="8">
        <v>13.0</v>
      </c>
      <c r="AJ312" s="8">
        <v>1.0</v>
      </c>
      <c r="AK312" s="8">
        <v>19.0</v>
      </c>
      <c r="AL312" s="8" t="s">
        <v>7615</v>
      </c>
      <c r="AM312" s="8" t="s">
        <v>3390</v>
      </c>
      <c r="AN312" s="8" t="s">
        <v>7616</v>
      </c>
      <c r="AO312" s="8" t="s">
        <v>7617</v>
      </c>
      <c r="AP312" s="8" t="s">
        <v>7618</v>
      </c>
      <c r="AQ312" s="8" t="s">
        <v>2135</v>
      </c>
      <c r="AR312" s="8" t="s">
        <v>7619</v>
      </c>
      <c r="AS312" s="8" t="s">
        <v>7620</v>
      </c>
      <c r="AT312" s="8" t="s">
        <v>3556</v>
      </c>
      <c r="AU312" s="8">
        <v>2015.0</v>
      </c>
      <c r="AV312" s="8">
        <v>51.0</v>
      </c>
      <c r="AW312" s="8">
        <v>2.0</v>
      </c>
      <c r="AX312" s="8" t="s">
        <v>2135</v>
      </c>
      <c r="AY312" s="8" t="s">
        <v>2135</v>
      </c>
      <c r="AZ312" s="8" t="s">
        <v>2135</v>
      </c>
      <c r="BA312" s="8" t="s">
        <v>2135</v>
      </c>
      <c r="BB312" s="8">
        <v>446.0</v>
      </c>
      <c r="BC312" s="8">
        <v>453.0</v>
      </c>
      <c r="BD312" s="8" t="s">
        <v>2135</v>
      </c>
      <c r="BE312" s="8" t="s">
        <v>8347</v>
      </c>
      <c r="BF312" s="13" t="str">
        <f>HYPERLINK("http://dx.doi.org/10.7589/2014-06-152","http://dx.doi.org/10.7589/2014-06-152")</f>
        <v>http://dx.doi.org/10.7589/2014-06-152</v>
      </c>
      <c r="BG312" s="8" t="s">
        <v>2135</v>
      </c>
      <c r="BH312" s="8" t="s">
        <v>2135</v>
      </c>
      <c r="BI312" s="8">
        <v>8.0</v>
      </c>
      <c r="BJ312" s="8" t="s">
        <v>6958</v>
      </c>
      <c r="BK312" s="8" t="s">
        <v>3352</v>
      </c>
      <c r="BL312" s="8" t="s">
        <v>6958</v>
      </c>
      <c r="BM312" s="8" t="s">
        <v>8348</v>
      </c>
      <c r="BN312" s="8">
        <v>2.5647597E7</v>
      </c>
      <c r="BO312" s="8" t="s">
        <v>2135</v>
      </c>
      <c r="BP312" s="8" t="s">
        <v>2135</v>
      </c>
      <c r="BQ312" s="8" t="s">
        <v>2135</v>
      </c>
      <c r="BR312" s="8" t="s">
        <v>3355</v>
      </c>
      <c r="BS312" s="8" t="s">
        <v>8349</v>
      </c>
      <c r="BT312" s="8" t="s">
        <v>2600</v>
      </c>
      <c r="BU312" s="8" t="s">
        <v>2147</v>
      </c>
      <c r="BV312" s="8" t="s">
        <v>2217</v>
      </c>
      <c r="BW312" s="8" t="s">
        <v>2237</v>
      </c>
      <c r="BX312" s="8" t="s">
        <v>2985</v>
      </c>
      <c r="BY312" s="8" t="s">
        <v>2992</v>
      </c>
      <c r="BZ312" s="8" t="str">
        <f>HYPERLINK("https%3A%2F%2Fwww.webofscience.com%2Fwos%2Fwoscc%2Ffull-record%2FWOS:000352921800015","View Full Record in Web of Science")</f>
        <v>View Full Record in Web of Science</v>
      </c>
    </row>
    <row r="313" ht="12.75" customHeight="1">
      <c r="A313" s="8" t="s">
        <v>3329</v>
      </c>
      <c r="B313" s="8" t="s">
        <v>8350</v>
      </c>
      <c r="C313" s="8" t="s">
        <v>2135</v>
      </c>
      <c r="D313" s="8" t="s">
        <v>2135</v>
      </c>
      <c r="E313" s="8" t="s">
        <v>2135</v>
      </c>
      <c r="F313" s="8" t="s">
        <v>8351</v>
      </c>
      <c r="G313" s="8" t="s">
        <v>2135</v>
      </c>
      <c r="H313" s="8" t="s">
        <v>2135</v>
      </c>
      <c r="I313" s="8" t="s">
        <v>1251</v>
      </c>
      <c r="J313" s="8" t="s">
        <v>8352</v>
      </c>
      <c r="K313" s="8" t="s">
        <v>2135</v>
      </c>
      <c r="L313" s="8" t="s">
        <v>2135</v>
      </c>
      <c r="M313" s="8" t="s">
        <v>3332</v>
      </c>
      <c r="N313" s="8" t="s">
        <v>3333</v>
      </c>
      <c r="O313" s="8" t="s">
        <v>2135</v>
      </c>
      <c r="P313" s="8" t="s">
        <v>2135</v>
      </c>
      <c r="Q313" s="8" t="s">
        <v>2135</v>
      </c>
      <c r="R313" s="8" t="s">
        <v>2135</v>
      </c>
      <c r="S313" s="8" t="s">
        <v>2135</v>
      </c>
      <c r="T313" s="8" t="s">
        <v>8353</v>
      </c>
      <c r="U313" s="8" t="s">
        <v>8354</v>
      </c>
      <c r="V313" s="8" t="s">
        <v>8355</v>
      </c>
      <c r="W313" s="8" t="s">
        <v>8356</v>
      </c>
      <c r="X313" s="8" t="s">
        <v>8357</v>
      </c>
      <c r="Y313" s="8" t="s">
        <v>8358</v>
      </c>
      <c r="Z313" s="8" t="s">
        <v>8359</v>
      </c>
      <c r="AA313" s="8" t="s">
        <v>8360</v>
      </c>
      <c r="AB313" s="8" t="s">
        <v>8361</v>
      </c>
      <c r="AC313" s="8" t="s">
        <v>8362</v>
      </c>
      <c r="AD313" s="8" t="s">
        <v>8363</v>
      </c>
      <c r="AE313" s="8" t="s">
        <v>8364</v>
      </c>
      <c r="AF313" s="8" t="s">
        <v>2135</v>
      </c>
      <c r="AG313" s="8">
        <v>39.0</v>
      </c>
      <c r="AH313" s="8">
        <v>8.0</v>
      </c>
      <c r="AI313" s="8">
        <v>8.0</v>
      </c>
      <c r="AJ313" s="8">
        <v>0.0</v>
      </c>
      <c r="AK313" s="8">
        <v>61.0</v>
      </c>
      <c r="AL313" s="8" t="s">
        <v>8365</v>
      </c>
      <c r="AM313" s="8" t="s">
        <v>8366</v>
      </c>
      <c r="AN313" s="8" t="s">
        <v>8367</v>
      </c>
      <c r="AO313" s="8" t="s">
        <v>8368</v>
      </c>
      <c r="AP313" s="8" t="s">
        <v>8369</v>
      </c>
      <c r="AQ313" s="8" t="s">
        <v>2135</v>
      </c>
      <c r="AR313" s="8" t="s">
        <v>8370</v>
      </c>
      <c r="AS313" s="8" t="s">
        <v>8371</v>
      </c>
      <c r="AT313" s="8" t="s">
        <v>4023</v>
      </c>
      <c r="AU313" s="8">
        <v>2014.0</v>
      </c>
      <c r="AV313" s="8">
        <v>14.0</v>
      </c>
      <c r="AW313" s="8">
        <v>12.0</v>
      </c>
      <c r="AX313" s="8" t="s">
        <v>2135</v>
      </c>
      <c r="AY313" s="8" t="s">
        <v>2135</v>
      </c>
      <c r="AZ313" s="8" t="s">
        <v>2135</v>
      </c>
      <c r="BA313" s="8" t="s">
        <v>2135</v>
      </c>
      <c r="BB313" s="8">
        <v>831.0</v>
      </c>
      <c r="BC313" s="8">
        <v>837.0</v>
      </c>
      <c r="BD313" s="8" t="s">
        <v>2135</v>
      </c>
      <c r="BE313" s="8" t="s">
        <v>8372</v>
      </c>
      <c r="BF313" s="13" t="str">
        <f>HYPERLINK("http://dx.doi.org/10.1089/vbz.2014.1612","http://dx.doi.org/10.1089/vbz.2014.1612")</f>
        <v>http://dx.doi.org/10.1089/vbz.2014.1612</v>
      </c>
      <c r="BG313" s="8" t="s">
        <v>2135</v>
      </c>
      <c r="BH313" s="8" t="s">
        <v>2135</v>
      </c>
      <c r="BI313" s="8">
        <v>7.0</v>
      </c>
      <c r="BJ313" s="8" t="s">
        <v>8373</v>
      </c>
      <c r="BK313" s="8" t="s">
        <v>3352</v>
      </c>
      <c r="BL313" s="8" t="s">
        <v>8373</v>
      </c>
      <c r="BM313" s="8" t="s">
        <v>8374</v>
      </c>
      <c r="BN313" s="8">
        <v>2.5514118E7</v>
      </c>
      <c r="BO313" s="8" t="s">
        <v>3425</v>
      </c>
      <c r="BP313" s="8" t="s">
        <v>2135</v>
      </c>
      <c r="BQ313" s="8" t="s">
        <v>2135</v>
      </c>
      <c r="BR313" s="8" t="s">
        <v>3355</v>
      </c>
      <c r="BS313" s="8" t="s">
        <v>8375</v>
      </c>
      <c r="BT313" s="8" t="s">
        <v>2600</v>
      </c>
      <c r="BU313" s="8" t="s">
        <v>2147</v>
      </c>
      <c r="BV313" s="8" t="s">
        <v>2217</v>
      </c>
      <c r="BW313" s="8" t="s">
        <v>2237</v>
      </c>
      <c r="BX313" s="8" t="s">
        <v>2985</v>
      </c>
      <c r="BY313" s="8" t="s">
        <v>2992</v>
      </c>
      <c r="BZ313" s="8" t="str">
        <f>HYPERLINK("https%3A%2F%2Fwww.webofscience.com%2Fwos%2Fwoscc%2Ffull-record%2FWOS:000346351600001","View Full Record in Web of Science")</f>
        <v>View Full Record in Web of Science</v>
      </c>
    </row>
    <row r="314" ht="12.75" customHeight="1">
      <c r="A314" s="8" t="s">
        <v>3329</v>
      </c>
      <c r="B314" s="8" t="s">
        <v>8376</v>
      </c>
      <c r="C314" s="8" t="s">
        <v>2135</v>
      </c>
      <c r="D314" s="8" t="s">
        <v>2135</v>
      </c>
      <c r="E314" s="8" t="s">
        <v>2135</v>
      </c>
      <c r="F314" s="8" t="s">
        <v>8377</v>
      </c>
      <c r="G314" s="8" t="s">
        <v>2135</v>
      </c>
      <c r="H314" s="8" t="s">
        <v>2135</v>
      </c>
      <c r="I314" s="8" t="s">
        <v>1255</v>
      </c>
      <c r="J314" s="8" t="s">
        <v>7075</v>
      </c>
      <c r="K314" s="8" t="s">
        <v>2135</v>
      </c>
      <c r="L314" s="8" t="s">
        <v>2135</v>
      </c>
      <c r="M314" s="8" t="s">
        <v>3332</v>
      </c>
      <c r="N314" s="8" t="s">
        <v>3333</v>
      </c>
      <c r="O314" s="8" t="s">
        <v>2135</v>
      </c>
      <c r="P314" s="8" t="s">
        <v>2135</v>
      </c>
      <c r="Q314" s="8" t="s">
        <v>2135</v>
      </c>
      <c r="R314" s="8" t="s">
        <v>2135</v>
      </c>
      <c r="S314" s="8" t="s">
        <v>2135</v>
      </c>
      <c r="T314" s="8" t="s">
        <v>8378</v>
      </c>
      <c r="U314" s="8" t="s">
        <v>8379</v>
      </c>
      <c r="V314" s="8" t="s">
        <v>8380</v>
      </c>
      <c r="W314" s="8" t="s">
        <v>8381</v>
      </c>
      <c r="X314" s="8" t="s">
        <v>8382</v>
      </c>
      <c r="Y314" s="8" t="s">
        <v>8383</v>
      </c>
      <c r="Z314" s="8" t="s">
        <v>8384</v>
      </c>
      <c r="AA314" s="8" t="s">
        <v>8385</v>
      </c>
      <c r="AB314" s="8" t="s">
        <v>8386</v>
      </c>
      <c r="AC314" s="8" t="s">
        <v>8387</v>
      </c>
      <c r="AD314" s="8" t="s">
        <v>8388</v>
      </c>
      <c r="AE314" s="8" t="s">
        <v>8389</v>
      </c>
      <c r="AF314" s="8" t="s">
        <v>2135</v>
      </c>
      <c r="AG314" s="8">
        <v>42.0</v>
      </c>
      <c r="AH314" s="8">
        <v>29.0</v>
      </c>
      <c r="AI314" s="8">
        <v>36.0</v>
      </c>
      <c r="AJ314" s="8">
        <v>0.0</v>
      </c>
      <c r="AK314" s="8">
        <v>27.0</v>
      </c>
      <c r="AL314" s="8" t="s">
        <v>7085</v>
      </c>
      <c r="AM314" s="8" t="s">
        <v>7086</v>
      </c>
      <c r="AN314" s="8" t="s">
        <v>7087</v>
      </c>
      <c r="AO314" s="8" t="s">
        <v>7088</v>
      </c>
      <c r="AP314" s="8" t="s">
        <v>7089</v>
      </c>
      <c r="AQ314" s="8" t="s">
        <v>2135</v>
      </c>
      <c r="AR314" s="8" t="s">
        <v>7090</v>
      </c>
      <c r="AS314" s="8" t="s">
        <v>7091</v>
      </c>
      <c r="AT314" s="8" t="s">
        <v>8390</v>
      </c>
      <c r="AU314" s="8">
        <v>2014.0</v>
      </c>
      <c r="AV314" s="8">
        <v>104.0</v>
      </c>
      <c r="AW314" s="8">
        <v>3.0</v>
      </c>
      <c r="AX314" s="8" t="s">
        <v>2135</v>
      </c>
      <c r="AY314" s="8" t="s">
        <v>2135</v>
      </c>
      <c r="AZ314" s="8" t="s">
        <v>2135</v>
      </c>
      <c r="BA314" s="8" t="s">
        <v>2135</v>
      </c>
      <c r="BB314" s="8">
        <v>341.0</v>
      </c>
      <c r="BC314" s="8">
        <v>346.0</v>
      </c>
      <c r="BD314" s="8" t="s">
        <v>2135</v>
      </c>
      <c r="BE314" s="8" t="s">
        <v>8391</v>
      </c>
      <c r="BF314" s="13" t="str">
        <f>HYPERLINK("http://dx.doi.org/10.1590/1678-476620141043341346","http://dx.doi.org/10.1590/1678-476620141043341346")</f>
        <v>http://dx.doi.org/10.1590/1678-476620141043341346</v>
      </c>
      <c r="BG314" s="8" t="s">
        <v>2135</v>
      </c>
      <c r="BH314" s="8" t="s">
        <v>2135</v>
      </c>
      <c r="BI314" s="8">
        <v>6.0</v>
      </c>
      <c r="BJ314" s="8" t="s">
        <v>3397</v>
      </c>
      <c r="BK314" s="8" t="s">
        <v>3352</v>
      </c>
      <c r="BL314" s="8" t="s">
        <v>3397</v>
      </c>
      <c r="BM314" s="8" t="s">
        <v>8392</v>
      </c>
      <c r="BN314" s="8" t="s">
        <v>2135</v>
      </c>
      <c r="BO314" s="8" t="s">
        <v>5131</v>
      </c>
      <c r="BP314" s="8" t="s">
        <v>2135</v>
      </c>
      <c r="BQ314" s="8" t="s">
        <v>2135</v>
      </c>
      <c r="BR314" s="8" t="s">
        <v>3355</v>
      </c>
      <c r="BS314" s="8" t="s">
        <v>8393</v>
      </c>
      <c r="BU314" s="8" t="s">
        <v>2147</v>
      </c>
      <c r="BW314" s="8" t="s">
        <v>2150</v>
      </c>
      <c r="BX314" s="8" t="s">
        <v>3010</v>
      </c>
      <c r="BY314" s="8" t="s">
        <v>2992</v>
      </c>
      <c r="BZ314" s="8" t="str">
        <f>HYPERLINK("https%3A%2F%2Fwww.webofscience.com%2Fwos%2Fwoscc%2Ffull-record%2FWOS:000345241300010","View Full Record in Web of Science")</f>
        <v>View Full Record in Web of Science</v>
      </c>
    </row>
    <row r="315" ht="12.75" customHeight="1">
      <c r="A315" s="8" t="s">
        <v>3329</v>
      </c>
      <c r="B315" s="8" t="s">
        <v>8394</v>
      </c>
      <c r="C315" s="8" t="s">
        <v>2135</v>
      </c>
      <c r="D315" s="8" t="s">
        <v>2135</v>
      </c>
      <c r="E315" s="8" t="s">
        <v>2135</v>
      </c>
      <c r="F315" s="8" t="s">
        <v>8395</v>
      </c>
      <c r="G315" s="8" t="s">
        <v>2135</v>
      </c>
      <c r="H315" s="8" t="s">
        <v>2135</v>
      </c>
      <c r="I315" s="8" t="s">
        <v>1259</v>
      </c>
      <c r="J315" s="8" t="s">
        <v>6946</v>
      </c>
      <c r="K315" s="8" t="s">
        <v>2135</v>
      </c>
      <c r="L315" s="8" t="s">
        <v>2135</v>
      </c>
      <c r="M315" s="8" t="s">
        <v>3332</v>
      </c>
      <c r="N315" s="8" t="s">
        <v>3333</v>
      </c>
      <c r="O315" s="8" t="s">
        <v>2135</v>
      </c>
      <c r="P315" s="8" t="s">
        <v>2135</v>
      </c>
      <c r="Q315" s="8" t="s">
        <v>2135</v>
      </c>
      <c r="R315" s="8" t="s">
        <v>2135</v>
      </c>
      <c r="S315" s="8" t="s">
        <v>2135</v>
      </c>
      <c r="T315" s="8" t="s">
        <v>8396</v>
      </c>
      <c r="U315" s="8" t="s">
        <v>8397</v>
      </c>
      <c r="V315" s="8" t="s">
        <v>8398</v>
      </c>
      <c r="W315" s="8" t="s">
        <v>8399</v>
      </c>
      <c r="X315" s="8" t="s">
        <v>8400</v>
      </c>
      <c r="Y315" s="8" t="s">
        <v>8401</v>
      </c>
      <c r="Z315" s="8" t="s">
        <v>5992</v>
      </c>
      <c r="AA315" s="8" t="s">
        <v>2135</v>
      </c>
      <c r="AB315" s="8" t="s">
        <v>2135</v>
      </c>
      <c r="AC315" s="8" t="s">
        <v>8402</v>
      </c>
      <c r="AD315" s="8" t="s">
        <v>8403</v>
      </c>
      <c r="AE315" s="8" t="s">
        <v>8404</v>
      </c>
      <c r="AF315" s="8" t="s">
        <v>2135</v>
      </c>
      <c r="AG315" s="8">
        <v>34.0</v>
      </c>
      <c r="AH315" s="8">
        <v>6.0</v>
      </c>
      <c r="AI315" s="8">
        <v>6.0</v>
      </c>
      <c r="AJ315" s="8">
        <v>0.0</v>
      </c>
      <c r="AK315" s="8">
        <v>20.0</v>
      </c>
      <c r="AL315" s="8" t="s">
        <v>7538</v>
      </c>
      <c r="AM315" s="8" t="s">
        <v>7539</v>
      </c>
      <c r="AN315" s="8" t="s">
        <v>7540</v>
      </c>
      <c r="AO315" s="8" t="s">
        <v>6955</v>
      </c>
      <c r="AP315" s="8" t="s">
        <v>7541</v>
      </c>
      <c r="AQ315" s="8" t="s">
        <v>2135</v>
      </c>
      <c r="AR315" s="8" t="s">
        <v>6956</v>
      </c>
      <c r="AS315" s="8" t="s">
        <v>6957</v>
      </c>
      <c r="AT315" s="8" t="s">
        <v>3462</v>
      </c>
      <c r="AU315" s="8">
        <v>2014.0</v>
      </c>
      <c r="AV315" s="8">
        <v>45.0</v>
      </c>
      <c r="AW315" s="8">
        <v>3.0</v>
      </c>
      <c r="AX315" s="8" t="s">
        <v>2135</v>
      </c>
      <c r="AY315" s="8" t="s">
        <v>2135</v>
      </c>
      <c r="AZ315" s="8" t="s">
        <v>2135</v>
      </c>
      <c r="BA315" s="8" t="s">
        <v>2135</v>
      </c>
      <c r="BB315" s="8">
        <v>520.0</v>
      </c>
      <c r="BC315" s="8">
        <v>526.0</v>
      </c>
      <c r="BD315" s="8" t="s">
        <v>2135</v>
      </c>
      <c r="BE315" s="8" t="s">
        <v>8405</v>
      </c>
      <c r="BF315" s="13" t="str">
        <f>HYPERLINK("http://dx.doi.org/10.1638/2013-0145R1.1","http://dx.doi.org/10.1638/2013-0145R1.1")</f>
        <v>http://dx.doi.org/10.1638/2013-0145R1.1</v>
      </c>
      <c r="BG315" s="8" t="s">
        <v>2135</v>
      </c>
      <c r="BH315" s="8" t="s">
        <v>2135</v>
      </c>
      <c r="BI315" s="8">
        <v>7.0</v>
      </c>
      <c r="BJ315" s="8" t="s">
        <v>6958</v>
      </c>
      <c r="BK315" s="8" t="s">
        <v>3352</v>
      </c>
      <c r="BL315" s="8" t="s">
        <v>6958</v>
      </c>
      <c r="BM315" s="8" t="s">
        <v>8406</v>
      </c>
      <c r="BN315" s="8">
        <v>2.5314818E7</v>
      </c>
      <c r="BO315" s="8" t="s">
        <v>2135</v>
      </c>
      <c r="BP315" s="8" t="s">
        <v>2135</v>
      </c>
      <c r="BQ315" s="8" t="s">
        <v>2135</v>
      </c>
      <c r="BR315" s="8" t="s">
        <v>3355</v>
      </c>
      <c r="BS315" s="8" t="s">
        <v>8407</v>
      </c>
      <c r="BT315" s="8" t="s">
        <v>2600</v>
      </c>
      <c r="BU315" s="8" t="s">
        <v>2147</v>
      </c>
      <c r="BV315" s="8" t="s">
        <v>2217</v>
      </c>
      <c r="BW315" s="8" t="s">
        <v>2234</v>
      </c>
      <c r="BX315" s="8" t="s">
        <v>2985</v>
      </c>
      <c r="BY315" s="8" t="s">
        <v>2992</v>
      </c>
      <c r="BZ315" s="8" t="str">
        <f>HYPERLINK("https%3A%2F%2Fwww.webofscience.com%2Fwos%2Fwoscc%2Ffull-record%2FWOS:000343401200007","View Full Record in Web of Science")</f>
        <v>View Full Record in Web of Science</v>
      </c>
    </row>
    <row r="316" ht="12.75" customHeight="1">
      <c r="A316" s="8" t="s">
        <v>3329</v>
      </c>
      <c r="B316" s="8" t="s">
        <v>8408</v>
      </c>
      <c r="C316" s="8" t="s">
        <v>2135</v>
      </c>
      <c r="D316" s="8" t="s">
        <v>2135</v>
      </c>
      <c r="E316" s="8" t="s">
        <v>2135</v>
      </c>
      <c r="F316" s="8" t="s">
        <v>8409</v>
      </c>
      <c r="G316" s="8" t="s">
        <v>2135</v>
      </c>
      <c r="H316" s="8" t="s">
        <v>2135</v>
      </c>
      <c r="I316" s="8" t="s">
        <v>1261</v>
      </c>
      <c r="J316" s="8" t="s">
        <v>8007</v>
      </c>
      <c r="K316" s="8" t="s">
        <v>2135</v>
      </c>
      <c r="L316" s="8" t="s">
        <v>2135</v>
      </c>
      <c r="M316" s="8" t="s">
        <v>3332</v>
      </c>
      <c r="N316" s="8" t="s">
        <v>3333</v>
      </c>
      <c r="O316" s="8" t="s">
        <v>2135</v>
      </c>
      <c r="P316" s="8" t="s">
        <v>2135</v>
      </c>
      <c r="Q316" s="8" t="s">
        <v>2135</v>
      </c>
      <c r="R316" s="8" t="s">
        <v>2135</v>
      </c>
      <c r="S316" s="8" t="s">
        <v>2135</v>
      </c>
      <c r="T316" s="8" t="s">
        <v>8410</v>
      </c>
      <c r="U316" s="8" t="s">
        <v>8411</v>
      </c>
      <c r="V316" s="8" t="s">
        <v>8412</v>
      </c>
      <c r="W316" s="8" t="s">
        <v>8413</v>
      </c>
      <c r="X316" s="8" t="s">
        <v>8414</v>
      </c>
      <c r="Y316" s="8" t="s">
        <v>8415</v>
      </c>
      <c r="Z316" s="8" t="s">
        <v>8416</v>
      </c>
      <c r="AA316" s="8" t="s">
        <v>8417</v>
      </c>
      <c r="AB316" s="8" t="s">
        <v>8418</v>
      </c>
      <c r="AC316" s="8" t="s">
        <v>8419</v>
      </c>
      <c r="AD316" s="8" t="s">
        <v>8420</v>
      </c>
      <c r="AE316" s="8" t="s">
        <v>8421</v>
      </c>
      <c r="AF316" s="8" t="s">
        <v>2135</v>
      </c>
      <c r="AG316" s="8">
        <v>88.0</v>
      </c>
      <c r="AH316" s="8">
        <v>41.0</v>
      </c>
      <c r="AI316" s="8">
        <v>48.0</v>
      </c>
      <c r="AJ316" s="8">
        <v>0.0</v>
      </c>
      <c r="AK316" s="8">
        <v>116.0</v>
      </c>
      <c r="AL316" s="8" t="s">
        <v>3479</v>
      </c>
      <c r="AM316" s="8" t="s">
        <v>3480</v>
      </c>
      <c r="AN316" s="8" t="s">
        <v>3739</v>
      </c>
      <c r="AO316" s="8" t="s">
        <v>8016</v>
      </c>
      <c r="AP316" s="8" t="s">
        <v>8017</v>
      </c>
      <c r="AQ316" s="8" t="s">
        <v>2135</v>
      </c>
      <c r="AR316" s="8" t="s">
        <v>8007</v>
      </c>
      <c r="AS316" s="8" t="s">
        <v>8018</v>
      </c>
      <c r="AT316" s="8" t="s">
        <v>3462</v>
      </c>
      <c r="AU316" s="8">
        <v>2014.0</v>
      </c>
      <c r="AV316" s="8">
        <v>11.0</v>
      </c>
      <c r="AW316" s="8">
        <v>3.0</v>
      </c>
      <c r="AX316" s="8" t="s">
        <v>2135</v>
      </c>
      <c r="AY316" s="8" t="s">
        <v>2135</v>
      </c>
      <c r="AZ316" s="8" t="s">
        <v>2135</v>
      </c>
      <c r="BA316" s="8" t="s">
        <v>2135</v>
      </c>
      <c r="BB316" s="8">
        <v>409.0</v>
      </c>
      <c r="BC316" s="8">
        <v>419.0</v>
      </c>
      <c r="BD316" s="8" t="s">
        <v>2135</v>
      </c>
      <c r="BE316" s="8" t="s">
        <v>8422</v>
      </c>
      <c r="BF316" s="13" t="str">
        <f>HYPERLINK("http://dx.doi.org/10.1007/s10393-014-0917-z","http://dx.doi.org/10.1007/s10393-014-0917-z")</f>
        <v>http://dx.doi.org/10.1007/s10393-014-0917-z</v>
      </c>
      <c r="BG316" s="8" t="s">
        <v>2135</v>
      </c>
      <c r="BH316" s="8" t="s">
        <v>2135</v>
      </c>
      <c r="BI316" s="8">
        <v>11.0</v>
      </c>
      <c r="BJ316" s="8" t="s">
        <v>3351</v>
      </c>
      <c r="BK316" s="8" t="s">
        <v>3352</v>
      </c>
      <c r="BL316" s="8" t="s">
        <v>3353</v>
      </c>
      <c r="BM316" s="8" t="s">
        <v>8423</v>
      </c>
      <c r="BN316" s="8">
        <v>2.4604545E7</v>
      </c>
      <c r="BO316" s="8" t="s">
        <v>2135</v>
      </c>
      <c r="BP316" s="8" t="s">
        <v>2135</v>
      </c>
      <c r="BQ316" s="8" t="s">
        <v>2135</v>
      </c>
      <c r="BR316" s="8" t="s">
        <v>3355</v>
      </c>
      <c r="BS316" s="8" t="s">
        <v>8424</v>
      </c>
      <c r="BT316" s="8" t="s">
        <v>2272</v>
      </c>
      <c r="BU316" s="8" t="s">
        <v>2147</v>
      </c>
      <c r="BW316" s="8" t="s">
        <v>2148</v>
      </c>
      <c r="BX316" s="8" t="s">
        <v>2985</v>
      </c>
      <c r="BY316" s="8" t="s">
        <v>2992</v>
      </c>
      <c r="BZ316" s="8" t="str">
        <f>HYPERLINK("https%3A%2F%2Fwww.webofscience.com%2Fwos%2Fwoscc%2Ffull-record%2FWOS:000339720200020","View Full Record in Web of Science")</f>
        <v>View Full Record in Web of Science</v>
      </c>
    </row>
    <row r="317" ht="12.75" customHeight="1">
      <c r="A317" s="8" t="s">
        <v>3329</v>
      </c>
      <c r="B317" s="8" t="s">
        <v>8425</v>
      </c>
      <c r="C317" s="8" t="s">
        <v>2135</v>
      </c>
      <c r="D317" s="8" t="s">
        <v>2135</v>
      </c>
      <c r="E317" s="8" t="s">
        <v>2135</v>
      </c>
      <c r="F317" s="8" t="s">
        <v>8426</v>
      </c>
      <c r="G317" s="8" t="s">
        <v>2135</v>
      </c>
      <c r="H317" s="8" t="s">
        <v>2135</v>
      </c>
      <c r="I317" s="8" t="s">
        <v>1249</v>
      </c>
      <c r="J317" s="8" t="s">
        <v>3747</v>
      </c>
      <c r="K317" s="8" t="s">
        <v>2135</v>
      </c>
      <c r="L317" s="8" t="s">
        <v>2135</v>
      </c>
      <c r="M317" s="8" t="s">
        <v>3332</v>
      </c>
      <c r="N317" s="8" t="s">
        <v>3333</v>
      </c>
      <c r="O317" s="8" t="s">
        <v>2135</v>
      </c>
      <c r="P317" s="8" t="s">
        <v>2135</v>
      </c>
      <c r="Q317" s="8" t="s">
        <v>2135</v>
      </c>
      <c r="R317" s="8" t="s">
        <v>2135</v>
      </c>
      <c r="S317" s="8" t="s">
        <v>2135</v>
      </c>
      <c r="T317" s="8" t="s">
        <v>8427</v>
      </c>
      <c r="U317" s="8" t="s">
        <v>8428</v>
      </c>
      <c r="V317" s="8" t="s">
        <v>8429</v>
      </c>
      <c r="W317" s="8" t="s">
        <v>8430</v>
      </c>
      <c r="X317" s="8" t="s">
        <v>8243</v>
      </c>
      <c r="Y317" s="8" t="s">
        <v>8431</v>
      </c>
      <c r="Z317" s="8" t="s">
        <v>8432</v>
      </c>
      <c r="AA317" s="8" t="s">
        <v>8433</v>
      </c>
      <c r="AB317" s="8" t="s">
        <v>8434</v>
      </c>
      <c r="AC317" s="8" t="s">
        <v>8435</v>
      </c>
      <c r="AD317" s="8" t="s">
        <v>8436</v>
      </c>
      <c r="AE317" s="8" t="s">
        <v>8437</v>
      </c>
      <c r="AF317" s="8" t="s">
        <v>2135</v>
      </c>
      <c r="AG317" s="8">
        <v>50.0</v>
      </c>
      <c r="AH317" s="8">
        <v>37.0</v>
      </c>
      <c r="AI317" s="8">
        <v>46.0</v>
      </c>
      <c r="AJ317" s="8">
        <v>1.0</v>
      </c>
      <c r="AK317" s="8">
        <v>118.0</v>
      </c>
      <c r="AL317" s="8" t="s">
        <v>3758</v>
      </c>
      <c r="AM317" s="8" t="s">
        <v>3759</v>
      </c>
      <c r="AN317" s="8" t="s">
        <v>3760</v>
      </c>
      <c r="AO317" s="8" t="s">
        <v>3761</v>
      </c>
      <c r="AP317" s="8" t="s">
        <v>3762</v>
      </c>
      <c r="AQ317" s="8" t="s">
        <v>2135</v>
      </c>
      <c r="AR317" s="8" t="s">
        <v>3763</v>
      </c>
      <c r="AS317" s="8" t="s">
        <v>3764</v>
      </c>
      <c r="AT317" s="8" t="s">
        <v>3395</v>
      </c>
      <c r="AU317" s="8">
        <v>2014.0</v>
      </c>
      <c r="AV317" s="8">
        <v>176.0</v>
      </c>
      <c r="AW317" s="8" t="s">
        <v>2135</v>
      </c>
      <c r="AX317" s="8" t="s">
        <v>2135</v>
      </c>
      <c r="AY317" s="8" t="s">
        <v>2135</v>
      </c>
      <c r="AZ317" s="8" t="s">
        <v>2135</v>
      </c>
      <c r="BA317" s="8" t="s">
        <v>2135</v>
      </c>
      <c r="BB317" s="8">
        <v>21.0</v>
      </c>
      <c r="BC317" s="8">
        <v>29.0</v>
      </c>
      <c r="BD317" s="8" t="s">
        <v>2135</v>
      </c>
      <c r="BE317" s="8" t="s">
        <v>8438</v>
      </c>
      <c r="BF317" s="13" t="str">
        <f>HYPERLINK("http://dx.doi.org/10.1016/j.biocon.2014.05.002","http://dx.doi.org/10.1016/j.biocon.2014.05.002")</f>
        <v>http://dx.doi.org/10.1016/j.biocon.2014.05.002</v>
      </c>
      <c r="BG317" s="8" t="s">
        <v>2135</v>
      </c>
      <c r="BH317" s="8" t="s">
        <v>2135</v>
      </c>
      <c r="BI317" s="8">
        <v>9.0</v>
      </c>
      <c r="BJ317" s="8" t="s">
        <v>3351</v>
      </c>
      <c r="BK317" s="8" t="s">
        <v>3352</v>
      </c>
      <c r="BL317" s="8" t="s">
        <v>3353</v>
      </c>
      <c r="BM317" s="8" t="s">
        <v>8439</v>
      </c>
      <c r="BN317" s="8" t="s">
        <v>2135</v>
      </c>
      <c r="BO317" s="8" t="s">
        <v>2135</v>
      </c>
      <c r="BP317" s="8" t="s">
        <v>2135</v>
      </c>
      <c r="BQ317" s="8" t="s">
        <v>2135</v>
      </c>
      <c r="BR317" s="8" t="s">
        <v>3355</v>
      </c>
      <c r="BS317" s="8" t="s">
        <v>8440</v>
      </c>
      <c r="BT317" s="8" t="s">
        <v>2497</v>
      </c>
      <c r="BU317" s="8" t="s">
        <v>2142</v>
      </c>
      <c r="BW317" s="8" t="s">
        <v>2168</v>
      </c>
      <c r="BX317" s="8" t="s">
        <v>3010</v>
      </c>
      <c r="BY317" s="8" t="s">
        <v>2992</v>
      </c>
      <c r="BZ317" s="8" t="str">
        <f>HYPERLINK("https%3A%2F%2Fwww.webofscience.com%2Fwos%2Fwoscc%2Ffull-record%2FWOS:000340223500003","View Full Record in Web of Science")</f>
        <v>View Full Record in Web of Science</v>
      </c>
    </row>
    <row r="318" ht="12.75" customHeight="1">
      <c r="A318" s="8" t="s">
        <v>3329</v>
      </c>
      <c r="B318" s="8" t="s">
        <v>8441</v>
      </c>
      <c r="C318" s="8" t="s">
        <v>2135</v>
      </c>
      <c r="D318" s="8" t="s">
        <v>2135</v>
      </c>
      <c r="E318" s="8" t="s">
        <v>2135</v>
      </c>
      <c r="F318" s="8" t="s">
        <v>8442</v>
      </c>
      <c r="G318" s="8" t="s">
        <v>2135</v>
      </c>
      <c r="H318" s="8" t="s">
        <v>2135</v>
      </c>
      <c r="I318" s="8" t="s">
        <v>1263</v>
      </c>
      <c r="J318" s="8" t="s">
        <v>8443</v>
      </c>
      <c r="K318" s="8" t="s">
        <v>2135</v>
      </c>
      <c r="L318" s="8" t="s">
        <v>2135</v>
      </c>
      <c r="M318" s="8" t="s">
        <v>3332</v>
      </c>
      <c r="N318" s="8" t="s">
        <v>3333</v>
      </c>
      <c r="O318" s="8" t="s">
        <v>2135</v>
      </c>
      <c r="P318" s="8" t="s">
        <v>2135</v>
      </c>
      <c r="Q318" s="8" t="s">
        <v>2135</v>
      </c>
      <c r="R318" s="8" t="s">
        <v>2135</v>
      </c>
      <c r="S318" s="8" t="s">
        <v>2135</v>
      </c>
      <c r="T318" s="8" t="s">
        <v>8444</v>
      </c>
      <c r="U318" s="8" t="s">
        <v>8445</v>
      </c>
      <c r="V318" s="8" t="s">
        <v>8446</v>
      </c>
      <c r="W318" s="8" t="s">
        <v>8447</v>
      </c>
      <c r="X318" s="8" t="s">
        <v>8448</v>
      </c>
      <c r="Y318" s="8" t="s">
        <v>8449</v>
      </c>
      <c r="Z318" s="8" t="s">
        <v>8450</v>
      </c>
      <c r="AA318" s="8" t="s">
        <v>8451</v>
      </c>
      <c r="AB318" s="8" t="s">
        <v>8452</v>
      </c>
      <c r="AC318" s="8" t="s">
        <v>2135</v>
      </c>
      <c r="AD318" s="8" t="s">
        <v>2135</v>
      </c>
      <c r="AE318" s="8" t="s">
        <v>2135</v>
      </c>
      <c r="AF318" s="8" t="s">
        <v>2135</v>
      </c>
      <c r="AG318" s="8">
        <v>18.0</v>
      </c>
      <c r="AH318" s="8">
        <v>11.0</v>
      </c>
      <c r="AI318" s="8">
        <v>12.0</v>
      </c>
      <c r="AJ318" s="8">
        <v>0.0</v>
      </c>
      <c r="AK318" s="8">
        <v>7.0</v>
      </c>
      <c r="AL318" s="8" t="s">
        <v>8453</v>
      </c>
      <c r="AM318" s="8" t="s">
        <v>8454</v>
      </c>
      <c r="AN318" s="8" t="s">
        <v>8455</v>
      </c>
      <c r="AO318" s="8" t="s">
        <v>8456</v>
      </c>
      <c r="AP318" s="8" t="s">
        <v>8457</v>
      </c>
      <c r="AQ318" s="8" t="s">
        <v>2135</v>
      </c>
      <c r="AR318" s="8" t="s">
        <v>8458</v>
      </c>
      <c r="AS318" s="8" t="s">
        <v>8459</v>
      </c>
      <c r="AT318" s="8" t="s">
        <v>8460</v>
      </c>
      <c r="AU318" s="8">
        <v>2014.0</v>
      </c>
      <c r="AV318" s="8">
        <v>50.0</v>
      </c>
      <c r="AW318" s="8">
        <v>3.0</v>
      </c>
      <c r="AX318" s="8" t="s">
        <v>2135</v>
      </c>
      <c r="AY318" s="8" t="s">
        <v>2135</v>
      </c>
      <c r="AZ318" s="8" t="s">
        <v>2135</v>
      </c>
      <c r="BA318" s="8" t="s">
        <v>2135</v>
      </c>
      <c r="BB318" s="8">
        <v>199.0</v>
      </c>
      <c r="BC318" s="8">
        <v>202.0</v>
      </c>
      <c r="BD318" s="8" t="s">
        <v>2135</v>
      </c>
      <c r="BE318" s="8" t="s">
        <v>2135</v>
      </c>
      <c r="BF318" s="8" t="s">
        <v>2135</v>
      </c>
      <c r="BG318" s="8" t="s">
        <v>2135</v>
      </c>
      <c r="BH318" s="8" t="s">
        <v>2135</v>
      </c>
      <c r="BI318" s="8">
        <v>4.0</v>
      </c>
      <c r="BJ318" s="8" t="s">
        <v>6958</v>
      </c>
      <c r="BK318" s="8" t="s">
        <v>3352</v>
      </c>
      <c r="BL318" s="8" t="s">
        <v>6958</v>
      </c>
      <c r="BM318" s="8" t="s">
        <v>8461</v>
      </c>
      <c r="BN318" s="8">
        <v>2.5273962E7</v>
      </c>
      <c r="BO318" s="8" t="s">
        <v>2135</v>
      </c>
      <c r="BP318" s="8" t="s">
        <v>2135</v>
      </c>
      <c r="BQ318" s="8" t="s">
        <v>2135</v>
      </c>
      <c r="BR318" s="8" t="s">
        <v>3355</v>
      </c>
      <c r="BS318" s="8" t="s">
        <v>8462</v>
      </c>
      <c r="BT318" s="8" t="s">
        <v>2379</v>
      </c>
      <c r="BU318" s="8" t="s">
        <v>2142</v>
      </c>
      <c r="BW318" s="8" t="s">
        <v>2143</v>
      </c>
      <c r="BX318" s="8" t="s">
        <v>2983</v>
      </c>
      <c r="BY318" s="8" t="s">
        <v>2992</v>
      </c>
      <c r="BZ318" s="8" t="str">
        <f>HYPERLINK("https%3A%2F%2Fwww.webofscience.com%2Fwos%2Fwoscc%2Ffull-record%2FWOS:000343748400005","View Full Record in Web of Science")</f>
        <v>View Full Record in Web of Science</v>
      </c>
    </row>
    <row r="319" ht="12.75" customHeight="1">
      <c r="A319" s="8" t="s">
        <v>3329</v>
      </c>
      <c r="B319" s="8" t="s">
        <v>8463</v>
      </c>
      <c r="C319" s="8" t="s">
        <v>2135</v>
      </c>
      <c r="D319" s="8" t="s">
        <v>2135</v>
      </c>
      <c r="E319" s="8" t="s">
        <v>2135</v>
      </c>
      <c r="F319" s="8" t="s">
        <v>8464</v>
      </c>
      <c r="G319" s="8" t="s">
        <v>2135</v>
      </c>
      <c r="H319" s="8" t="s">
        <v>2135</v>
      </c>
      <c r="I319" s="8" t="s">
        <v>1253</v>
      </c>
      <c r="J319" s="8" t="s">
        <v>8465</v>
      </c>
      <c r="K319" s="8" t="s">
        <v>2135</v>
      </c>
      <c r="L319" s="8" t="s">
        <v>2135</v>
      </c>
      <c r="M319" s="8" t="s">
        <v>3332</v>
      </c>
      <c r="N319" s="8" t="s">
        <v>3333</v>
      </c>
      <c r="O319" s="8" t="s">
        <v>2135</v>
      </c>
      <c r="P319" s="8" t="s">
        <v>2135</v>
      </c>
      <c r="Q319" s="8" t="s">
        <v>2135</v>
      </c>
      <c r="R319" s="8" t="s">
        <v>2135</v>
      </c>
      <c r="S319" s="8" t="s">
        <v>2135</v>
      </c>
      <c r="T319" s="8" t="s">
        <v>8466</v>
      </c>
      <c r="U319" s="8" t="s">
        <v>8467</v>
      </c>
      <c r="V319" s="8" t="s">
        <v>8468</v>
      </c>
      <c r="W319" s="8" t="s">
        <v>8469</v>
      </c>
      <c r="X319" s="8" t="s">
        <v>8470</v>
      </c>
      <c r="Y319" s="8" t="s">
        <v>8471</v>
      </c>
      <c r="Z319" s="8" t="s">
        <v>8472</v>
      </c>
      <c r="AA319" s="8" t="s">
        <v>7610</v>
      </c>
      <c r="AB319" s="8" t="s">
        <v>8473</v>
      </c>
      <c r="AC319" s="8" t="s">
        <v>8474</v>
      </c>
      <c r="AD319" s="8" t="s">
        <v>8475</v>
      </c>
      <c r="AE319" s="8" t="s">
        <v>8476</v>
      </c>
      <c r="AF319" s="8" t="s">
        <v>2135</v>
      </c>
      <c r="AG319" s="8">
        <v>38.0</v>
      </c>
      <c r="AH319" s="8">
        <v>23.0</v>
      </c>
      <c r="AI319" s="8">
        <v>24.0</v>
      </c>
      <c r="AJ319" s="8">
        <v>0.0</v>
      </c>
      <c r="AK319" s="8">
        <v>47.0</v>
      </c>
      <c r="AL319" s="8" t="s">
        <v>3366</v>
      </c>
      <c r="AM319" s="8" t="s">
        <v>3367</v>
      </c>
      <c r="AN319" s="8" t="s">
        <v>3368</v>
      </c>
      <c r="AO319" s="8" t="s">
        <v>8477</v>
      </c>
      <c r="AP319" s="8" t="s">
        <v>8478</v>
      </c>
      <c r="AQ319" s="8" t="s">
        <v>2135</v>
      </c>
      <c r="AR319" s="8" t="s">
        <v>8479</v>
      </c>
      <c r="AS319" s="8" t="s">
        <v>8480</v>
      </c>
      <c r="AT319" s="8" t="s">
        <v>8481</v>
      </c>
      <c r="AU319" s="8">
        <v>2014.0</v>
      </c>
      <c r="AV319" s="8">
        <v>170.0</v>
      </c>
      <c r="AW319" s="8" t="s">
        <v>6706</v>
      </c>
      <c r="AX319" s="8" t="s">
        <v>2135</v>
      </c>
      <c r="AY319" s="8" t="s">
        <v>2135</v>
      </c>
      <c r="AZ319" s="8" t="s">
        <v>2135</v>
      </c>
      <c r="BA319" s="8" t="s">
        <v>2135</v>
      </c>
      <c r="BB319" s="8">
        <v>325.0</v>
      </c>
      <c r="BC319" s="8">
        <v>334.0</v>
      </c>
      <c r="BD319" s="8" t="s">
        <v>2135</v>
      </c>
      <c r="BE319" s="8" t="s">
        <v>8482</v>
      </c>
      <c r="BF319" s="13" t="str">
        <f>HYPERLINK("http://dx.doi.org/10.1016/j.vetmic.2014.02.021","http://dx.doi.org/10.1016/j.vetmic.2014.02.021")</f>
        <v>http://dx.doi.org/10.1016/j.vetmic.2014.02.021</v>
      </c>
      <c r="BG319" s="8" t="s">
        <v>2135</v>
      </c>
      <c r="BH319" s="8" t="s">
        <v>2135</v>
      </c>
      <c r="BI319" s="8">
        <v>10.0</v>
      </c>
      <c r="BJ319" s="8" t="s">
        <v>8483</v>
      </c>
      <c r="BK319" s="8" t="s">
        <v>3352</v>
      </c>
      <c r="BL319" s="8" t="s">
        <v>8483</v>
      </c>
      <c r="BM319" s="8" t="s">
        <v>8484</v>
      </c>
      <c r="BN319" s="8">
        <v>2.4629902E7</v>
      </c>
      <c r="BO319" s="8" t="s">
        <v>2135</v>
      </c>
      <c r="BP319" s="8" t="s">
        <v>2135</v>
      </c>
      <c r="BQ319" s="8" t="s">
        <v>2135</v>
      </c>
      <c r="BR319" s="8" t="s">
        <v>3355</v>
      </c>
      <c r="BS319" s="8" t="s">
        <v>8485</v>
      </c>
      <c r="BT319" s="8" t="s">
        <v>2600</v>
      </c>
      <c r="BU319" s="8" t="s">
        <v>2147</v>
      </c>
      <c r="BV319" s="8" t="s">
        <v>2217</v>
      </c>
      <c r="BW319" s="8" t="s">
        <v>2237</v>
      </c>
      <c r="BX319" s="8" t="s">
        <v>2985</v>
      </c>
      <c r="BY319" s="8" t="s">
        <v>2992</v>
      </c>
      <c r="BZ319" s="8" t="str">
        <f>HYPERLINK("https%3A%2F%2Fwww.webofscience.com%2Fwos%2Fwoscc%2Ffull-record%2FWOS:000335624600016","View Full Record in Web of Science")</f>
        <v>View Full Record in Web of Science</v>
      </c>
    </row>
    <row r="320" ht="12.75" customHeight="1">
      <c r="A320" s="8" t="s">
        <v>3329</v>
      </c>
      <c r="B320" s="8" t="s">
        <v>8486</v>
      </c>
      <c r="C320" s="8" t="s">
        <v>2135</v>
      </c>
      <c r="D320" s="8" t="s">
        <v>2135</v>
      </c>
      <c r="E320" s="8" t="s">
        <v>2135</v>
      </c>
      <c r="F320" s="8" t="s">
        <v>8487</v>
      </c>
      <c r="G320" s="8" t="s">
        <v>2135</v>
      </c>
      <c r="H320" s="8" t="s">
        <v>2135</v>
      </c>
      <c r="I320" s="8" t="s">
        <v>1099</v>
      </c>
      <c r="J320" s="8" t="s">
        <v>5420</v>
      </c>
      <c r="K320" s="8" t="s">
        <v>2135</v>
      </c>
      <c r="L320" s="8" t="s">
        <v>2135</v>
      </c>
      <c r="M320" s="8" t="s">
        <v>3332</v>
      </c>
      <c r="N320" s="8" t="s">
        <v>3333</v>
      </c>
      <c r="O320" s="8" t="s">
        <v>2135</v>
      </c>
      <c r="P320" s="8" t="s">
        <v>2135</v>
      </c>
      <c r="Q320" s="8" t="s">
        <v>2135</v>
      </c>
      <c r="R320" s="8" t="s">
        <v>2135</v>
      </c>
      <c r="S320" s="8" t="s">
        <v>2135</v>
      </c>
      <c r="T320" s="8" t="s">
        <v>8488</v>
      </c>
      <c r="U320" s="8" t="s">
        <v>8489</v>
      </c>
      <c r="V320" s="8" t="s">
        <v>8490</v>
      </c>
      <c r="W320" s="8" t="s">
        <v>8491</v>
      </c>
      <c r="X320" s="8" t="s">
        <v>8492</v>
      </c>
      <c r="Y320" s="8" t="s">
        <v>8493</v>
      </c>
      <c r="Z320" s="8" t="s">
        <v>8494</v>
      </c>
      <c r="AA320" s="8" t="s">
        <v>8495</v>
      </c>
      <c r="AB320" s="8" t="s">
        <v>8496</v>
      </c>
      <c r="AC320" s="8" t="s">
        <v>8497</v>
      </c>
      <c r="AD320" s="8" t="s">
        <v>8498</v>
      </c>
      <c r="AE320" s="8" t="s">
        <v>8499</v>
      </c>
      <c r="AF320" s="8" t="s">
        <v>2135</v>
      </c>
      <c r="AG320" s="8">
        <v>66.0</v>
      </c>
      <c r="AH320" s="8">
        <v>23.0</v>
      </c>
      <c r="AI320" s="8">
        <v>25.0</v>
      </c>
      <c r="AJ320" s="8">
        <v>1.0</v>
      </c>
      <c r="AK320" s="8">
        <v>161.0</v>
      </c>
      <c r="AL320" s="8" t="s">
        <v>3342</v>
      </c>
      <c r="AM320" s="8" t="s">
        <v>3343</v>
      </c>
      <c r="AN320" s="8" t="s">
        <v>3344</v>
      </c>
      <c r="AO320" s="8" t="s">
        <v>5430</v>
      </c>
      <c r="AP320" s="8" t="s">
        <v>5431</v>
      </c>
      <c r="AQ320" s="8" t="s">
        <v>2135</v>
      </c>
      <c r="AR320" s="8" t="s">
        <v>5432</v>
      </c>
      <c r="AS320" s="8" t="s">
        <v>5433</v>
      </c>
      <c r="AT320" s="8" t="s">
        <v>3349</v>
      </c>
      <c r="AU320" s="8">
        <v>2014.0</v>
      </c>
      <c r="AV320" s="8">
        <v>51.0</v>
      </c>
      <c r="AW320" s="8">
        <v>3.0</v>
      </c>
      <c r="AX320" s="8" t="s">
        <v>2135</v>
      </c>
      <c r="AY320" s="8" t="s">
        <v>2135</v>
      </c>
      <c r="AZ320" s="8" t="s">
        <v>2135</v>
      </c>
      <c r="BA320" s="8" t="s">
        <v>2135</v>
      </c>
      <c r="BB320" s="8">
        <v>735.0</v>
      </c>
      <c r="BC320" s="8">
        <v>745.0</v>
      </c>
      <c r="BD320" s="8" t="s">
        <v>2135</v>
      </c>
      <c r="BE320" s="8" t="s">
        <v>8500</v>
      </c>
      <c r="BF320" s="13" t="str">
        <f>HYPERLINK("http://dx.doi.org/10.1111/1365-2664.12223","http://dx.doi.org/10.1111/1365-2664.12223")</f>
        <v>http://dx.doi.org/10.1111/1365-2664.12223</v>
      </c>
      <c r="BG320" s="8" t="s">
        <v>2135</v>
      </c>
      <c r="BH320" s="8" t="s">
        <v>2135</v>
      </c>
      <c r="BI320" s="8">
        <v>11.0</v>
      </c>
      <c r="BJ320" s="8" t="s">
        <v>3558</v>
      </c>
      <c r="BK320" s="8" t="s">
        <v>3352</v>
      </c>
      <c r="BL320" s="8" t="s">
        <v>3353</v>
      </c>
      <c r="BM320" s="8" t="s">
        <v>8501</v>
      </c>
      <c r="BN320" s="8" t="s">
        <v>2135</v>
      </c>
      <c r="BO320" s="8" t="s">
        <v>3445</v>
      </c>
      <c r="BP320" s="8" t="s">
        <v>2135</v>
      </c>
      <c r="BQ320" s="8" t="s">
        <v>2135</v>
      </c>
      <c r="BR320" s="8" t="s">
        <v>3355</v>
      </c>
      <c r="BS320" s="8" t="s">
        <v>8502</v>
      </c>
      <c r="BT320" s="8" t="s">
        <v>2600</v>
      </c>
      <c r="BU320" s="8" t="s">
        <v>2147</v>
      </c>
      <c r="BV320" s="8" t="s">
        <v>2217</v>
      </c>
      <c r="BW320" s="8" t="s">
        <v>2601</v>
      </c>
      <c r="BX320" s="8" t="s">
        <v>2983</v>
      </c>
      <c r="BY320" s="8" t="s">
        <v>2992</v>
      </c>
      <c r="BZ320" s="8" t="str">
        <f>HYPERLINK("https%3A%2F%2Fwww.webofscience.com%2Fwos%2Fwoscc%2Ffull-record%2FWOS:000335962200020","View Full Record in Web of Science")</f>
        <v>View Full Record in Web of Science</v>
      </c>
    </row>
    <row r="321" ht="12.75" customHeight="1">
      <c r="A321" s="8" t="s">
        <v>3329</v>
      </c>
      <c r="B321" s="8" t="s">
        <v>8503</v>
      </c>
      <c r="C321" s="8" t="s">
        <v>2135</v>
      </c>
      <c r="D321" s="8" t="s">
        <v>2135</v>
      </c>
      <c r="E321" s="8" t="s">
        <v>2135</v>
      </c>
      <c r="F321" s="8" t="s">
        <v>8504</v>
      </c>
      <c r="G321" s="8" t="s">
        <v>2135</v>
      </c>
      <c r="H321" s="8" t="s">
        <v>2135</v>
      </c>
      <c r="I321" s="8" t="s">
        <v>1257</v>
      </c>
      <c r="J321" s="8" t="s">
        <v>6946</v>
      </c>
      <c r="K321" s="8" t="s">
        <v>2135</v>
      </c>
      <c r="L321" s="8" t="s">
        <v>2135</v>
      </c>
      <c r="M321" s="8" t="s">
        <v>3332</v>
      </c>
      <c r="N321" s="8" t="s">
        <v>3333</v>
      </c>
      <c r="O321" s="8" t="s">
        <v>2135</v>
      </c>
      <c r="P321" s="8" t="s">
        <v>2135</v>
      </c>
      <c r="Q321" s="8" t="s">
        <v>2135</v>
      </c>
      <c r="R321" s="8" t="s">
        <v>2135</v>
      </c>
      <c r="S321" s="8" t="s">
        <v>2135</v>
      </c>
      <c r="T321" s="8" t="s">
        <v>8505</v>
      </c>
      <c r="U321" s="8" t="s">
        <v>8506</v>
      </c>
      <c r="V321" s="8" t="s">
        <v>8507</v>
      </c>
      <c r="W321" s="8" t="s">
        <v>8508</v>
      </c>
      <c r="X321" s="8" t="s">
        <v>8509</v>
      </c>
      <c r="Y321" s="8" t="s">
        <v>8510</v>
      </c>
      <c r="Z321" s="8" t="s">
        <v>8511</v>
      </c>
      <c r="AA321" s="8" t="s">
        <v>8512</v>
      </c>
      <c r="AB321" s="8" t="s">
        <v>8513</v>
      </c>
      <c r="AC321" s="8" t="s">
        <v>8514</v>
      </c>
      <c r="AD321" s="8" t="s">
        <v>8514</v>
      </c>
      <c r="AE321" s="8" t="s">
        <v>8515</v>
      </c>
      <c r="AF321" s="8" t="s">
        <v>2135</v>
      </c>
      <c r="AG321" s="8">
        <v>29.0</v>
      </c>
      <c r="AH321" s="8">
        <v>6.0</v>
      </c>
      <c r="AI321" s="8">
        <v>8.0</v>
      </c>
      <c r="AJ321" s="8">
        <v>0.0</v>
      </c>
      <c r="AK321" s="8">
        <v>17.0</v>
      </c>
      <c r="AL321" s="8" t="s">
        <v>7538</v>
      </c>
      <c r="AM321" s="8" t="s">
        <v>7539</v>
      </c>
      <c r="AN321" s="8" t="s">
        <v>7540</v>
      </c>
      <c r="AO321" s="8" t="s">
        <v>6955</v>
      </c>
      <c r="AP321" s="8" t="s">
        <v>7541</v>
      </c>
      <c r="AQ321" s="8" t="s">
        <v>2135</v>
      </c>
      <c r="AR321" s="8" t="s">
        <v>6956</v>
      </c>
      <c r="AS321" s="8" t="s">
        <v>6957</v>
      </c>
      <c r="AT321" s="8" t="s">
        <v>3721</v>
      </c>
      <c r="AU321" s="8">
        <v>2014.0</v>
      </c>
      <c r="AV321" s="8">
        <v>45.0</v>
      </c>
      <c r="AW321" s="8">
        <v>1.0</v>
      </c>
      <c r="AX321" s="8" t="s">
        <v>2135</v>
      </c>
      <c r="AY321" s="8" t="s">
        <v>2135</v>
      </c>
      <c r="AZ321" s="8" t="s">
        <v>2135</v>
      </c>
      <c r="BA321" s="8" t="s">
        <v>2135</v>
      </c>
      <c r="BB321" s="8">
        <v>110.0</v>
      </c>
      <c r="BC321" s="8">
        <v>117.0</v>
      </c>
      <c r="BD321" s="8" t="s">
        <v>2135</v>
      </c>
      <c r="BE321" s="8" t="s">
        <v>8516</v>
      </c>
      <c r="BF321" s="13" t="str">
        <f>HYPERLINK("http://dx.doi.org/10.1638/2013-0135R2.1","http://dx.doi.org/10.1638/2013-0135R2.1")</f>
        <v>http://dx.doi.org/10.1638/2013-0135R2.1</v>
      </c>
      <c r="BG321" s="8" t="s">
        <v>2135</v>
      </c>
      <c r="BH321" s="8" t="s">
        <v>2135</v>
      </c>
      <c r="BI321" s="8">
        <v>8.0</v>
      </c>
      <c r="BJ321" s="8" t="s">
        <v>6958</v>
      </c>
      <c r="BK321" s="8" t="s">
        <v>3352</v>
      </c>
      <c r="BL321" s="8" t="s">
        <v>6958</v>
      </c>
      <c r="BM321" s="8" t="s">
        <v>8517</v>
      </c>
      <c r="BN321" s="8">
        <v>2.4712169E7</v>
      </c>
      <c r="BO321" s="8" t="s">
        <v>2135</v>
      </c>
      <c r="BP321" s="8" t="s">
        <v>2135</v>
      </c>
      <c r="BQ321" s="8" t="s">
        <v>2135</v>
      </c>
      <c r="BR321" s="8" t="s">
        <v>3355</v>
      </c>
      <c r="BS321" s="8" t="s">
        <v>8518</v>
      </c>
      <c r="BT321" s="8" t="s">
        <v>2600</v>
      </c>
      <c r="BU321" s="8" t="s">
        <v>2147</v>
      </c>
      <c r="BV321" s="8" t="s">
        <v>2217</v>
      </c>
      <c r="BW321" s="8" t="s">
        <v>2234</v>
      </c>
      <c r="BX321" s="8" t="s">
        <v>2983</v>
      </c>
      <c r="BY321" s="8" t="s">
        <v>2992</v>
      </c>
      <c r="BZ321" s="8" t="str">
        <f>HYPERLINK("https%3A%2F%2Fwww.webofscience.com%2Fwos%2Fwoscc%2Ffull-record%2FWOS:000339649200014","View Full Record in Web of Science")</f>
        <v>View Full Record in Web of Science</v>
      </c>
    </row>
    <row r="322" ht="12.75" customHeight="1">
      <c r="A322" s="8" t="s">
        <v>3329</v>
      </c>
      <c r="B322" s="8" t="s">
        <v>8519</v>
      </c>
      <c r="C322" s="8" t="s">
        <v>2135</v>
      </c>
      <c r="D322" s="8" t="s">
        <v>2135</v>
      </c>
      <c r="E322" s="8" t="s">
        <v>2135</v>
      </c>
      <c r="F322" s="8" t="s">
        <v>8520</v>
      </c>
      <c r="G322" s="8" t="s">
        <v>2135</v>
      </c>
      <c r="H322" s="8" t="s">
        <v>2135</v>
      </c>
      <c r="I322" s="8" t="s">
        <v>1241</v>
      </c>
      <c r="J322" s="8" t="s">
        <v>8007</v>
      </c>
      <c r="K322" s="8" t="s">
        <v>2135</v>
      </c>
      <c r="L322" s="8" t="s">
        <v>2135</v>
      </c>
      <c r="M322" s="8" t="s">
        <v>3332</v>
      </c>
      <c r="N322" s="8" t="s">
        <v>3492</v>
      </c>
      <c r="O322" s="8" t="s">
        <v>2135</v>
      </c>
      <c r="P322" s="8" t="s">
        <v>2135</v>
      </c>
      <c r="Q322" s="8" t="s">
        <v>2135</v>
      </c>
      <c r="R322" s="8" t="s">
        <v>2135</v>
      </c>
      <c r="S322" s="8" t="s">
        <v>2135</v>
      </c>
      <c r="T322" s="8" t="s">
        <v>8521</v>
      </c>
      <c r="U322" s="8" t="s">
        <v>8522</v>
      </c>
      <c r="V322" s="8" t="s">
        <v>8523</v>
      </c>
      <c r="W322" s="8" t="s">
        <v>8524</v>
      </c>
      <c r="X322" s="8" t="s">
        <v>3971</v>
      </c>
      <c r="Y322" s="8" t="s">
        <v>8525</v>
      </c>
      <c r="Z322" s="8" t="s">
        <v>8526</v>
      </c>
      <c r="AA322" s="8" t="s">
        <v>2135</v>
      </c>
      <c r="AB322" s="8" t="s">
        <v>2135</v>
      </c>
      <c r="AC322" s="8" t="s">
        <v>2135</v>
      </c>
      <c r="AD322" s="8" t="s">
        <v>2135</v>
      </c>
      <c r="AE322" s="8" t="s">
        <v>2135</v>
      </c>
      <c r="AF322" s="8" t="s">
        <v>2135</v>
      </c>
      <c r="AG322" s="8">
        <v>60.0</v>
      </c>
      <c r="AH322" s="8">
        <v>9.0</v>
      </c>
      <c r="AI322" s="8">
        <v>10.0</v>
      </c>
      <c r="AJ322" s="8">
        <v>1.0</v>
      </c>
      <c r="AK322" s="8">
        <v>28.0</v>
      </c>
      <c r="AL322" s="8" t="s">
        <v>3479</v>
      </c>
      <c r="AM322" s="8" t="s">
        <v>3480</v>
      </c>
      <c r="AN322" s="8" t="s">
        <v>3739</v>
      </c>
      <c r="AO322" s="8" t="s">
        <v>8016</v>
      </c>
      <c r="AP322" s="8" t="s">
        <v>8017</v>
      </c>
      <c r="AQ322" s="8" t="s">
        <v>2135</v>
      </c>
      <c r="AR322" s="8" t="s">
        <v>8007</v>
      </c>
      <c r="AS322" s="8" t="s">
        <v>8018</v>
      </c>
      <c r="AT322" s="8" t="s">
        <v>3741</v>
      </c>
      <c r="AU322" s="8">
        <v>2013.0</v>
      </c>
      <c r="AV322" s="8">
        <v>10.0</v>
      </c>
      <c r="AW322" s="8">
        <v>4.0</v>
      </c>
      <c r="AX322" s="8" t="s">
        <v>2135</v>
      </c>
      <c r="AY322" s="8" t="s">
        <v>2135</v>
      </c>
      <c r="AZ322" s="8" t="s">
        <v>2135</v>
      </c>
      <c r="BA322" s="8" t="s">
        <v>2135</v>
      </c>
      <c r="BB322" s="8">
        <v>446.0</v>
      </c>
      <c r="BC322" s="8">
        <v>454.0</v>
      </c>
      <c r="BD322" s="8" t="s">
        <v>2135</v>
      </c>
      <c r="BE322" s="8" t="s">
        <v>8527</v>
      </c>
      <c r="BF322" s="13" t="str">
        <f>HYPERLINK("http://dx.doi.org/10.1007/s10393-013-0897-4","http://dx.doi.org/10.1007/s10393-013-0897-4")</f>
        <v>http://dx.doi.org/10.1007/s10393-013-0897-4</v>
      </c>
      <c r="BG322" s="8" t="s">
        <v>2135</v>
      </c>
      <c r="BH322" s="8" t="s">
        <v>2135</v>
      </c>
      <c r="BI322" s="8">
        <v>9.0</v>
      </c>
      <c r="BJ322" s="8" t="s">
        <v>3351</v>
      </c>
      <c r="BK322" s="8" t="s">
        <v>3352</v>
      </c>
      <c r="BL322" s="8" t="s">
        <v>3353</v>
      </c>
      <c r="BM322" s="8" t="s">
        <v>8528</v>
      </c>
      <c r="BN322" s="8" t="s">
        <v>2135</v>
      </c>
      <c r="BO322" s="8" t="s">
        <v>3583</v>
      </c>
      <c r="BP322" s="8" t="s">
        <v>2135</v>
      </c>
      <c r="BQ322" s="8" t="s">
        <v>2135</v>
      </c>
      <c r="BR322" s="8" t="s">
        <v>3355</v>
      </c>
      <c r="BS322" s="8" t="s">
        <v>8529</v>
      </c>
      <c r="BT322" s="8" t="s">
        <v>2600</v>
      </c>
      <c r="BU322" s="8" t="s">
        <v>2147</v>
      </c>
      <c r="BV322" s="8" t="s">
        <v>2217</v>
      </c>
      <c r="BW322" s="8" t="s">
        <v>2601</v>
      </c>
      <c r="BX322" s="8" t="s">
        <v>2983</v>
      </c>
      <c r="BY322" s="8" t="s">
        <v>2992</v>
      </c>
      <c r="BZ322" s="8" t="str">
        <f>HYPERLINK("https%3A%2F%2Fwww.webofscience.com%2Fwos%2Fwoscc%2Ffull-record%2FWOS:000332375100014","View Full Record in Web of Science")</f>
        <v>View Full Record in Web of Science</v>
      </c>
    </row>
    <row r="323" ht="12.75" customHeight="1">
      <c r="A323" s="8" t="s">
        <v>3329</v>
      </c>
      <c r="B323" s="8" t="s">
        <v>8530</v>
      </c>
      <c r="C323" s="8" t="s">
        <v>2135</v>
      </c>
      <c r="D323" s="8" t="s">
        <v>2135</v>
      </c>
      <c r="E323" s="8" t="s">
        <v>2135</v>
      </c>
      <c r="F323" s="8" t="s">
        <v>8531</v>
      </c>
      <c r="G323" s="8" t="s">
        <v>2135</v>
      </c>
      <c r="H323" s="8" t="s">
        <v>2135</v>
      </c>
      <c r="I323" s="8" t="s">
        <v>1247</v>
      </c>
      <c r="J323" s="8" t="s">
        <v>7850</v>
      </c>
      <c r="K323" s="8" t="s">
        <v>2135</v>
      </c>
      <c r="L323" s="8" t="s">
        <v>2135</v>
      </c>
      <c r="M323" s="8" t="s">
        <v>3332</v>
      </c>
      <c r="N323" s="8" t="s">
        <v>3333</v>
      </c>
      <c r="O323" s="8" t="s">
        <v>2135</v>
      </c>
      <c r="P323" s="8" t="s">
        <v>2135</v>
      </c>
      <c r="Q323" s="8" t="s">
        <v>2135</v>
      </c>
      <c r="R323" s="8" t="s">
        <v>2135</v>
      </c>
      <c r="S323" s="8" t="s">
        <v>2135</v>
      </c>
      <c r="T323" s="8" t="s">
        <v>8532</v>
      </c>
      <c r="U323" s="8" t="s">
        <v>8533</v>
      </c>
      <c r="V323" s="8" t="s">
        <v>8534</v>
      </c>
      <c r="W323" s="8" t="s">
        <v>8535</v>
      </c>
      <c r="X323" s="8" t="s">
        <v>8536</v>
      </c>
      <c r="Y323" s="8" t="s">
        <v>8537</v>
      </c>
      <c r="Z323" s="8" t="s">
        <v>8538</v>
      </c>
      <c r="AA323" s="8" t="s">
        <v>8539</v>
      </c>
      <c r="AB323" s="8" t="s">
        <v>8540</v>
      </c>
      <c r="AC323" s="8" t="s">
        <v>8541</v>
      </c>
      <c r="AD323" s="8" t="s">
        <v>8542</v>
      </c>
      <c r="AE323" s="8" t="s">
        <v>8543</v>
      </c>
      <c r="AF323" s="8" t="s">
        <v>2135</v>
      </c>
      <c r="AG323" s="8">
        <v>22.0</v>
      </c>
      <c r="AH323" s="8">
        <v>31.0</v>
      </c>
      <c r="AI323" s="8">
        <v>36.0</v>
      </c>
      <c r="AJ323" s="8">
        <v>0.0</v>
      </c>
      <c r="AK323" s="8">
        <v>63.0</v>
      </c>
      <c r="AL323" s="8" t="s">
        <v>7863</v>
      </c>
      <c r="AM323" s="8" t="s">
        <v>3624</v>
      </c>
      <c r="AN323" s="8" t="s">
        <v>7864</v>
      </c>
      <c r="AO323" s="8" t="s">
        <v>7865</v>
      </c>
      <c r="AP323" s="8" t="s">
        <v>2135</v>
      </c>
      <c r="AQ323" s="8" t="s">
        <v>2135</v>
      </c>
      <c r="AR323" s="8" t="s">
        <v>7866</v>
      </c>
      <c r="AS323" s="8" t="s">
        <v>7867</v>
      </c>
      <c r="AT323" s="8" t="s">
        <v>8544</v>
      </c>
      <c r="AU323" s="8">
        <v>2013.0</v>
      </c>
      <c r="AV323" s="8">
        <v>6.0</v>
      </c>
      <c r="AW323" s="8" t="s">
        <v>2135</v>
      </c>
      <c r="AX323" s="8" t="s">
        <v>2135</v>
      </c>
      <c r="AY323" s="8" t="s">
        <v>2135</v>
      </c>
      <c r="AZ323" s="8" t="s">
        <v>2135</v>
      </c>
      <c r="BA323" s="8" t="s">
        <v>2135</v>
      </c>
      <c r="BB323" s="8" t="s">
        <v>2135</v>
      </c>
      <c r="BC323" s="8" t="s">
        <v>2135</v>
      </c>
      <c r="BD323" s="8">
        <v>75.0</v>
      </c>
      <c r="BE323" s="8" t="s">
        <v>8545</v>
      </c>
      <c r="BF323" s="13" t="str">
        <f>HYPERLINK("http://dx.doi.org/10.1186/1756-3305-6-75","http://dx.doi.org/10.1186/1756-3305-6-75")</f>
        <v>http://dx.doi.org/10.1186/1756-3305-6-75</v>
      </c>
      <c r="BG323" s="8" t="s">
        <v>2135</v>
      </c>
      <c r="BH323" s="8" t="s">
        <v>2135</v>
      </c>
      <c r="BI323" s="8">
        <v>5.0</v>
      </c>
      <c r="BJ323" s="8" t="s">
        <v>7870</v>
      </c>
      <c r="BK323" s="8" t="s">
        <v>3352</v>
      </c>
      <c r="BL323" s="8" t="s">
        <v>7870</v>
      </c>
      <c r="BM323" s="8" t="s">
        <v>8546</v>
      </c>
      <c r="BN323" s="8">
        <v>2.3510234E7</v>
      </c>
      <c r="BO323" s="8" t="s">
        <v>3659</v>
      </c>
      <c r="BP323" s="8" t="s">
        <v>2135</v>
      </c>
      <c r="BQ323" s="8" t="s">
        <v>2135</v>
      </c>
      <c r="BR323" s="8" t="s">
        <v>3355</v>
      </c>
      <c r="BS323" s="8" t="s">
        <v>8547</v>
      </c>
      <c r="BT323" s="8" t="s">
        <v>2553</v>
      </c>
      <c r="BU323" s="8" t="s">
        <v>2142</v>
      </c>
      <c r="BW323" s="8" t="s">
        <v>2143</v>
      </c>
      <c r="BX323" s="8" t="s">
        <v>2985</v>
      </c>
      <c r="BY323" s="8" t="s">
        <v>2992</v>
      </c>
      <c r="BZ323" s="8" t="str">
        <f>HYPERLINK("https%3A%2F%2Fwww.webofscience.com%2Fwos%2Fwoscc%2Ffull-record%2FWOS:000317686400001","View Full Record in Web of Science")</f>
        <v>View Full Record in Web of Science</v>
      </c>
    </row>
    <row r="324" ht="12.75" customHeight="1">
      <c r="A324" s="8" t="s">
        <v>3329</v>
      </c>
      <c r="B324" s="8" t="s">
        <v>8548</v>
      </c>
      <c r="C324" s="8" t="s">
        <v>2135</v>
      </c>
      <c r="D324" s="8" t="s">
        <v>2135</v>
      </c>
      <c r="E324" s="8" t="s">
        <v>2135</v>
      </c>
      <c r="F324" s="8" t="s">
        <v>8549</v>
      </c>
      <c r="G324" s="8" t="s">
        <v>2135</v>
      </c>
      <c r="H324" s="8" t="s">
        <v>2135</v>
      </c>
      <c r="I324" s="8" t="s">
        <v>1245</v>
      </c>
      <c r="J324" s="8" t="s">
        <v>7916</v>
      </c>
      <c r="K324" s="8" t="s">
        <v>2135</v>
      </c>
      <c r="L324" s="8" t="s">
        <v>2135</v>
      </c>
      <c r="M324" s="8" t="s">
        <v>3332</v>
      </c>
      <c r="N324" s="8" t="s">
        <v>3333</v>
      </c>
      <c r="O324" s="8" t="s">
        <v>2135</v>
      </c>
      <c r="P324" s="8" t="s">
        <v>2135</v>
      </c>
      <c r="Q324" s="8" t="s">
        <v>2135</v>
      </c>
      <c r="R324" s="8" t="s">
        <v>2135</v>
      </c>
      <c r="S324" s="8" t="s">
        <v>2135</v>
      </c>
      <c r="T324" s="8" t="s">
        <v>8550</v>
      </c>
      <c r="U324" s="8" t="s">
        <v>2135</v>
      </c>
      <c r="V324" s="8" t="s">
        <v>8551</v>
      </c>
      <c r="W324" s="8" t="s">
        <v>8552</v>
      </c>
      <c r="X324" s="8" t="s">
        <v>8553</v>
      </c>
      <c r="Y324" s="8" t="s">
        <v>8554</v>
      </c>
      <c r="Z324" s="8" t="s">
        <v>8555</v>
      </c>
      <c r="AA324" s="8" t="s">
        <v>8556</v>
      </c>
      <c r="AB324" s="8" t="s">
        <v>8557</v>
      </c>
      <c r="AC324" s="8" t="s">
        <v>2135</v>
      </c>
      <c r="AD324" s="8" t="s">
        <v>2135</v>
      </c>
      <c r="AE324" s="8" t="s">
        <v>2135</v>
      </c>
      <c r="AF324" s="8" t="s">
        <v>2135</v>
      </c>
      <c r="AG324" s="8">
        <v>25.0</v>
      </c>
      <c r="AH324" s="8">
        <v>13.0</v>
      </c>
      <c r="AI324" s="8">
        <v>15.0</v>
      </c>
      <c r="AJ324" s="8">
        <v>0.0</v>
      </c>
      <c r="AK324" s="8">
        <v>20.0</v>
      </c>
      <c r="AL324" s="8" t="s">
        <v>7926</v>
      </c>
      <c r="AM324" s="8" t="s">
        <v>7927</v>
      </c>
      <c r="AN324" s="8" t="s">
        <v>7928</v>
      </c>
      <c r="AO324" s="8" t="s">
        <v>7929</v>
      </c>
      <c r="AP324" s="8" t="s">
        <v>7930</v>
      </c>
      <c r="AQ324" s="8" t="s">
        <v>2135</v>
      </c>
      <c r="AR324" s="8" t="s">
        <v>7931</v>
      </c>
      <c r="AS324" s="8" t="s">
        <v>7932</v>
      </c>
      <c r="AT324" s="8" t="s">
        <v>3485</v>
      </c>
      <c r="AU324" s="8">
        <v>2013.0</v>
      </c>
      <c r="AV324" s="8">
        <v>33.0</v>
      </c>
      <c r="AW324" s="8">
        <v>2.0</v>
      </c>
      <c r="AX324" s="8" t="s">
        <v>2135</v>
      </c>
      <c r="AY324" s="8" t="s">
        <v>2135</v>
      </c>
      <c r="AZ324" s="8" t="s">
        <v>2135</v>
      </c>
      <c r="BA324" s="8" t="s">
        <v>2135</v>
      </c>
      <c r="BB324" s="8">
        <v>247.0</v>
      </c>
      <c r="BC324" s="8">
        <v>250.0</v>
      </c>
      <c r="BD324" s="8" t="s">
        <v>2135</v>
      </c>
      <c r="BE324" s="8" t="s">
        <v>8558</v>
      </c>
      <c r="BF324" s="13" t="str">
        <f>HYPERLINK("http://dx.doi.org/10.1590/S0100-736X2013000200018","http://dx.doi.org/10.1590/S0100-736X2013000200018")</f>
        <v>http://dx.doi.org/10.1590/S0100-736X2013000200018</v>
      </c>
      <c r="BG324" s="8" t="s">
        <v>2135</v>
      </c>
      <c r="BH324" s="8" t="s">
        <v>2135</v>
      </c>
      <c r="BI324" s="8">
        <v>4.0</v>
      </c>
      <c r="BJ324" s="8" t="s">
        <v>6958</v>
      </c>
      <c r="BK324" s="8" t="s">
        <v>3352</v>
      </c>
      <c r="BL324" s="8" t="s">
        <v>6958</v>
      </c>
      <c r="BM324" s="8" t="s">
        <v>8559</v>
      </c>
      <c r="BN324" s="8" t="s">
        <v>2135</v>
      </c>
      <c r="BO324" s="8" t="s">
        <v>8560</v>
      </c>
      <c r="BP324" s="8" t="s">
        <v>2135</v>
      </c>
      <c r="BQ324" s="8" t="s">
        <v>2135</v>
      </c>
      <c r="BR324" s="8" t="s">
        <v>3355</v>
      </c>
      <c r="BS324" s="8" t="s">
        <v>8561</v>
      </c>
      <c r="BT324" s="8" t="s">
        <v>2185</v>
      </c>
      <c r="BU324" s="8" t="s">
        <v>2147</v>
      </c>
      <c r="BW324" s="8" t="s">
        <v>2150</v>
      </c>
      <c r="BX324" s="8" t="s">
        <v>2985</v>
      </c>
      <c r="BY324" s="8" t="s">
        <v>2992</v>
      </c>
      <c r="BZ324" s="8" t="str">
        <f>HYPERLINK("https%3A%2F%2Fwww.webofscience.com%2Fwos%2Fwoscc%2Ffull-record%2FWOS:000317670900018","View Full Record in Web of Science")</f>
        <v>View Full Record in Web of Science</v>
      </c>
    </row>
    <row r="325" ht="12.75" customHeight="1">
      <c r="A325" s="8" t="s">
        <v>3329</v>
      </c>
      <c r="B325" s="8" t="s">
        <v>8562</v>
      </c>
      <c r="C325" s="8" t="s">
        <v>2135</v>
      </c>
      <c r="D325" s="8" t="s">
        <v>2135</v>
      </c>
      <c r="E325" s="8" t="s">
        <v>2135</v>
      </c>
      <c r="F325" s="8" t="s">
        <v>8563</v>
      </c>
      <c r="G325" s="8" t="s">
        <v>2135</v>
      </c>
      <c r="H325" s="8" t="s">
        <v>2135</v>
      </c>
      <c r="I325" s="8" t="s">
        <v>1235</v>
      </c>
      <c r="J325" s="8" t="s">
        <v>8564</v>
      </c>
      <c r="K325" s="8" t="s">
        <v>2135</v>
      </c>
      <c r="L325" s="8" t="s">
        <v>2135</v>
      </c>
      <c r="M325" s="8" t="s">
        <v>3332</v>
      </c>
      <c r="N325" s="8" t="s">
        <v>3333</v>
      </c>
      <c r="O325" s="8" t="s">
        <v>2135</v>
      </c>
      <c r="P325" s="8" t="s">
        <v>2135</v>
      </c>
      <c r="Q325" s="8" t="s">
        <v>2135</v>
      </c>
      <c r="R325" s="8" t="s">
        <v>2135</v>
      </c>
      <c r="S325" s="8" t="s">
        <v>2135</v>
      </c>
      <c r="T325" s="8" t="s">
        <v>8565</v>
      </c>
      <c r="U325" s="8" t="s">
        <v>8566</v>
      </c>
      <c r="V325" s="8" t="s">
        <v>8567</v>
      </c>
      <c r="W325" s="8" t="s">
        <v>8568</v>
      </c>
      <c r="X325" s="8" t="s">
        <v>8569</v>
      </c>
      <c r="Y325" s="8" t="s">
        <v>8570</v>
      </c>
      <c r="Z325" s="8" t="s">
        <v>8571</v>
      </c>
      <c r="AA325" s="8" t="s">
        <v>8572</v>
      </c>
      <c r="AB325" s="8" t="s">
        <v>8573</v>
      </c>
      <c r="AC325" s="8" t="s">
        <v>8574</v>
      </c>
      <c r="AD325" s="8" t="s">
        <v>8575</v>
      </c>
      <c r="AE325" s="8" t="s">
        <v>8576</v>
      </c>
      <c r="AF325" s="8" t="s">
        <v>2135</v>
      </c>
      <c r="AG325" s="8">
        <v>44.0</v>
      </c>
      <c r="AH325" s="8">
        <v>25.0</v>
      </c>
      <c r="AI325" s="8">
        <v>26.0</v>
      </c>
      <c r="AJ325" s="8">
        <v>3.0</v>
      </c>
      <c r="AK325" s="8">
        <v>27.0</v>
      </c>
      <c r="AL325" s="8" t="s">
        <v>8577</v>
      </c>
      <c r="AM325" s="8" t="s">
        <v>3624</v>
      </c>
      <c r="AN325" s="8" t="s">
        <v>8578</v>
      </c>
      <c r="AO325" s="8" t="s">
        <v>8579</v>
      </c>
      <c r="AP325" s="8" t="s">
        <v>2135</v>
      </c>
      <c r="AQ325" s="8" t="s">
        <v>2135</v>
      </c>
      <c r="AR325" s="8" t="s">
        <v>8580</v>
      </c>
      <c r="AS325" s="8" t="s">
        <v>8581</v>
      </c>
      <c r="AT325" s="8" t="s">
        <v>7122</v>
      </c>
      <c r="AU325" s="8">
        <v>2012.0</v>
      </c>
      <c r="AV325" s="8">
        <v>8.0</v>
      </c>
      <c r="AW325" s="8" t="s">
        <v>2135</v>
      </c>
      <c r="AX325" s="8" t="s">
        <v>2135</v>
      </c>
      <c r="AY325" s="8" t="s">
        <v>2135</v>
      </c>
      <c r="AZ325" s="8" t="s">
        <v>2135</v>
      </c>
      <c r="BA325" s="8" t="s">
        <v>2135</v>
      </c>
      <c r="BB325" s="8" t="s">
        <v>2135</v>
      </c>
      <c r="BC325" s="8" t="s">
        <v>2135</v>
      </c>
      <c r="BD325" s="8">
        <v>137.0</v>
      </c>
      <c r="BE325" s="8" t="s">
        <v>8582</v>
      </c>
      <c r="BF325" s="13" t="str">
        <f>HYPERLINK("http://dx.doi.org/10.1186/1746-6148-8-137","http://dx.doi.org/10.1186/1746-6148-8-137")</f>
        <v>http://dx.doi.org/10.1186/1746-6148-8-137</v>
      </c>
      <c r="BG325" s="8" t="s">
        <v>2135</v>
      </c>
      <c r="BH325" s="8" t="s">
        <v>2135</v>
      </c>
      <c r="BI325" s="8">
        <v>4.0</v>
      </c>
      <c r="BJ325" s="8" t="s">
        <v>6958</v>
      </c>
      <c r="BK325" s="8" t="s">
        <v>3352</v>
      </c>
      <c r="BL325" s="8" t="s">
        <v>6958</v>
      </c>
      <c r="BM325" s="8" t="s">
        <v>8583</v>
      </c>
      <c r="BN325" s="8">
        <v>2.2901862E7</v>
      </c>
      <c r="BO325" s="8" t="s">
        <v>3659</v>
      </c>
      <c r="BP325" s="8" t="s">
        <v>2135</v>
      </c>
      <c r="BQ325" s="8" t="s">
        <v>2135</v>
      </c>
      <c r="BR325" s="8" t="s">
        <v>3355</v>
      </c>
      <c r="BS325" s="8" t="s">
        <v>8584</v>
      </c>
      <c r="BU325" s="8" t="s">
        <v>2142</v>
      </c>
      <c r="BW325" s="8" t="s">
        <v>2913</v>
      </c>
      <c r="BX325" s="8" t="s">
        <v>2983</v>
      </c>
      <c r="BY325" s="8" t="s">
        <v>2992</v>
      </c>
      <c r="BZ325" s="8" t="str">
        <f>HYPERLINK("https%3A%2F%2Fwww.webofscience.com%2Fwos%2Fwoscc%2Ffull-record%2FWOS:000312220000001","View Full Record in Web of Science")</f>
        <v>View Full Record in Web of Science</v>
      </c>
    </row>
    <row r="326" ht="12.75" customHeight="1">
      <c r="A326" s="8" t="s">
        <v>3329</v>
      </c>
      <c r="B326" s="8" t="s">
        <v>8585</v>
      </c>
      <c r="C326" s="8" t="s">
        <v>2135</v>
      </c>
      <c r="D326" s="8" t="s">
        <v>2135</v>
      </c>
      <c r="E326" s="8" t="s">
        <v>2135</v>
      </c>
      <c r="F326" s="8" t="s">
        <v>8586</v>
      </c>
      <c r="G326" s="8" t="s">
        <v>2135</v>
      </c>
      <c r="H326" s="8" t="s">
        <v>2135</v>
      </c>
      <c r="I326" s="8" t="s">
        <v>1237</v>
      </c>
      <c r="J326" s="8" t="s">
        <v>8587</v>
      </c>
      <c r="K326" s="8" t="s">
        <v>2135</v>
      </c>
      <c r="L326" s="8" t="s">
        <v>2135</v>
      </c>
      <c r="M326" s="8" t="s">
        <v>3332</v>
      </c>
      <c r="N326" s="8" t="s">
        <v>3333</v>
      </c>
      <c r="O326" s="8" t="s">
        <v>2135</v>
      </c>
      <c r="P326" s="8" t="s">
        <v>2135</v>
      </c>
      <c r="Q326" s="8" t="s">
        <v>2135</v>
      </c>
      <c r="R326" s="8" t="s">
        <v>2135</v>
      </c>
      <c r="S326" s="8" t="s">
        <v>2135</v>
      </c>
      <c r="T326" s="8" t="s">
        <v>8588</v>
      </c>
      <c r="U326" s="8" t="s">
        <v>8589</v>
      </c>
      <c r="V326" s="8" t="s">
        <v>8590</v>
      </c>
      <c r="W326" s="8" t="s">
        <v>8591</v>
      </c>
      <c r="X326" s="8" t="s">
        <v>8592</v>
      </c>
      <c r="Y326" s="8" t="s">
        <v>8593</v>
      </c>
      <c r="Z326" s="8" t="s">
        <v>8594</v>
      </c>
      <c r="AA326" s="8" t="s">
        <v>2135</v>
      </c>
      <c r="AB326" s="8" t="s">
        <v>2135</v>
      </c>
      <c r="AC326" s="8" t="s">
        <v>8595</v>
      </c>
      <c r="AD326" s="8" t="s">
        <v>8596</v>
      </c>
      <c r="AE326" s="8" t="s">
        <v>8597</v>
      </c>
      <c r="AF326" s="8" t="s">
        <v>2135</v>
      </c>
      <c r="AG326" s="8">
        <v>25.0</v>
      </c>
      <c r="AH326" s="8">
        <v>7.0</v>
      </c>
      <c r="AI326" s="8">
        <v>8.0</v>
      </c>
      <c r="AJ326" s="8">
        <v>0.0</v>
      </c>
      <c r="AK326" s="8">
        <v>16.0</v>
      </c>
      <c r="AL326" s="8" t="s">
        <v>3758</v>
      </c>
      <c r="AM326" s="8" t="s">
        <v>3759</v>
      </c>
      <c r="AN326" s="8" t="s">
        <v>3760</v>
      </c>
      <c r="AO326" s="8" t="s">
        <v>8598</v>
      </c>
      <c r="AP326" s="8" t="s">
        <v>2135</v>
      </c>
      <c r="AQ326" s="8" t="s">
        <v>2135</v>
      </c>
      <c r="AR326" s="8" t="s">
        <v>8599</v>
      </c>
      <c r="AS326" s="8" t="s">
        <v>8600</v>
      </c>
      <c r="AT326" s="8" t="s">
        <v>8601</v>
      </c>
      <c r="AU326" s="8">
        <v>2012.0</v>
      </c>
      <c r="AV326" s="8">
        <v>147.0</v>
      </c>
      <c r="AW326" s="8" t="s">
        <v>4035</v>
      </c>
      <c r="AX326" s="8" t="s">
        <v>2135</v>
      </c>
      <c r="AY326" s="8" t="s">
        <v>2135</v>
      </c>
      <c r="AZ326" s="8" t="s">
        <v>2135</v>
      </c>
      <c r="BA326" s="8" t="s">
        <v>2135</v>
      </c>
      <c r="BB326" s="8">
        <v>391.0</v>
      </c>
      <c r="BC326" s="8">
        <v>396.0</v>
      </c>
      <c r="BD326" s="8" t="s">
        <v>2135</v>
      </c>
      <c r="BE326" s="8" t="s">
        <v>8602</v>
      </c>
      <c r="BF326" s="13" t="str">
        <f>HYPERLINK("http://dx.doi.org/10.1016/j.jcpa.2012.01.017","http://dx.doi.org/10.1016/j.jcpa.2012.01.017")</f>
        <v>http://dx.doi.org/10.1016/j.jcpa.2012.01.017</v>
      </c>
      <c r="BG326" s="8" t="s">
        <v>2135</v>
      </c>
      <c r="BH326" s="8" t="s">
        <v>2135</v>
      </c>
      <c r="BI326" s="8">
        <v>6.0</v>
      </c>
      <c r="BJ326" s="8" t="s">
        <v>8603</v>
      </c>
      <c r="BK326" s="8" t="s">
        <v>3352</v>
      </c>
      <c r="BL326" s="8" t="s">
        <v>8603</v>
      </c>
      <c r="BM326" s="8" t="s">
        <v>8604</v>
      </c>
      <c r="BN326" s="8">
        <v>2.2520807E7</v>
      </c>
      <c r="BO326" s="8" t="s">
        <v>3445</v>
      </c>
      <c r="BP326" s="8" t="s">
        <v>2135</v>
      </c>
      <c r="BQ326" s="8" t="s">
        <v>2135</v>
      </c>
      <c r="BR326" s="8" t="s">
        <v>3355</v>
      </c>
      <c r="BS326" s="8" t="s">
        <v>8605</v>
      </c>
      <c r="BT326" s="8" t="s">
        <v>2600</v>
      </c>
      <c r="BU326" s="8" t="s">
        <v>2147</v>
      </c>
      <c r="BV326" s="8" t="s">
        <v>2217</v>
      </c>
      <c r="BW326" s="8" t="s">
        <v>2237</v>
      </c>
      <c r="BX326" s="8" t="s">
        <v>2985</v>
      </c>
      <c r="BY326" s="8" t="s">
        <v>2992</v>
      </c>
      <c r="BZ326" s="8" t="str">
        <f>HYPERLINK("https%3A%2F%2Fwww.webofscience.com%2Fwos%2Fwoscc%2Ffull-record%2FWOS:000307796500040","View Full Record in Web of Science")</f>
        <v>View Full Record in Web of Science</v>
      </c>
    </row>
    <row r="327" ht="12.75" customHeight="1">
      <c r="A327" s="8" t="s">
        <v>3329</v>
      </c>
      <c r="B327" s="8" t="s">
        <v>8606</v>
      </c>
      <c r="C327" s="8" t="s">
        <v>2135</v>
      </c>
      <c r="D327" s="8" t="s">
        <v>2135</v>
      </c>
      <c r="E327" s="8" t="s">
        <v>2135</v>
      </c>
      <c r="F327" s="8" t="s">
        <v>8607</v>
      </c>
      <c r="G327" s="8" t="s">
        <v>2135</v>
      </c>
      <c r="H327" s="8" t="s">
        <v>2135</v>
      </c>
      <c r="I327" s="8" t="s">
        <v>1229</v>
      </c>
      <c r="J327" s="8" t="s">
        <v>8608</v>
      </c>
      <c r="K327" s="8" t="s">
        <v>2135</v>
      </c>
      <c r="L327" s="8" t="s">
        <v>2135</v>
      </c>
      <c r="M327" s="8" t="s">
        <v>3332</v>
      </c>
      <c r="N327" s="8" t="s">
        <v>3333</v>
      </c>
      <c r="O327" s="8" t="s">
        <v>2135</v>
      </c>
      <c r="P327" s="8" t="s">
        <v>2135</v>
      </c>
      <c r="Q327" s="8" t="s">
        <v>2135</v>
      </c>
      <c r="R327" s="8" t="s">
        <v>2135</v>
      </c>
      <c r="S327" s="8" t="s">
        <v>2135</v>
      </c>
      <c r="T327" s="8" t="s">
        <v>2135</v>
      </c>
      <c r="U327" s="8" t="s">
        <v>8609</v>
      </c>
      <c r="V327" s="8" t="s">
        <v>8610</v>
      </c>
      <c r="W327" s="8" t="s">
        <v>8611</v>
      </c>
      <c r="X327" s="8" t="s">
        <v>8612</v>
      </c>
      <c r="Y327" s="8" t="s">
        <v>8613</v>
      </c>
      <c r="Z327" s="8" t="s">
        <v>8614</v>
      </c>
      <c r="AA327" s="8" t="s">
        <v>8615</v>
      </c>
      <c r="AB327" s="8" t="s">
        <v>8616</v>
      </c>
      <c r="AC327" s="8" t="s">
        <v>2135</v>
      </c>
      <c r="AD327" s="8" t="s">
        <v>2135</v>
      </c>
      <c r="AE327" s="8" t="s">
        <v>2135</v>
      </c>
      <c r="AF327" s="8" t="s">
        <v>2135</v>
      </c>
      <c r="AG327" s="8">
        <v>41.0</v>
      </c>
      <c r="AH327" s="8">
        <v>9.0</v>
      </c>
      <c r="AI327" s="8">
        <v>10.0</v>
      </c>
      <c r="AJ327" s="8">
        <v>2.0</v>
      </c>
      <c r="AK327" s="8">
        <v>20.0</v>
      </c>
      <c r="AL327" s="8" t="s">
        <v>8617</v>
      </c>
      <c r="AM327" s="8" t="s">
        <v>8618</v>
      </c>
      <c r="AN327" s="8" t="s">
        <v>8619</v>
      </c>
      <c r="AO327" s="8" t="s">
        <v>8620</v>
      </c>
      <c r="AP327" s="8" t="s">
        <v>2135</v>
      </c>
      <c r="AQ327" s="8" t="s">
        <v>2135</v>
      </c>
      <c r="AR327" s="8" t="s">
        <v>8621</v>
      </c>
      <c r="AS327" s="8" t="s">
        <v>8622</v>
      </c>
      <c r="AT327" s="8" t="s">
        <v>4820</v>
      </c>
      <c r="AU327" s="8">
        <v>2012.0</v>
      </c>
      <c r="AV327" s="8">
        <v>81.0</v>
      </c>
      <c r="AW327" s="8">
        <v>2.0</v>
      </c>
      <c r="AX327" s="8" t="s">
        <v>2135</v>
      </c>
      <c r="AY327" s="8" t="s">
        <v>2135</v>
      </c>
      <c r="AZ327" s="8" t="s">
        <v>2135</v>
      </c>
      <c r="BA327" s="8" t="s">
        <v>2135</v>
      </c>
      <c r="BB327" s="8">
        <v>81.0</v>
      </c>
      <c r="BC327" s="8">
        <v>87.0</v>
      </c>
      <c r="BD327" s="8" t="s">
        <v>2135</v>
      </c>
      <c r="BE327" s="8" t="s">
        <v>8623</v>
      </c>
      <c r="BF327" s="13" t="str">
        <f>HYPERLINK("http://dx.doi.org/10.21825/vdt.v81i2.18362","http://dx.doi.org/10.21825/vdt.v81i2.18362")</f>
        <v>http://dx.doi.org/10.21825/vdt.v81i2.18362</v>
      </c>
      <c r="BG327" s="8" t="s">
        <v>2135</v>
      </c>
      <c r="BH327" s="8" t="s">
        <v>2135</v>
      </c>
      <c r="BI327" s="8">
        <v>7.0</v>
      </c>
      <c r="BJ327" s="8" t="s">
        <v>6958</v>
      </c>
      <c r="BK327" s="8" t="s">
        <v>3352</v>
      </c>
      <c r="BL327" s="8" t="s">
        <v>6958</v>
      </c>
      <c r="BM327" s="8" t="s">
        <v>8624</v>
      </c>
      <c r="BN327" s="8" t="s">
        <v>2135</v>
      </c>
      <c r="BO327" s="8" t="s">
        <v>4332</v>
      </c>
      <c r="BP327" s="8" t="s">
        <v>2135</v>
      </c>
      <c r="BQ327" s="8" t="s">
        <v>2135</v>
      </c>
      <c r="BR327" s="8" t="s">
        <v>3355</v>
      </c>
      <c r="BS327" s="8" t="s">
        <v>8625</v>
      </c>
      <c r="BT327" s="8" t="s">
        <v>2177</v>
      </c>
      <c r="BU327" s="8" t="s">
        <v>2142</v>
      </c>
      <c r="BW327" s="8" t="s">
        <v>2180</v>
      </c>
      <c r="BX327" s="8" t="s">
        <v>2985</v>
      </c>
      <c r="BY327" s="8" t="s">
        <v>2992</v>
      </c>
      <c r="BZ327" s="8" t="str">
        <f>HYPERLINK("https%3A%2F%2Fwww.webofscience.com%2Fwos%2Fwoscc%2Ffull-record%2FWOS:000303691700003","View Full Record in Web of Science")</f>
        <v>View Full Record in Web of Science</v>
      </c>
    </row>
    <row r="328" ht="12.75" customHeight="1">
      <c r="A328" s="8" t="s">
        <v>3329</v>
      </c>
      <c r="B328" s="8" t="s">
        <v>8626</v>
      </c>
      <c r="C328" s="8" t="s">
        <v>2135</v>
      </c>
      <c r="D328" s="8" t="s">
        <v>2135</v>
      </c>
      <c r="E328" s="8" t="s">
        <v>2135</v>
      </c>
      <c r="F328" s="8" t="s">
        <v>8627</v>
      </c>
      <c r="G328" s="8" t="s">
        <v>2135</v>
      </c>
      <c r="H328" s="8" t="s">
        <v>2135</v>
      </c>
      <c r="I328" s="8" t="s">
        <v>1445</v>
      </c>
      <c r="J328" s="8" t="s">
        <v>3380</v>
      </c>
      <c r="K328" s="8" t="s">
        <v>2135</v>
      </c>
      <c r="L328" s="8" t="s">
        <v>2135</v>
      </c>
      <c r="M328" s="8" t="s">
        <v>3332</v>
      </c>
      <c r="N328" s="8" t="s">
        <v>3333</v>
      </c>
      <c r="O328" s="8" t="s">
        <v>2135</v>
      </c>
      <c r="P328" s="8" t="s">
        <v>2135</v>
      </c>
      <c r="Q328" s="8" t="s">
        <v>2135</v>
      </c>
      <c r="R328" s="8" t="s">
        <v>2135</v>
      </c>
      <c r="S328" s="8" t="s">
        <v>2135</v>
      </c>
      <c r="T328" s="8" t="s">
        <v>8628</v>
      </c>
      <c r="U328" s="8" t="s">
        <v>8629</v>
      </c>
      <c r="V328" s="8" t="s">
        <v>8630</v>
      </c>
      <c r="W328" s="8" t="s">
        <v>8631</v>
      </c>
      <c r="X328" s="8" t="s">
        <v>8632</v>
      </c>
      <c r="Y328" s="8" t="s">
        <v>7457</v>
      </c>
      <c r="Z328" s="8" t="s">
        <v>7434</v>
      </c>
      <c r="AA328" s="8" t="s">
        <v>8633</v>
      </c>
      <c r="AB328" s="8" t="s">
        <v>2135</v>
      </c>
      <c r="AC328" s="8" t="s">
        <v>2135</v>
      </c>
      <c r="AD328" s="8" t="s">
        <v>2135</v>
      </c>
      <c r="AE328" s="8" t="s">
        <v>2135</v>
      </c>
      <c r="AF328" s="8" t="s">
        <v>2135</v>
      </c>
      <c r="AG328" s="8">
        <v>38.0</v>
      </c>
      <c r="AH328" s="8">
        <v>16.0</v>
      </c>
      <c r="AI328" s="8">
        <v>19.0</v>
      </c>
      <c r="AJ328" s="8">
        <v>2.0</v>
      </c>
      <c r="AK328" s="8">
        <v>65.0</v>
      </c>
      <c r="AL328" s="8" t="s">
        <v>3921</v>
      </c>
      <c r="AM328" s="8" t="s">
        <v>3922</v>
      </c>
      <c r="AN328" s="8" t="s">
        <v>3923</v>
      </c>
      <c r="AO328" s="8" t="s">
        <v>3392</v>
      </c>
      <c r="AP328" s="8" t="s">
        <v>4022</v>
      </c>
      <c r="AQ328" s="8" t="s">
        <v>2135</v>
      </c>
      <c r="AR328" s="8" t="s">
        <v>3393</v>
      </c>
      <c r="AS328" s="8" t="s">
        <v>3394</v>
      </c>
      <c r="AT328" s="8" t="s">
        <v>7462</v>
      </c>
      <c r="AU328" s="8">
        <v>2011.0</v>
      </c>
      <c r="AV328" s="8">
        <v>92.0</v>
      </c>
      <c r="AW328" s="8">
        <v>4.0</v>
      </c>
      <c r="AX328" s="8" t="s">
        <v>2135</v>
      </c>
      <c r="AY328" s="8" t="s">
        <v>2135</v>
      </c>
      <c r="AZ328" s="8" t="s">
        <v>2135</v>
      </c>
      <c r="BA328" s="8" t="s">
        <v>2135</v>
      </c>
      <c r="BB328" s="8">
        <v>699.0</v>
      </c>
      <c r="BC328" s="8">
        <v>704.0</v>
      </c>
      <c r="BD328" s="8" t="s">
        <v>2135</v>
      </c>
      <c r="BE328" s="8" t="s">
        <v>8634</v>
      </c>
      <c r="BF328" s="13" t="str">
        <f>HYPERLINK("http://dx.doi.org/10.1644/11-MAMM-S-086.1","http://dx.doi.org/10.1644/11-MAMM-S-086.1")</f>
        <v>http://dx.doi.org/10.1644/11-MAMM-S-086.1</v>
      </c>
      <c r="BG328" s="8" t="s">
        <v>2135</v>
      </c>
      <c r="BH328" s="8" t="s">
        <v>2135</v>
      </c>
      <c r="BI328" s="8">
        <v>6.0</v>
      </c>
      <c r="BJ328" s="8" t="s">
        <v>3397</v>
      </c>
      <c r="BK328" s="8" t="s">
        <v>3352</v>
      </c>
      <c r="BL328" s="8" t="s">
        <v>3397</v>
      </c>
      <c r="BM328" s="8" t="s">
        <v>7464</v>
      </c>
      <c r="BN328" s="8" t="s">
        <v>2135</v>
      </c>
      <c r="BO328" s="8" t="s">
        <v>2135</v>
      </c>
      <c r="BP328" s="8" t="s">
        <v>2135</v>
      </c>
      <c r="BQ328" s="8" t="s">
        <v>2135</v>
      </c>
      <c r="BR328" s="8" t="s">
        <v>3355</v>
      </c>
      <c r="BS328" s="8" t="s">
        <v>8635</v>
      </c>
      <c r="BT328" s="8" t="s">
        <v>2600</v>
      </c>
      <c r="BU328" s="8" t="s">
        <v>2147</v>
      </c>
      <c r="BV328" s="8" t="s">
        <v>2217</v>
      </c>
      <c r="BW328" s="8" t="s">
        <v>2601</v>
      </c>
      <c r="BY328" s="8" t="s">
        <v>2992</v>
      </c>
      <c r="BZ328" s="8" t="str">
        <f>HYPERLINK("https%3A%2F%2Fwww.webofscience.com%2Fwos%2Fwoscc%2Ffull-record%2FWOS:000294314900001","View Full Record in Web of Science")</f>
        <v>View Full Record in Web of Science</v>
      </c>
    </row>
    <row r="329" ht="12.75" customHeight="1">
      <c r="A329" s="8" t="s">
        <v>3329</v>
      </c>
      <c r="B329" s="8" t="s">
        <v>8636</v>
      </c>
      <c r="C329" s="8" t="s">
        <v>2135</v>
      </c>
      <c r="D329" s="8" t="s">
        <v>2135</v>
      </c>
      <c r="E329" s="8" t="s">
        <v>2135</v>
      </c>
      <c r="F329" s="8" t="s">
        <v>8637</v>
      </c>
      <c r="G329" s="8" t="s">
        <v>2135</v>
      </c>
      <c r="H329" s="8" t="s">
        <v>2135</v>
      </c>
      <c r="I329" s="8" t="s">
        <v>1222</v>
      </c>
      <c r="J329" s="8" t="s">
        <v>3637</v>
      </c>
      <c r="K329" s="8" t="s">
        <v>2135</v>
      </c>
      <c r="L329" s="8" t="s">
        <v>2135</v>
      </c>
      <c r="M329" s="8" t="s">
        <v>3332</v>
      </c>
      <c r="N329" s="8" t="s">
        <v>3333</v>
      </c>
      <c r="O329" s="8" t="s">
        <v>2135</v>
      </c>
      <c r="P329" s="8" t="s">
        <v>2135</v>
      </c>
      <c r="Q329" s="8" t="s">
        <v>2135</v>
      </c>
      <c r="R329" s="8" t="s">
        <v>2135</v>
      </c>
      <c r="S329" s="8" t="s">
        <v>2135</v>
      </c>
      <c r="T329" s="8" t="s">
        <v>2135</v>
      </c>
      <c r="U329" s="8" t="s">
        <v>8638</v>
      </c>
      <c r="V329" s="8" t="s">
        <v>8639</v>
      </c>
      <c r="W329" s="8" t="s">
        <v>8640</v>
      </c>
      <c r="X329" s="8" t="s">
        <v>8641</v>
      </c>
      <c r="Y329" s="8" t="s">
        <v>8642</v>
      </c>
      <c r="Z329" s="8" t="s">
        <v>8643</v>
      </c>
      <c r="AA329" s="8" t="s">
        <v>8644</v>
      </c>
      <c r="AB329" s="8" t="s">
        <v>8645</v>
      </c>
      <c r="AC329" s="8" t="s">
        <v>8646</v>
      </c>
      <c r="AD329" s="8" t="s">
        <v>8647</v>
      </c>
      <c r="AE329" s="8" t="s">
        <v>8648</v>
      </c>
      <c r="AF329" s="8" t="s">
        <v>2135</v>
      </c>
      <c r="AG329" s="8">
        <v>45.0</v>
      </c>
      <c r="AH329" s="8">
        <v>41.0</v>
      </c>
      <c r="AI329" s="8">
        <v>43.0</v>
      </c>
      <c r="AJ329" s="8">
        <v>1.0</v>
      </c>
      <c r="AK329" s="8">
        <v>35.0</v>
      </c>
      <c r="AL329" s="8" t="s">
        <v>3648</v>
      </c>
      <c r="AM329" s="8" t="s">
        <v>3649</v>
      </c>
      <c r="AN329" s="8" t="s">
        <v>3650</v>
      </c>
      <c r="AO329" s="8" t="s">
        <v>3651</v>
      </c>
      <c r="AP329" s="8" t="s">
        <v>2135</v>
      </c>
      <c r="AQ329" s="8" t="s">
        <v>2135</v>
      </c>
      <c r="AR329" s="8" t="s">
        <v>3637</v>
      </c>
      <c r="AS329" s="8" t="s">
        <v>3652</v>
      </c>
      <c r="AT329" s="8" t="s">
        <v>8649</v>
      </c>
      <c r="AU329" s="8">
        <v>2011.0</v>
      </c>
      <c r="AV329" s="8">
        <v>6.0</v>
      </c>
      <c r="AW329" s="8">
        <v>7.0</v>
      </c>
      <c r="AX329" s="8" t="s">
        <v>2135</v>
      </c>
      <c r="AY329" s="8" t="s">
        <v>2135</v>
      </c>
      <c r="AZ329" s="8" t="s">
        <v>2135</v>
      </c>
      <c r="BA329" s="8" t="s">
        <v>2135</v>
      </c>
      <c r="BB329" s="8" t="s">
        <v>2135</v>
      </c>
      <c r="BC329" s="8" t="s">
        <v>2135</v>
      </c>
      <c r="BD329" s="8" t="s">
        <v>8650</v>
      </c>
      <c r="BE329" s="8" t="s">
        <v>8651</v>
      </c>
      <c r="BF329" s="13" t="str">
        <f>HYPERLINK("http://dx.doi.org/10.1371/journal.pone.0021693","http://dx.doi.org/10.1371/journal.pone.0021693")</f>
        <v>http://dx.doi.org/10.1371/journal.pone.0021693</v>
      </c>
      <c r="BG329" s="8" t="s">
        <v>2135</v>
      </c>
      <c r="BH329" s="8" t="s">
        <v>2135</v>
      </c>
      <c r="BI329" s="8">
        <v>7.0</v>
      </c>
      <c r="BJ329" s="8" t="s">
        <v>3656</v>
      </c>
      <c r="BK329" s="8" t="s">
        <v>3352</v>
      </c>
      <c r="BL329" s="8" t="s">
        <v>3657</v>
      </c>
      <c r="BM329" s="8" t="s">
        <v>8652</v>
      </c>
      <c r="BN329" s="8">
        <v>2.1789177E7</v>
      </c>
      <c r="BO329" s="8" t="s">
        <v>3659</v>
      </c>
      <c r="BP329" s="8" t="s">
        <v>2135</v>
      </c>
      <c r="BQ329" s="8" t="s">
        <v>2135</v>
      </c>
      <c r="BR329" s="8" t="s">
        <v>3355</v>
      </c>
      <c r="BS329" s="8" t="s">
        <v>8653</v>
      </c>
      <c r="BU329" s="8" t="s">
        <v>2147</v>
      </c>
      <c r="BV329" s="8" t="s">
        <v>2217</v>
      </c>
      <c r="BW329" s="8" t="s">
        <v>2155</v>
      </c>
      <c r="BX329" s="8" t="s">
        <v>2983</v>
      </c>
      <c r="BY329" s="8" t="s">
        <v>2992</v>
      </c>
      <c r="BZ329" s="8" t="str">
        <f>HYPERLINK("https%3A%2F%2Fwww.webofscience.com%2Fwos%2Fwoscc%2Ffull-record%2FWOS:000292812400013","View Full Record in Web of Science")</f>
        <v>View Full Record in Web of Science</v>
      </c>
    </row>
    <row r="330" ht="12.75" customHeight="1">
      <c r="A330" s="8" t="s">
        <v>3329</v>
      </c>
      <c r="B330" s="8" t="s">
        <v>8654</v>
      </c>
      <c r="C330" s="8" t="s">
        <v>2135</v>
      </c>
      <c r="D330" s="8" t="s">
        <v>2135</v>
      </c>
      <c r="E330" s="8" t="s">
        <v>2135</v>
      </c>
      <c r="F330" s="8" t="s">
        <v>8655</v>
      </c>
      <c r="G330" s="8" t="s">
        <v>2135</v>
      </c>
      <c r="H330" s="8" t="s">
        <v>2135</v>
      </c>
      <c r="I330" s="8" t="s">
        <v>1224</v>
      </c>
      <c r="J330" s="8" t="s">
        <v>7602</v>
      </c>
      <c r="K330" s="8" t="s">
        <v>2135</v>
      </c>
      <c r="L330" s="8" t="s">
        <v>2135</v>
      </c>
      <c r="M330" s="8" t="s">
        <v>3332</v>
      </c>
      <c r="N330" s="8" t="s">
        <v>3333</v>
      </c>
      <c r="O330" s="8" t="s">
        <v>2135</v>
      </c>
      <c r="P330" s="8" t="s">
        <v>2135</v>
      </c>
      <c r="Q330" s="8" t="s">
        <v>2135</v>
      </c>
      <c r="R330" s="8" t="s">
        <v>2135</v>
      </c>
      <c r="S330" s="8" t="s">
        <v>2135</v>
      </c>
      <c r="T330" s="8" t="s">
        <v>8656</v>
      </c>
      <c r="U330" s="8" t="s">
        <v>8657</v>
      </c>
      <c r="V330" s="8" t="s">
        <v>8658</v>
      </c>
      <c r="W330" s="8" t="s">
        <v>8659</v>
      </c>
      <c r="X330" s="8" t="s">
        <v>8660</v>
      </c>
      <c r="Y330" s="8" t="s">
        <v>8661</v>
      </c>
      <c r="Z330" s="8" t="s">
        <v>8662</v>
      </c>
      <c r="AA330" s="8" t="s">
        <v>8663</v>
      </c>
      <c r="AB330" s="8" t="s">
        <v>8664</v>
      </c>
      <c r="AC330" s="8" t="s">
        <v>8665</v>
      </c>
      <c r="AD330" s="8" t="s">
        <v>8666</v>
      </c>
      <c r="AE330" s="8" t="s">
        <v>8667</v>
      </c>
      <c r="AF330" s="8" t="s">
        <v>2135</v>
      </c>
      <c r="AG330" s="8">
        <v>44.0</v>
      </c>
      <c r="AH330" s="8">
        <v>35.0</v>
      </c>
      <c r="AI330" s="8">
        <v>38.0</v>
      </c>
      <c r="AJ330" s="8">
        <v>1.0</v>
      </c>
      <c r="AK330" s="8">
        <v>70.0</v>
      </c>
      <c r="AL330" s="8" t="s">
        <v>7615</v>
      </c>
      <c r="AM330" s="8" t="s">
        <v>3390</v>
      </c>
      <c r="AN330" s="8" t="s">
        <v>7616</v>
      </c>
      <c r="AO330" s="8" t="s">
        <v>7617</v>
      </c>
      <c r="AP330" s="8" t="s">
        <v>7618</v>
      </c>
      <c r="AQ330" s="8" t="s">
        <v>2135</v>
      </c>
      <c r="AR330" s="8" t="s">
        <v>7619</v>
      </c>
      <c r="AS330" s="8" t="s">
        <v>7620</v>
      </c>
      <c r="AT330" s="8" t="s">
        <v>3512</v>
      </c>
      <c r="AU330" s="8">
        <v>2011.0</v>
      </c>
      <c r="AV330" s="8">
        <v>47.0</v>
      </c>
      <c r="AW330" s="8">
        <v>3.0</v>
      </c>
      <c r="AX330" s="8" t="s">
        <v>2135</v>
      </c>
      <c r="AY330" s="8" t="s">
        <v>2135</v>
      </c>
      <c r="AZ330" s="8" t="s">
        <v>2135</v>
      </c>
      <c r="BA330" s="8" t="s">
        <v>2135</v>
      </c>
      <c r="BB330" s="8">
        <v>579.0</v>
      </c>
      <c r="BC330" s="8">
        <v>592.0</v>
      </c>
      <c r="BD330" s="8" t="s">
        <v>2135</v>
      </c>
      <c r="BE330" s="8" t="s">
        <v>8668</v>
      </c>
      <c r="BF330" s="13" t="str">
        <f>HYPERLINK("http://dx.doi.org/10.7589/0090-3558-47.3.579","http://dx.doi.org/10.7589/0090-3558-47.3.579")</f>
        <v>http://dx.doi.org/10.7589/0090-3558-47.3.579</v>
      </c>
      <c r="BG330" s="8" t="s">
        <v>2135</v>
      </c>
      <c r="BH330" s="8" t="s">
        <v>2135</v>
      </c>
      <c r="BI330" s="8">
        <v>14.0</v>
      </c>
      <c r="BJ330" s="8" t="s">
        <v>6958</v>
      </c>
      <c r="BK330" s="8" t="s">
        <v>3352</v>
      </c>
      <c r="BL330" s="8" t="s">
        <v>6958</v>
      </c>
      <c r="BM330" s="8" t="s">
        <v>8669</v>
      </c>
      <c r="BN330" s="8">
        <v>2.1719822E7</v>
      </c>
      <c r="BO330" s="8" t="s">
        <v>2135</v>
      </c>
      <c r="BP330" s="8" t="s">
        <v>2135</v>
      </c>
      <c r="BQ330" s="8" t="s">
        <v>2135</v>
      </c>
      <c r="BR330" s="8" t="s">
        <v>3355</v>
      </c>
      <c r="BS330" s="8" t="s">
        <v>8670</v>
      </c>
      <c r="BU330" s="8" t="s">
        <v>2147</v>
      </c>
      <c r="BV330" s="8" t="s">
        <v>2217</v>
      </c>
      <c r="BW330" s="8" t="s">
        <v>2237</v>
      </c>
      <c r="BX330" s="8" t="s">
        <v>2985</v>
      </c>
      <c r="BY330" s="8" t="s">
        <v>2992</v>
      </c>
      <c r="BZ330" s="8" t="str">
        <f>HYPERLINK("https%3A%2F%2Fwww.webofscience.com%2Fwos%2Fwoscc%2Ffull-record%2FWOS:000292798500010","View Full Record in Web of Science")</f>
        <v>View Full Record in Web of Science</v>
      </c>
    </row>
    <row r="331" ht="12.75" customHeight="1">
      <c r="A331" s="8" t="s">
        <v>3329</v>
      </c>
      <c r="B331" s="8" t="s">
        <v>8671</v>
      </c>
      <c r="C331" s="8" t="s">
        <v>2135</v>
      </c>
      <c r="D331" s="8" t="s">
        <v>2135</v>
      </c>
      <c r="E331" s="8" t="s">
        <v>2135</v>
      </c>
      <c r="F331" s="8" t="s">
        <v>8672</v>
      </c>
      <c r="G331" s="8" t="s">
        <v>2135</v>
      </c>
      <c r="H331" s="8" t="s">
        <v>2135</v>
      </c>
      <c r="I331" s="8" t="s">
        <v>1097</v>
      </c>
      <c r="J331" s="8" t="s">
        <v>6682</v>
      </c>
      <c r="K331" s="8" t="s">
        <v>2135</v>
      </c>
      <c r="L331" s="8" t="s">
        <v>2135</v>
      </c>
      <c r="M331" s="8" t="s">
        <v>3332</v>
      </c>
      <c r="N331" s="8" t="s">
        <v>3333</v>
      </c>
      <c r="O331" s="8" t="s">
        <v>2135</v>
      </c>
      <c r="P331" s="8" t="s">
        <v>2135</v>
      </c>
      <c r="Q331" s="8" t="s">
        <v>2135</v>
      </c>
      <c r="R331" s="8" t="s">
        <v>2135</v>
      </c>
      <c r="S331" s="8" t="s">
        <v>2135</v>
      </c>
      <c r="T331" s="8" t="s">
        <v>8673</v>
      </c>
      <c r="U331" s="8" t="s">
        <v>8674</v>
      </c>
      <c r="V331" s="8" t="s">
        <v>8675</v>
      </c>
      <c r="W331" s="8" t="s">
        <v>8676</v>
      </c>
      <c r="X331" s="8" t="s">
        <v>8677</v>
      </c>
      <c r="Y331" s="8" t="s">
        <v>8678</v>
      </c>
      <c r="Z331" s="8" t="s">
        <v>8679</v>
      </c>
      <c r="AA331" s="8" t="s">
        <v>8680</v>
      </c>
      <c r="AB331" s="8" t="s">
        <v>2135</v>
      </c>
      <c r="AC331" s="8" t="s">
        <v>8681</v>
      </c>
      <c r="AD331" s="8" t="s">
        <v>8682</v>
      </c>
      <c r="AE331" s="8" t="s">
        <v>8683</v>
      </c>
      <c r="AF331" s="8" t="s">
        <v>2135</v>
      </c>
      <c r="AG331" s="8">
        <v>65.0</v>
      </c>
      <c r="AH331" s="8">
        <v>15.0</v>
      </c>
      <c r="AI331" s="8">
        <v>17.0</v>
      </c>
      <c r="AJ331" s="8">
        <v>4.0</v>
      </c>
      <c r="AK331" s="8">
        <v>76.0</v>
      </c>
      <c r="AL331" s="8" t="s">
        <v>8684</v>
      </c>
      <c r="AM331" s="8" t="s">
        <v>6689</v>
      </c>
      <c r="AN331" s="8" t="s">
        <v>8685</v>
      </c>
      <c r="AO331" s="8" t="s">
        <v>6691</v>
      </c>
      <c r="AP331" s="8" t="s">
        <v>8686</v>
      </c>
      <c r="AQ331" s="8" t="s">
        <v>2135</v>
      </c>
      <c r="AR331" s="8" t="s">
        <v>6692</v>
      </c>
      <c r="AS331" s="8" t="s">
        <v>6693</v>
      </c>
      <c r="AT331" s="8" t="s">
        <v>3512</v>
      </c>
      <c r="AU331" s="8">
        <v>2011.0</v>
      </c>
      <c r="AV331" s="8">
        <v>31.0</v>
      </c>
      <c r="AW331" s="8">
        <v>3.0</v>
      </c>
      <c r="AX331" s="8" t="s">
        <v>2135</v>
      </c>
      <c r="AY331" s="8" t="s">
        <v>2135</v>
      </c>
      <c r="AZ331" s="8" t="s">
        <v>2135</v>
      </c>
      <c r="BA331" s="8" t="s">
        <v>2135</v>
      </c>
      <c r="BB331" s="8">
        <v>218.0</v>
      </c>
      <c r="BC331" s="8">
        <v>225.0</v>
      </c>
      <c r="BD331" s="8" t="s">
        <v>2135</v>
      </c>
      <c r="BE331" s="8" t="s">
        <v>8687</v>
      </c>
      <c r="BF331" s="13" t="str">
        <f>HYPERLINK("http://dx.doi.org/10.3375/043.031.0304","http://dx.doi.org/10.3375/043.031.0304")</f>
        <v>http://dx.doi.org/10.3375/043.031.0304</v>
      </c>
      <c r="BG331" s="8" t="s">
        <v>2135</v>
      </c>
      <c r="BH331" s="8" t="s">
        <v>2135</v>
      </c>
      <c r="BI331" s="8">
        <v>8.0</v>
      </c>
      <c r="BJ331" s="8" t="s">
        <v>6694</v>
      </c>
      <c r="BK331" s="8" t="s">
        <v>3352</v>
      </c>
      <c r="BL331" s="8" t="s">
        <v>6695</v>
      </c>
      <c r="BM331" s="8" t="s">
        <v>8688</v>
      </c>
      <c r="BN331" s="8" t="s">
        <v>2135</v>
      </c>
      <c r="BO331" s="8" t="s">
        <v>2135</v>
      </c>
      <c r="BP331" s="8" t="s">
        <v>2135</v>
      </c>
      <c r="BQ331" s="8" t="s">
        <v>2135</v>
      </c>
      <c r="BR331" s="8" t="s">
        <v>3355</v>
      </c>
      <c r="BS331" s="8" t="s">
        <v>8689</v>
      </c>
      <c r="BT331" s="8" t="s">
        <v>2600</v>
      </c>
      <c r="BU331" s="8" t="s">
        <v>2147</v>
      </c>
      <c r="BV331" s="8" t="s">
        <v>2217</v>
      </c>
      <c r="BW331" s="8" t="s">
        <v>2601</v>
      </c>
      <c r="BX331" s="8" t="s">
        <v>2983</v>
      </c>
      <c r="BY331" s="8" t="s">
        <v>2992</v>
      </c>
      <c r="BZ331" s="8" t="str">
        <f>HYPERLINK("https%3A%2F%2Fwww.webofscience.com%2Fwos%2Fwoscc%2Ffull-record%2FWOS:000293309100002","View Full Record in Web of Science")</f>
        <v>View Full Record in Web of Science</v>
      </c>
    </row>
    <row r="332" ht="12.75" customHeight="1">
      <c r="A332" s="8" t="s">
        <v>3329</v>
      </c>
      <c r="B332" s="8" t="s">
        <v>8690</v>
      </c>
      <c r="C332" s="8" t="s">
        <v>2135</v>
      </c>
      <c r="D332" s="8" t="s">
        <v>2135</v>
      </c>
      <c r="E332" s="8" t="s">
        <v>2135</v>
      </c>
      <c r="F332" s="8" t="s">
        <v>8691</v>
      </c>
      <c r="G332" s="8" t="s">
        <v>2135</v>
      </c>
      <c r="H332" s="8" t="s">
        <v>2135</v>
      </c>
      <c r="I332" s="8" t="s">
        <v>1227</v>
      </c>
      <c r="J332" s="8" t="s">
        <v>4546</v>
      </c>
      <c r="K332" s="8" t="s">
        <v>2135</v>
      </c>
      <c r="L332" s="8" t="s">
        <v>2135</v>
      </c>
      <c r="M332" s="8" t="s">
        <v>3332</v>
      </c>
      <c r="N332" s="8" t="s">
        <v>3333</v>
      </c>
      <c r="O332" s="8" t="s">
        <v>2135</v>
      </c>
      <c r="P332" s="8" t="s">
        <v>2135</v>
      </c>
      <c r="Q332" s="8" t="s">
        <v>2135</v>
      </c>
      <c r="R332" s="8" t="s">
        <v>2135</v>
      </c>
      <c r="S332" s="8" t="s">
        <v>2135</v>
      </c>
      <c r="T332" s="8" t="s">
        <v>8692</v>
      </c>
      <c r="U332" s="8" t="s">
        <v>8693</v>
      </c>
      <c r="V332" s="8" t="s">
        <v>8694</v>
      </c>
      <c r="W332" s="8" t="s">
        <v>8695</v>
      </c>
      <c r="X332" s="8" t="s">
        <v>8696</v>
      </c>
      <c r="Y332" s="8" t="s">
        <v>8697</v>
      </c>
      <c r="Z332" s="8" t="s">
        <v>8698</v>
      </c>
      <c r="AA332" s="8" t="s">
        <v>8699</v>
      </c>
      <c r="AB332" s="8" t="s">
        <v>8700</v>
      </c>
      <c r="AC332" s="8" t="s">
        <v>8701</v>
      </c>
      <c r="AD332" s="8" t="s">
        <v>8702</v>
      </c>
      <c r="AE332" s="8" t="s">
        <v>8703</v>
      </c>
      <c r="AF332" s="8" t="s">
        <v>2135</v>
      </c>
      <c r="AG332" s="8">
        <v>54.0</v>
      </c>
      <c r="AH332" s="8">
        <v>17.0</v>
      </c>
      <c r="AI332" s="8">
        <v>23.0</v>
      </c>
      <c r="AJ332" s="8">
        <v>0.0</v>
      </c>
      <c r="AK332" s="8">
        <v>77.0</v>
      </c>
      <c r="AL332" s="8" t="s">
        <v>3342</v>
      </c>
      <c r="AM332" s="8" t="s">
        <v>3343</v>
      </c>
      <c r="AN332" s="8" t="s">
        <v>3344</v>
      </c>
      <c r="AO332" s="8" t="s">
        <v>4554</v>
      </c>
      <c r="AP332" s="8" t="s">
        <v>4555</v>
      </c>
      <c r="AQ332" s="8" t="s">
        <v>2135</v>
      </c>
      <c r="AR332" s="8" t="s">
        <v>4556</v>
      </c>
      <c r="AS332" s="8" t="s">
        <v>4557</v>
      </c>
      <c r="AT332" s="8" t="s">
        <v>3556</v>
      </c>
      <c r="AU332" s="8">
        <v>2011.0</v>
      </c>
      <c r="AV332" s="8">
        <v>27.0</v>
      </c>
      <c r="AW332" s="8">
        <v>2.0</v>
      </c>
      <c r="AX332" s="8" t="s">
        <v>2135</v>
      </c>
      <c r="AY332" s="8" t="s">
        <v>2135</v>
      </c>
      <c r="AZ332" s="8" t="s">
        <v>2135</v>
      </c>
      <c r="BA332" s="8" t="s">
        <v>2135</v>
      </c>
      <c r="BB332" s="8" t="s">
        <v>8704</v>
      </c>
      <c r="BC332" s="8" t="s">
        <v>8705</v>
      </c>
      <c r="BD332" s="8" t="s">
        <v>2135</v>
      </c>
      <c r="BE332" s="8" t="s">
        <v>8706</v>
      </c>
      <c r="BF332" s="13" t="str">
        <f>HYPERLINK("http://dx.doi.org/10.1111/j.1748-7692.2010.00414.x","http://dx.doi.org/10.1111/j.1748-7692.2010.00414.x")</f>
        <v>http://dx.doi.org/10.1111/j.1748-7692.2010.00414.x</v>
      </c>
      <c r="BG332" s="8" t="s">
        <v>2135</v>
      </c>
      <c r="BH332" s="8" t="s">
        <v>2135</v>
      </c>
      <c r="BI332" s="8">
        <v>12.0</v>
      </c>
      <c r="BJ332" s="8" t="s">
        <v>4559</v>
      </c>
      <c r="BK332" s="8" t="s">
        <v>3352</v>
      </c>
      <c r="BL332" s="8" t="s">
        <v>4559</v>
      </c>
      <c r="BM332" s="8" t="s">
        <v>8707</v>
      </c>
      <c r="BN332" s="8" t="s">
        <v>2135</v>
      </c>
      <c r="BO332" s="8" t="s">
        <v>2135</v>
      </c>
      <c r="BP332" s="8" t="s">
        <v>2135</v>
      </c>
      <c r="BQ332" s="8" t="s">
        <v>2135</v>
      </c>
      <c r="BR332" s="8" t="s">
        <v>3355</v>
      </c>
      <c r="BS332" s="8" t="s">
        <v>8708</v>
      </c>
      <c r="BU332" s="8" t="s">
        <v>2147</v>
      </c>
      <c r="BW332" s="8" t="s">
        <v>2275</v>
      </c>
      <c r="BX332" s="8" t="s">
        <v>3010</v>
      </c>
      <c r="BY332" s="8" t="s">
        <v>2992</v>
      </c>
      <c r="BZ332" s="8" t="str">
        <f>HYPERLINK("https%3A%2F%2Fwww.webofscience.com%2Fwos%2Fwoscc%2Ffull-record%2FWOS:000289465900002","View Full Record in Web of Science")</f>
        <v>View Full Record in Web of Science</v>
      </c>
    </row>
    <row r="333" ht="12.75" customHeight="1">
      <c r="A333" s="8" t="s">
        <v>3329</v>
      </c>
      <c r="B333" s="8" t="s">
        <v>8709</v>
      </c>
      <c r="C333" s="8" t="s">
        <v>2135</v>
      </c>
      <c r="D333" s="8" t="s">
        <v>2135</v>
      </c>
      <c r="E333" s="8" t="s">
        <v>2135</v>
      </c>
      <c r="F333" s="8" t="s">
        <v>8710</v>
      </c>
      <c r="G333" s="8" t="s">
        <v>2135</v>
      </c>
      <c r="H333" s="8" t="s">
        <v>2135</v>
      </c>
      <c r="I333" s="8" t="s">
        <v>1218</v>
      </c>
      <c r="J333" s="8" t="s">
        <v>4422</v>
      </c>
      <c r="K333" s="8" t="s">
        <v>2135</v>
      </c>
      <c r="L333" s="8" t="s">
        <v>2135</v>
      </c>
      <c r="M333" s="8" t="s">
        <v>3332</v>
      </c>
      <c r="N333" s="8" t="s">
        <v>3333</v>
      </c>
      <c r="O333" s="8" t="s">
        <v>2135</v>
      </c>
      <c r="P333" s="8" t="s">
        <v>2135</v>
      </c>
      <c r="Q333" s="8" t="s">
        <v>2135</v>
      </c>
      <c r="R333" s="8" t="s">
        <v>2135</v>
      </c>
      <c r="S333" s="8" t="s">
        <v>2135</v>
      </c>
      <c r="T333" s="8" t="s">
        <v>8711</v>
      </c>
      <c r="U333" s="8" t="s">
        <v>8712</v>
      </c>
      <c r="V333" s="8" t="s">
        <v>8713</v>
      </c>
      <c r="W333" s="8" t="s">
        <v>8714</v>
      </c>
      <c r="X333" s="8" t="s">
        <v>8715</v>
      </c>
      <c r="Y333" s="8" t="s">
        <v>8716</v>
      </c>
      <c r="Z333" s="8" t="s">
        <v>8717</v>
      </c>
      <c r="AA333" s="8" t="s">
        <v>8718</v>
      </c>
      <c r="AB333" s="8" t="s">
        <v>8719</v>
      </c>
      <c r="AC333" s="8" t="s">
        <v>8720</v>
      </c>
      <c r="AD333" s="8" t="s">
        <v>8721</v>
      </c>
      <c r="AE333" s="8" t="s">
        <v>8722</v>
      </c>
      <c r="AF333" s="8" t="s">
        <v>2135</v>
      </c>
      <c r="AG333" s="8">
        <v>68.0</v>
      </c>
      <c r="AH333" s="8">
        <v>50.0</v>
      </c>
      <c r="AI333" s="8">
        <v>56.0</v>
      </c>
      <c r="AJ333" s="8">
        <v>0.0</v>
      </c>
      <c r="AK333" s="8">
        <v>62.0</v>
      </c>
      <c r="AL333" s="8" t="s">
        <v>4033</v>
      </c>
      <c r="AM333" s="8" t="s">
        <v>3343</v>
      </c>
      <c r="AN333" s="8" t="s">
        <v>3344</v>
      </c>
      <c r="AO333" s="8" t="s">
        <v>4429</v>
      </c>
      <c r="AP333" s="8" t="s">
        <v>6676</v>
      </c>
      <c r="AQ333" s="8" t="s">
        <v>2135</v>
      </c>
      <c r="AR333" s="8" t="s">
        <v>4430</v>
      </c>
      <c r="AS333" s="8" t="s">
        <v>4431</v>
      </c>
      <c r="AT333" s="8" t="s">
        <v>3721</v>
      </c>
      <c r="AU333" s="8">
        <v>2011.0</v>
      </c>
      <c r="AV333" s="8">
        <v>20.0</v>
      </c>
      <c r="AW333" s="8">
        <v>6.0</v>
      </c>
      <c r="AX333" s="8" t="s">
        <v>2135</v>
      </c>
      <c r="AY333" s="8" t="s">
        <v>2135</v>
      </c>
      <c r="AZ333" s="8" t="s">
        <v>2135</v>
      </c>
      <c r="BA333" s="8" t="s">
        <v>2135</v>
      </c>
      <c r="BB333" s="8">
        <v>1176.0</v>
      </c>
      <c r="BC333" s="8">
        <v>1190.0</v>
      </c>
      <c r="BD333" s="8" t="s">
        <v>2135</v>
      </c>
      <c r="BE333" s="8" t="s">
        <v>8723</v>
      </c>
      <c r="BF333" s="13" t="str">
        <f>HYPERLINK("http://dx.doi.org/10.1111/j.1365-294X.2010.04988.x","http://dx.doi.org/10.1111/j.1365-294X.2010.04988.x")</f>
        <v>http://dx.doi.org/10.1111/j.1365-294X.2010.04988.x</v>
      </c>
      <c r="BG333" s="8" t="s">
        <v>2135</v>
      </c>
      <c r="BH333" s="8" t="s">
        <v>2135</v>
      </c>
      <c r="BI333" s="8">
        <v>15.0</v>
      </c>
      <c r="BJ333" s="8" t="s">
        <v>4433</v>
      </c>
      <c r="BK333" s="8" t="s">
        <v>3352</v>
      </c>
      <c r="BL333" s="8" t="s">
        <v>4434</v>
      </c>
      <c r="BM333" s="8" t="s">
        <v>8724</v>
      </c>
      <c r="BN333" s="8">
        <v>2.1244536E7</v>
      </c>
      <c r="BO333" s="8" t="s">
        <v>3425</v>
      </c>
      <c r="BP333" s="8" t="s">
        <v>2135</v>
      </c>
      <c r="BQ333" s="8" t="s">
        <v>2135</v>
      </c>
      <c r="BR333" s="8" t="s">
        <v>3355</v>
      </c>
      <c r="BS333" s="8" t="s">
        <v>8725</v>
      </c>
      <c r="BU333" s="8" t="s">
        <v>2142</v>
      </c>
      <c r="BW333" s="8" t="s">
        <v>2168</v>
      </c>
      <c r="BX333" s="8" t="s">
        <v>3118</v>
      </c>
      <c r="BY333" s="8" t="s">
        <v>2992</v>
      </c>
      <c r="BZ333" s="8" t="str">
        <f>HYPERLINK("https%3A%2F%2Fwww.webofscience.com%2Fwos%2Fwoscc%2Ffull-record%2FWOS:000288074600011","View Full Record in Web of Science")</f>
        <v>View Full Record in Web of Science</v>
      </c>
    </row>
    <row r="334" ht="12.75" customHeight="1">
      <c r="A334" s="8" t="s">
        <v>3329</v>
      </c>
      <c r="B334" s="8" t="s">
        <v>8726</v>
      </c>
      <c r="C334" s="8" t="s">
        <v>2135</v>
      </c>
      <c r="D334" s="8" t="s">
        <v>2135</v>
      </c>
      <c r="E334" s="8" t="s">
        <v>2135</v>
      </c>
      <c r="F334" s="8" t="s">
        <v>8727</v>
      </c>
      <c r="G334" s="8" t="s">
        <v>2135</v>
      </c>
      <c r="H334" s="8" t="s">
        <v>2135</v>
      </c>
      <c r="I334" s="8" t="s">
        <v>1220</v>
      </c>
      <c r="J334" s="8" t="s">
        <v>8728</v>
      </c>
      <c r="K334" s="8" t="s">
        <v>2135</v>
      </c>
      <c r="L334" s="8" t="s">
        <v>2135</v>
      </c>
      <c r="M334" s="8" t="s">
        <v>3332</v>
      </c>
      <c r="N334" s="8" t="s">
        <v>3333</v>
      </c>
      <c r="O334" s="8" t="s">
        <v>2135</v>
      </c>
      <c r="P334" s="8" t="s">
        <v>2135</v>
      </c>
      <c r="Q334" s="8" t="s">
        <v>2135</v>
      </c>
      <c r="R334" s="8" t="s">
        <v>2135</v>
      </c>
      <c r="S334" s="8" t="s">
        <v>2135</v>
      </c>
      <c r="T334" s="8" t="s">
        <v>8729</v>
      </c>
      <c r="U334" s="8" t="s">
        <v>8730</v>
      </c>
      <c r="V334" s="8" t="s">
        <v>8731</v>
      </c>
      <c r="W334" s="8" t="s">
        <v>8732</v>
      </c>
      <c r="X334" s="8" t="s">
        <v>8733</v>
      </c>
      <c r="Y334" s="8" t="s">
        <v>8734</v>
      </c>
      <c r="Z334" s="8" t="s">
        <v>8735</v>
      </c>
      <c r="AA334" s="8" t="s">
        <v>2135</v>
      </c>
      <c r="AB334" s="8" t="s">
        <v>8736</v>
      </c>
      <c r="AC334" s="8" t="s">
        <v>2135</v>
      </c>
      <c r="AD334" s="8" t="s">
        <v>2135</v>
      </c>
      <c r="AE334" s="8" t="s">
        <v>2135</v>
      </c>
      <c r="AF334" s="8" t="s">
        <v>2135</v>
      </c>
      <c r="AG334" s="8">
        <v>150.0</v>
      </c>
      <c r="AH334" s="8">
        <v>189.0</v>
      </c>
      <c r="AI334" s="8">
        <v>207.0</v>
      </c>
      <c r="AJ334" s="8">
        <v>2.0</v>
      </c>
      <c r="AK334" s="8">
        <v>155.0</v>
      </c>
      <c r="AL334" s="8" t="s">
        <v>8728</v>
      </c>
      <c r="AM334" s="8" t="s">
        <v>8737</v>
      </c>
      <c r="AN334" s="8" t="s">
        <v>8738</v>
      </c>
      <c r="AO334" s="8" t="s">
        <v>8739</v>
      </c>
      <c r="AP334" s="8" t="s">
        <v>2135</v>
      </c>
      <c r="AQ334" s="8" t="s">
        <v>2135</v>
      </c>
      <c r="AR334" s="8" t="s">
        <v>8740</v>
      </c>
      <c r="AS334" s="8" t="s">
        <v>8741</v>
      </c>
      <c r="AT334" s="8" t="s">
        <v>2135</v>
      </c>
      <c r="AU334" s="8">
        <v>2011.0</v>
      </c>
      <c r="AV334" s="8">
        <v>57.0</v>
      </c>
      <c r="AW334" s="8">
        <v>5.0</v>
      </c>
      <c r="AX334" s="8" t="s">
        <v>2135</v>
      </c>
      <c r="AY334" s="8" t="s">
        <v>2135</v>
      </c>
      <c r="AZ334" s="8" t="s">
        <v>2135</v>
      </c>
      <c r="BA334" s="8" t="s">
        <v>2135</v>
      </c>
      <c r="BB334" s="8">
        <v>584.0</v>
      </c>
      <c r="BC334" s="8">
        <v>598.0</v>
      </c>
      <c r="BD334" s="8" t="s">
        <v>2135</v>
      </c>
      <c r="BE334" s="8" t="s">
        <v>8742</v>
      </c>
      <c r="BF334" s="13" t="str">
        <f>HYPERLINK("http://dx.doi.org/10.1093/czoolo/57.5.584","http://dx.doi.org/10.1093/czoolo/57.5.584")</f>
        <v>http://dx.doi.org/10.1093/czoolo/57.5.584</v>
      </c>
      <c r="BG334" s="8" t="s">
        <v>2135</v>
      </c>
      <c r="BH334" s="8" t="s">
        <v>2135</v>
      </c>
      <c r="BI334" s="8">
        <v>15.0</v>
      </c>
      <c r="BJ334" s="8" t="s">
        <v>3397</v>
      </c>
      <c r="BK334" s="8" t="s">
        <v>3352</v>
      </c>
      <c r="BL334" s="8" t="s">
        <v>3397</v>
      </c>
      <c r="BM334" s="8" t="s">
        <v>8743</v>
      </c>
      <c r="BN334" s="8">
        <v>3.2288758E7</v>
      </c>
      <c r="BO334" s="8" t="s">
        <v>5131</v>
      </c>
      <c r="BP334" s="8" t="s">
        <v>2135</v>
      </c>
      <c r="BQ334" s="8" t="s">
        <v>2135</v>
      </c>
      <c r="BR334" s="8" t="s">
        <v>3355</v>
      </c>
      <c r="BS334" s="8" t="s">
        <v>8744</v>
      </c>
      <c r="BU334" s="8" t="s">
        <v>2142</v>
      </c>
      <c r="BW334" s="8" t="s">
        <v>2908</v>
      </c>
      <c r="BX334" s="8" t="s">
        <v>3010</v>
      </c>
      <c r="BY334" s="8" t="s">
        <v>2992</v>
      </c>
      <c r="BZ334" s="8" t="str">
        <f>HYPERLINK("https%3A%2F%2Fwww.webofscience.com%2Fwos%2Fwoscc%2Ffull-record%2FWOS:000293343700004","View Full Record in Web of Science")</f>
        <v>View Full Record in Web of Science</v>
      </c>
    </row>
    <row r="335" ht="12.75" customHeight="1">
      <c r="A335" s="8" t="s">
        <v>3329</v>
      </c>
      <c r="B335" s="8" t="s">
        <v>8745</v>
      </c>
      <c r="C335" s="8" t="s">
        <v>2135</v>
      </c>
      <c r="D335" s="8" t="s">
        <v>2135</v>
      </c>
      <c r="E335" s="8" t="s">
        <v>2135</v>
      </c>
      <c r="F335" s="8" t="s">
        <v>8746</v>
      </c>
      <c r="G335" s="8" t="s">
        <v>2135</v>
      </c>
      <c r="H335" s="8" t="s">
        <v>2135</v>
      </c>
      <c r="I335" s="8" t="s">
        <v>1198</v>
      </c>
      <c r="J335" s="8" t="s">
        <v>8465</v>
      </c>
      <c r="K335" s="8" t="s">
        <v>2135</v>
      </c>
      <c r="L335" s="8" t="s">
        <v>2135</v>
      </c>
      <c r="M335" s="8" t="s">
        <v>3332</v>
      </c>
      <c r="N335" s="8" t="s">
        <v>3333</v>
      </c>
      <c r="O335" s="8" t="s">
        <v>2135</v>
      </c>
      <c r="P335" s="8" t="s">
        <v>2135</v>
      </c>
      <c r="Q335" s="8" t="s">
        <v>2135</v>
      </c>
      <c r="R335" s="8" t="s">
        <v>2135</v>
      </c>
      <c r="S335" s="8" t="s">
        <v>2135</v>
      </c>
      <c r="T335" s="8" t="s">
        <v>8747</v>
      </c>
      <c r="U335" s="8" t="s">
        <v>8748</v>
      </c>
      <c r="V335" s="8" t="s">
        <v>8749</v>
      </c>
      <c r="W335" s="8" t="s">
        <v>8750</v>
      </c>
      <c r="X335" s="8" t="s">
        <v>8751</v>
      </c>
      <c r="Y335" s="8" t="s">
        <v>8752</v>
      </c>
      <c r="Z335" s="8" t="s">
        <v>8753</v>
      </c>
      <c r="AA335" s="8" t="s">
        <v>8754</v>
      </c>
      <c r="AB335" s="8" t="s">
        <v>8755</v>
      </c>
      <c r="AC335" s="8" t="s">
        <v>8756</v>
      </c>
      <c r="AD335" s="8" t="s">
        <v>8757</v>
      </c>
      <c r="AE335" s="8" t="s">
        <v>8758</v>
      </c>
      <c r="AF335" s="8" t="s">
        <v>2135</v>
      </c>
      <c r="AG335" s="8">
        <v>36.0</v>
      </c>
      <c r="AH335" s="8">
        <v>48.0</v>
      </c>
      <c r="AI335" s="8">
        <v>55.0</v>
      </c>
      <c r="AJ335" s="8">
        <v>1.0</v>
      </c>
      <c r="AK335" s="8">
        <v>44.0</v>
      </c>
      <c r="AL335" s="8" t="s">
        <v>4394</v>
      </c>
      <c r="AM335" s="8" t="s">
        <v>3367</v>
      </c>
      <c r="AN335" s="8" t="s">
        <v>4395</v>
      </c>
      <c r="AO335" s="8" t="s">
        <v>8477</v>
      </c>
      <c r="AP335" s="8" t="s">
        <v>8478</v>
      </c>
      <c r="AQ335" s="8" t="s">
        <v>2135</v>
      </c>
      <c r="AR335" s="8" t="s">
        <v>8479</v>
      </c>
      <c r="AS335" s="8" t="s">
        <v>8480</v>
      </c>
      <c r="AT335" s="8" t="s">
        <v>8759</v>
      </c>
      <c r="AU335" s="8">
        <v>2010.0</v>
      </c>
      <c r="AV335" s="8">
        <v>146.0</v>
      </c>
      <c r="AW335" s="8" t="s">
        <v>4482</v>
      </c>
      <c r="AX335" s="8" t="s">
        <v>2135</v>
      </c>
      <c r="AY335" s="8" t="s">
        <v>2135</v>
      </c>
      <c r="AZ335" s="8" t="s">
        <v>2135</v>
      </c>
      <c r="BA335" s="8" t="s">
        <v>2135</v>
      </c>
      <c r="BB335" s="8">
        <v>132.0</v>
      </c>
      <c r="BC335" s="8">
        <v>137.0</v>
      </c>
      <c r="BD335" s="8" t="s">
        <v>2135</v>
      </c>
      <c r="BE335" s="8" t="s">
        <v>8760</v>
      </c>
      <c r="BF335" s="13" t="str">
        <f>HYPERLINK("http://dx.doi.org/10.1016/j.vetmic.2010.04.024","http://dx.doi.org/10.1016/j.vetmic.2010.04.024")</f>
        <v>http://dx.doi.org/10.1016/j.vetmic.2010.04.024</v>
      </c>
      <c r="BG335" s="8" t="s">
        <v>2135</v>
      </c>
      <c r="BH335" s="8" t="s">
        <v>2135</v>
      </c>
      <c r="BI335" s="8">
        <v>6.0</v>
      </c>
      <c r="BJ335" s="8" t="s">
        <v>8483</v>
      </c>
      <c r="BK335" s="8" t="s">
        <v>3352</v>
      </c>
      <c r="BL335" s="8" t="s">
        <v>8483</v>
      </c>
      <c r="BM335" s="8" t="s">
        <v>8761</v>
      </c>
      <c r="BN335" s="8">
        <v>2.0570061E7</v>
      </c>
      <c r="BO335" s="8" t="s">
        <v>8762</v>
      </c>
      <c r="BP335" s="8" t="s">
        <v>2135</v>
      </c>
      <c r="BQ335" s="8" t="s">
        <v>2135</v>
      </c>
      <c r="BR335" s="8" t="s">
        <v>3355</v>
      </c>
      <c r="BS335" s="8" t="s">
        <v>8763</v>
      </c>
      <c r="BT335" s="8" t="s">
        <v>2497</v>
      </c>
      <c r="BU335" s="8" t="s">
        <v>2142</v>
      </c>
      <c r="BW335" s="8" t="s">
        <v>2180</v>
      </c>
      <c r="BX335" s="8" t="s">
        <v>2985</v>
      </c>
      <c r="BY335" s="8" t="s">
        <v>2992</v>
      </c>
      <c r="BZ335" s="8" t="str">
        <f>HYPERLINK("https%3A%2F%2Fwww.webofscience.com%2Fwos%2Fwoscc%2Ffull-record%2FWOS:000284664800018","View Full Record in Web of Science")</f>
        <v>View Full Record in Web of Science</v>
      </c>
    </row>
    <row r="336" ht="12.75" customHeight="1">
      <c r="A336" s="8" t="s">
        <v>3329</v>
      </c>
      <c r="B336" s="8" t="s">
        <v>8764</v>
      </c>
      <c r="C336" s="8" t="s">
        <v>2135</v>
      </c>
      <c r="D336" s="8" t="s">
        <v>2135</v>
      </c>
      <c r="E336" s="8" t="s">
        <v>2135</v>
      </c>
      <c r="F336" s="8" t="s">
        <v>8765</v>
      </c>
      <c r="G336" s="8" t="s">
        <v>2135</v>
      </c>
      <c r="H336" s="8" t="s">
        <v>2135</v>
      </c>
      <c r="I336" s="8" t="s">
        <v>1204</v>
      </c>
      <c r="J336" s="8" t="s">
        <v>7602</v>
      </c>
      <c r="K336" s="8" t="s">
        <v>2135</v>
      </c>
      <c r="L336" s="8" t="s">
        <v>2135</v>
      </c>
      <c r="M336" s="8" t="s">
        <v>3332</v>
      </c>
      <c r="N336" s="8" t="s">
        <v>3333</v>
      </c>
      <c r="O336" s="8" t="s">
        <v>2135</v>
      </c>
      <c r="P336" s="8" t="s">
        <v>2135</v>
      </c>
      <c r="Q336" s="8" t="s">
        <v>2135</v>
      </c>
      <c r="R336" s="8" t="s">
        <v>2135</v>
      </c>
      <c r="S336" s="8" t="s">
        <v>2135</v>
      </c>
      <c r="T336" s="8" t="s">
        <v>8766</v>
      </c>
      <c r="U336" s="8" t="s">
        <v>8767</v>
      </c>
      <c r="V336" s="8" t="s">
        <v>8768</v>
      </c>
      <c r="W336" s="8" t="s">
        <v>8769</v>
      </c>
      <c r="X336" s="8" t="s">
        <v>8770</v>
      </c>
      <c r="Y336" s="8" t="s">
        <v>7587</v>
      </c>
      <c r="Z336" s="8" t="s">
        <v>7588</v>
      </c>
      <c r="AA336" s="8" t="s">
        <v>8771</v>
      </c>
      <c r="AB336" s="8" t="s">
        <v>8772</v>
      </c>
      <c r="AC336" s="8" t="s">
        <v>8773</v>
      </c>
      <c r="AD336" s="8" t="s">
        <v>8774</v>
      </c>
      <c r="AE336" s="8" t="s">
        <v>8775</v>
      </c>
      <c r="AF336" s="8" t="s">
        <v>2135</v>
      </c>
      <c r="AG336" s="8">
        <v>46.0</v>
      </c>
      <c r="AH336" s="8">
        <v>26.0</v>
      </c>
      <c r="AI336" s="8">
        <v>29.0</v>
      </c>
      <c r="AJ336" s="8">
        <v>1.0</v>
      </c>
      <c r="AK336" s="8">
        <v>55.0</v>
      </c>
      <c r="AL336" s="8" t="s">
        <v>7615</v>
      </c>
      <c r="AM336" s="8" t="s">
        <v>3390</v>
      </c>
      <c r="AN336" s="8" t="s">
        <v>7616</v>
      </c>
      <c r="AO336" s="8" t="s">
        <v>7617</v>
      </c>
      <c r="AP336" s="8" t="s">
        <v>7618</v>
      </c>
      <c r="AQ336" s="8" t="s">
        <v>2135</v>
      </c>
      <c r="AR336" s="8" t="s">
        <v>7619</v>
      </c>
      <c r="AS336" s="8" t="s">
        <v>7620</v>
      </c>
      <c r="AT336" s="8" t="s">
        <v>3580</v>
      </c>
      <c r="AU336" s="8">
        <v>2010.0</v>
      </c>
      <c r="AV336" s="8">
        <v>46.0</v>
      </c>
      <c r="AW336" s="8">
        <v>4.0</v>
      </c>
      <c r="AX336" s="8" t="s">
        <v>2135</v>
      </c>
      <c r="AY336" s="8" t="s">
        <v>2135</v>
      </c>
      <c r="AZ336" s="8" t="s">
        <v>2135</v>
      </c>
      <c r="BA336" s="8" t="s">
        <v>2135</v>
      </c>
      <c r="BB336" s="8">
        <v>1141.0</v>
      </c>
      <c r="BC336" s="8">
        <v>1151.0</v>
      </c>
      <c r="BD336" s="8" t="s">
        <v>2135</v>
      </c>
      <c r="BE336" s="8" t="s">
        <v>8776</v>
      </c>
      <c r="BF336" s="13" t="str">
        <f>HYPERLINK("http://dx.doi.org/10.7589/0090-3558-46.4.1141","http://dx.doi.org/10.7589/0090-3558-46.4.1141")</f>
        <v>http://dx.doi.org/10.7589/0090-3558-46.4.1141</v>
      </c>
      <c r="BG336" s="8" t="s">
        <v>2135</v>
      </c>
      <c r="BH336" s="8" t="s">
        <v>2135</v>
      </c>
      <c r="BI336" s="8">
        <v>11.0</v>
      </c>
      <c r="BJ336" s="8" t="s">
        <v>6958</v>
      </c>
      <c r="BK336" s="8" t="s">
        <v>3352</v>
      </c>
      <c r="BL336" s="8" t="s">
        <v>6958</v>
      </c>
      <c r="BM336" s="8" t="s">
        <v>8777</v>
      </c>
      <c r="BN336" s="8">
        <v>2.0966265E7</v>
      </c>
      <c r="BO336" s="8" t="s">
        <v>3445</v>
      </c>
      <c r="BP336" s="8" t="s">
        <v>2135</v>
      </c>
      <c r="BQ336" s="8" t="s">
        <v>2135</v>
      </c>
      <c r="BR336" s="8" t="s">
        <v>3355</v>
      </c>
      <c r="BS336" s="8" t="s">
        <v>8778</v>
      </c>
      <c r="BT336" s="8" t="s">
        <v>2325</v>
      </c>
      <c r="BU336" s="8" t="s">
        <v>2142</v>
      </c>
      <c r="BW336" s="8" t="s">
        <v>2168</v>
      </c>
      <c r="BX336" s="8" t="s">
        <v>2983</v>
      </c>
      <c r="BY336" s="8" t="s">
        <v>2992</v>
      </c>
      <c r="BZ336" s="8" t="str">
        <f>HYPERLINK("https%3A%2F%2Fwww.webofscience.com%2Fwos%2Fwoscc%2Ffull-record%2FWOS:000283896600009","View Full Record in Web of Science")</f>
        <v>View Full Record in Web of Science</v>
      </c>
    </row>
    <row r="337" ht="12.75" customHeight="1">
      <c r="A337" s="8" t="s">
        <v>3329</v>
      </c>
      <c r="B337" s="8" t="s">
        <v>8779</v>
      </c>
      <c r="C337" s="8" t="s">
        <v>2135</v>
      </c>
      <c r="D337" s="8" t="s">
        <v>2135</v>
      </c>
      <c r="E337" s="8" t="s">
        <v>2135</v>
      </c>
      <c r="F337" s="8" t="s">
        <v>8780</v>
      </c>
      <c r="G337" s="8" t="s">
        <v>2135</v>
      </c>
      <c r="H337" s="8" t="s">
        <v>2135</v>
      </c>
      <c r="I337" s="8" t="s">
        <v>1212</v>
      </c>
      <c r="J337" s="8" t="s">
        <v>8197</v>
      </c>
      <c r="K337" s="8" t="s">
        <v>2135</v>
      </c>
      <c r="L337" s="8" t="s">
        <v>2135</v>
      </c>
      <c r="M337" s="8" t="s">
        <v>3332</v>
      </c>
      <c r="N337" s="8" t="s">
        <v>3333</v>
      </c>
      <c r="O337" s="8" t="s">
        <v>2135</v>
      </c>
      <c r="P337" s="8" t="s">
        <v>2135</v>
      </c>
      <c r="Q337" s="8" t="s">
        <v>2135</v>
      </c>
      <c r="R337" s="8" t="s">
        <v>2135</v>
      </c>
      <c r="S337" s="8" t="s">
        <v>2135</v>
      </c>
      <c r="T337" s="8" t="s">
        <v>8781</v>
      </c>
      <c r="U337" s="8" t="s">
        <v>8782</v>
      </c>
      <c r="V337" s="8" t="s">
        <v>8783</v>
      </c>
      <c r="W337" s="8" t="s">
        <v>8784</v>
      </c>
      <c r="X337" s="8" t="s">
        <v>8785</v>
      </c>
      <c r="Y337" s="8" t="s">
        <v>8786</v>
      </c>
      <c r="Z337" s="8" t="s">
        <v>8787</v>
      </c>
      <c r="AA337" s="8" t="s">
        <v>2135</v>
      </c>
      <c r="AB337" s="8" t="s">
        <v>2135</v>
      </c>
      <c r="AC337" s="8" t="s">
        <v>8788</v>
      </c>
      <c r="AD337" s="8" t="s">
        <v>8789</v>
      </c>
      <c r="AE337" s="8" t="s">
        <v>8790</v>
      </c>
      <c r="AF337" s="8" t="s">
        <v>2135</v>
      </c>
      <c r="AG337" s="8">
        <v>44.0</v>
      </c>
      <c r="AH337" s="8">
        <v>64.0</v>
      </c>
      <c r="AI337" s="8">
        <v>74.0</v>
      </c>
      <c r="AJ337" s="8">
        <v>3.0</v>
      </c>
      <c r="AK337" s="8">
        <v>72.0</v>
      </c>
      <c r="AL337" s="8" t="s">
        <v>4394</v>
      </c>
      <c r="AM337" s="8" t="s">
        <v>3367</v>
      </c>
      <c r="AN337" s="8" t="s">
        <v>4395</v>
      </c>
      <c r="AO337" s="8" t="s">
        <v>8210</v>
      </c>
      <c r="AP337" s="8" t="s">
        <v>8211</v>
      </c>
      <c r="AQ337" s="8" t="s">
        <v>2135</v>
      </c>
      <c r="AR337" s="8" t="s">
        <v>8212</v>
      </c>
      <c r="AS337" s="8" t="s">
        <v>8213</v>
      </c>
      <c r="AT337" s="8" t="s">
        <v>8001</v>
      </c>
      <c r="AU337" s="8">
        <v>2010.0</v>
      </c>
      <c r="AV337" s="8">
        <v>172.0</v>
      </c>
      <c r="AW337" s="8" t="s">
        <v>6706</v>
      </c>
      <c r="AX337" s="8" t="s">
        <v>2135</v>
      </c>
      <c r="AY337" s="8" t="s">
        <v>2135</v>
      </c>
      <c r="AZ337" s="8" t="s">
        <v>2135</v>
      </c>
      <c r="BA337" s="8" t="s">
        <v>2135</v>
      </c>
      <c r="BB337" s="8">
        <v>183.0</v>
      </c>
      <c r="BC337" s="8">
        <v>194.0</v>
      </c>
      <c r="BD337" s="8" t="s">
        <v>2135</v>
      </c>
      <c r="BE337" s="8" t="s">
        <v>8791</v>
      </c>
      <c r="BF337" s="13" t="str">
        <f>HYPERLINK("http://dx.doi.org/10.1016/j.vetpar.2010.05.019","http://dx.doi.org/10.1016/j.vetpar.2010.05.019")</f>
        <v>http://dx.doi.org/10.1016/j.vetpar.2010.05.019</v>
      </c>
      <c r="BG337" s="8" t="s">
        <v>2135</v>
      </c>
      <c r="BH337" s="8" t="s">
        <v>2135</v>
      </c>
      <c r="BI337" s="8">
        <v>12.0</v>
      </c>
      <c r="BJ337" s="8" t="s">
        <v>8216</v>
      </c>
      <c r="BK337" s="8" t="s">
        <v>3352</v>
      </c>
      <c r="BL337" s="8" t="s">
        <v>8216</v>
      </c>
      <c r="BM337" s="8" t="s">
        <v>8792</v>
      </c>
      <c r="BN337" s="8">
        <v>2.0615616E7</v>
      </c>
      <c r="BO337" s="8" t="s">
        <v>3425</v>
      </c>
      <c r="BP337" s="8" t="s">
        <v>2135</v>
      </c>
      <c r="BQ337" s="8" t="s">
        <v>2135</v>
      </c>
      <c r="BR337" s="8" t="s">
        <v>3355</v>
      </c>
      <c r="BS337" s="8" t="s">
        <v>8793</v>
      </c>
      <c r="BT337" s="8" t="s">
        <v>2600</v>
      </c>
      <c r="BU337" s="8" t="s">
        <v>2147</v>
      </c>
      <c r="BV337" s="8" t="s">
        <v>2217</v>
      </c>
      <c r="BW337" s="8" t="s">
        <v>2237</v>
      </c>
      <c r="BX337" s="8" t="s">
        <v>2985</v>
      </c>
      <c r="BY337" s="8" t="s">
        <v>2992</v>
      </c>
      <c r="BZ337" s="8" t="str">
        <f>HYPERLINK("https%3A%2F%2Fwww.webofscience.com%2Fwos%2Fwoscc%2Ffull-record%2FWOS:000281989700002","View Full Record in Web of Science")</f>
        <v>View Full Record in Web of Science</v>
      </c>
    </row>
    <row r="338" ht="12.75" customHeight="1">
      <c r="A338" s="8" t="s">
        <v>3329</v>
      </c>
      <c r="B338" s="8" t="s">
        <v>8794</v>
      </c>
      <c r="C338" s="8" t="s">
        <v>2135</v>
      </c>
      <c r="D338" s="8" t="s">
        <v>2135</v>
      </c>
      <c r="E338" s="8" t="s">
        <v>2135</v>
      </c>
      <c r="F338" s="8" t="s">
        <v>8795</v>
      </c>
      <c r="G338" s="8" t="s">
        <v>2135</v>
      </c>
      <c r="H338" s="8" t="s">
        <v>2135</v>
      </c>
      <c r="I338" s="8" t="s">
        <v>1214</v>
      </c>
      <c r="J338" s="8" t="s">
        <v>8197</v>
      </c>
      <c r="K338" s="8" t="s">
        <v>2135</v>
      </c>
      <c r="L338" s="8" t="s">
        <v>2135</v>
      </c>
      <c r="M338" s="8" t="s">
        <v>3332</v>
      </c>
      <c r="N338" s="8" t="s">
        <v>3333</v>
      </c>
      <c r="O338" s="8" t="s">
        <v>2135</v>
      </c>
      <c r="P338" s="8" t="s">
        <v>2135</v>
      </c>
      <c r="Q338" s="8" t="s">
        <v>2135</v>
      </c>
      <c r="R338" s="8" t="s">
        <v>2135</v>
      </c>
      <c r="S338" s="8" t="s">
        <v>2135</v>
      </c>
      <c r="T338" s="8" t="s">
        <v>8796</v>
      </c>
      <c r="U338" s="8" t="s">
        <v>8797</v>
      </c>
      <c r="V338" s="8" t="s">
        <v>8798</v>
      </c>
      <c r="W338" s="8" t="s">
        <v>8799</v>
      </c>
      <c r="X338" s="8" t="s">
        <v>8800</v>
      </c>
      <c r="Y338" s="8" t="s">
        <v>8801</v>
      </c>
      <c r="Z338" s="8" t="s">
        <v>8802</v>
      </c>
      <c r="AA338" s="8" t="s">
        <v>2135</v>
      </c>
      <c r="AB338" s="8" t="s">
        <v>2135</v>
      </c>
      <c r="AC338" s="8" t="s">
        <v>8803</v>
      </c>
      <c r="AD338" s="8" t="s">
        <v>8804</v>
      </c>
      <c r="AE338" s="8" t="s">
        <v>8805</v>
      </c>
      <c r="AF338" s="8" t="s">
        <v>2135</v>
      </c>
      <c r="AG338" s="8">
        <v>58.0</v>
      </c>
      <c r="AH338" s="8">
        <v>22.0</v>
      </c>
      <c r="AI338" s="8">
        <v>24.0</v>
      </c>
      <c r="AJ338" s="8">
        <v>0.0</v>
      </c>
      <c r="AK338" s="8">
        <v>16.0</v>
      </c>
      <c r="AL338" s="8" t="s">
        <v>3366</v>
      </c>
      <c r="AM338" s="8" t="s">
        <v>3367</v>
      </c>
      <c r="AN338" s="8" t="s">
        <v>3368</v>
      </c>
      <c r="AO338" s="8" t="s">
        <v>8210</v>
      </c>
      <c r="AP338" s="8" t="s">
        <v>2135</v>
      </c>
      <c r="AQ338" s="8" t="s">
        <v>2135</v>
      </c>
      <c r="AR338" s="8" t="s">
        <v>8212</v>
      </c>
      <c r="AS338" s="8" t="s">
        <v>8213</v>
      </c>
      <c r="AT338" s="8" t="s">
        <v>8806</v>
      </c>
      <c r="AU338" s="8">
        <v>2010.0</v>
      </c>
      <c r="AV338" s="8">
        <v>170.0</v>
      </c>
      <c r="AW338" s="8" t="s">
        <v>4482</v>
      </c>
      <c r="AX338" s="8" t="s">
        <v>2135</v>
      </c>
      <c r="AY338" s="8" t="s">
        <v>2135</v>
      </c>
      <c r="AZ338" s="8" t="s">
        <v>2135</v>
      </c>
      <c r="BA338" s="8" t="s">
        <v>2135</v>
      </c>
      <c r="BB338" s="8">
        <v>20.0</v>
      </c>
      <c r="BC338" s="8">
        <v>29.0</v>
      </c>
      <c r="BD338" s="8" t="s">
        <v>2135</v>
      </c>
      <c r="BE338" s="8" t="s">
        <v>8807</v>
      </c>
      <c r="BF338" s="13" t="str">
        <f>HYPERLINK("http://dx.doi.org/10.1016/j.vetpar.2009.12.045","http://dx.doi.org/10.1016/j.vetpar.2009.12.045")</f>
        <v>http://dx.doi.org/10.1016/j.vetpar.2009.12.045</v>
      </c>
      <c r="BG338" s="8" t="s">
        <v>2135</v>
      </c>
      <c r="BH338" s="8" t="s">
        <v>2135</v>
      </c>
      <c r="BI338" s="8">
        <v>10.0</v>
      </c>
      <c r="BJ338" s="8" t="s">
        <v>8216</v>
      </c>
      <c r="BK338" s="8" t="s">
        <v>3352</v>
      </c>
      <c r="BL338" s="8" t="s">
        <v>8216</v>
      </c>
      <c r="BM338" s="8" t="s">
        <v>8808</v>
      </c>
      <c r="BN338" s="8">
        <v>2.0226596E7</v>
      </c>
      <c r="BO338" s="8" t="s">
        <v>3425</v>
      </c>
      <c r="BP338" s="8" t="s">
        <v>2135</v>
      </c>
      <c r="BQ338" s="8" t="s">
        <v>2135</v>
      </c>
      <c r="BR338" s="8" t="s">
        <v>3355</v>
      </c>
      <c r="BS338" s="8" t="s">
        <v>8809</v>
      </c>
      <c r="BU338" s="8" t="s">
        <v>2147</v>
      </c>
      <c r="BV338" s="8" t="s">
        <v>2217</v>
      </c>
      <c r="BW338" s="8" t="s">
        <v>2237</v>
      </c>
      <c r="BX338" s="8" t="s">
        <v>2985</v>
      </c>
      <c r="BY338" s="8" t="s">
        <v>2992</v>
      </c>
      <c r="BZ338" s="8" t="str">
        <f>HYPERLINK("https%3A%2F%2Fwww.webofscience.com%2Fwos%2Fwoscc%2Ffull-record%2FWOS:000278678500004","View Full Record in Web of Science")</f>
        <v>View Full Record in Web of Science</v>
      </c>
    </row>
    <row r="339" ht="12.75" customHeight="1">
      <c r="A339" s="8" t="s">
        <v>3329</v>
      </c>
      <c r="B339" s="8" t="s">
        <v>8810</v>
      </c>
      <c r="C339" s="8" t="s">
        <v>2135</v>
      </c>
      <c r="D339" s="8" t="s">
        <v>2135</v>
      </c>
      <c r="E339" s="8" t="s">
        <v>2135</v>
      </c>
      <c r="F339" s="8" t="s">
        <v>8811</v>
      </c>
      <c r="G339" s="8" t="s">
        <v>2135</v>
      </c>
      <c r="H339" s="8" t="s">
        <v>2135</v>
      </c>
      <c r="I339" s="8" t="s">
        <v>1200</v>
      </c>
      <c r="J339" s="8" t="s">
        <v>8812</v>
      </c>
      <c r="K339" s="8" t="s">
        <v>2135</v>
      </c>
      <c r="L339" s="8" t="s">
        <v>2135</v>
      </c>
      <c r="M339" s="8" t="s">
        <v>8813</v>
      </c>
      <c r="N339" s="8" t="s">
        <v>3333</v>
      </c>
      <c r="O339" s="8" t="s">
        <v>2135</v>
      </c>
      <c r="P339" s="8" t="s">
        <v>2135</v>
      </c>
      <c r="Q339" s="8" t="s">
        <v>2135</v>
      </c>
      <c r="R339" s="8" t="s">
        <v>2135</v>
      </c>
      <c r="S339" s="8" t="s">
        <v>2135</v>
      </c>
      <c r="T339" s="8" t="s">
        <v>2135</v>
      </c>
      <c r="U339" s="8" t="s">
        <v>8814</v>
      </c>
      <c r="V339" s="8" t="s">
        <v>8815</v>
      </c>
      <c r="W339" s="8" t="s">
        <v>8816</v>
      </c>
      <c r="X339" s="8" t="s">
        <v>8817</v>
      </c>
      <c r="Y339" s="8" t="s">
        <v>8818</v>
      </c>
      <c r="Z339" s="8" t="s">
        <v>8819</v>
      </c>
      <c r="AA339" s="8" t="s">
        <v>2135</v>
      </c>
      <c r="AB339" s="8" t="s">
        <v>2135</v>
      </c>
      <c r="AC339" s="8" t="s">
        <v>2135</v>
      </c>
      <c r="AD339" s="8" t="s">
        <v>2135</v>
      </c>
      <c r="AE339" s="8" t="s">
        <v>2135</v>
      </c>
      <c r="AF339" s="8" t="s">
        <v>2135</v>
      </c>
      <c r="AG339" s="8">
        <v>39.0</v>
      </c>
      <c r="AH339" s="8">
        <v>7.0</v>
      </c>
      <c r="AI339" s="8">
        <v>7.0</v>
      </c>
      <c r="AJ339" s="8">
        <v>0.0</v>
      </c>
      <c r="AK339" s="8">
        <v>4.0</v>
      </c>
      <c r="AL339" s="8" t="s">
        <v>8820</v>
      </c>
      <c r="AM339" s="8" t="s">
        <v>8821</v>
      </c>
      <c r="AN339" s="8" t="s">
        <v>8822</v>
      </c>
      <c r="AO339" s="8" t="s">
        <v>8823</v>
      </c>
      <c r="AP339" s="8" t="s">
        <v>2135</v>
      </c>
      <c r="AQ339" s="8" t="s">
        <v>2135</v>
      </c>
      <c r="AR339" s="8" t="s">
        <v>8824</v>
      </c>
      <c r="AS339" s="8" t="s">
        <v>8825</v>
      </c>
      <c r="AT339" s="8" t="s">
        <v>3765</v>
      </c>
      <c r="AU339" s="8">
        <v>2010.0</v>
      </c>
      <c r="AV339" s="8">
        <v>132.0</v>
      </c>
      <c r="AW339" s="8">
        <v>5.0</v>
      </c>
      <c r="AX339" s="8" t="s">
        <v>2135</v>
      </c>
      <c r="AY339" s="8" t="s">
        <v>2135</v>
      </c>
      <c r="AZ339" s="8" t="s">
        <v>2135</v>
      </c>
      <c r="BA339" s="8" t="s">
        <v>2135</v>
      </c>
      <c r="BB339" s="8">
        <v>302.0</v>
      </c>
      <c r="BC339" s="8">
        <v>308.0</v>
      </c>
      <c r="BD339" s="8" t="s">
        <v>2135</v>
      </c>
      <c r="BE339" s="8" t="s">
        <v>2135</v>
      </c>
      <c r="BF339" s="8" t="s">
        <v>2135</v>
      </c>
      <c r="BG339" s="8" t="s">
        <v>2135</v>
      </c>
      <c r="BH339" s="8" t="s">
        <v>2135</v>
      </c>
      <c r="BI339" s="8">
        <v>7.0</v>
      </c>
      <c r="BJ339" s="8" t="s">
        <v>6958</v>
      </c>
      <c r="BK339" s="8" t="s">
        <v>3352</v>
      </c>
      <c r="BL339" s="8" t="s">
        <v>6958</v>
      </c>
      <c r="BM339" s="8" t="s">
        <v>8826</v>
      </c>
      <c r="BN339" s="8" t="s">
        <v>2135</v>
      </c>
      <c r="BO339" s="8" t="s">
        <v>2135</v>
      </c>
      <c r="BP339" s="8" t="s">
        <v>2135</v>
      </c>
      <c r="BQ339" s="8" t="s">
        <v>2135</v>
      </c>
      <c r="BR339" s="8" t="s">
        <v>3355</v>
      </c>
      <c r="BS339" s="8" t="s">
        <v>8827</v>
      </c>
      <c r="BT339" s="8" t="s">
        <v>2352</v>
      </c>
      <c r="BU339" s="8" t="s">
        <v>2142</v>
      </c>
      <c r="BW339" s="8" t="s">
        <v>2311</v>
      </c>
      <c r="BX339" s="8" t="s">
        <v>2985</v>
      </c>
      <c r="BY339" s="8" t="s">
        <v>2992</v>
      </c>
      <c r="BZ339" s="8" t="str">
        <f>HYPERLINK("https%3A%2F%2Fwww.webofscience.com%2Fwos%2Fwoscc%2Ffull-record%2FWOS:000277863700007","View Full Record in Web of Science")</f>
        <v>View Full Record in Web of Science</v>
      </c>
    </row>
    <row r="340" ht="12.75" customHeight="1">
      <c r="A340" s="8" t="s">
        <v>3329</v>
      </c>
      <c r="B340" s="8" t="s">
        <v>8828</v>
      </c>
      <c r="C340" s="8" t="s">
        <v>2135</v>
      </c>
      <c r="D340" s="8" t="s">
        <v>2135</v>
      </c>
      <c r="E340" s="8" t="s">
        <v>2135</v>
      </c>
      <c r="F340" s="8" t="s">
        <v>8829</v>
      </c>
      <c r="G340" s="8" t="s">
        <v>2135</v>
      </c>
      <c r="H340" s="8" t="s">
        <v>2135</v>
      </c>
      <c r="I340" s="8" t="s">
        <v>1210</v>
      </c>
      <c r="J340" s="8" t="s">
        <v>8197</v>
      </c>
      <c r="K340" s="8" t="s">
        <v>2135</v>
      </c>
      <c r="L340" s="8" t="s">
        <v>2135</v>
      </c>
      <c r="M340" s="8" t="s">
        <v>3332</v>
      </c>
      <c r="N340" s="8" t="s">
        <v>3333</v>
      </c>
      <c r="O340" s="8" t="s">
        <v>2135</v>
      </c>
      <c r="P340" s="8" t="s">
        <v>2135</v>
      </c>
      <c r="Q340" s="8" t="s">
        <v>2135</v>
      </c>
      <c r="R340" s="8" t="s">
        <v>2135</v>
      </c>
      <c r="S340" s="8" t="s">
        <v>2135</v>
      </c>
      <c r="T340" s="8" t="s">
        <v>8830</v>
      </c>
      <c r="U340" s="8" t="s">
        <v>8831</v>
      </c>
      <c r="V340" s="8" t="s">
        <v>8832</v>
      </c>
      <c r="W340" s="8" t="s">
        <v>8833</v>
      </c>
      <c r="X340" s="8" t="s">
        <v>8834</v>
      </c>
      <c r="Y340" s="8" t="s">
        <v>8835</v>
      </c>
      <c r="Z340" s="8" t="s">
        <v>8836</v>
      </c>
      <c r="AA340" s="8" t="s">
        <v>2135</v>
      </c>
      <c r="AB340" s="8" t="s">
        <v>8837</v>
      </c>
      <c r="AC340" s="8" t="s">
        <v>8838</v>
      </c>
      <c r="AD340" s="8" t="s">
        <v>8839</v>
      </c>
      <c r="AE340" s="8" t="s">
        <v>8840</v>
      </c>
      <c r="AF340" s="8" t="s">
        <v>2135</v>
      </c>
      <c r="AG340" s="8">
        <v>43.0</v>
      </c>
      <c r="AH340" s="8">
        <v>42.0</v>
      </c>
      <c r="AI340" s="8">
        <v>47.0</v>
      </c>
      <c r="AJ340" s="8">
        <v>0.0</v>
      </c>
      <c r="AK340" s="8">
        <v>30.0</v>
      </c>
      <c r="AL340" s="8" t="s">
        <v>3366</v>
      </c>
      <c r="AM340" s="8" t="s">
        <v>3367</v>
      </c>
      <c r="AN340" s="8" t="s">
        <v>3368</v>
      </c>
      <c r="AO340" s="8" t="s">
        <v>8210</v>
      </c>
      <c r="AP340" s="8" t="s">
        <v>8211</v>
      </c>
      <c r="AQ340" s="8" t="s">
        <v>2135</v>
      </c>
      <c r="AR340" s="8" t="s">
        <v>8212</v>
      </c>
      <c r="AS340" s="8" t="s">
        <v>8213</v>
      </c>
      <c r="AT340" s="8" t="s">
        <v>8841</v>
      </c>
      <c r="AU340" s="8">
        <v>2010.0</v>
      </c>
      <c r="AV340" s="8">
        <v>169.0</v>
      </c>
      <c r="AW340" s="8" t="s">
        <v>4482</v>
      </c>
      <c r="AX340" s="8" t="s">
        <v>2135</v>
      </c>
      <c r="AY340" s="8" t="s">
        <v>2135</v>
      </c>
      <c r="AZ340" s="8" t="s">
        <v>2135</v>
      </c>
      <c r="BA340" s="8" t="s">
        <v>2135</v>
      </c>
      <c r="BB340" s="8">
        <v>37.0</v>
      </c>
      <c r="BC340" s="8">
        <v>44.0</v>
      </c>
      <c r="BD340" s="8" t="s">
        <v>2135</v>
      </c>
      <c r="BE340" s="8" t="s">
        <v>8842</v>
      </c>
      <c r="BF340" s="13" t="str">
        <f>HYPERLINK("http://dx.doi.org/10.1016/j.vetpar.2009.12.020","http://dx.doi.org/10.1016/j.vetpar.2009.12.020")</f>
        <v>http://dx.doi.org/10.1016/j.vetpar.2009.12.020</v>
      </c>
      <c r="BG340" s="8" t="s">
        <v>2135</v>
      </c>
      <c r="BH340" s="8" t="s">
        <v>2135</v>
      </c>
      <c r="BI340" s="8">
        <v>8.0</v>
      </c>
      <c r="BJ340" s="8" t="s">
        <v>8216</v>
      </c>
      <c r="BK340" s="8" t="s">
        <v>3352</v>
      </c>
      <c r="BL340" s="8" t="s">
        <v>8216</v>
      </c>
      <c r="BM340" s="8" t="s">
        <v>8843</v>
      </c>
      <c r="BN340" s="8">
        <v>2.0071081E7</v>
      </c>
      <c r="BO340" s="8" t="s">
        <v>2135</v>
      </c>
      <c r="BP340" s="8" t="s">
        <v>2135</v>
      </c>
      <c r="BQ340" s="8" t="s">
        <v>2135</v>
      </c>
      <c r="BR340" s="8" t="s">
        <v>3355</v>
      </c>
      <c r="BS340" s="8" t="s">
        <v>8844</v>
      </c>
      <c r="BT340" s="8" t="s">
        <v>2600</v>
      </c>
      <c r="BU340" s="8" t="s">
        <v>2147</v>
      </c>
      <c r="BV340" s="8" t="s">
        <v>2217</v>
      </c>
      <c r="BW340" s="8" t="s">
        <v>2237</v>
      </c>
      <c r="BX340" s="8" t="s">
        <v>2985</v>
      </c>
      <c r="BY340" s="8" t="s">
        <v>2992</v>
      </c>
      <c r="BZ340" s="8" t="str">
        <f>HYPERLINK("https%3A%2F%2Fwww.webofscience.com%2Fwos%2Fwoscc%2Ffull-record%2FWOS:000276801100006","View Full Record in Web of Science")</f>
        <v>View Full Record in Web of Science</v>
      </c>
    </row>
    <row r="341" ht="12.75" customHeight="1">
      <c r="A341" s="8" t="s">
        <v>3329</v>
      </c>
      <c r="B341" s="8" t="s">
        <v>8845</v>
      </c>
      <c r="C341" s="8" t="s">
        <v>2135</v>
      </c>
      <c r="D341" s="8" t="s">
        <v>2135</v>
      </c>
      <c r="E341" s="8" t="s">
        <v>2135</v>
      </c>
      <c r="F341" s="8" t="s">
        <v>8846</v>
      </c>
      <c r="G341" s="8" t="s">
        <v>2135</v>
      </c>
      <c r="H341" s="8" t="s">
        <v>2135</v>
      </c>
      <c r="I341" s="8" t="s">
        <v>1206</v>
      </c>
      <c r="J341" s="8" t="s">
        <v>8352</v>
      </c>
      <c r="K341" s="8" t="s">
        <v>2135</v>
      </c>
      <c r="L341" s="8" t="s">
        <v>2135</v>
      </c>
      <c r="M341" s="8" t="s">
        <v>3332</v>
      </c>
      <c r="N341" s="8" t="s">
        <v>3333</v>
      </c>
      <c r="O341" s="8" t="s">
        <v>2135</v>
      </c>
      <c r="P341" s="8" t="s">
        <v>2135</v>
      </c>
      <c r="Q341" s="8" t="s">
        <v>2135</v>
      </c>
      <c r="R341" s="8" t="s">
        <v>2135</v>
      </c>
      <c r="S341" s="8" t="s">
        <v>2135</v>
      </c>
      <c r="T341" s="8" t="s">
        <v>8847</v>
      </c>
      <c r="U341" s="8" t="s">
        <v>8848</v>
      </c>
      <c r="V341" s="8" t="s">
        <v>8849</v>
      </c>
      <c r="W341" s="8" t="s">
        <v>8850</v>
      </c>
      <c r="X341" s="8" t="s">
        <v>6614</v>
      </c>
      <c r="Y341" s="8" t="s">
        <v>8851</v>
      </c>
      <c r="Z341" s="8" t="s">
        <v>8852</v>
      </c>
      <c r="AA341" s="8" t="s">
        <v>2135</v>
      </c>
      <c r="AB341" s="8" t="s">
        <v>8030</v>
      </c>
      <c r="AC341" s="8" t="s">
        <v>2135</v>
      </c>
      <c r="AD341" s="8" t="s">
        <v>2135</v>
      </c>
      <c r="AE341" s="8" t="s">
        <v>2135</v>
      </c>
      <c r="AF341" s="8" t="s">
        <v>2135</v>
      </c>
      <c r="AG341" s="8">
        <v>34.0</v>
      </c>
      <c r="AH341" s="8">
        <v>117.0</v>
      </c>
      <c r="AI341" s="8">
        <v>135.0</v>
      </c>
      <c r="AJ341" s="8">
        <v>0.0</v>
      </c>
      <c r="AK341" s="8">
        <v>98.0</v>
      </c>
      <c r="AL341" s="8" t="s">
        <v>8365</v>
      </c>
      <c r="AM341" s="8" t="s">
        <v>8366</v>
      </c>
      <c r="AN341" s="8" t="s">
        <v>8367</v>
      </c>
      <c r="AO341" s="8" t="s">
        <v>8368</v>
      </c>
      <c r="AP341" s="8" t="s">
        <v>8369</v>
      </c>
      <c r="AQ341" s="8" t="s">
        <v>2135</v>
      </c>
      <c r="AR341" s="8" t="s">
        <v>8370</v>
      </c>
      <c r="AS341" s="8" t="s">
        <v>8371</v>
      </c>
      <c r="AT341" s="8" t="s">
        <v>3485</v>
      </c>
      <c r="AU341" s="8">
        <v>2010.0</v>
      </c>
      <c r="AV341" s="8">
        <v>10.0</v>
      </c>
      <c r="AW341" s="8">
        <v>1.0</v>
      </c>
      <c r="AX341" s="8" t="s">
        <v>2135</v>
      </c>
      <c r="AY341" s="8" t="s">
        <v>2135</v>
      </c>
      <c r="AZ341" s="8" t="s">
        <v>3421</v>
      </c>
      <c r="BA341" s="8" t="s">
        <v>2135</v>
      </c>
      <c r="BB341" s="8">
        <v>27.0</v>
      </c>
      <c r="BC341" s="8">
        <v>35.0</v>
      </c>
      <c r="BD341" s="8" t="s">
        <v>2135</v>
      </c>
      <c r="BE341" s="8" t="s">
        <v>8853</v>
      </c>
      <c r="BF341" s="13" t="str">
        <f>HYPERLINK("http://dx.doi.org/10.1089/vbz.2009.0053","http://dx.doi.org/10.1089/vbz.2009.0053")</f>
        <v>http://dx.doi.org/10.1089/vbz.2009.0053</v>
      </c>
      <c r="BG341" s="8" t="s">
        <v>2135</v>
      </c>
      <c r="BH341" s="8" t="s">
        <v>2135</v>
      </c>
      <c r="BI341" s="8">
        <v>9.0</v>
      </c>
      <c r="BJ341" s="8" t="s">
        <v>8373</v>
      </c>
      <c r="BK341" s="8" t="s">
        <v>3352</v>
      </c>
      <c r="BL341" s="8" t="s">
        <v>8373</v>
      </c>
      <c r="BM341" s="8" t="s">
        <v>8854</v>
      </c>
      <c r="BN341" s="8">
        <v>2.0158329E7</v>
      </c>
      <c r="BO341" s="8" t="s">
        <v>2135</v>
      </c>
      <c r="BP341" s="8" t="s">
        <v>2135</v>
      </c>
      <c r="BQ341" s="8" t="s">
        <v>2135</v>
      </c>
      <c r="BR341" s="8" t="s">
        <v>3355</v>
      </c>
      <c r="BS341" s="8" t="s">
        <v>8855</v>
      </c>
      <c r="BT341" s="8" t="s">
        <v>2600</v>
      </c>
      <c r="BU341" s="8" t="s">
        <v>2147</v>
      </c>
      <c r="BV341" s="8" t="s">
        <v>2217</v>
      </c>
      <c r="BW341" s="8" t="s">
        <v>2601</v>
      </c>
      <c r="BX341" s="8" t="s">
        <v>2983</v>
      </c>
      <c r="BY341" s="8" t="s">
        <v>2992</v>
      </c>
      <c r="BZ341" s="8" t="str">
        <f>HYPERLINK("https%3A%2F%2Fwww.webofscience.com%2Fwos%2Fwoscc%2Ffull-record%2FWOS:000274526200005","View Full Record in Web of Science")</f>
        <v>View Full Record in Web of Science</v>
      </c>
    </row>
    <row r="342" ht="12.75" customHeight="1">
      <c r="A342" s="8" t="s">
        <v>3329</v>
      </c>
      <c r="B342" s="8" t="s">
        <v>8856</v>
      </c>
      <c r="C342" s="8" t="s">
        <v>2135</v>
      </c>
      <c r="D342" s="8" t="s">
        <v>2135</v>
      </c>
      <c r="E342" s="8" t="s">
        <v>2135</v>
      </c>
      <c r="F342" s="8" t="s">
        <v>8857</v>
      </c>
      <c r="G342" s="8" t="s">
        <v>2135</v>
      </c>
      <c r="H342" s="8" t="s">
        <v>2135</v>
      </c>
      <c r="I342" s="8" t="s">
        <v>1208</v>
      </c>
      <c r="J342" s="8" t="s">
        <v>8858</v>
      </c>
      <c r="K342" s="8" t="s">
        <v>2135</v>
      </c>
      <c r="L342" s="8" t="s">
        <v>2135</v>
      </c>
      <c r="M342" s="8" t="s">
        <v>3332</v>
      </c>
      <c r="N342" s="8" t="s">
        <v>3333</v>
      </c>
      <c r="O342" s="8" t="s">
        <v>2135</v>
      </c>
      <c r="P342" s="8" t="s">
        <v>2135</v>
      </c>
      <c r="Q342" s="8" t="s">
        <v>2135</v>
      </c>
      <c r="R342" s="8" t="s">
        <v>2135</v>
      </c>
      <c r="S342" s="8" t="s">
        <v>2135</v>
      </c>
      <c r="T342" s="8" t="s">
        <v>8859</v>
      </c>
      <c r="U342" s="8" t="s">
        <v>8860</v>
      </c>
      <c r="V342" s="8" t="s">
        <v>8861</v>
      </c>
      <c r="W342" s="8" t="s">
        <v>8862</v>
      </c>
      <c r="X342" s="8" t="s">
        <v>7607</v>
      </c>
      <c r="Y342" s="8" t="s">
        <v>8863</v>
      </c>
      <c r="Z342" s="8" t="s">
        <v>8787</v>
      </c>
      <c r="AA342" s="8" t="s">
        <v>7979</v>
      </c>
      <c r="AB342" s="8" t="s">
        <v>8864</v>
      </c>
      <c r="AC342" s="8" t="s">
        <v>8865</v>
      </c>
      <c r="AD342" s="8" t="s">
        <v>8866</v>
      </c>
      <c r="AE342" s="8" t="s">
        <v>8867</v>
      </c>
      <c r="AF342" s="8" t="s">
        <v>2135</v>
      </c>
      <c r="AG342" s="8">
        <v>42.0</v>
      </c>
      <c r="AH342" s="8">
        <v>62.0</v>
      </c>
      <c r="AI342" s="8">
        <v>73.0</v>
      </c>
      <c r="AJ342" s="8">
        <v>2.0</v>
      </c>
      <c r="AK342" s="8">
        <v>60.0</v>
      </c>
      <c r="AL342" s="8" t="s">
        <v>7863</v>
      </c>
      <c r="AM342" s="8" t="s">
        <v>3624</v>
      </c>
      <c r="AN342" s="8" t="s">
        <v>7864</v>
      </c>
      <c r="AO342" s="8" t="s">
        <v>8868</v>
      </c>
      <c r="AP342" s="8" t="s">
        <v>8869</v>
      </c>
      <c r="AQ342" s="8" t="s">
        <v>2135</v>
      </c>
      <c r="AR342" s="8" t="s">
        <v>8870</v>
      </c>
      <c r="AS342" s="8" t="s">
        <v>8871</v>
      </c>
      <c r="AT342" s="8" t="s">
        <v>5998</v>
      </c>
      <c r="AU342" s="8">
        <v>2010.0</v>
      </c>
      <c r="AV342" s="8">
        <v>41.0</v>
      </c>
      <c r="AW342" s="8">
        <v>1.0</v>
      </c>
      <c r="AX342" s="8" t="s">
        <v>2135</v>
      </c>
      <c r="AY342" s="8" t="s">
        <v>2135</v>
      </c>
      <c r="AZ342" s="8" t="s">
        <v>2135</v>
      </c>
      <c r="BA342" s="8" t="s">
        <v>2135</v>
      </c>
      <c r="BB342" s="8" t="s">
        <v>2135</v>
      </c>
      <c r="BC342" s="8" t="s">
        <v>2135</v>
      </c>
      <c r="BD342" s="8">
        <v>1.0</v>
      </c>
      <c r="BE342" s="8" t="s">
        <v>8872</v>
      </c>
      <c r="BF342" s="13" t="str">
        <f>HYPERLINK("http://dx.doi.org/10.1051/vetres/2009049","http://dx.doi.org/10.1051/vetres/2009049")</f>
        <v>http://dx.doi.org/10.1051/vetres/2009049</v>
      </c>
      <c r="BG342" s="8" t="s">
        <v>2135</v>
      </c>
      <c r="BH342" s="8" t="s">
        <v>2135</v>
      </c>
      <c r="BI342" s="8">
        <v>13.0</v>
      </c>
      <c r="BJ342" s="8" t="s">
        <v>6958</v>
      </c>
      <c r="BK342" s="8" t="s">
        <v>3352</v>
      </c>
      <c r="BL342" s="8" t="s">
        <v>6958</v>
      </c>
      <c r="BM342" s="8" t="s">
        <v>8873</v>
      </c>
      <c r="BN342" s="8">
        <v>1.9720009E7</v>
      </c>
      <c r="BO342" s="8" t="s">
        <v>3583</v>
      </c>
      <c r="BP342" s="8" t="s">
        <v>2135</v>
      </c>
      <c r="BQ342" s="8" t="s">
        <v>2135</v>
      </c>
      <c r="BR342" s="8" t="s">
        <v>3355</v>
      </c>
      <c r="BS342" s="8" t="s">
        <v>8874</v>
      </c>
      <c r="BT342" s="8" t="s">
        <v>2600</v>
      </c>
      <c r="BU342" s="8" t="s">
        <v>2147</v>
      </c>
      <c r="BV342" s="8" t="s">
        <v>2217</v>
      </c>
      <c r="BW342" s="8" t="s">
        <v>2237</v>
      </c>
      <c r="BX342" s="8" t="s">
        <v>2985</v>
      </c>
      <c r="BY342" s="8" t="s">
        <v>2992</v>
      </c>
      <c r="BZ342" s="8" t="str">
        <f>HYPERLINK("https%3A%2F%2Fwww.webofscience.com%2Fwos%2Fwoscc%2Ffull-record%2FWOS:000272040500001","View Full Record in Web of Science")</f>
        <v>View Full Record in Web of Science</v>
      </c>
    </row>
    <row r="343" ht="12.75" customHeight="1">
      <c r="A343" s="8" t="s">
        <v>3329</v>
      </c>
      <c r="B343" s="8" t="s">
        <v>8875</v>
      </c>
      <c r="C343" s="8" t="s">
        <v>2135</v>
      </c>
      <c r="D343" s="8" t="s">
        <v>2135</v>
      </c>
      <c r="E343" s="8" t="s">
        <v>2135</v>
      </c>
      <c r="F343" s="8" t="s">
        <v>8876</v>
      </c>
      <c r="G343" s="8" t="s">
        <v>2135</v>
      </c>
      <c r="H343" s="8" t="s">
        <v>2135</v>
      </c>
      <c r="I343" s="8" t="s">
        <v>1202</v>
      </c>
      <c r="J343" s="8" t="s">
        <v>3518</v>
      </c>
      <c r="K343" s="8" t="s">
        <v>2135</v>
      </c>
      <c r="L343" s="8" t="s">
        <v>2135</v>
      </c>
      <c r="M343" s="8" t="s">
        <v>3332</v>
      </c>
      <c r="N343" s="8" t="s">
        <v>3333</v>
      </c>
      <c r="O343" s="8" t="s">
        <v>2135</v>
      </c>
      <c r="P343" s="8" t="s">
        <v>2135</v>
      </c>
      <c r="Q343" s="8" t="s">
        <v>2135</v>
      </c>
      <c r="R343" s="8" t="s">
        <v>2135</v>
      </c>
      <c r="S343" s="8" t="s">
        <v>2135</v>
      </c>
      <c r="T343" s="8" t="s">
        <v>2135</v>
      </c>
      <c r="U343" s="8" t="s">
        <v>8877</v>
      </c>
      <c r="V343" s="8" t="s">
        <v>2135</v>
      </c>
      <c r="W343" s="8" t="s">
        <v>8878</v>
      </c>
      <c r="X343" s="8" t="s">
        <v>8879</v>
      </c>
      <c r="Y343" s="8" t="s">
        <v>8880</v>
      </c>
      <c r="Z343" s="8" t="s">
        <v>8881</v>
      </c>
      <c r="AA343" s="8" t="s">
        <v>8882</v>
      </c>
      <c r="AB343" s="8" t="s">
        <v>8883</v>
      </c>
      <c r="AC343" s="8" t="s">
        <v>2135</v>
      </c>
      <c r="AD343" s="8" t="s">
        <v>2135</v>
      </c>
      <c r="AE343" s="8" t="s">
        <v>2135</v>
      </c>
      <c r="AF343" s="8" t="s">
        <v>2135</v>
      </c>
      <c r="AG343" s="8">
        <v>9.0</v>
      </c>
      <c r="AH343" s="8">
        <v>2.0</v>
      </c>
      <c r="AI343" s="8">
        <v>2.0</v>
      </c>
      <c r="AJ343" s="8">
        <v>0.0</v>
      </c>
      <c r="AK343" s="8">
        <v>6.0</v>
      </c>
      <c r="AL343" s="8" t="s">
        <v>3527</v>
      </c>
      <c r="AM343" s="8" t="s">
        <v>3528</v>
      </c>
      <c r="AN343" s="8" t="s">
        <v>3529</v>
      </c>
      <c r="AO343" s="8" t="s">
        <v>3530</v>
      </c>
      <c r="AP343" s="8" t="s">
        <v>2135</v>
      </c>
      <c r="AQ343" s="8" t="s">
        <v>2135</v>
      </c>
      <c r="AR343" s="8" t="s">
        <v>3531</v>
      </c>
      <c r="AS343" s="8" t="s">
        <v>3532</v>
      </c>
      <c r="AT343" s="8" t="s">
        <v>2135</v>
      </c>
      <c r="AU343" s="8">
        <v>2010.0</v>
      </c>
      <c r="AV343" s="8">
        <v>21.0</v>
      </c>
      <c r="AW343" s="8">
        <v>2.0</v>
      </c>
      <c r="AX343" s="8" t="s">
        <v>2135</v>
      </c>
      <c r="AY343" s="8" t="s">
        <v>2135</v>
      </c>
      <c r="AZ343" s="8" t="s">
        <v>2135</v>
      </c>
      <c r="BA343" s="8" t="s">
        <v>2135</v>
      </c>
      <c r="BB343" s="8">
        <v>195.0</v>
      </c>
      <c r="BC343" s="8">
        <v>198.0</v>
      </c>
      <c r="BD343" s="8" t="s">
        <v>2135</v>
      </c>
      <c r="BE343" s="8" t="s">
        <v>8884</v>
      </c>
      <c r="BF343" s="13" t="str">
        <f>HYPERLINK("http://dx.doi.org/10.4404/Hystrix-21.2-4474","http://dx.doi.org/10.4404/Hystrix-21.2-4474")</f>
        <v>http://dx.doi.org/10.4404/Hystrix-21.2-4474</v>
      </c>
      <c r="BG343" s="8" t="s">
        <v>2135</v>
      </c>
      <c r="BH343" s="8" t="s">
        <v>2135</v>
      </c>
      <c r="BI343" s="8">
        <v>4.0</v>
      </c>
      <c r="BJ343" s="8" t="s">
        <v>3397</v>
      </c>
      <c r="BK343" s="8" t="s">
        <v>3352</v>
      </c>
      <c r="BL343" s="8" t="s">
        <v>3397</v>
      </c>
      <c r="BM343" s="8" t="s">
        <v>8885</v>
      </c>
      <c r="BN343" s="8" t="s">
        <v>2135</v>
      </c>
      <c r="BO343" s="8" t="s">
        <v>2135</v>
      </c>
      <c r="BP343" s="8" t="s">
        <v>2135</v>
      </c>
      <c r="BQ343" s="8" t="s">
        <v>2135</v>
      </c>
      <c r="BR343" s="8" t="s">
        <v>3355</v>
      </c>
      <c r="BS343" s="8" t="s">
        <v>8886</v>
      </c>
      <c r="BT343" s="8" t="s">
        <v>2379</v>
      </c>
      <c r="BU343" s="8" t="s">
        <v>2142</v>
      </c>
      <c r="BW343" s="8" t="s">
        <v>2311</v>
      </c>
      <c r="BX343" s="8" t="s">
        <v>2983</v>
      </c>
      <c r="BY343" s="8" t="s">
        <v>2992</v>
      </c>
      <c r="BZ343" s="8" t="str">
        <f>HYPERLINK("https%3A%2F%2Fwww.webofscience.com%2Fwos%2Fwoscc%2Ffull-record%2FWOS:000287335700011","View Full Record in Web of Science")</f>
        <v>View Full Record in Web of Science</v>
      </c>
    </row>
    <row r="344" ht="12.75" customHeight="1">
      <c r="A344" s="8" t="s">
        <v>3329</v>
      </c>
      <c r="B344" s="8" t="s">
        <v>8887</v>
      </c>
      <c r="C344" s="8" t="s">
        <v>2135</v>
      </c>
      <c r="D344" s="8" t="s">
        <v>2135</v>
      </c>
      <c r="E344" s="8" t="s">
        <v>2135</v>
      </c>
      <c r="F344" s="8" t="s">
        <v>8888</v>
      </c>
      <c r="G344" s="8" t="s">
        <v>2135</v>
      </c>
      <c r="H344" s="8" t="s">
        <v>2135</v>
      </c>
      <c r="I344" s="8" t="s">
        <v>1186</v>
      </c>
      <c r="J344" s="8" t="s">
        <v>7602</v>
      </c>
      <c r="K344" s="8" t="s">
        <v>2135</v>
      </c>
      <c r="L344" s="8" t="s">
        <v>2135</v>
      </c>
      <c r="M344" s="8" t="s">
        <v>3332</v>
      </c>
      <c r="N344" s="8" t="s">
        <v>3333</v>
      </c>
      <c r="O344" s="8" t="s">
        <v>2135</v>
      </c>
      <c r="P344" s="8" t="s">
        <v>2135</v>
      </c>
      <c r="Q344" s="8" t="s">
        <v>2135</v>
      </c>
      <c r="R344" s="8" t="s">
        <v>2135</v>
      </c>
      <c r="S344" s="8" t="s">
        <v>2135</v>
      </c>
      <c r="T344" s="8" t="s">
        <v>8889</v>
      </c>
      <c r="U344" s="8" t="s">
        <v>8890</v>
      </c>
      <c r="V344" s="8" t="s">
        <v>8891</v>
      </c>
      <c r="W344" s="8" t="s">
        <v>8892</v>
      </c>
      <c r="X344" s="8" t="s">
        <v>8893</v>
      </c>
      <c r="Y344" s="8" t="s">
        <v>8894</v>
      </c>
      <c r="Z344" s="8" t="s">
        <v>8895</v>
      </c>
      <c r="AA344" s="8" t="s">
        <v>8896</v>
      </c>
      <c r="AB344" s="8" t="s">
        <v>8897</v>
      </c>
      <c r="AC344" s="8" t="s">
        <v>2135</v>
      </c>
      <c r="AD344" s="8" t="s">
        <v>2135</v>
      </c>
      <c r="AE344" s="8" t="s">
        <v>2135</v>
      </c>
      <c r="AF344" s="8" t="s">
        <v>2135</v>
      </c>
      <c r="AG344" s="8">
        <v>21.0</v>
      </c>
      <c r="AH344" s="8">
        <v>8.0</v>
      </c>
      <c r="AI344" s="8">
        <v>12.0</v>
      </c>
      <c r="AJ344" s="8">
        <v>1.0</v>
      </c>
      <c r="AK344" s="8">
        <v>17.0</v>
      </c>
      <c r="AL344" s="8" t="s">
        <v>7615</v>
      </c>
      <c r="AM344" s="8" t="s">
        <v>3390</v>
      </c>
      <c r="AN344" s="8" t="s">
        <v>7616</v>
      </c>
      <c r="AO344" s="8" t="s">
        <v>7617</v>
      </c>
      <c r="AP344" s="8" t="s">
        <v>7618</v>
      </c>
      <c r="AQ344" s="8" t="s">
        <v>2135</v>
      </c>
      <c r="AR344" s="8" t="s">
        <v>7619</v>
      </c>
      <c r="AS344" s="8" t="s">
        <v>7620</v>
      </c>
      <c r="AT344" s="8" t="s">
        <v>3580</v>
      </c>
      <c r="AU344" s="8">
        <v>2009.0</v>
      </c>
      <c r="AV344" s="8">
        <v>45.0</v>
      </c>
      <c r="AW344" s="8">
        <v>4.0</v>
      </c>
      <c r="AX344" s="8" t="s">
        <v>2135</v>
      </c>
      <c r="AY344" s="8" t="s">
        <v>2135</v>
      </c>
      <c r="AZ344" s="8" t="s">
        <v>2135</v>
      </c>
      <c r="BA344" s="8" t="s">
        <v>2135</v>
      </c>
      <c r="BB344" s="8">
        <v>1150.0</v>
      </c>
      <c r="BC344" s="8">
        <v>1157.0</v>
      </c>
      <c r="BD344" s="8" t="s">
        <v>2135</v>
      </c>
      <c r="BE344" s="8" t="s">
        <v>8898</v>
      </c>
      <c r="BF344" s="13" t="str">
        <f>HYPERLINK("http://dx.doi.org/10.7589/0090-3558-45.4.1150","http://dx.doi.org/10.7589/0090-3558-45.4.1150")</f>
        <v>http://dx.doi.org/10.7589/0090-3558-45.4.1150</v>
      </c>
      <c r="BG344" s="8" t="s">
        <v>2135</v>
      </c>
      <c r="BH344" s="8" t="s">
        <v>2135</v>
      </c>
      <c r="BI344" s="8">
        <v>8.0</v>
      </c>
      <c r="BJ344" s="8" t="s">
        <v>6958</v>
      </c>
      <c r="BK344" s="8" t="s">
        <v>3352</v>
      </c>
      <c r="BL344" s="8" t="s">
        <v>6958</v>
      </c>
      <c r="BM344" s="8" t="s">
        <v>8899</v>
      </c>
      <c r="BN344" s="8">
        <v>1.9901388E7</v>
      </c>
      <c r="BO344" s="8" t="s">
        <v>3560</v>
      </c>
      <c r="BP344" s="8" t="s">
        <v>2135</v>
      </c>
      <c r="BQ344" s="8" t="s">
        <v>2135</v>
      </c>
      <c r="BR344" s="8" t="s">
        <v>3355</v>
      </c>
      <c r="BS344" s="8" t="s">
        <v>8900</v>
      </c>
      <c r="BT344" s="8" t="s">
        <v>2600</v>
      </c>
      <c r="BU344" s="8" t="s">
        <v>2147</v>
      </c>
      <c r="BV344" s="8" t="s">
        <v>2217</v>
      </c>
      <c r="BW344" s="8" t="s">
        <v>2155</v>
      </c>
      <c r="BX344" s="8" t="s">
        <v>2985</v>
      </c>
      <c r="BY344" s="8" t="s">
        <v>2992</v>
      </c>
      <c r="BZ344" s="8" t="str">
        <f>HYPERLINK("https%3A%2F%2Fwww.webofscience.com%2Fwos%2Fwoscc%2Ffull-record%2FWOS:000271877700023","View Full Record in Web of Science")</f>
        <v>View Full Record in Web of Science</v>
      </c>
    </row>
    <row r="345" ht="12.75" customHeight="1">
      <c r="A345" s="8" t="s">
        <v>3329</v>
      </c>
      <c r="B345" s="8" t="s">
        <v>8901</v>
      </c>
      <c r="C345" s="8" t="s">
        <v>2135</v>
      </c>
      <c r="D345" s="8" t="s">
        <v>2135</v>
      </c>
      <c r="E345" s="8" t="s">
        <v>2135</v>
      </c>
      <c r="F345" s="8" t="s">
        <v>8902</v>
      </c>
      <c r="G345" s="8" t="s">
        <v>2135</v>
      </c>
      <c r="H345" s="8" t="s">
        <v>2135</v>
      </c>
      <c r="I345" s="8" t="s">
        <v>1188</v>
      </c>
      <c r="J345" s="8" t="s">
        <v>8903</v>
      </c>
      <c r="K345" s="8" t="s">
        <v>2135</v>
      </c>
      <c r="L345" s="8" t="s">
        <v>2135</v>
      </c>
      <c r="M345" s="8" t="s">
        <v>3332</v>
      </c>
      <c r="N345" s="8" t="s">
        <v>3333</v>
      </c>
      <c r="O345" s="8" t="s">
        <v>2135</v>
      </c>
      <c r="P345" s="8" t="s">
        <v>2135</v>
      </c>
      <c r="Q345" s="8" t="s">
        <v>2135</v>
      </c>
      <c r="R345" s="8" t="s">
        <v>2135</v>
      </c>
      <c r="S345" s="8" t="s">
        <v>2135</v>
      </c>
      <c r="T345" s="8" t="s">
        <v>8904</v>
      </c>
      <c r="U345" s="8" t="s">
        <v>8905</v>
      </c>
      <c r="V345" s="8" t="s">
        <v>8906</v>
      </c>
      <c r="W345" s="8" t="s">
        <v>8907</v>
      </c>
      <c r="X345" s="8" t="s">
        <v>8908</v>
      </c>
      <c r="Y345" s="8" t="s">
        <v>8909</v>
      </c>
      <c r="Z345" s="8" t="s">
        <v>8910</v>
      </c>
      <c r="AA345" s="8" t="s">
        <v>8911</v>
      </c>
      <c r="AB345" s="8" t="s">
        <v>2135</v>
      </c>
      <c r="AC345" s="8" t="s">
        <v>8912</v>
      </c>
      <c r="AD345" s="8" t="s">
        <v>8913</v>
      </c>
      <c r="AE345" s="8" t="s">
        <v>8914</v>
      </c>
      <c r="AF345" s="8" t="s">
        <v>2135</v>
      </c>
      <c r="AG345" s="8">
        <v>54.0</v>
      </c>
      <c r="AH345" s="8">
        <v>30.0</v>
      </c>
      <c r="AI345" s="8">
        <v>32.0</v>
      </c>
      <c r="AJ345" s="8">
        <v>1.0</v>
      </c>
      <c r="AK345" s="8">
        <v>15.0</v>
      </c>
      <c r="AL345" s="8" t="s">
        <v>3758</v>
      </c>
      <c r="AM345" s="8" t="s">
        <v>3759</v>
      </c>
      <c r="AN345" s="8" t="s">
        <v>3760</v>
      </c>
      <c r="AO345" s="8" t="s">
        <v>8915</v>
      </c>
      <c r="AP345" s="8" t="s">
        <v>8916</v>
      </c>
      <c r="AQ345" s="8" t="s">
        <v>2135</v>
      </c>
      <c r="AR345" s="8" t="s">
        <v>8917</v>
      </c>
      <c r="AS345" s="8" t="s">
        <v>8918</v>
      </c>
      <c r="AT345" s="8" t="s">
        <v>3580</v>
      </c>
      <c r="AU345" s="8">
        <v>2009.0</v>
      </c>
      <c r="AV345" s="8">
        <v>39.0</v>
      </c>
      <c r="AW345" s="8">
        <v>12.0</v>
      </c>
      <c r="AX345" s="8" t="s">
        <v>2135</v>
      </c>
      <c r="AY345" s="8" t="s">
        <v>2135</v>
      </c>
      <c r="AZ345" s="8" t="s">
        <v>2135</v>
      </c>
      <c r="BA345" s="8" t="s">
        <v>2135</v>
      </c>
      <c r="BB345" s="8">
        <v>1363.0</v>
      </c>
      <c r="BC345" s="8">
        <v>1372.0</v>
      </c>
      <c r="BD345" s="8" t="s">
        <v>2135</v>
      </c>
      <c r="BE345" s="8" t="s">
        <v>8919</v>
      </c>
      <c r="BF345" s="13" t="str">
        <f>HYPERLINK("http://dx.doi.org/10.1016/j.ijpara.2009.04.014","http://dx.doi.org/10.1016/j.ijpara.2009.04.014")</f>
        <v>http://dx.doi.org/10.1016/j.ijpara.2009.04.014</v>
      </c>
      <c r="BG345" s="8" t="s">
        <v>2135</v>
      </c>
      <c r="BH345" s="8" t="s">
        <v>2135</v>
      </c>
      <c r="BI345" s="8">
        <v>10.0</v>
      </c>
      <c r="BJ345" s="8" t="s">
        <v>7597</v>
      </c>
      <c r="BK345" s="8" t="s">
        <v>3352</v>
      </c>
      <c r="BL345" s="8" t="s">
        <v>7597</v>
      </c>
      <c r="BM345" s="8" t="s">
        <v>8920</v>
      </c>
      <c r="BN345" s="8">
        <v>1.9527725E7</v>
      </c>
      <c r="BO345" s="8" t="s">
        <v>3425</v>
      </c>
      <c r="BP345" s="8" t="s">
        <v>2135</v>
      </c>
      <c r="BQ345" s="8" t="s">
        <v>2135</v>
      </c>
      <c r="BR345" s="8" t="s">
        <v>3355</v>
      </c>
      <c r="BS345" s="8" t="s">
        <v>8921</v>
      </c>
      <c r="BT345" s="8" t="s">
        <v>2600</v>
      </c>
      <c r="BU345" s="8" t="s">
        <v>2147</v>
      </c>
      <c r="BV345" s="8" t="s">
        <v>2217</v>
      </c>
      <c r="BW345" s="8" t="s">
        <v>2237</v>
      </c>
      <c r="BX345" s="8" t="s">
        <v>2985</v>
      </c>
      <c r="BY345" s="8" t="s">
        <v>2992</v>
      </c>
      <c r="BZ345" s="8" t="str">
        <f>HYPERLINK("https%3A%2F%2Fwww.webofscience.com%2Fwos%2Fwoscc%2Ffull-record%2FWOS:000269598100007","View Full Record in Web of Science")</f>
        <v>View Full Record in Web of Science</v>
      </c>
    </row>
    <row r="346" ht="12.75" customHeight="1">
      <c r="A346" s="8" t="s">
        <v>3329</v>
      </c>
      <c r="B346" s="8" t="s">
        <v>8922</v>
      </c>
      <c r="C346" s="8" t="s">
        <v>2135</v>
      </c>
      <c r="D346" s="8" t="s">
        <v>2135</v>
      </c>
      <c r="E346" s="8" t="s">
        <v>2135</v>
      </c>
      <c r="F346" s="8" t="s">
        <v>8923</v>
      </c>
      <c r="G346" s="8" t="s">
        <v>2135</v>
      </c>
      <c r="H346" s="8" t="s">
        <v>2135</v>
      </c>
      <c r="I346" s="8" t="s">
        <v>1194</v>
      </c>
      <c r="J346" s="8" t="s">
        <v>8269</v>
      </c>
      <c r="K346" s="8" t="s">
        <v>2135</v>
      </c>
      <c r="L346" s="8" t="s">
        <v>2135</v>
      </c>
      <c r="M346" s="8" t="s">
        <v>3332</v>
      </c>
      <c r="N346" s="8" t="s">
        <v>3333</v>
      </c>
      <c r="O346" s="8" t="s">
        <v>2135</v>
      </c>
      <c r="P346" s="8" t="s">
        <v>2135</v>
      </c>
      <c r="Q346" s="8" t="s">
        <v>2135</v>
      </c>
      <c r="R346" s="8" t="s">
        <v>2135</v>
      </c>
      <c r="S346" s="8" t="s">
        <v>2135</v>
      </c>
      <c r="T346" s="8" t="s">
        <v>8924</v>
      </c>
      <c r="U346" s="8" t="s">
        <v>8925</v>
      </c>
      <c r="V346" s="8" t="s">
        <v>8926</v>
      </c>
      <c r="W346" s="8" t="s">
        <v>8927</v>
      </c>
      <c r="X346" s="8" t="s">
        <v>8928</v>
      </c>
      <c r="Y346" s="8" t="s">
        <v>8929</v>
      </c>
      <c r="Z346" s="8" t="s">
        <v>8930</v>
      </c>
      <c r="AA346" s="8" t="s">
        <v>8931</v>
      </c>
      <c r="AB346" s="8" t="s">
        <v>8932</v>
      </c>
      <c r="AC346" s="8" t="s">
        <v>8933</v>
      </c>
      <c r="AD346" s="8" t="s">
        <v>8934</v>
      </c>
      <c r="AE346" s="8" t="s">
        <v>8935</v>
      </c>
      <c r="AF346" s="8" t="s">
        <v>2135</v>
      </c>
      <c r="AG346" s="8">
        <v>33.0</v>
      </c>
      <c r="AH346" s="8">
        <v>24.0</v>
      </c>
      <c r="AI346" s="8">
        <v>27.0</v>
      </c>
      <c r="AJ346" s="8">
        <v>0.0</v>
      </c>
      <c r="AK346" s="8">
        <v>30.0</v>
      </c>
      <c r="AL346" s="8" t="s">
        <v>3550</v>
      </c>
      <c r="AM346" s="8" t="s">
        <v>3551</v>
      </c>
      <c r="AN346" s="8" t="s">
        <v>3552</v>
      </c>
      <c r="AO346" s="8" t="s">
        <v>8280</v>
      </c>
      <c r="AP346" s="8" t="s">
        <v>8281</v>
      </c>
      <c r="AQ346" s="8" t="s">
        <v>2135</v>
      </c>
      <c r="AR346" s="8" t="s">
        <v>8269</v>
      </c>
      <c r="AS346" s="8" t="s">
        <v>7597</v>
      </c>
      <c r="AT346" s="8" t="s">
        <v>3395</v>
      </c>
      <c r="AU346" s="8">
        <v>2009.0</v>
      </c>
      <c r="AV346" s="8">
        <v>136.0</v>
      </c>
      <c r="AW346" s="8">
        <v>9.0</v>
      </c>
      <c r="AX346" s="8" t="s">
        <v>2135</v>
      </c>
      <c r="AY346" s="8" t="s">
        <v>2135</v>
      </c>
      <c r="AZ346" s="8" t="s">
        <v>2135</v>
      </c>
      <c r="BA346" s="8" t="s">
        <v>2135</v>
      </c>
      <c r="BB346" s="8">
        <v>1015.0</v>
      </c>
      <c r="BC346" s="8">
        <v>1022.0</v>
      </c>
      <c r="BD346" s="8" t="s">
        <v>2135</v>
      </c>
      <c r="BE346" s="8" t="s">
        <v>8936</v>
      </c>
      <c r="BF346" s="13" t="str">
        <f>HYPERLINK("http://dx.doi.org/10.1017/S0031182009006362","http://dx.doi.org/10.1017/S0031182009006362")</f>
        <v>http://dx.doi.org/10.1017/S0031182009006362</v>
      </c>
      <c r="BG346" s="8" t="s">
        <v>2135</v>
      </c>
      <c r="BH346" s="8" t="s">
        <v>2135</v>
      </c>
      <c r="BI346" s="8">
        <v>8.0</v>
      </c>
      <c r="BJ346" s="8" t="s">
        <v>7597</v>
      </c>
      <c r="BK346" s="8" t="s">
        <v>3352</v>
      </c>
      <c r="BL346" s="8" t="s">
        <v>7597</v>
      </c>
      <c r="BM346" s="8" t="s">
        <v>8937</v>
      </c>
      <c r="BN346" s="8">
        <v>1.9523253E7</v>
      </c>
      <c r="BO346" s="8" t="s">
        <v>2135</v>
      </c>
      <c r="BP346" s="8" t="s">
        <v>2135</v>
      </c>
      <c r="BQ346" s="8" t="s">
        <v>2135</v>
      </c>
      <c r="BR346" s="8" t="s">
        <v>3355</v>
      </c>
      <c r="BS346" s="8" t="s">
        <v>8938</v>
      </c>
      <c r="BT346" s="8" t="s">
        <v>2553</v>
      </c>
      <c r="BU346" s="8" t="s">
        <v>2142</v>
      </c>
      <c r="BW346" s="8" t="s">
        <v>2143</v>
      </c>
      <c r="BX346" s="8" t="s">
        <v>3010</v>
      </c>
      <c r="BY346" s="8" t="s">
        <v>2992</v>
      </c>
      <c r="BZ346" s="8" t="str">
        <f>HYPERLINK("https%3A%2F%2Fwww.webofscience.com%2Fwos%2Fwoscc%2Ffull-record%2FWOS:000269039400008","View Full Record in Web of Science")</f>
        <v>View Full Record in Web of Science</v>
      </c>
    </row>
    <row r="347" ht="12.75" customHeight="1">
      <c r="A347" s="8" t="s">
        <v>3329</v>
      </c>
      <c r="B347" s="8" t="s">
        <v>8939</v>
      </c>
      <c r="C347" s="8" t="s">
        <v>2135</v>
      </c>
      <c r="D347" s="8" t="s">
        <v>2135</v>
      </c>
      <c r="E347" s="8" t="s">
        <v>2135</v>
      </c>
      <c r="F347" s="8" t="s">
        <v>8940</v>
      </c>
      <c r="G347" s="8" t="s">
        <v>2135</v>
      </c>
      <c r="H347" s="8" t="s">
        <v>2135</v>
      </c>
      <c r="I347" s="8" t="s">
        <v>1190</v>
      </c>
      <c r="J347" s="8" t="s">
        <v>4546</v>
      </c>
      <c r="K347" s="8" t="s">
        <v>2135</v>
      </c>
      <c r="L347" s="8" t="s">
        <v>2135</v>
      </c>
      <c r="M347" s="8" t="s">
        <v>3332</v>
      </c>
      <c r="N347" s="8" t="s">
        <v>3333</v>
      </c>
      <c r="O347" s="8" t="s">
        <v>2135</v>
      </c>
      <c r="P347" s="8" t="s">
        <v>2135</v>
      </c>
      <c r="Q347" s="8" t="s">
        <v>2135</v>
      </c>
      <c r="R347" s="8" t="s">
        <v>2135</v>
      </c>
      <c r="S347" s="8" t="s">
        <v>2135</v>
      </c>
      <c r="T347" s="8" t="s">
        <v>8941</v>
      </c>
      <c r="U347" s="8" t="s">
        <v>8942</v>
      </c>
      <c r="V347" s="8" t="s">
        <v>8943</v>
      </c>
      <c r="W347" s="8" t="s">
        <v>8944</v>
      </c>
      <c r="X347" s="8" t="s">
        <v>8945</v>
      </c>
      <c r="Y347" s="8" t="s">
        <v>6636</v>
      </c>
      <c r="Z347" s="8" t="s">
        <v>8946</v>
      </c>
      <c r="AA347" s="8" t="s">
        <v>8947</v>
      </c>
      <c r="AB347" s="8" t="s">
        <v>8948</v>
      </c>
      <c r="AC347" s="8" t="s">
        <v>8949</v>
      </c>
      <c r="AD347" s="8" t="s">
        <v>8950</v>
      </c>
      <c r="AE347" s="8" t="s">
        <v>8951</v>
      </c>
      <c r="AF347" s="8" t="s">
        <v>2135</v>
      </c>
      <c r="AG347" s="8">
        <v>86.0</v>
      </c>
      <c r="AH347" s="8">
        <v>14.0</v>
      </c>
      <c r="AI347" s="8">
        <v>16.0</v>
      </c>
      <c r="AJ347" s="8">
        <v>0.0</v>
      </c>
      <c r="AK347" s="8">
        <v>48.0</v>
      </c>
      <c r="AL347" s="8" t="s">
        <v>3342</v>
      </c>
      <c r="AM347" s="8" t="s">
        <v>3343</v>
      </c>
      <c r="AN347" s="8" t="s">
        <v>3344</v>
      </c>
      <c r="AO347" s="8" t="s">
        <v>4554</v>
      </c>
      <c r="AP347" s="8" t="s">
        <v>4555</v>
      </c>
      <c r="AQ347" s="8" t="s">
        <v>2135</v>
      </c>
      <c r="AR347" s="8" t="s">
        <v>4556</v>
      </c>
      <c r="AS347" s="8" t="s">
        <v>4557</v>
      </c>
      <c r="AT347" s="8" t="s">
        <v>3556</v>
      </c>
      <c r="AU347" s="8">
        <v>2009.0</v>
      </c>
      <c r="AV347" s="8">
        <v>25.0</v>
      </c>
      <c r="AW347" s="8">
        <v>2.0</v>
      </c>
      <c r="AX347" s="8" t="s">
        <v>2135</v>
      </c>
      <c r="AY347" s="8" t="s">
        <v>2135</v>
      </c>
      <c r="AZ347" s="8" t="s">
        <v>2135</v>
      </c>
      <c r="BA347" s="8" t="s">
        <v>2135</v>
      </c>
      <c r="BB347" s="8">
        <v>351.0</v>
      </c>
      <c r="BC347" s="8">
        <v>372.0</v>
      </c>
      <c r="BD347" s="8" t="s">
        <v>2135</v>
      </c>
      <c r="BE347" s="8" t="s">
        <v>8952</v>
      </c>
      <c r="BF347" s="13" t="str">
        <f>HYPERLINK("http://dx.doi.org/10.1111/j.1748-7692.2008.00260.x","http://dx.doi.org/10.1111/j.1748-7692.2008.00260.x")</f>
        <v>http://dx.doi.org/10.1111/j.1748-7692.2008.00260.x</v>
      </c>
      <c r="BG347" s="8" t="s">
        <v>2135</v>
      </c>
      <c r="BH347" s="8" t="s">
        <v>2135</v>
      </c>
      <c r="BI347" s="8">
        <v>22.0</v>
      </c>
      <c r="BJ347" s="8" t="s">
        <v>4559</v>
      </c>
      <c r="BK347" s="8" t="s">
        <v>3352</v>
      </c>
      <c r="BL347" s="8" t="s">
        <v>4559</v>
      </c>
      <c r="BM347" s="8" t="s">
        <v>8953</v>
      </c>
      <c r="BN347" s="8" t="s">
        <v>2135</v>
      </c>
      <c r="BO347" s="8" t="s">
        <v>2135</v>
      </c>
      <c r="BP347" s="8" t="s">
        <v>2135</v>
      </c>
      <c r="BQ347" s="8" t="s">
        <v>2135</v>
      </c>
      <c r="BR347" s="8" t="s">
        <v>3355</v>
      </c>
      <c r="BS347" s="8" t="s">
        <v>8954</v>
      </c>
      <c r="BU347" s="8" t="s">
        <v>2147</v>
      </c>
      <c r="BV347" s="8" t="s">
        <v>2217</v>
      </c>
      <c r="BW347" s="8" t="s">
        <v>2237</v>
      </c>
      <c r="BY347" s="8" t="s">
        <v>2992</v>
      </c>
      <c r="BZ347" s="8" t="str">
        <f>HYPERLINK("https%3A%2F%2Fwww.webofscience.com%2Fwos%2Fwoscc%2Ffull-record%2FWOS:000265228700006","View Full Record in Web of Science")</f>
        <v>View Full Record in Web of Science</v>
      </c>
    </row>
    <row r="348" ht="12.75" customHeight="1">
      <c r="A348" s="8" t="s">
        <v>3329</v>
      </c>
      <c r="B348" s="8" t="s">
        <v>8955</v>
      </c>
      <c r="C348" s="8" t="s">
        <v>2135</v>
      </c>
      <c r="D348" s="8" t="s">
        <v>2135</v>
      </c>
      <c r="E348" s="8" t="s">
        <v>2135</v>
      </c>
      <c r="F348" s="8" t="s">
        <v>8956</v>
      </c>
      <c r="G348" s="8" t="s">
        <v>2135</v>
      </c>
      <c r="H348" s="8" t="s">
        <v>2135</v>
      </c>
      <c r="I348" s="8" t="s">
        <v>1196</v>
      </c>
      <c r="J348" s="8" t="s">
        <v>8957</v>
      </c>
      <c r="K348" s="8" t="s">
        <v>2135</v>
      </c>
      <c r="L348" s="8" t="s">
        <v>2135</v>
      </c>
      <c r="M348" s="8" t="s">
        <v>3332</v>
      </c>
      <c r="N348" s="8" t="s">
        <v>3333</v>
      </c>
      <c r="O348" s="8" t="s">
        <v>2135</v>
      </c>
      <c r="P348" s="8" t="s">
        <v>2135</v>
      </c>
      <c r="Q348" s="8" t="s">
        <v>2135</v>
      </c>
      <c r="R348" s="8" t="s">
        <v>2135</v>
      </c>
      <c r="S348" s="8" t="s">
        <v>2135</v>
      </c>
      <c r="T348" s="8" t="s">
        <v>2135</v>
      </c>
      <c r="U348" s="8" t="s">
        <v>8958</v>
      </c>
      <c r="V348" s="8" t="s">
        <v>8959</v>
      </c>
      <c r="W348" s="8" t="s">
        <v>8960</v>
      </c>
      <c r="X348" s="8" t="s">
        <v>8961</v>
      </c>
      <c r="Y348" s="8" t="s">
        <v>8962</v>
      </c>
      <c r="Z348" s="8" t="s">
        <v>8963</v>
      </c>
      <c r="AA348" s="8" t="s">
        <v>8964</v>
      </c>
      <c r="AB348" s="8" t="s">
        <v>8965</v>
      </c>
      <c r="AC348" s="8" t="s">
        <v>8966</v>
      </c>
      <c r="AD348" s="8" t="s">
        <v>8966</v>
      </c>
      <c r="AE348" s="8" t="s">
        <v>8967</v>
      </c>
      <c r="AF348" s="8" t="s">
        <v>2135</v>
      </c>
      <c r="AG348" s="8">
        <v>23.0</v>
      </c>
      <c r="AH348" s="8">
        <v>10.0</v>
      </c>
      <c r="AI348" s="8">
        <v>12.0</v>
      </c>
      <c r="AJ348" s="8">
        <v>0.0</v>
      </c>
      <c r="AK348" s="8">
        <v>11.0</v>
      </c>
      <c r="AL348" s="8" t="s">
        <v>8968</v>
      </c>
      <c r="AM348" s="8" t="s">
        <v>3624</v>
      </c>
      <c r="AN348" s="8" t="s">
        <v>8969</v>
      </c>
      <c r="AO348" s="8" t="s">
        <v>8970</v>
      </c>
      <c r="AP348" s="8" t="s">
        <v>8971</v>
      </c>
      <c r="AQ348" s="8" t="s">
        <v>2135</v>
      </c>
      <c r="AR348" s="8" t="s">
        <v>8972</v>
      </c>
      <c r="AS348" s="8" t="s">
        <v>8973</v>
      </c>
      <c r="AT348" s="8" t="s">
        <v>8974</v>
      </c>
      <c r="AU348" s="8">
        <v>2009.0</v>
      </c>
      <c r="AV348" s="8">
        <v>164.0</v>
      </c>
      <c r="AW348" s="8">
        <v>13.0</v>
      </c>
      <c r="AX348" s="8" t="s">
        <v>2135</v>
      </c>
      <c r="AY348" s="8" t="s">
        <v>2135</v>
      </c>
      <c r="AZ348" s="8" t="s">
        <v>2135</v>
      </c>
      <c r="BA348" s="8" t="s">
        <v>2135</v>
      </c>
      <c r="BB348" s="8">
        <v>397.0</v>
      </c>
      <c r="BC348" s="8">
        <v>401.0</v>
      </c>
      <c r="BD348" s="8" t="s">
        <v>2135</v>
      </c>
      <c r="BE348" s="8" t="s">
        <v>8975</v>
      </c>
      <c r="BF348" s="13" t="str">
        <f>HYPERLINK("http://dx.doi.org/10.1136/vr.164.13.397","http://dx.doi.org/10.1136/vr.164.13.397")</f>
        <v>http://dx.doi.org/10.1136/vr.164.13.397</v>
      </c>
      <c r="BG348" s="8" t="s">
        <v>2135</v>
      </c>
      <c r="BH348" s="8" t="s">
        <v>2135</v>
      </c>
      <c r="BI348" s="8">
        <v>5.0</v>
      </c>
      <c r="BJ348" s="8" t="s">
        <v>6958</v>
      </c>
      <c r="BK348" s="8" t="s">
        <v>3352</v>
      </c>
      <c r="BL348" s="8" t="s">
        <v>6958</v>
      </c>
      <c r="BM348" s="8" t="s">
        <v>8976</v>
      </c>
      <c r="BN348" s="8">
        <v>1.9329809E7</v>
      </c>
      <c r="BO348" s="8" t="s">
        <v>2135</v>
      </c>
      <c r="BP348" s="8" t="s">
        <v>2135</v>
      </c>
      <c r="BQ348" s="8" t="s">
        <v>2135</v>
      </c>
      <c r="BR348" s="8" t="s">
        <v>3355</v>
      </c>
      <c r="BS348" s="8" t="s">
        <v>8977</v>
      </c>
      <c r="BT348" s="8" t="s">
        <v>2553</v>
      </c>
      <c r="BU348" s="8" t="s">
        <v>2142</v>
      </c>
      <c r="BW348" s="8" t="s">
        <v>2143</v>
      </c>
      <c r="BX348" s="8" t="s">
        <v>3010</v>
      </c>
      <c r="BY348" s="8" t="s">
        <v>2992</v>
      </c>
      <c r="BZ348" s="8" t="str">
        <f>HYPERLINK("https%3A%2F%2Fwww.webofscience.com%2Fwos%2Fwoscc%2Ffull-record%2FWOS:000265174900010","View Full Record in Web of Science")</f>
        <v>View Full Record in Web of Science</v>
      </c>
    </row>
    <row r="349" ht="12.75" customHeight="1">
      <c r="A349" s="8" t="s">
        <v>3329</v>
      </c>
      <c r="B349" s="8" t="s">
        <v>8978</v>
      </c>
      <c r="C349" s="8" t="s">
        <v>2135</v>
      </c>
      <c r="D349" s="8" t="s">
        <v>2135</v>
      </c>
      <c r="E349" s="8" t="s">
        <v>2135</v>
      </c>
      <c r="F349" s="8" t="s">
        <v>8979</v>
      </c>
      <c r="G349" s="8" t="s">
        <v>2135</v>
      </c>
      <c r="H349" s="8" t="s">
        <v>2135</v>
      </c>
      <c r="I349" s="8" t="s">
        <v>1184</v>
      </c>
      <c r="J349" s="8" t="s">
        <v>4422</v>
      </c>
      <c r="K349" s="8" t="s">
        <v>2135</v>
      </c>
      <c r="L349" s="8" t="s">
        <v>2135</v>
      </c>
      <c r="M349" s="8" t="s">
        <v>3332</v>
      </c>
      <c r="N349" s="8" t="s">
        <v>3333</v>
      </c>
      <c r="O349" s="8" t="s">
        <v>2135</v>
      </c>
      <c r="P349" s="8" t="s">
        <v>2135</v>
      </c>
      <c r="Q349" s="8" t="s">
        <v>2135</v>
      </c>
      <c r="R349" s="8" t="s">
        <v>2135</v>
      </c>
      <c r="S349" s="8" t="s">
        <v>2135</v>
      </c>
      <c r="T349" s="8" t="s">
        <v>8980</v>
      </c>
      <c r="U349" s="8" t="s">
        <v>8981</v>
      </c>
      <c r="V349" s="8" t="s">
        <v>8982</v>
      </c>
      <c r="W349" s="8" t="s">
        <v>8983</v>
      </c>
      <c r="X349" s="8" t="s">
        <v>8984</v>
      </c>
      <c r="Y349" s="8" t="s">
        <v>8985</v>
      </c>
      <c r="Z349" s="8" t="s">
        <v>8986</v>
      </c>
      <c r="AA349" s="8" t="s">
        <v>8987</v>
      </c>
      <c r="AB349" s="8" t="s">
        <v>8988</v>
      </c>
      <c r="AC349" s="8" t="s">
        <v>2135</v>
      </c>
      <c r="AD349" s="8" t="s">
        <v>2135</v>
      </c>
      <c r="AE349" s="8" t="s">
        <v>2135</v>
      </c>
      <c r="AF349" s="8" t="s">
        <v>2135</v>
      </c>
      <c r="AG349" s="8">
        <v>59.0</v>
      </c>
      <c r="AH349" s="8">
        <v>93.0</v>
      </c>
      <c r="AI349" s="8">
        <v>106.0</v>
      </c>
      <c r="AJ349" s="8">
        <v>0.0</v>
      </c>
      <c r="AK349" s="8">
        <v>64.0</v>
      </c>
      <c r="AL349" s="8" t="s">
        <v>3342</v>
      </c>
      <c r="AM349" s="8" t="s">
        <v>3343</v>
      </c>
      <c r="AN349" s="8" t="s">
        <v>3344</v>
      </c>
      <c r="AO349" s="8" t="s">
        <v>4429</v>
      </c>
      <c r="AP349" s="8" t="s">
        <v>6676</v>
      </c>
      <c r="AQ349" s="8" t="s">
        <v>2135</v>
      </c>
      <c r="AR349" s="8" t="s">
        <v>4430</v>
      </c>
      <c r="AS349" s="8" t="s">
        <v>4431</v>
      </c>
      <c r="AT349" s="8" t="s">
        <v>3721</v>
      </c>
      <c r="AU349" s="8">
        <v>2009.0</v>
      </c>
      <c r="AV349" s="8">
        <v>18.0</v>
      </c>
      <c r="AW349" s="8">
        <v>6.0</v>
      </c>
      <c r="AX349" s="8" t="s">
        <v>2135</v>
      </c>
      <c r="AY349" s="8" t="s">
        <v>2135</v>
      </c>
      <c r="AZ349" s="8" t="s">
        <v>2135</v>
      </c>
      <c r="BA349" s="8" t="s">
        <v>2135</v>
      </c>
      <c r="BB349" s="8">
        <v>1175.0</v>
      </c>
      <c r="BC349" s="8">
        <v>1186.0</v>
      </c>
      <c r="BD349" s="8" t="s">
        <v>2135</v>
      </c>
      <c r="BE349" s="8" t="s">
        <v>8989</v>
      </c>
      <c r="BF349" s="13" t="str">
        <f>HYPERLINK("http://dx.doi.org/10.1111/j.1365-294X.2009.04100.x","http://dx.doi.org/10.1111/j.1365-294X.2009.04100.x")</f>
        <v>http://dx.doi.org/10.1111/j.1365-294X.2009.04100.x</v>
      </c>
      <c r="BG349" s="8" t="s">
        <v>2135</v>
      </c>
      <c r="BH349" s="8" t="s">
        <v>2135</v>
      </c>
      <c r="BI349" s="8">
        <v>12.0</v>
      </c>
      <c r="BJ349" s="8" t="s">
        <v>4433</v>
      </c>
      <c r="BK349" s="8" t="s">
        <v>3352</v>
      </c>
      <c r="BL349" s="8" t="s">
        <v>4434</v>
      </c>
      <c r="BM349" s="8" t="s">
        <v>8990</v>
      </c>
      <c r="BN349" s="8">
        <v>1.9243512E7</v>
      </c>
      <c r="BO349" s="8" t="s">
        <v>3445</v>
      </c>
      <c r="BP349" s="8" t="s">
        <v>2135</v>
      </c>
      <c r="BQ349" s="8" t="s">
        <v>2135</v>
      </c>
      <c r="BR349" s="8" t="s">
        <v>3355</v>
      </c>
      <c r="BS349" s="8" t="s">
        <v>8991</v>
      </c>
      <c r="BT349" s="8" t="s">
        <v>2216</v>
      </c>
      <c r="BU349" s="8" t="s">
        <v>2147</v>
      </c>
      <c r="BV349" s="8" t="s">
        <v>2217</v>
      </c>
      <c r="BW349" s="8" t="s">
        <v>2155</v>
      </c>
      <c r="BX349" s="8" t="s">
        <v>3190</v>
      </c>
      <c r="BY349" s="8" t="s">
        <v>2992</v>
      </c>
      <c r="BZ349" s="8" t="str">
        <f>HYPERLINK("https%3A%2F%2Fwww.webofscience.com%2Fwos%2Fwoscc%2Ffull-record%2FWOS:000263853600014","View Full Record in Web of Science")</f>
        <v>View Full Record in Web of Science</v>
      </c>
    </row>
    <row r="350" ht="12.75" customHeight="1">
      <c r="A350" s="8" t="s">
        <v>3329</v>
      </c>
      <c r="B350" s="8" t="s">
        <v>8992</v>
      </c>
      <c r="C350" s="8" t="s">
        <v>2135</v>
      </c>
      <c r="D350" s="8" t="s">
        <v>2135</v>
      </c>
      <c r="E350" s="8" t="s">
        <v>2135</v>
      </c>
      <c r="F350" s="8" t="s">
        <v>8993</v>
      </c>
      <c r="G350" s="8" t="s">
        <v>2135</v>
      </c>
      <c r="H350" s="8" t="s">
        <v>2135</v>
      </c>
      <c r="I350" s="8" t="s">
        <v>1095</v>
      </c>
      <c r="J350" s="8" t="s">
        <v>8994</v>
      </c>
      <c r="K350" s="8" t="s">
        <v>2135</v>
      </c>
      <c r="L350" s="8" t="s">
        <v>2135</v>
      </c>
      <c r="M350" s="8" t="s">
        <v>3332</v>
      </c>
      <c r="N350" s="8" t="s">
        <v>3333</v>
      </c>
      <c r="O350" s="8" t="s">
        <v>2135</v>
      </c>
      <c r="P350" s="8" t="s">
        <v>2135</v>
      </c>
      <c r="Q350" s="8" t="s">
        <v>2135</v>
      </c>
      <c r="R350" s="8" t="s">
        <v>2135</v>
      </c>
      <c r="S350" s="8" t="s">
        <v>2135</v>
      </c>
      <c r="T350" s="8" t="s">
        <v>8995</v>
      </c>
      <c r="U350" s="8" t="s">
        <v>8996</v>
      </c>
      <c r="V350" s="8" t="s">
        <v>8997</v>
      </c>
      <c r="W350" s="8" t="s">
        <v>8998</v>
      </c>
      <c r="X350" s="8" t="s">
        <v>8999</v>
      </c>
      <c r="Y350" s="8" t="s">
        <v>9000</v>
      </c>
      <c r="Z350" s="8" t="s">
        <v>9001</v>
      </c>
      <c r="AA350" s="8" t="s">
        <v>9002</v>
      </c>
      <c r="AB350" s="8" t="s">
        <v>9003</v>
      </c>
      <c r="AC350" s="8" t="s">
        <v>9004</v>
      </c>
      <c r="AD350" s="8" t="s">
        <v>9005</v>
      </c>
      <c r="AE350" s="8" t="s">
        <v>9006</v>
      </c>
      <c r="AF350" s="8" t="s">
        <v>2135</v>
      </c>
      <c r="AG350" s="8">
        <v>33.0</v>
      </c>
      <c r="AH350" s="8">
        <v>126.0</v>
      </c>
      <c r="AI350" s="8">
        <v>156.0</v>
      </c>
      <c r="AJ350" s="8">
        <v>0.0</v>
      </c>
      <c r="AK350" s="8">
        <v>114.0</v>
      </c>
      <c r="AL350" s="8" t="s">
        <v>9007</v>
      </c>
      <c r="AM350" s="8" t="s">
        <v>9008</v>
      </c>
      <c r="AN350" s="8" t="s">
        <v>9009</v>
      </c>
      <c r="AO350" s="8" t="s">
        <v>9010</v>
      </c>
      <c r="AP350" s="8" t="s">
        <v>2135</v>
      </c>
      <c r="AQ350" s="8" t="s">
        <v>2135</v>
      </c>
      <c r="AR350" s="8" t="s">
        <v>9011</v>
      </c>
      <c r="AS350" s="8" t="s">
        <v>9012</v>
      </c>
      <c r="AT350" s="8" t="s">
        <v>9013</v>
      </c>
      <c r="AU350" s="8">
        <v>2009.0</v>
      </c>
      <c r="AV350" s="8">
        <v>106.0</v>
      </c>
      <c r="AW350" s="8">
        <v>7.0</v>
      </c>
      <c r="AX350" s="8" t="s">
        <v>2135</v>
      </c>
      <c r="AY350" s="8" t="s">
        <v>2135</v>
      </c>
      <c r="AZ350" s="8" t="s">
        <v>2135</v>
      </c>
      <c r="BA350" s="8" t="s">
        <v>2135</v>
      </c>
      <c r="BB350" s="8">
        <v>2242.0</v>
      </c>
      <c r="BC350" s="8">
        <v>2247.0</v>
      </c>
      <c r="BD350" s="8" t="s">
        <v>2135</v>
      </c>
      <c r="BE350" s="8" t="s">
        <v>9014</v>
      </c>
      <c r="BF350" s="13" t="str">
        <f>HYPERLINK("http://dx.doi.org/10.1073/pnas.0806449106","http://dx.doi.org/10.1073/pnas.0806449106")</f>
        <v>http://dx.doi.org/10.1073/pnas.0806449106</v>
      </c>
      <c r="BG350" s="8" t="s">
        <v>2135</v>
      </c>
      <c r="BH350" s="8" t="s">
        <v>2135</v>
      </c>
      <c r="BI350" s="8">
        <v>6.0</v>
      </c>
      <c r="BJ350" s="8" t="s">
        <v>3656</v>
      </c>
      <c r="BK350" s="8" t="s">
        <v>3352</v>
      </c>
      <c r="BL350" s="8" t="s">
        <v>3657</v>
      </c>
      <c r="BM350" s="8" t="s">
        <v>9015</v>
      </c>
      <c r="BN350" s="8">
        <v>1.9164513E7</v>
      </c>
      <c r="BO350" s="8" t="s">
        <v>3425</v>
      </c>
      <c r="BP350" s="8" t="s">
        <v>2135</v>
      </c>
      <c r="BQ350" s="8" t="s">
        <v>2135</v>
      </c>
      <c r="BR350" s="8" t="s">
        <v>3355</v>
      </c>
      <c r="BS350" s="8" t="s">
        <v>9016</v>
      </c>
      <c r="BT350" s="8" t="s">
        <v>2600</v>
      </c>
      <c r="BU350" s="8" t="s">
        <v>2147</v>
      </c>
      <c r="BV350" s="8" t="s">
        <v>2217</v>
      </c>
      <c r="BW350" s="8" t="s">
        <v>2237</v>
      </c>
      <c r="BX350" s="8" t="s">
        <v>2985</v>
      </c>
      <c r="BY350" s="8" t="s">
        <v>2992</v>
      </c>
      <c r="BZ350" s="8" t="str">
        <f>HYPERLINK("https%3A%2F%2Fwww.webofscience.com%2Fwos%2Fwoscc%2Ffull-record%2FWOS:000263516100031","View Full Record in Web of Science")</f>
        <v>View Full Record in Web of Science</v>
      </c>
    </row>
    <row r="351" ht="12.75" customHeight="1">
      <c r="A351" s="8" t="s">
        <v>3329</v>
      </c>
      <c r="B351" s="8" t="s">
        <v>9017</v>
      </c>
      <c r="C351" s="8" t="s">
        <v>2135</v>
      </c>
      <c r="D351" s="8" t="s">
        <v>2135</v>
      </c>
      <c r="E351" s="8" t="s">
        <v>2135</v>
      </c>
      <c r="F351" s="8" t="s">
        <v>9018</v>
      </c>
      <c r="G351" s="8" t="s">
        <v>2135</v>
      </c>
      <c r="H351" s="8" t="s">
        <v>2135</v>
      </c>
      <c r="I351" s="8" t="s">
        <v>1180</v>
      </c>
      <c r="J351" s="8" t="s">
        <v>7602</v>
      </c>
      <c r="K351" s="8" t="s">
        <v>2135</v>
      </c>
      <c r="L351" s="8" t="s">
        <v>2135</v>
      </c>
      <c r="M351" s="8" t="s">
        <v>3332</v>
      </c>
      <c r="N351" s="8" t="s">
        <v>3333</v>
      </c>
      <c r="O351" s="8" t="s">
        <v>2135</v>
      </c>
      <c r="P351" s="8" t="s">
        <v>2135</v>
      </c>
      <c r="Q351" s="8" t="s">
        <v>2135</v>
      </c>
      <c r="R351" s="8" t="s">
        <v>2135</v>
      </c>
      <c r="S351" s="8" t="s">
        <v>2135</v>
      </c>
      <c r="T351" s="8" t="s">
        <v>9019</v>
      </c>
      <c r="U351" s="8" t="s">
        <v>9020</v>
      </c>
      <c r="V351" s="8" t="s">
        <v>9021</v>
      </c>
      <c r="W351" s="8" t="s">
        <v>9022</v>
      </c>
      <c r="X351" s="8" t="s">
        <v>9023</v>
      </c>
      <c r="Y351" s="8" t="s">
        <v>9024</v>
      </c>
      <c r="Z351" s="8" t="s">
        <v>9025</v>
      </c>
      <c r="AA351" s="8" t="s">
        <v>2135</v>
      </c>
      <c r="AB351" s="8" t="s">
        <v>9026</v>
      </c>
      <c r="AC351" s="8" t="s">
        <v>2135</v>
      </c>
      <c r="AD351" s="8" t="s">
        <v>2135</v>
      </c>
      <c r="AE351" s="8" t="s">
        <v>2135</v>
      </c>
      <c r="AF351" s="8" t="s">
        <v>2135</v>
      </c>
      <c r="AG351" s="8">
        <v>53.0</v>
      </c>
      <c r="AH351" s="8">
        <v>29.0</v>
      </c>
      <c r="AI351" s="8">
        <v>33.0</v>
      </c>
      <c r="AJ351" s="8">
        <v>1.0</v>
      </c>
      <c r="AK351" s="8">
        <v>23.0</v>
      </c>
      <c r="AL351" s="8" t="s">
        <v>7615</v>
      </c>
      <c r="AM351" s="8" t="s">
        <v>3390</v>
      </c>
      <c r="AN351" s="8" t="s">
        <v>7616</v>
      </c>
      <c r="AO351" s="8" t="s">
        <v>7617</v>
      </c>
      <c r="AP351" s="8" t="s">
        <v>7618</v>
      </c>
      <c r="AQ351" s="8" t="s">
        <v>2135</v>
      </c>
      <c r="AR351" s="8" t="s">
        <v>7619</v>
      </c>
      <c r="AS351" s="8" t="s">
        <v>7620</v>
      </c>
      <c r="AT351" s="8" t="s">
        <v>3580</v>
      </c>
      <c r="AU351" s="8">
        <v>2008.0</v>
      </c>
      <c r="AV351" s="8">
        <v>44.0</v>
      </c>
      <c r="AW351" s="8">
        <v>4.0</v>
      </c>
      <c r="AX351" s="8" t="s">
        <v>2135</v>
      </c>
      <c r="AY351" s="8" t="s">
        <v>2135</v>
      </c>
      <c r="AZ351" s="8" t="s">
        <v>2135</v>
      </c>
      <c r="BA351" s="8" t="s">
        <v>2135</v>
      </c>
      <c r="BB351" s="8">
        <v>791.0</v>
      </c>
      <c r="BC351" s="8">
        <v>801.0</v>
      </c>
      <c r="BD351" s="8" t="s">
        <v>2135</v>
      </c>
      <c r="BE351" s="8" t="s">
        <v>9027</v>
      </c>
      <c r="BF351" s="13" t="str">
        <f>HYPERLINK("http://dx.doi.org/10.7589/0090-3558-44.4.791","http://dx.doi.org/10.7589/0090-3558-44.4.791")</f>
        <v>http://dx.doi.org/10.7589/0090-3558-44.4.791</v>
      </c>
      <c r="BG351" s="8" t="s">
        <v>2135</v>
      </c>
      <c r="BH351" s="8" t="s">
        <v>2135</v>
      </c>
      <c r="BI351" s="8">
        <v>11.0</v>
      </c>
      <c r="BJ351" s="8" t="s">
        <v>6958</v>
      </c>
      <c r="BK351" s="8" t="s">
        <v>3352</v>
      </c>
      <c r="BL351" s="8" t="s">
        <v>6958</v>
      </c>
      <c r="BM351" s="8" t="s">
        <v>9028</v>
      </c>
      <c r="BN351" s="8">
        <v>1.8957635E7</v>
      </c>
      <c r="BO351" s="8" t="s">
        <v>2135</v>
      </c>
      <c r="BP351" s="8" t="s">
        <v>2135</v>
      </c>
      <c r="BQ351" s="8" t="s">
        <v>2135</v>
      </c>
      <c r="BR351" s="8" t="s">
        <v>3355</v>
      </c>
      <c r="BS351" s="8" t="s">
        <v>9029</v>
      </c>
      <c r="BT351" s="8" t="s">
        <v>2325</v>
      </c>
      <c r="BU351" s="8" t="s">
        <v>2142</v>
      </c>
      <c r="BW351" s="8" t="s">
        <v>2168</v>
      </c>
      <c r="BX351" s="8" t="s">
        <v>2985</v>
      </c>
      <c r="BY351" s="8" t="s">
        <v>2992</v>
      </c>
      <c r="BZ351" s="8" t="str">
        <f>HYPERLINK("https%3A%2F%2Fwww.webofscience.com%2Fwos%2Fwoscc%2Ffull-record%2FWOS:000260801500001","View Full Record in Web of Science")</f>
        <v>View Full Record in Web of Science</v>
      </c>
    </row>
    <row r="352" ht="12.75" customHeight="1">
      <c r="A352" s="8" t="s">
        <v>3329</v>
      </c>
      <c r="B352" s="8" t="s">
        <v>9030</v>
      </c>
      <c r="C352" s="8" t="s">
        <v>2135</v>
      </c>
      <c r="D352" s="8" t="s">
        <v>2135</v>
      </c>
      <c r="E352" s="8" t="s">
        <v>2135</v>
      </c>
      <c r="F352" s="8" t="s">
        <v>9031</v>
      </c>
      <c r="G352" s="8" t="s">
        <v>2135</v>
      </c>
      <c r="H352" s="8" t="s">
        <v>2135</v>
      </c>
      <c r="I352" s="8" t="s">
        <v>1176</v>
      </c>
      <c r="J352" s="8" t="s">
        <v>4336</v>
      </c>
      <c r="K352" s="8" t="s">
        <v>2135</v>
      </c>
      <c r="L352" s="8" t="s">
        <v>2135</v>
      </c>
      <c r="M352" s="8" t="s">
        <v>3332</v>
      </c>
      <c r="N352" s="8" t="s">
        <v>3333</v>
      </c>
      <c r="O352" s="8" t="s">
        <v>2135</v>
      </c>
      <c r="P352" s="8" t="s">
        <v>2135</v>
      </c>
      <c r="Q352" s="8" t="s">
        <v>2135</v>
      </c>
      <c r="R352" s="8" t="s">
        <v>2135</v>
      </c>
      <c r="S352" s="8" t="s">
        <v>2135</v>
      </c>
      <c r="T352" s="8" t="s">
        <v>9032</v>
      </c>
      <c r="U352" s="8" t="s">
        <v>9033</v>
      </c>
      <c r="V352" s="8" t="s">
        <v>9034</v>
      </c>
      <c r="W352" s="8" t="s">
        <v>9035</v>
      </c>
      <c r="X352" s="8" t="s">
        <v>6446</v>
      </c>
      <c r="Y352" s="8" t="s">
        <v>9036</v>
      </c>
      <c r="Z352" s="8" t="s">
        <v>9037</v>
      </c>
      <c r="AA352" s="8" t="s">
        <v>2135</v>
      </c>
      <c r="AB352" s="8" t="s">
        <v>9038</v>
      </c>
      <c r="AC352" s="8" t="s">
        <v>9039</v>
      </c>
      <c r="AD352" s="8" t="s">
        <v>9039</v>
      </c>
      <c r="AE352" s="8" t="s">
        <v>9040</v>
      </c>
      <c r="AF352" s="8" t="s">
        <v>2135</v>
      </c>
      <c r="AG352" s="8">
        <v>70.0</v>
      </c>
      <c r="AH352" s="8">
        <v>10.0</v>
      </c>
      <c r="AI352" s="8">
        <v>10.0</v>
      </c>
      <c r="AJ352" s="8">
        <v>1.0</v>
      </c>
      <c r="AK352" s="8">
        <v>18.0</v>
      </c>
      <c r="AL352" s="8" t="s">
        <v>4346</v>
      </c>
      <c r="AM352" s="8" t="s">
        <v>4347</v>
      </c>
      <c r="AN352" s="8" t="s">
        <v>4348</v>
      </c>
      <c r="AO352" s="8" t="s">
        <v>4349</v>
      </c>
      <c r="AP352" s="8" t="s">
        <v>4350</v>
      </c>
      <c r="AQ352" s="8" t="s">
        <v>2135</v>
      </c>
      <c r="AR352" s="8" t="s">
        <v>4351</v>
      </c>
      <c r="AS352" s="8" t="s">
        <v>4352</v>
      </c>
      <c r="AT352" s="8" t="s">
        <v>2135</v>
      </c>
      <c r="AU352" s="8">
        <v>2008.0</v>
      </c>
      <c r="AV352" s="8">
        <v>57.0</v>
      </c>
      <c r="AW352" s="8">
        <v>4.0</v>
      </c>
      <c r="AX352" s="8" t="s">
        <v>2135</v>
      </c>
      <c r="AY352" s="8" t="s">
        <v>2135</v>
      </c>
      <c r="AZ352" s="8" t="s">
        <v>2135</v>
      </c>
      <c r="BA352" s="8" t="s">
        <v>2135</v>
      </c>
      <c r="BB352" s="8">
        <v>373.0</v>
      </c>
      <c r="BC352" s="8">
        <v>391.0</v>
      </c>
      <c r="BD352" s="8" t="s">
        <v>2135</v>
      </c>
      <c r="BE352" s="8" t="s">
        <v>2135</v>
      </c>
      <c r="BF352" s="8" t="s">
        <v>2135</v>
      </c>
      <c r="BG352" s="8" t="s">
        <v>2135</v>
      </c>
      <c r="BH352" s="8" t="s">
        <v>2135</v>
      </c>
      <c r="BI352" s="8">
        <v>19.0</v>
      </c>
      <c r="BJ352" s="8" t="s">
        <v>3397</v>
      </c>
      <c r="BK352" s="8" t="s">
        <v>3352</v>
      </c>
      <c r="BL352" s="8" t="s">
        <v>3397</v>
      </c>
      <c r="BM352" s="8" t="s">
        <v>9041</v>
      </c>
      <c r="BN352" s="8" t="s">
        <v>2135</v>
      </c>
      <c r="BO352" s="8" t="s">
        <v>2135</v>
      </c>
      <c r="BP352" s="8" t="s">
        <v>2135</v>
      </c>
      <c r="BQ352" s="8" t="s">
        <v>2135</v>
      </c>
      <c r="BR352" s="8" t="s">
        <v>3355</v>
      </c>
      <c r="BS352" s="8" t="s">
        <v>9042</v>
      </c>
      <c r="BT352" s="8" t="s">
        <v>2163</v>
      </c>
      <c r="BU352" s="8" t="s">
        <v>2142</v>
      </c>
      <c r="BW352" s="8" t="s">
        <v>2175</v>
      </c>
      <c r="BX352" s="8" t="s">
        <v>3010</v>
      </c>
      <c r="BY352" s="8" t="s">
        <v>2992</v>
      </c>
      <c r="BZ352" s="8" t="str">
        <f>HYPERLINK("https%3A%2F%2Fwww.webofscience.com%2Fwos%2Fwoscc%2Ffull-record%2FWOS:000261671100004","View Full Record in Web of Science")</f>
        <v>View Full Record in Web of Science</v>
      </c>
    </row>
    <row r="353" ht="12.75" customHeight="1">
      <c r="A353" s="8" t="s">
        <v>3329</v>
      </c>
      <c r="B353" s="8" t="s">
        <v>9043</v>
      </c>
      <c r="C353" s="8" t="s">
        <v>2135</v>
      </c>
      <c r="D353" s="8" t="s">
        <v>2135</v>
      </c>
      <c r="E353" s="8" t="s">
        <v>2135</v>
      </c>
      <c r="F353" s="8" t="s">
        <v>9044</v>
      </c>
      <c r="G353" s="8" t="s">
        <v>2135</v>
      </c>
      <c r="H353" s="8" t="s">
        <v>2135</v>
      </c>
      <c r="I353" s="8" t="s">
        <v>1182</v>
      </c>
      <c r="J353" s="8" t="s">
        <v>7602</v>
      </c>
      <c r="K353" s="8" t="s">
        <v>2135</v>
      </c>
      <c r="L353" s="8" t="s">
        <v>2135</v>
      </c>
      <c r="M353" s="8" t="s">
        <v>3332</v>
      </c>
      <c r="N353" s="8" t="s">
        <v>3333</v>
      </c>
      <c r="O353" s="8" t="s">
        <v>2135</v>
      </c>
      <c r="P353" s="8" t="s">
        <v>2135</v>
      </c>
      <c r="Q353" s="8" t="s">
        <v>2135</v>
      </c>
      <c r="R353" s="8" t="s">
        <v>2135</v>
      </c>
      <c r="S353" s="8" t="s">
        <v>2135</v>
      </c>
      <c r="T353" s="8" t="s">
        <v>9045</v>
      </c>
      <c r="U353" s="8" t="s">
        <v>9046</v>
      </c>
      <c r="V353" s="8" t="s">
        <v>9047</v>
      </c>
      <c r="W353" s="8" t="s">
        <v>9048</v>
      </c>
      <c r="X353" s="8" t="s">
        <v>9049</v>
      </c>
      <c r="Y353" s="8" t="s">
        <v>9050</v>
      </c>
      <c r="Z353" s="8" t="s">
        <v>9051</v>
      </c>
      <c r="AA353" s="8" t="s">
        <v>2135</v>
      </c>
      <c r="AB353" s="8" t="s">
        <v>9052</v>
      </c>
      <c r="AC353" s="8" t="s">
        <v>2135</v>
      </c>
      <c r="AD353" s="8" t="s">
        <v>2135</v>
      </c>
      <c r="AE353" s="8" t="s">
        <v>2135</v>
      </c>
      <c r="AF353" s="8" t="s">
        <v>2135</v>
      </c>
      <c r="AG353" s="8">
        <v>41.0</v>
      </c>
      <c r="AH353" s="8">
        <v>11.0</v>
      </c>
      <c r="AI353" s="8">
        <v>13.0</v>
      </c>
      <c r="AJ353" s="8">
        <v>0.0</v>
      </c>
      <c r="AK353" s="8">
        <v>25.0</v>
      </c>
      <c r="AL353" s="8" t="s">
        <v>7615</v>
      </c>
      <c r="AM353" s="8" t="s">
        <v>3390</v>
      </c>
      <c r="AN353" s="8" t="s">
        <v>7616</v>
      </c>
      <c r="AO353" s="8" t="s">
        <v>7617</v>
      </c>
      <c r="AP353" s="8" t="s">
        <v>7618</v>
      </c>
      <c r="AQ353" s="8" t="s">
        <v>2135</v>
      </c>
      <c r="AR353" s="8" t="s">
        <v>7619</v>
      </c>
      <c r="AS353" s="8" t="s">
        <v>7620</v>
      </c>
      <c r="AT353" s="8" t="s">
        <v>3629</v>
      </c>
      <c r="AU353" s="8">
        <v>2008.0</v>
      </c>
      <c r="AV353" s="8">
        <v>44.0</v>
      </c>
      <c r="AW353" s="8">
        <v>1.0</v>
      </c>
      <c r="AX353" s="8" t="s">
        <v>2135</v>
      </c>
      <c r="AY353" s="8" t="s">
        <v>2135</v>
      </c>
      <c r="AZ353" s="8" t="s">
        <v>2135</v>
      </c>
      <c r="BA353" s="8" t="s">
        <v>2135</v>
      </c>
      <c r="BB353" s="8">
        <v>53.0</v>
      </c>
      <c r="BC353" s="8">
        <v>64.0</v>
      </c>
      <c r="BD353" s="8" t="s">
        <v>2135</v>
      </c>
      <c r="BE353" s="8" t="s">
        <v>9053</v>
      </c>
      <c r="BF353" s="13" t="str">
        <f>HYPERLINK("http://dx.doi.org/10.7589/0090-3558-44.1.53","http://dx.doi.org/10.7589/0090-3558-44.1.53")</f>
        <v>http://dx.doi.org/10.7589/0090-3558-44.1.53</v>
      </c>
      <c r="BG353" s="8" t="s">
        <v>2135</v>
      </c>
      <c r="BH353" s="8" t="s">
        <v>2135</v>
      </c>
      <c r="BI353" s="8">
        <v>12.0</v>
      </c>
      <c r="BJ353" s="8" t="s">
        <v>6958</v>
      </c>
      <c r="BK353" s="8" t="s">
        <v>3352</v>
      </c>
      <c r="BL353" s="8" t="s">
        <v>6958</v>
      </c>
      <c r="BM353" s="8" t="s">
        <v>9054</v>
      </c>
      <c r="BN353" s="8">
        <v>1.8263821E7</v>
      </c>
      <c r="BO353" s="8" t="s">
        <v>3445</v>
      </c>
      <c r="BP353" s="8" t="s">
        <v>2135</v>
      </c>
      <c r="BQ353" s="8" t="s">
        <v>2135</v>
      </c>
      <c r="BR353" s="8" t="s">
        <v>3355</v>
      </c>
      <c r="BS353" s="8" t="s">
        <v>9055</v>
      </c>
      <c r="BT353" s="8" t="s">
        <v>2600</v>
      </c>
      <c r="BU353" s="8" t="s">
        <v>2147</v>
      </c>
      <c r="BV353" s="8" t="s">
        <v>2217</v>
      </c>
      <c r="BW353" s="8" t="s">
        <v>2601</v>
      </c>
      <c r="BX353" s="8" t="s">
        <v>2983</v>
      </c>
      <c r="BY353" s="8" t="s">
        <v>2992</v>
      </c>
      <c r="BZ353" s="8" t="str">
        <f>HYPERLINK("https%3A%2F%2Fwww.webofscience.com%2Fwos%2Fwoscc%2Ffull-record%2FWOS:000253177100006","View Full Record in Web of Science")</f>
        <v>View Full Record in Web of Science</v>
      </c>
    </row>
    <row r="354" ht="12.75" customHeight="1">
      <c r="A354" s="8" t="s">
        <v>3329</v>
      </c>
      <c r="B354" s="8" t="s">
        <v>9056</v>
      </c>
      <c r="C354" s="8" t="s">
        <v>2135</v>
      </c>
      <c r="D354" s="8" t="s">
        <v>2135</v>
      </c>
      <c r="E354" s="8" t="s">
        <v>2135</v>
      </c>
      <c r="F354" s="8" t="s">
        <v>9057</v>
      </c>
      <c r="G354" s="8" t="s">
        <v>2135</v>
      </c>
      <c r="H354" s="8" t="s">
        <v>2135</v>
      </c>
      <c r="I354" s="8" t="s">
        <v>1170</v>
      </c>
      <c r="J354" s="8" t="s">
        <v>3747</v>
      </c>
      <c r="K354" s="8" t="s">
        <v>2135</v>
      </c>
      <c r="L354" s="8" t="s">
        <v>2135</v>
      </c>
      <c r="M354" s="8" t="s">
        <v>3332</v>
      </c>
      <c r="N354" s="8" t="s">
        <v>3333</v>
      </c>
      <c r="O354" s="8" t="s">
        <v>2135</v>
      </c>
      <c r="P354" s="8" t="s">
        <v>2135</v>
      </c>
      <c r="Q354" s="8" t="s">
        <v>2135</v>
      </c>
      <c r="R354" s="8" t="s">
        <v>2135</v>
      </c>
      <c r="S354" s="8" t="s">
        <v>2135</v>
      </c>
      <c r="T354" s="8" t="s">
        <v>9058</v>
      </c>
      <c r="U354" s="8" t="s">
        <v>9059</v>
      </c>
      <c r="V354" s="8" t="s">
        <v>9060</v>
      </c>
      <c r="W354" s="8" t="s">
        <v>9061</v>
      </c>
      <c r="X354" s="8" t="s">
        <v>9062</v>
      </c>
      <c r="Y354" s="8" t="s">
        <v>9063</v>
      </c>
      <c r="Z354" s="8" t="s">
        <v>5269</v>
      </c>
      <c r="AA354" s="8" t="s">
        <v>8644</v>
      </c>
      <c r="AB354" s="8" t="s">
        <v>8645</v>
      </c>
      <c r="AC354" s="8" t="s">
        <v>2135</v>
      </c>
      <c r="AD354" s="8" t="s">
        <v>2135</v>
      </c>
      <c r="AE354" s="8" t="s">
        <v>2135</v>
      </c>
      <c r="AF354" s="8" t="s">
        <v>2135</v>
      </c>
      <c r="AG354" s="8">
        <v>38.0</v>
      </c>
      <c r="AH354" s="8">
        <v>36.0</v>
      </c>
      <c r="AI354" s="8">
        <v>42.0</v>
      </c>
      <c r="AJ354" s="8">
        <v>0.0</v>
      </c>
      <c r="AK354" s="8">
        <v>26.0</v>
      </c>
      <c r="AL354" s="8" t="s">
        <v>3758</v>
      </c>
      <c r="AM354" s="8" t="s">
        <v>3759</v>
      </c>
      <c r="AN354" s="8" t="s">
        <v>3760</v>
      </c>
      <c r="AO354" s="8" t="s">
        <v>3761</v>
      </c>
      <c r="AP354" s="8" t="s">
        <v>2135</v>
      </c>
      <c r="AQ354" s="8" t="s">
        <v>2135</v>
      </c>
      <c r="AR354" s="8" t="s">
        <v>3763</v>
      </c>
      <c r="AS354" s="8" t="s">
        <v>3764</v>
      </c>
      <c r="AT354" s="8" t="s">
        <v>3462</v>
      </c>
      <c r="AU354" s="8">
        <v>2007.0</v>
      </c>
      <c r="AV354" s="8">
        <v>139.0</v>
      </c>
      <c r="AW354" s="8" t="s">
        <v>4482</v>
      </c>
      <c r="AX354" s="8" t="s">
        <v>2135</v>
      </c>
      <c r="AY354" s="8" t="s">
        <v>2135</v>
      </c>
      <c r="AZ354" s="8" t="s">
        <v>2135</v>
      </c>
      <c r="BA354" s="8" t="s">
        <v>2135</v>
      </c>
      <c r="BB354" s="8">
        <v>12.0</v>
      </c>
      <c r="BC354" s="8">
        <v>18.0</v>
      </c>
      <c r="BD354" s="8" t="s">
        <v>2135</v>
      </c>
      <c r="BE354" s="8" t="s">
        <v>9064</v>
      </c>
      <c r="BF354" s="13" t="str">
        <f>HYPERLINK("http://dx.doi.org/10.1016/j.biocon.2007.05.020","http://dx.doi.org/10.1016/j.biocon.2007.05.020")</f>
        <v>http://dx.doi.org/10.1016/j.biocon.2007.05.020</v>
      </c>
      <c r="BG354" s="8" t="s">
        <v>2135</v>
      </c>
      <c r="BH354" s="8" t="s">
        <v>2135</v>
      </c>
      <c r="BI354" s="8">
        <v>7.0</v>
      </c>
      <c r="BJ354" s="8" t="s">
        <v>3351</v>
      </c>
      <c r="BK354" s="8" t="s">
        <v>3352</v>
      </c>
      <c r="BL354" s="8" t="s">
        <v>3353</v>
      </c>
      <c r="BM354" s="8" t="s">
        <v>9065</v>
      </c>
      <c r="BN354" s="8" t="s">
        <v>2135</v>
      </c>
      <c r="BO354" s="8" t="s">
        <v>2135</v>
      </c>
      <c r="BP354" s="8" t="s">
        <v>2135</v>
      </c>
      <c r="BQ354" s="8" t="s">
        <v>2135</v>
      </c>
      <c r="BR354" s="8" t="s">
        <v>3355</v>
      </c>
      <c r="BS354" s="8" t="s">
        <v>9066</v>
      </c>
      <c r="BT354" s="8" t="s">
        <v>2216</v>
      </c>
      <c r="BU354" s="8" t="s">
        <v>2147</v>
      </c>
      <c r="BV354" s="8" t="s">
        <v>2217</v>
      </c>
      <c r="BW354" s="8" t="s">
        <v>2155</v>
      </c>
      <c r="BX354" s="8" t="s">
        <v>3010</v>
      </c>
      <c r="BY354" s="8" t="s">
        <v>2992</v>
      </c>
      <c r="BZ354" s="8" t="str">
        <f>HYPERLINK("https%3A%2F%2Fwww.webofscience.com%2Fwos%2Fwoscc%2Ffull-record%2FWOS:000249935400002","View Full Record in Web of Science")</f>
        <v>View Full Record in Web of Science</v>
      </c>
    </row>
    <row r="355" ht="12.75" customHeight="1">
      <c r="A355" s="8" t="s">
        <v>3329</v>
      </c>
      <c r="B355" s="8" t="s">
        <v>9067</v>
      </c>
      <c r="C355" s="8" t="s">
        <v>2135</v>
      </c>
      <c r="D355" s="8" t="s">
        <v>2135</v>
      </c>
      <c r="E355" s="8" t="s">
        <v>2135</v>
      </c>
      <c r="F355" s="8" t="s">
        <v>9068</v>
      </c>
      <c r="G355" s="8" t="s">
        <v>2135</v>
      </c>
      <c r="H355" s="8" t="s">
        <v>2135</v>
      </c>
      <c r="I355" s="8" t="s">
        <v>1101</v>
      </c>
      <c r="J355" s="8" t="s">
        <v>9069</v>
      </c>
      <c r="K355" s="8" t="s">
        <v>2135</v>
      </c>
      <c r="L355" s="8" t="s">
        <v>2135</v>
      </c>
      <c r="M355" s="8" t="s">
        <v>3332</v>
      </c>
      <c r="N355" s="8" t="s">
        <v>3963</v>
      </c>
      <c r="O355" s="8" t="s">
        <v>9070</v>
      </c>
      <c r="P355" s="8" t="s">
        <v>9071</v>
      </c>
      <c r="Q355" s="8" t="s">
        <v>9072</v>
      </c>
      <c r="R355" s="8" t="s">
        <v>9073</v>
      </c>
      <c r="S355" s="8" t="s">
        <v>2135</v>
      </c>
      <c r="T355" s="8" t="s">
        <v>9074</v>
      </c>
      <c r="U355" s="8" t="s">
        <v>9075</v>
      </c>
      <c r="V355" s="8" t="s">
        <v>9076</v>
      </c>
      <c r="W355" s="8" t="s">
        <v>9077</v>
      </c>
      <c r="X355" s="8" t="s">
        <v>4373</v>
      </c>
      <c r="Y355" s="8" t="s">
        <v>9078</v>
      </c>
      <c r="Z355" s="8" t="s">
        <v>9079</v>
      </c>
      <c r="AA355" s="8" t="s">
        <v>2135</v>
      </c>
      <c r="AB355" s="8" t="s">
        <v>2135</v>
      </c>
      <c r="AC355" s="8" t="s">
        <v>2135</v>
      </c>
      <c r="AD355" s="8" t="s">
        <v>2135</v>
      </c>
      <c r="AE355" s="8" t="s">
        <v>2135</v>
      </c>
      <c r="AF355" s="8" t="s">
        <v>2135</v>
      </c>
      <c r="AG355" s="8">
        <v>25.0</v>
      </c>
      <c r="AH355" s="8">
        <v>4.0</v>
      </c>
      <c r="AI355" s="8">
        <v>4.0</v>
      </c>
      <c r="AJ355" s="8">
        <v>1.0</v>
      </c>
      <c r="AK355" s="8">
        <v>30.0</v>
      </c>
      <c r="AL355" s="8" t="s">
        <v>9080</v>
      </c>
      <c r="AM355" s="8" t="s">
        <v>3480</v>
      </c>
      <c r="AN355" s="8" t="s">
        <v>9081</v>
      </c>
      <c r="AO355" s="8" t="s">
        <v>9082</v>
      </c>
      <c r="AP355" s="8" t="s">
        <v>9083</v>
      </c>
      <c r="AQ355" s="8" t="s">
        <v>2135</v>
      </c>
      <c r="AR355" s="8" t="s">
        <v>9084</v>
      </c>
      <c r="AS355" s="8" t="s">
        <v>9085</v>
      </c>
      <c r="AT355" s="8" t="s">
        <v>9086</v>
      </c>
      <c r="AU355" s="8">
        <v>2007.0</v>
      </c>
      <c r="AV355" s="8">
        <v>18.0</v>
      </c>
      <c r="AW355" s="8">
        <v>1.0</v>
      </c>
      <c r="AX355" s="8" t="s">
        <v>2135</v>
      </c>
      <c r="AY355" s="8" t="s">
        <v>2135</v>
      </c>
      <c r="AZ355" s="8" t="s">
        <v>2135</v>
      </c>
      <c r="BA355" s="8" t="s">
        <v>2135</v>
      </c>
      <c r="BB355" s="8">
        <v>41.0</v>
      </c>
      <c r="BC355" s="8">
        <v>44.0</v>
      </c>
      <c r="BD355" s="8" t="s">
        <v>2135</v>
      </c>
      <c r="BE355" s="8" t="s">
        <v>9087</v>
      </c>
      <c r="BF355" s="13" t="str">
        <f>HYPERLINK("http://dx.doi.org/10.1580/1080-6032(2007)18[41:HNAROC]2.0.CO;2","http://dx.doi.org/10.1580/1080-6032(2007)18[41:HNAROC]2.0.CO;2")</f>
        <v>http://dx.doi.org/10.1580/1080-6032(2007)18[41:HNAROC]2.0.CO;2</v>
      </c>
      <c r="BG355" s="8" t="s">
        <v>2135</v>
      </c>
      <c r="BH355" s="8" t="s">
        <v>2135</v>
      </c>
      <c r="BI355" s="8">
        <v>4.0</v>
      </c>
      <c r="BJ355" s="8" t="s">
        <v>9088</v>
      </c>
      <c r="BK355" s="8" t="s">
        <v>4418</v>
      </c>
      <c r="BL355" s="8" t="s">
        <v>9088</v>
      </c>
      <c r="BM355" s="8" t="s">
        <v>9089</v>
      </c>
      <c r="BN355" s="8">
        <v>1.7447713E7</v>
      </c>
      <c r="BO355" s="8" t="s">
        <v>3445</v>
      </c>
      <c r="BP355" s="8" t="s">
        <v>2135</v>
      </c>
      <c r="BQ355" s="8" t="s">
        <v>2135</v>
      </c>
      <c r="BR355" s="8" t="s">
        <v>3355</v>
      </c>
      <c r="BS355" s="8" t="s">
        <v>9090</v>
      </c>
      <c r="BT355" s="8" t="s">
        <v>2600</v>
      </c>
      <c r="BU355" s="8" t="s">
        <v>2147</v>
      </c>
      <c r="BV355" s="8" t="s">
        <v>2217</v>
      </c>
      <c r="BW355" s="8" t="s">
        <v>2234</v>
      </c>
      <c r="BX355" s="8" t="s">
        <v>2985</v>
      </c>
      <c r="BY355" s="8" t="s">
        <v>2992</v>
      </c>
      <c r="BZ355" s="8" t="str">
        <f>HYPERLINK("https%3A%2F%2Fwww.webofscience.com%2Fwos%2Fwoscc%2Ffull-record%2FWOS:000245403500009","View Full Record in Web of Science")</f>
        <v>View Full Record in Web of Science</v>
      </c>
    </row>
    <row r="356" ht="12.75" customHeight="1">
      <c r="A356" s="8" t="s">
        <v>3329</v>
      </c>
      <c r="B356" s="8" t="s">
        <v>9091</v>
      </c>
      <c r="C356" s="8" t="s">
        <v>2135</v>
      </c>
      <c r="D356" s="8" t="s">
        <v>2135</v>
      </c>
      <c r="E356" s="8" t="s">
        <v>2135</v>
      </c>
      <c r="F356" s="8" t="s">
        <v>9092</v>
      </c>
      <c r="G356" s="8" t="s">
        <v>2135</v>
      </c>
      <c r="H356" s="8" t="s">
        <v>2135</v>
      </c>
      <c r="I356" s="8" t="s">
        <v>1166</v>
      </c>
      <c r="J356" s="8" t="s">
        <v>9093</v>
      </c>
      <c r="K356" s="8" t="s">
        <v>2135</v>
      </c>
      <c r="L356" s="8" t="s">
        <v>2135</v>
      </c>
      <c r="M356" s="8" t="s">
        <v>3332</v>
      </c>
      <c r="N356" s="8" t="s">
        <v>3333</v>
      </c>
      <c r="O356" s="8" t="s">
        <v>2135</v>
      </c>
      <c r="P356" s="8" t="s">
        <v>2135</v>
      </c>
      <c r="Q356" s="8" t="s">
        <v>2135</v>
      </c>
      <c r="R356" s="8" t="s">
        <v>2135</v>
      </c>
      <c r="S356" s="8" t="s">
        <v>2135</v>
      </c>
      <c r="T356" s="8" t="s">
        <v>9094</v>
      </c>
      <c r="U356" s="8" t="s">
        <v>9095</v>
      </c>
      <c r="V356" s="8" t="s">
        <v>9096</v>
      </c>
      <c r="W356" s="8" t="s">
        <v>9097</v>
      </c>
      <c r="X356" s="8" t="s">
        <v>6446</v>
      </c>
      <c r="Y356" s="8" t="s">
        <v>9098</v>
      </c>
      <c r="Z356" s="8" t="s">
        <v>6448</v>
      </c>
      <c r="AA356" s="8" t="s">
        <v>2135</v>
      </c>
      <c r="AB356" s="8" t="s">
        <v>2135</v>
      </c>
      <c r="AC356" s="8" t="s">
        <v>2135</v>
      </c>
      <c r="AD356" s="8" t="s">
        <v>2135</v>
      </c>
      <c r="AE356" s="8" t="s">
        <v>2135</v>
      </c>
      <c r="AF356" s="8" t="s">
        <v>2135</v>
      </c>
      <c r="AG356" s="8">
        <v>38.0</v>
      </c>
      <c r="AH356" s="8">
        <v>14.0</v>
      </c>
      <c r="AI356" s="8">
        <v>14.0</v>
      </c>
      <c r="AJ356" s="8">
        <v>0.0</v>
      </c>
      <c r="AK356" s="8">
        <v>26.0</v>
      </c>
      <c r="AL356" s="8" t="s">
        <v>5073</v>
      </c>
      <c r="AM356" s="8" t="s">
        <v>5074</v>
      </c>
      <c r="AN356" s="8" t="s">
        <v>5488</v>
      </c>
      <c r="AO356" s="8" t="s">
        <v>9099</v>
      </c>
      <c r="AP356" s="8" t="s">
        <v>9100</v>
      </c>
      <c r="AQ356" s="8" t="s">
        <v>2135</v>
      </c>
      <c r="AR356" s="8" t="s">
        <v>9101</v>
      </c>
      <c r="AS356" s="8" t="s">
        <v>9102</v>
      </c>
      <c r="AT356" s="8" t="s">
        <v>3721</v>
      </c>
      <c r="AU356" s="8">
        <v>2007.0</v>
      </c>
      <c r="AV356" s="8">
        <v>34.0</v>
      </c>
      <c r="AW356" s="8">
        <v>1.0</v>
      </c>
      <c r="AX356" s="8" t="s">
        <v>2135</v>
      </c>
      <c r="AY356" s="8" t="s">
        <v>2135</v>
      </c>
      <c r="AZ356" s="8" t="s">
        <v>2135</v>
      </c>
      <c r="BA356" s="8" t="s">
        <v>2135</v>
      </c>
      <c r="BB356" s="8">
        <v>9.0</v>
      </c>
      <c r="BC356" s="8">
        <v>23.0</v>
      </c>
      <c r="BD356" s="8" t="s">
        <v>2135</v>
      </c>
      <c r="BE356" s="8" t="s">
        <v>9103</v>
      </c>
      <c r="BF356" s="13" t="str">
        <f>HYPERLINK("http://dx.doi.org/10.1080/03014220709510059","http://dx.doi.org/10.1080/03014220709510059")</f>
        <v>http://dx.doi.org/10.1080/03014220709510059</v>
      </c>
      <c r="BG356" s="8" t="s">
        <v>2135</v>
      </c>
      <c r="BH356" s="8" t="s">
        <v>2135</v>
      </c>
      <c r="BI356" s="8">
        <v>15.0</v>
      </c>
      <c r="BJ356" s="8" t="s">
        <v>3397</v>
      </c>
      <c r="BK356" s="8" t="s">
        <v>3352</v>
      </c>
      <c r="BL356" s="8" t="s">
        <v>3397</v>
      </c>
      <c r="BM356" s="8" t="s">
        <v>9104</v>
      </c>
      <c r="BN356" s="8" t="s">
        <v>2135</v>
      </c>
      <c r="BO356" s="8" t="s">
        <v>3445</v>
      </c>
      <c r="BP356" s="8" t="s">
        <v>2135</v>
      </c>
      <c r="BQ356" s="8" t="s">
        <v>2135</v>
      </c>
      <c r="BR356" s="8" t="s">
        <v>3355</v>
      </c>
      <c r="BS356" s="8" t="s">
        <v>9105</v>
      </c>
      <c r="BT356" s="8" t="s">
        <v>2163</v>
      </c>
      <c r="BU356" s="8" t="s">
        <v>2142</v>
      </c>
      <c r="BW356" s="8" t="s">
        <v>2173</v>
      </c>
      <c r="BX356" s="8" t="s">
        <v>3010</v>
      </c>
      <c r="BY356" s="8" t="s">
        <v>2992</v>
      </c>
      <c r="BZ356" s="8" t="str">
        <f>HYPERLINK("https%3A%2F%2Fwww.webofscience.com%2Fwos%2Fwoscc%2Ffull-record%2FWOS:000246169300002","View Full Record in Web of Science")</f>
        <v>View Full Record in Web of Science</v>
      </c>
    </row>
    <row r="357" ht="12.75" customHeight="1">
      <c r="A357" s="8" t="s">
        <v>3329</v>
      </c>
      <c r="B357" s="8" t="s">
        <v>9106</v>
      </c>
      <c r="C357" s="8" t="s">
        <v>2135</v>
      </c>
      <c r="D357" s="8" t="s">
        <v>2135</v>
      </c>
      <c r="E357" s="8" t="s">
        <v>2135</v>
      </c>
      <c r="F357" s="8" t="s">
        <v>9107</v>
      </c>
      <c r="G357" s="8" t="s">
        <v>2135</v>
      </c>
      <c r="H357" s="8" t="s">
        <v>2135</v>
      </c>
      <c r="I357" s="8" t="s">
        <v>1168</v>
      </c>
      <c r="J357" s="8" t="s">
        <v>3747</v>
      </c>
      <c r="K357" s="8" t="s">
        <v>2135</v>
      </c>
      <c r="L357" s="8" t="s">
        <v>2135</v>
      </c>
      <c r="M357" s="8" t="s">
        <v>3332</v>
      </c>
      <c r="N357" s="8" t="s">
        <v>3492</v>
      </c>
      <c r="O357" s="8" t="s">
        <v>2135</v>
      </c>
      <c r="P357" s="8" t="s">
        <v>2135</v>
      </c>
      <c r="Q357" s="8" t="s">
        <v>2135</v>
      </c>
      <c r="R357" s="8" t="s">
        <v>2135</v>
      </c>
      <c r="S357" s="8" t="s">
        <v>2135</v>
      </c>
      <c r="T357" s="8" t="s">
        <v>9108</v>
      </c>
      <c r="U357" s="8" t="s">
        <v>9109</v>
      </c>
      <c r="V357" s="8" t="s">
        <v>9110</v>
      </c>
      <c r="W357" s="8" t="s">
        <v>9111</v>
      </c>
      <c r="X357" s="8" t="s">
        <v>9112</v>
      </c>
      <c r="Y357" s="8" t="s">
        <v>9113</v>
      </c>
      <c r="Z357" s="8" t="s">
        <v>9114</v>
      </c>
      <c r="AA357" s="8" t="s">
        <v>2135</v>
      </c>
      <c r="AB357" s="8" t="s">
        <v>9115</v>
      </c>
      <c r="AC357" s="8" t="s">
        <v>2135</v>
      </c>
      <c r="AD357" s="8" t="s">
        <v>2135</v>
      </c>
      <c r="AE357" s="8" t="s">
        <v>2135</v>
      </c>
      <c r="AF357" s="8" t="s">
        <v>2135</v>
      </c>
      <c r="AG357" s="8">
        <v>121.0</v>
      </c>
      <c r="AH357" s="8">
        <v>241.0</v>
      </c>
      <c r="AI357" s="8">
        <v>284.0</v>
      </c>
      <c r="AJ357" s="8">
        <v>3.0</v>
      </c>
      <c r="AK357" s="8">
        <v>168.0</v>
      </c>
      <c r="AL357" s="8" t="s">
        <v>3758</v>
      </c>
      <c r="AM357" s="8" t="s">
        <v>3759</v>
      </c>
      <c r="AN357" s="8" t="s">
        <v>3760</v>
      </c>
      <c r="AO357" s="8" t="s">
        <v>3761</v>
      </c>
      <c r="AP357" s="8" t="s">
        <v>3762</v>
      </c>
      <c r="AQ357" s="8" t="s">
        <v>2135</v>
      </c>
      <c r="AR357" s="8" t="s">
        <v>3763</v>
      </c>
      <c r="AS357" s="8" t="s">
        <v>3764</v>
      </c>
      <c r="AT357" s="8" t="s">
        <v>3485</v>
      </c>
      <c r="AU357" s="8">
        <v>2007.0</v>
      </c>
      <c r="AV357" s="8">
        <v>134.0</v>
      </c>
      <c r="AW357" s="8">
        <v>4.0</v>
      </c>
      <c r="AX357" s="8" t="s">
        <v>2135</v>
      </c>
      <c r="AY357" s="8" t="s">
        <v>2135</v>
      </c>
      <c r="AZ357" s="8" t="s">
        <v>2135</v>
      </c>
      <c r="BA357" s="8" t="s">
        <v>2135</v>
      </c>
      <c r="BB357" s="8">
        <v>470.0</v>
      </c>
      <c r="BC357" s="8">
        <v>483.0</v>
      </c>
      <c r="BD357" s="8" t="s">
        <v>2135</v>
      </c>
      <c r="BE357" s="8" t="s">
        <v>9116</v>
      </c>
      <c r="BF357" s="13" t="str">
        <f>HYPERLINK("http://dx.doi.org/10.1016/j.biocon.2006.09.006","http://dx.doi.org/10.1016/j.biocon.2006.09.006")</f>
        <v>http://dx.doi.org/10.1016/j.biocon.2006.09.006</v>
      </c>
      <c r="BG357" s="8" t="s">
        <v>2135</v>
      </c>
      <c r="BH357" s="8" t="s">
        <v>2135</v>
      </c>
      <c r="BI357" s="8">
        <v>14.0</v>
      </c>
      <c r="BJ357" s="8" t="s">
        <v>3351</v>
      </c>
      <c r="BK357" s="8" t="s">
        <v>3352</v>
      </c>
      <c r="BL357" s="8" t="s">
        <v>3353</v>
      </c>
      <c r="BM357" s="8" t="s">
        <v>9117</v>
      </c>
      <c r="BN357" s="8" t="s">
        <v>2135</v>
      </c>
      <c r="BO357" s="8" t="s">
        <v>2135</v>
      </c>
      <c r="BP357" s="8" t="s">
        <v>2135</v>
      </c>
      <c r="BQ357" s="8" t="s">
        <v>2135</v>
      </c>
      <c r="BR357" s="8" t="s">
        <v>3355</v>
      </c>
      <c r="BS357" s="8" t="s">
        <v>9118</v>
      </c>
      <c r="BU357" s="8" t="s">
        <v>2142</v>
      </c>
      <c r="BW357" s="8" t="s">
        <v>2168</v>
      </c>
      <c r="BX357" s="8" t="s">
        <v>3010</v>
      </c>
      <c r="BY357" s="8" t="s">
        <v>2992</v>
      </c>
      <c r="BZ357" s="8" t="str">
        <f>HYPERLINK("https%3A%2F%2Fwww.webofscience.com%2Fwos%2Fwoscc%2Ffull-record%2FWOS:000244769800002","View Full Record in Web of Science")</f>
        <v>View Full Record in Web of Science</v>
      </c>
    </row>
    <row r="358" ht="12.75" customHeight="1">
      <c r="A358" s="8" t="s">
        <v>3329</v>
      </c>
      <c r="B358" s="8" t="s">
        <v>9119</v>
      </c>
      <c r="C358" s="8" t="s">
        <v>2135</v>
      </c>
      <c r="D358" s="8" t="s">
        <v>2135</v>
      </c>
      <c r="E358" s="8" t="s">
        <v>2135</v>
      </c>
      <c r="F358" s="8" t="s">
        <v>9120</v>
      </c>
      <c r="G358" s="8" t="s">
        <v>2135</v>
      </c>
      <c r="H358" s="8" t="s">
        <v>2135</v>
      </c>
      <c r="I358" s="8" t="s">
        <v>1174</v>
      </c>
      <c r="J358" s="8" t="s">
        <v>7602</v>
      </c>
      <c r="K358" s="8" t="s">
        <v>2135</v>
      </c>
      <c r="L358" s="8" t="s">
        <v>2135</v>
      </c>
      <c r="M358" s="8" t="s">
        <v>3332</v>
      </c>
      <c r="N358" s="8" t="s">
        <v>3333</v>
      </c>
      <c r="O358" s="8" t="s">
        <v>2135</v>
      </c>
      <c r="P358" s="8" t="s">
        <v>2135</v>
      </c>
      <c r="Q358" s="8" t="s">
        <v>2135</v>
      </c>
      <c r="R358" s="8" t="s">
        <v>2135</v>
      </c>
      <c r="S358" s="8" t="s">
        <v>2135</v>
      </c>
      <c r="T358" s="8" t="s">
        <v>9121</v>
      </c>
      <c r="U358" s="8" t="s">
        <v>9122</v>
      </c>
      <c r="V358" s="8" t="s">
        <v>9123</v>
      </c>
      <c r="W358" s="8" t="s">
        <v>9124</v>
      </c>
      <c r="X358" s="8" t="s">
        <v>9125</v>
      </c>
      <c r="Y358" s="8" t="s">
        <v>9126</v>
      </c>
      <c r="Z358" s="8" t="s">
        <v>9127</v>
      </c>
      <c r="AA358" s="8" t="s">
        <v>2135</v>
      </c>
      <c r="AB358" s="8" t="s">
        <v>9128</v>
      </c>
      <c r="AC358" s="8" t="s">
        <v>2135</v>
      </c>
      <c r="AD358" s="8" t="s">
        <v>2135</v>
      </c>
      <c r="AE358" s="8" t="s">
        <v>2135</v>
      </c>
      <c r="AF358" s="8" t="s">
        <v>2135</v>
      </c>
      <c r="AG358" s="8">
        <v>38.0</v>
      </c>
      <c r="AH358" s="8">
        <v>32.0</v>
      </c>
      <c r="AI358" s="8">
        <v>34.0</v>
      </c>
      <c r="AJ358" s="8">
        <v>0.0</v>
      </c>
      <c r="AK358" s="8">
        <v>30.0</v>
      </c>
      <c r="AL358" s="8" t="s">
        <v>7615</v>
      </c>
      <c r="AM358" s="8" t="s">
        <v>3390</v>
      </c>
      <c r="AN358" s="8" t="s">
        <v>7616</v>
      </c>
      <c r="AO358" s="8" t="s">
        <v>7617</v>
      </c>
      <c r="AP358" s="8" t="s">
        <v>7618</v>
      </c>
      <c r="AQ358" s="8" t="s">
        <v>2135</v>
      </c>
      <c r="AR358" s="8" t="s">
        <v>7619</v>
      </c>
      <c r="AS358" s="8" t="s">
        <v>7620</v>
      </c>
      <c r="AT358" s="8" t="s">
        <v>3629</v>
      </c>
      <c r="AU358" s="8">
        <v>2007.0</v>
      </c>
      <c r="AV358" s="8">
        <v>43.0</v>
      </c>
      <c r="AW358" s="8">
        <v>1.0</v>
      </c>
      <c r="AX358" s="8" t="s">
        <v>2135</v>
      </c>
      <c r="AY358" s="8" t="s">
        <v>2135</v>
      </c>
      <c r="AZ358" s="8" t="s">
        <v>2135</v>
      </c>
      <c r="BA358" s="8" t="s">
        <v>2135</v>
      </c>
      <c r="BB358" s="8">
        <v>116.0</v>
      </c>
      <c r="BC358" s="8">
        <v>123.0</v>
      </c>
      <c r="BD358" s="8" t="s">
        <v>2135</v>
      </c>
      <c r="BE358" s="8" t="s">
        <v>9129</v>
      </c>
      <c r="BF358" s="13" t="str">
        <f>HYPERLINK("http://dx.doi.org/10.7589/0090-3558-43.1.116","http://dx.doi.org/10.7589/0090-3558-43.1.116")</f>
        <v>http://dx.doi.org/10.7589/0090-3558-43.1.116</v>
      </c>
      <c r="BG358" s="8" t="s">
        <v>2135</v>
      </c>
      <c r="BH358" s="8" t="s">
        <v>2135</v>
      </c>
      <c r="BI358" s="8">
        <v>8.0</v>
      </c>
      <c r="BJ358" s="8" t="s">
        <v>6958</v>
      </c>
      <c r="BK358" s="8" t="s">
        <v>3352</v>
      </c>
      <c r="BL358" s="8" t="s">
        <v>6958</v>
      </c>
      <c r="BM358" s="8" t="s">
        <v>9130</v>
      </c>
      <c r="BN358" s="8">
        <v>1.7347401E7</v>
      </c>
      <c r="BO358" s="8" t="s">
        <v>3560</v>
      </c>
      <c r="BP358" s="8" t="s">
        <v>2135</v>
      </c>
      <c r="BQ358" s="8" t="s">
        <v>2135</v>
      </c>
      <c r="BR358" s="8" t="s">
        <v>3355</v>
      </c>
      <c r="BS358" s="8" t="s">
        <v>9131</v>
      </c>
      <c r="BT358" s="8" t="s">
        <v>2600</v>
      </c>
      <c r="BU358" s="8" t="s">
        <v>2147</v>
      </c>
      <c r="BV358" s="8" t="s">
        <v>2217</v>
      </c>
      <c r="BW358" s="8" t="s">
        <v>2234</v>
      </c>
      <c r="BX358" s="8" t="s">
        <v>2985</v>
      </c>
      <c r="BY358" s="8" t="s">
        <v>2992</v>
      </c>
      <c r="BZ358" s="8" t="str">
        <f>HYPERLINK("https%3A%2F%2Fwww.webofscience.com%2Fwos%2Fwoscc%2Ffull-record%2FWOS:000245140600014","View Full Record in Web of Science")</f>
        <v>View Full Record in Web of Science</v>
      </c>
    </row>
    <row r="359" ht="12.75" customHeight="1">
      <c r="A359" s="8" t="s">
        <v>3329</v>
      </c>
      <c r="B359" s="8" t="s">
        <v>9132</v>
      </c>
      <c r="C359" s="8" t="s">
        <v>2135</v>
      </c>
      <c r="D359" s="8" t="s">
        <v>2135</v>
      </c>
      <c r="E359" s="8" t="s">
        <v>2135</v>
      </c>
      <c r="F359" s="8" t="s">
        <v>9133</v>
      </c>
      <c r="G359" s="8" t="s">
        <v>2135</v>
      </c>
      <c r="H359" s="8" t="s">
        <v>2135</v>
      </c>
      <c r="I359" s="8" t="s">
        <v>1164</v>
      </c>
      <c r="J359" s="8" t="s">
        <v>3380</v>
      </c>
      <c r="K359" s="8" t="s">
        <v>2135</v>
      </c>
      <c r="L359" s="8" t="s">
        <v>2135</v>
      </c>
      <c r="M359" s="8" t="s">
        <v>3332</v>
      </c>
      <c r="N359" s="8" t="s">
        <v>3333</v>
      </c>
      <c r="O359" s="8" t="s">
        <v>2135</v>
      </c>
      <c r="P359" s="8" t="s">
        <v>2135</v>
      </c>
      <c r="Q359" s="8" t="s">
        <v>2135</v>
      </c>
      <c r="R359" s="8" t="s">
        <v>2135</v>
      </c>
      <c r="S359" s="8" t="s">
        <v>2135</v>
      </c>
      <c r="T359" s="8" t="s">
        <v>9134</v>
      </c>
      <c r="U359" s="8" t="s">
        <v>9135</v>
      </c>
      <c r="V359" s="8" t="s">
        <v>9136</v>
      </c>
      <c r="W359" s="8" t="s">
        <v>7470</v>
      </c>
      <c r="X359" s="8" t="s">
        <v>7471</v>
      </c>
      <c r="Y359" s="8" t="s">
        <v>9137</v>
      </c>
      <c r="Z359" s="8" t="s">
        <v>9138</v>
      </c>
      <c r="AA359" s="8" t="s">
        <v>2135</v>
      </c>
      <c r="AB359" s="8" t="s">
        <v>2135</v>
      </c>
      <c r="AC359" s="8" t="s">
        <v>2135</v>
      </c>
      <c r="AD359" s="8" t="s">
        <v>2135</v>
      </c>
      <c r="AE359" s="8" t="s">
        <v>2135</v>
      </c>
      <c r="AF359" s="8" t="s">
        <v>2135</v>
      </c>
      <c r="AG359" s="8">
        <v>55.0</v>
      </c>
      <c r="AH359" s="8">
        <v>33.0</v>
      </c>
      <c r="AI359" s="8">
        <v>47.0</v>
      </c>
      <c r="AJ359" s="8">
        <v>1.0</v>
      </c>
      <c r="AK359" s="8">
        <v>61.0</v>
      </c>
      <c r="AL359" s="8" t="s">
        <v>3921</v>
      </c>
      <c r="AM359" s="8" t="s">
        <v>3922</v>
      </c>
      <c r="AN359" s="8" t="s">
        <v>3923</v>
      </c>
      <c r="AO359" s="8" t="s">
        <v>3392</v>
      </c>
      <c r="AP359" s="8" t="s">
        <v>4022</v>
      </c>
      <c r="AQ359" s="8" t="s">
        <v>2135</v>
      </c>
      <c r="AR359" s="8" t="s">
        <v>3393</v>
      </c>
      <c r="AS359" s="8" t="s">
        <v>3394</v>
      </c>
      <c r="AT359" s="8" t="s">
        <v>3349</v>
      </c>
      <c r="AU359" s="8">
        <v>2006.0</v>
      </c>
      <c r="AV359" s="8">
        <v>87.0</v>
      </c>
      <c r="AW359" s="8">
        <v>3.0</v>
      </c>
      <c r="AX359" s="8" t="s">
        <v>2135</v>
      </c>
      <c r="AY359" s="8" t="s">
        <v>2135</v>
      </c>
      <c r="AZ359" s="8" t="s">
        <v>2135</v>
      </c>
      <c r="BA359" s="8" t="s">
        <v>2135</v>
      </c>
      <c r="BB359" s="8">
        <v>485.0</v>
      </c>
      <c r="BC359" s="8">
        <v>494.0</v>
      </c>
      <c r="BD359" s="8" t="s">
        <v>2135</v>
      </c>
      <c r="BE359" s="8" t="s">
        <v>9139</v>
      </c>
      <c r="BF359" s="13" t="str">
        <f>HYPERLINK("http://dx.doi.org/10.1644/05-MAMM-A-205R1.1","http://dx.doi.org/10.1644/05-MAMM-A-205R1.1")</f>
        <v>http://dx.doi.org/10.1644/05-MAMM-A-205R1.1</v>
      </c>
      <c r="BG359" s="8" t="s">
        <v>2135</v>
      </c>
      <c r="BH359" s="8" t="s">
        <v>2135</v>
      </c>
      <c r="BI359" s="8">
        <v>10.0</v>
      </c>
      <c r="BJ359" s="8" t="s">
        <v>3397</v>
      </c>
      <c r="BK359" s="8" t="s">
        <v>3352</v>
      </c>
      <c r="BL359" s="8" t="s">
        <v>3397</v>
      </c>
      <c r="BM359" s="8" t="s">
        <v>9140</v>
      </c>
      <c r="BN359" s="8" t="s">
        <v>2135</v>
      </c>
      <c r="BO359" s="8" t="s">
        <v>2135</v>
      </c>
      <c r="BP359" s="8" t="s">
        <v>2135</v>
      </c>
      <c r="BQ359" s="8" t="s">
        <v>2135</v>
      </c>
      <c r="BR359" s="8" t="s">
        <v>3355</v>
      </c>
      <c r="BS359" s="8" t="s">
        <v>9141</v>
      </c>
      <c r="BT359" s="8" t="s">
        <v>2600</v>
      </c>
      <c r="BU359" s="8" t="s">
        <v>2147</v>
      </c>
      <c r="BV359" s="8" t="s">
        <v>2217</v>
      </c>
      <c r="BW359" s="8" t="s">
        <v>2234</v>
      </c>
      <c r="BX359" s="8" t="s">
        <v>3010</v>
      </c>
      <c r="BY359" s="8" t="s">
        <v>2992</v>
      </c>
      <c r="BZ359" s="8" t="str">
        <f>HYPERLINK("https%3A%2F%2Fwww.webofscience.com%2Fwos%2Fwoscc%2Ffull-record%2FWOS:000238171200009","View Full Record in Web of Science")</f>
        <v>View Full Record in Web of Science</v>
      </c>
    </row>
    <row r="360" ht="12.75" customHeight="1">
      <c r="A360" s="8" t="s">
        <v>3329</v>
      </c>
      <c r="B360" s="8" t="s">
        <v>9142</v>
      </c>
      <c r="C360" s="8" t="s">
        <v>2135</v>
      </c>
      <c r="D360" s="8" t="s">
        <v>2135</v>
      </c>
      <c r="E360" s="8" t="s">
        <v>2135</v>
      </c>
      <c r="F360" s="8" t="s">
        <v>9142</v>
      </c>
      <c r="G360" s="8" t="s">
        <v>2135</v>
      </c>
      <c r="H360" s="8" t="s">
        <v>2135</v>
      </c>
      <c r="I360" s="8" t="s">
        <v>1160</v>
      </c>
      <c r="J360" s="8" t="s">
        <v>8903</v>
      </c>
      <c r="K360" s="8" t="s">
        <v>2135</v>
      </c>
      <c r="L360" s="8" t="s">
        <v>2135</v>
      </c>
      <c r="M360" s="8" t="s">
        <v>3332</v>
      </c>
      <c r="N360" s="8" t="s">
        <v>3492</v>
      </c>
      <c r="O360" s="8" t="s">
        <v>2135</v>
      </c>
      <c r="P360" s="8" t="s">
        <v>2135</v>
      </c>
      <c r="Q360" s="8" t="s">
        <v>2135</v>
      </c>
      <c r="R360" s="8" t="s">
        <v>2135</v>
      </c>
      <c r="S360" s="8" t="s">
        <v>2135</v>
      </c>
      <c r="T360" s="8" t="s">
        <v>9143</v>
      </c>
      <c r="U360" s="8" t="s">
        <v>9144</v>
      </c>
      <c r="V360" s="8" t="s">
        <v>9145</v>
      </c>
      <c r="W360" s="8" t="s">
        <v>9146</v>
      </c>
      <c r="X360" s="8" t="s">
        <v>9147</v>
      </c>
      <c r="Y360" s="8" t="s">
        <v>9148</v>
      </c>
      <c r="Z360" s="8" t="s">
        <v>9149</v>
      </c>
      <c r="AA360" s="8" t="s">
        <v>9150</v>
      </c>
      <c r="AB360" s="8" t="s">
        <v>8361</v>
      </c>
      <c r="AC360" s="8" t="s">
        <v>2135</v>
      </c>
      <c r="AD360" s="8" t="s">
        <v>2135</v>
      </c>
      <c r="AE360" s="8" t="s">
        <v>2135</v>
      </c>
      <c r="AF360" s="8" t="s">
        <v>2135</v>
      </c>
      <c r="AG360" s="8">
        <v>135.0</v>
      </c>
      <c r="AH360" s="8">
        <v>254.0</v>
      </c>
      <c r="AI360" s="8">
        <v>306.0</v>
      </c>
      <c r="AJ360" s="8">
        <v>0.0</v>
      </c>
      <c r="AK360" s="8">
        <v>155.0</v>
      </c>
      <c r="AL360" s="8" t="s">
        <v>3758</v>
      </c>
      <c r="AM360" s="8" t="s">
        <v>3893</v>
      </c>
      <c r="AN360" s="8" t="s">
        <v>3894</v>
      </c>
      <c r="AO360" s="8" t="s">
        <v>8915</v>
      </c>
      <c r="AP360" s="8" t="s">
        <v>8916</v>
      </c>
      <c r="AQ360" s="8" t="s">
        <v>2135</v>
      </c>
      <c r="AR360" s="8" t="s">
        <v>8917</v>
      </c>
      <c r="AS360" s="8" t="s">
        <v>8918</v>
      </c>
      <c r="AT360" s="8" t="s">
        <v>3580</v>
      </c>
      <c r="AU360" s="8">
        <v>2005.0</v>
      </c>
      <c r="AV360" s="8">
        <v>35.0</v>
      </c>
      <c r="AW360" s="8" t="s">
        <v>9151</v>
      </c>
      <c r="AX360" s="8" t="s">
        <v>2135</v>
      </c>
      <c r="AY360" s="8" t="s">
        <v>2135</v>
      </c>
      <c r="AZ360" s="8" t="s">
        <v>2135</v>
      </c>
      <c r="BA360" s="8" t="s">
        <v>2135</v>
      </c>
      <c r="BB360" s="8">
        <v>1155.0</v>
      </c>
      <c r="BC360" s="8">
        <v>1168.0</v>
      </c>
      <c r="BD360" s="8" t="s">
        <v>2135</v>
      </c>
      <c r="BE360" s="8" t="s">
        <v>9152</v>
      </c>
      <c r="BF360" s="13" t="str">
        <f>HYPERLINK("http://dx.doi.org/10.1016/j.ijpara.2005.07.002","http://dx.doi.org/10.1016/j.ijpara.2005.07.002")</f>
        <v>http://dx.doi.org/10.1016/j.ijpara.2005.07.002</v>
      </c>
      <c r="BG360" s="8" t="s">
        <v>2135</v>
      </c>
      <c r="BH360" s="8" t="s">
        <v>2135</v>
      </c>
      <c r="BI360" s="8">
        <v>14.0</v>
      </c>
      <c r="BJ360" s="8" t="s">
        <v>7597</v>
      </c>
      <c r="BK360" s="8" t="s">
        <v>3352</v>
      </c>
      <c r="BL360" s="8" t="s">
        <v>7597</v>
      </c>
      <c r="BM360" s="8" t="s">
        <v>9153</v>
      </c>
      <c r="BN360" s="8">
        <v>1.6157341E7</v>
      </c>
      <c r="BO360" s="8" t="s">
        <v>2135</v>
      </c>
      <c r="BP360" s="8" t="s">
        <v>2135</v>
      </c>
      <c r="BQ360" s="8" t="s">
        <v>2135</v>
      </c>
      <c r="BR360" s="8" t="s">
        <v>3355</v>
      </c>
      <c r="BS360" s="8" t="s">
        <v>9154</v>
      </c>
      <c r="BT360" s="8" t="s">
        <v>2600</v>
      </c>
      <c r="BU360" s="8" t="s">
        <v>2147</v>
      </c>
      <c r="BV360" s="8" t="s">
        <v>2217</v>
      </c>
      <c r="BW360" s="8" t="s">
        <v>2237</v>
      </c>
      <c r="BX360" s="8" t="s">
        <v>2985</v>
      </c>
      <c r="BY360" s="8" t="s">
        <v>2992</v>
      </c>
      <c r="BZ360" s="8" t="str">
        <f>HYPERLINK("https%3A%2F%2Fwww.webofscience.com%2Fwos%2Fwoscc%2Ffull-record%2FWOS:000232901200002","View Full Record in Web of Science")</f>
        <v>View Full Record in Web of Science</v>
      </c>
    </row>
    <row r="361" ht="12.75" customHeight="1">
      <c r="A361" s="8" t="s">
        <v>3329</v>
      </c>
      <c r="B361" s="8" t="s">
        <v>9155</v>
      </c>
      <c r="C361" s="8" t="s">
        <v>2135</v>
      </c>
      <c r="D361" s="8" t="s">
        <v>2135</v>
      </c>
      <c r="E361" s="8" t="s">
        <v>2135</v>
      </c>
      <c r="F361" s="8" t="s">
        <v>9155</v>
      </c>
      <c r="G361" s="8" t="s">
        <v>2135</v>
      </c>
      <c r="H361" s="8" t="s">
        <v>2135</v>
      </c>
      <c r="I361" s="8" t="s">
        <v>1156</v>
      </c>
      <c r="J361" s="8" t="s">
        <v>6946</v>
      </c>
      <c r="K361" s="8" t="s">
        <v>2135</v>
      </c>
      <c r="L361" s="8" t="s">
        <v>2135</v>
      </c>
      <c r="M361" s="8" t="s">
        <v>3332</v>
      </c>
      <c r="N361" s="8" t="s">
        <v>3333</v>
      </c>
      <c r="O361" s="8" t="s">
        <v>2135</v>
      </c>
      <c r="P361" s="8" t="s">
        <v>2135</v>
      </c>
      <c r="Q361" s="8" t="s">
        <v>2135</v>
      </c>
      <c r="R361" s="8" t="s">
        <v>2135</v>
      </c>
      <c r="S361" s="8" t="s">
        <v>2135</v>
      </c>
      <c r="T361" s="8" t="s">
        <v>9156</v>
      </c>
      <c r="U361" s="8" t="s">
        <v>9157</v>
      </c>
      <c r="V361" s="8" t="s">
        <v>9158</v>
      </c>
      <c r="W361" s="8" t="s">
        <v>9159</v>
      </c>
      <c r="X361" s="8" t="s">
        <v>9160</v>
      </c>
      <c r="Y361" s="8" t="s">
        <v>9161</v>
      </c>
      <c r="Z361" s="8" t="s">
        <v>2135</v>
      </c>
      <c r="AA361" s="8" t="s">
        <v>2135</v>
      </c>
      <c r="AB361" s="8" t="s">
        <v>9162</v>
      </c>
      <c r="AC361" s="8" t="s">
        <v>2135</v>
      </c>
      <c r="AD361" s="8" t="s">
        <v>2135</v>
      </c>
      <c r="AE361" s="8" t="s">
        <v>2135</v>
      </c>
      <c r="AF361" s="8" t="s">
        <v>2135</v>
      </c>
      <c r="AG361" s="8">
        <v>32.0</v>
      </c>
      <c r="AH361" s="8">
        <v>55.0</v>
      </c>
      <c r="AI361" s="8">
        <v>65.0</v>
      </c>
      <c r="AJ361" s="8">
        <v>2.0</v>
      </c>
      <c r="AK361" s="8">
        <v>60.0</v>
      </c>
      <c r="AL361" s="8" t="s">
        <v>7538</v>
      </c>
      <c r="AM361" s="8" t="s">
        <v>7539</v>
      </c>
      <c r="AN361" s="8" t="s">
        <v>7540</v>
      </c>
      <c r="AO361" s="8" t="s">
        <v>6955</v>
      </c>
      <c r="AP361" s="8" t="s">
        <v>7541</v>
      </c>
      <c r="AQ361" s="8" t="s">
        <v>2135</v>
      </c>
      <c r="AR361" s="8" t="s">
        <v>6956</v>
      </c>
      <c r="AS361" s="8" t="s">
        <v>6957</v>
      </c>
      <c r="AT361" s="8" t="s">
        <v>3462</v>
      </c>
      <c r="AU361" s="8">
        <v>2005.0</v>
      </c>
      <c r="AV361" s="8">
        <v>36.0</v>
      </c>
      <c r="AW361" s="8">
        <v>3.0</v>
      </c>
      <c r="AX361" s="8" t="s">
        <v>2135</v>
      </c>
      <c r="AY361" s="8" t="s">
        <v>2135</v>
      </c>
      <c r="AZ361" s="8" t="s">
        <v>2135</v>
      </c>
      <c r="BA361" s="8" t="s">
        <v>2135</v>
      </c>
      <c r="BB361" s="8">
        <v>479.0</v>
      </c>
      <c r="BC361" s="8">
        <v>484.0</v>
      </c>
      <c r="BD361" s="8" t="s">
        <v>2135</v>
      </c>
      <c r="BE361" s="8" t="s">
        <v>9163</v>
      </c>
      <c r="BF361" s="13" t="str">
        <f>HYPERLINK("http://dx.doi.org/10.1638/04-078.1","http://dx.doi.org/10.1638/04-078.1")</f>
        <v>http://dx.doi.org/10.1638/04-078.1</v>
      </c>
      <c r="BG361" s="8" t="s">
        <v>2135</v>
      </c>
      <c r="BH361" s="8" t="s">
        <v>2135</v>
      </c>
      <c r="BI361" s="8">
        <v>6.0</v>
      </c>
      <c r="BJ361" s="8" t="s">
        <v>6958</v>
      </c>
      <c r="BK361" s="8" t="s">
        <v>3352</v>
      </c>
      <c r="BL361" s="8" t="s">
        <v>6958</v>
      </c>
      <c r="BM361" s="8" t="s">
        <v>9164</v>
      </c>
      <c r="BN361" s="8">
        <v>1.7312768E7</v>
      </c>
      <c r="BO361" s="8" t="s">
        <v>2135</v>
      </c>
      <c r="BP361" s="8" t="s">
        <v>2135</v>
      </c>
      <c r="BQ361" s="8" t="s">
        <v>2135</v>
      </c>
      <c r="BR361" s="8" t="s">
        <v>3355</v>
      </c>
      <c r="BS361" s="8" t="s">
        <v>9165</v>
      </c>
      <c r="BT361" s="8" t="s">
        <v>2428</v>
      </c>
      <c r="BU361" s="8" t="s">
        <v>2147</v>
      </c>
      <c r="BW361" s="8" t="s">
        <v>2433</v>
      </c>
      <c r="BX361" s="8" t="s">
        <v>2983</v>
      </c>
      <c r="BY361" s="8" t="s">
        <v>2992</v>
      </c>
      <c r="BZ361" s="8" t="str">
        <f>HYPERLINK("https%3A%2F%2Fwww.webofscience.com%2Fwos%2Fwoscc%2Ffull-record%2FWOS:000234118300015","View Full Record in Web of Science")</f>
        <v>View Full Record in Web of Science</v>
      </c>
    </row>
    <row r="362" ht="12.75" customHeight="1">
      <c r="A362" s="8" t="s">
        <v>3329</v>
      </c>
      <c r="B362" s="8" t="s">
        <v>9166</v>
      </c>
      <c r="C362" s="8" t="s">
        <v>2135</v>
      </c>
      <c r="D362" s="8" t="s">
        <v>2135</v>
      </c>
      <c r="E362" s="8" t="s">
        <v>2135</v>
      </c>
      <c r="F362" s="8" t="s">
        <v>9166</v>
      </c>
      <c r="G362" s="8" t="s">
        <v>2135</v>
      </c>
      <c r="H362" s="8" t="s">
        <v>2135</v>
      </c>
      <c r="I362" s="8" t="s">
        <v>1162</v>
      </c>
      <c r="J362" s="8" t="s">
        <v>7671</v>
      </c>
      <c r="K362" s="8" t="s">
        <v>2135</v>
      </c>
      <c r="L362" s="8" t="s">
        <v>2135</v>
      </c>
      <c r="M362" s="8" t="s">
        <v>3332</v>
      </c>
      <c r="N362" s="8" t="s">
        <v>3333</v>
      </c>
      <c r="O362" s="8" t="s">
        <v>2135</v>
      </c>
      <c r="P362" s="8" t="s">
        <v>2135</v>
      </c>
      <c r="Q362" s="8" t="s">
        <v>2135</v>
      </c>
      <c r="R362" s="8" t="s">
        <v>2135</v>
      </c>
      <c r="S362" s="8" t="s">
        <v>2135</v>
      </c>
      <c r="T362" s="8" t="s">
        <v>9167</v>
      </c>
      <c r="U362" s="8" t="s">
        <v>9168</v>
      </c>
      <c r="V362" s="8" t="s">
        <v>9169</v>
      </c>
      <c r="W362" s="8" t="s">
        <v>9170</v>
      </c>
      <c r="X362" s="8" t="s">
        <v>7893</v>
      </c>
      <c r="Y362" s="8" t="s">
        <v>9171</v>
      </c>
      <c r="Z362" s="8" t="s">
        <v>9172</v>
      </c>
      <c r="AA362" s="8" t="s">
        <v>2135</v>
      </c>
      <c r="AB362" s="8" t="s">
        <v>2135</v>
      </c>
      <c r="AC362" s="8" t="s">
        <v>2135</v>
      </c>
      <c r="AD362" s="8" t="s">
        <v>2135</v>
      </c>
      <c r="AE362" s="8" t="s">
        <v>2135</v>
      </c>
      <c r="AF362" s="8" t="s">
        <v>2135</v>
      </c>
      <c r="AG362" s="8">
        <v>47.0</v>
      </c>
      <c r="AH362" s="8">
        <v>9.0</v>
      </c>
      <c r="AI362" s="8">
        <v>11.0</v>
      </c>
      <c r="AJ362" s="8">
        <v>1.0</v>
      </c>
      <c r="AK362" s="8">
        <v>15.0</v>
      </c>
      <c r="AL362" s="8" t="s">
        <v>4394</v>
      </c>
      <c r="AM362" s="8" t="s">
        <v>3367</v>
      </c>
      <c r="AN362" s="8" t="s">
        <v>4395</v>
      </c>
      <c r="AO362" s="8" t="s">
        <v>7677</v>
      </c>
      <c r="AP362" s="8" t="s">
        <v>9173</v>
      </c>
      <c r="AQ362" s="8" t="s">
        <v>2135</v>
      </c>
      <c r="AR362" s="8" t="s">
        <v>7678</v>
      </c>
      <c r="AS362" s="8" t="s">
        <v>7679</v>
      </c>
      <c r="AT362" s="8" t="s">
        <v>9174</v>
      </c>
      <c r="AU362" s="8">
        <v>2005.0</v>
      </c>
      <c r="AV362" s="8">
        <v>104.0</v>
      </c>
      <c r="AW362" s="8" t="s">
        <v>4482</v>
      </c>
      <c r="AX362" s="8" t="s">
        <v>2135</v>
      </c>
      <c r="AY362" s="8" t="s">
        <v>2135</v>
      </c>
      <c r="AZ362" s="8" t="s">
        <v>2135</v>
      </c>
      <c r="BA362" s="8" t="s">
        <v>2135</v>
      </c>
      <c r="BB362" s="8">
        <v>1.0</v>
      </c>
      <c r="BC362" s="8">
        <v>14.0</v>
      </c>
      <c r="BD362" s="8" t="s">
        <v>2135</v>
      </c>
      <c r="BE362" s="8" t="s">
        <v>9175</v>
      </c>
      <c r="BF362" s="13" t="str">
        <f>HYPERLINK("http://dx.doi.org/10.1016/j.vetimm.2004.06.005","http://dx.doi.org/10.1016/j.vetimm.2004.06.005")</f>
        <v>http://dx.doi.org/10.1016/j.vetimm.2004.06.005</v>
      </c>
      <c r="BG362" s="8" t="s">
        <v>2135</v>
      </c>
      <c r="BH362" s="8" t="s">
        <v>2135</v>
      </c>
      <c r="BI362" s="8">
        <v>14.0</v>
      </c>
      <c r="BJ362" s="8" t="s">
        <v>7683</v>
      </c>
      <c r="BK362" s="8" t="s">
        <v>3352</v>
      </c>
      <c r="BL362" s="8" t="s">
        <v>7683</v>
      </c>
      <c r="BM362" s="8" t="s">
        <v>9176</v>
      </c>
      <c r="BN362" s="8">
        <v>1.5661326E7</v>
      </c>
      <c r="BO362" s="8" t="s">
        <v>2135</v>
      </c>
      <c r="BP362" s="8" t="s">
        <v>2135</v>
      </c>
      <c r="BQ362" s="8" t="s">
        <v>2135</v>
      </c>
      <c r="BR362" s="8" t="s">
        <v>3355</v>
      </c>
      <c r="BS362" s="8" t="s">
        <v>9177</v>
      </c>
      <c r="BT362" s="8" t="s">
        <v>2600</v>
      </c>
      <c r="BU362" s="8" t="s">
        <v>2147</v>
      </c>
      <c r="BV362" s="8" t="s">
        <v>2217</v>
      </c>
      <c r="BW362" s="8" t="s">
        <v>2237</v>
      </c>
      <c r="BX362" s="8" t="s">
        <v>2985</v>
      </c>
      <c r="BY362" s="8" t="s">
        <v>2992</v>
      </c>
      <c r="BZ362" s="8" t="str">
        <f>HYPERLINK("https%3A%2F%2Fwww.webofscience.com%2Fwos%2Fwoscc%2Ffull-record%2FWOS:000226957000001","View Full Record in Web of Science")</f>
        <v>View Full Record in Web of Science</v>
      </c>
    </row>
    <row r="363" ht="12.75" customHeight="1">
      <c r="A363" s="8" t="s">
        <v>3329</v>
      </c>
      <c r="B363" s="8" t="s">
        <v>9178</v>
      </c>
      <c r="C363" s="8" t="s">
        <v>2135</v>
      </c>
      <c r="D363" s="8" t="s">
        <v>2135</v>
      </c>
      <c r="E363" s="8" t="s">
        <v>2135</v>
      </c>
      <c r="F363" s="8" t="s">
        <v>9178</v>
      </c>
      <c r="G363" s="8" t="s">
        <v>2135</v>
      </c>
      <c r="H363" s="8" t="s">
        <v>2135</v>
      </c>
      <c r="I363" s="8" t="s">
        <v>1154</v>
      </c>
      <c r="J363" s="8" t="s">
        <v>7602</v>
      </c>
      <c r="K363" s="8" t="s">
        <v>2135</v>
      </c>
      <c r="L363" s="8" t="s">
        <v>2135</v>
      </c>
      <c r="M363" s="8" t="s">
        <v>3332</v>
      </c>
      <c r="N363" s="8" t="s">
        <v>3333</v>
      </c>
      <c r="O363" s="8" t="s">
        <v>2135</v>
      </c>
      <c r="P363" s="8" t="s">
        <v>2135</v>
      </c>
      <c r="Q363" s="8" t="s">
        <v>2135</v>
      </c>
      <c r="R363" s="8" t="s">
        <v>2135</v>
      </c>
      <c r="S363" s="8" t="s">
        <v>2135</v>
      </c>
      <c r="T363" s="8" t="s">
        <v>9179</v>
      </c>
      <c r="U363" s="8" t="s">
        <v>9180</v>
      </c>
      <c r="V363" s="8" t="s">
        <v>9181</v>
      </c>
      <c r="W363" s="8" t="s">
        <v>9182</v>
      </c>
      <c r="X363" s="8" t="s">
        <v>9183</v>
      </c>
      <c r="Y363" s="8" t="s">
        <v>9184</v>
      </c>
      <c r="Z363" s="8" t="s">
        <v>7588</v>
      </c>
      <c r="AA363" s="8" t="s">
        <v>2135</v>
      </c>
      <c r="AB363" s="8" t="s">
        <v>9185</v>
      </c>
      <c r="AC363" s="8" t="s">
        <v>2135</v>
      </c>
      <c r="AD363" s="8" t="s">
        <v>2135</v>
      </c>
      <c r="AE363" s="8" t="s">
        <v>2135</v>
      </c>
      <c r="AF363" s="8" t="s">
        <v>2135</v>
      </c>
      <c r="AG363" s="8">
        <v>31.0</v>
      </c>
      <c r="AH363" s="8">
        <v>73.0</v>
      </c>
      <c r="AI363" s="8">
        <v>81.0</v>
      </c>
      <c r="AJ363" s="8">
        <v>0.0</v>
      </c>
      <c r="AK363" s="8">
        <v>26.0</v>
      </c>
      <c r="AL363" s="8" t="s">
        <v>7615</v>
      </c>
      <c r="AM363" s="8" t="s">
        <v>3390</v>
      </c>
      <c r="AN363" s="8" t="s">
        <v>7616</v>
      </c>
      <c r="AO363" s="8" t="s">
        <v>7617</v>
      </c>
      <c r="AP363" s="8" t="s">
        <v>7618</v>
      </c>
      <c r="AQ363" s="8" t="s">
        <v>2135</v>
      </c>
      <c r="AR363" s="8" t="s">
        <v>7619</v>
      </c>
      <c r="AS363" s="8" t="s">
        <v>7620</v>
      </c>
      <c r="AT363" s="8" t="s">
        <v>3512</v>
      </c>
      <c r="AU363" s="8">
        <v>2004.0</v>
      </c>
      <c r="AV363" s="8">
        <v>40.0</v>
      </c>
      <c r="AW363" s="8">
        <v>3.0</v>
      </c>
      <c r="AX363" s="8" t="s">
        <v>2135</v>
      </c>
      <c r="AY363" s="8" t="s">
        <v>2135</v>
      </c>
      <c r="AZ363" s="8" t="s">
        <v>2135</v>
      </c>
      <c r="BA363" s="8" t="s">
        <v>2135</v>
      </c>
      <c r="BB363" s="8">
        <v>394.0</v>
      </c>
      <c r="BC363" s="8">
        <v>402.0</v>
      </c>
      <c r="BD363" s="8" t="s">
        <v>2135</v>
      </c>
      <c r="BE363" s="8" t="s">
        <v>9186</v>
      </c>
      <c r="BF363" s="13" t="str">
        <f>HYPERLINK("http://dx.doi.org/10.7589/0090-3558-40.3.394","http://dx.doi.org/10.7589/0090-3558-40.3.394")</f>
        <v>http://dx.doi.org/10.7589/0090-3558-40.3.394</v>
      </c>
      <c r="BG363" s="8" t="s">
        <v>2135</v>
      </c>
      <c r="BH363" s="8" t="s">
        <v>2135</v>
      </c>
      <c r="BI363" s="8">
        <v>9.0</v>
      </c>
      <c r="BJ363" s="8" t="s">
        <v>6958</v>
      </c>
      <c r="BK363" s="8" t="s">
        <v>3352</v>
      </c>
      <c r="BL363" s="8" t="s">
        <v>6958</v>
      </c>
      <c r="BM363" s="8" t="s">
        <v>9187</v>
      </c>
      <c r="BN363" s="8">
        <v>1.5465705E7</v>
      </c>
      <c r="BO363" s="8" t="s">
        <v>3560</v>
      </c>
      <c r="BP363" s="8" t="s">
        <v>2135</v>
      </c>
      <c r="BQ363" s="8" t="s">
        <v>2135</v>
      </c>
      <c r="BR363" s="8" t="s">
        <v>3355</v>
      </c>
      <c r="BS363" s="8" t="s">
        <v>9188</v>
      </c>
      <c r="BT363" s="8" t="s">
        <v>2325</v>
      </c>
      <c r="BU363" s="8" t="s">
        <v>2142</v>
      </c>
      <c r="BW363" s="8" t="s">
        <v>2168</v>
      </c>
      <c r="BX363" s="8" t="s">
        <v>2985</v>
      </c>
      <c r="BY363" s="8" t="s">
        <v>2992</v>
      </c>
      <c r="BZ363" s="8" t="str">
        <f>HYPERLINK("https%3A%2F%2Fwww.webofscience.com%2Fwos%2Fwoscc%2Ffull-record%2FWOS:000224037700003","View Full Record in Web of Science")</f>
        <v>View Full Record in Web of Science</v>
      </c>
    </row>
    <row r="364" ht="12.75" customHeight="1">
      <c r="A364" s="8" t="s">
        <v>3329</v>
      </c>
      <c r="B364" s="8" t="s">
        <v>9189</v>
      </c>
      <c r="C364" s="8" t="s">
        <v>2135</v>
      </c>
      <c r="D364" s="8" t="s">
        <v>2135</v>
      </c>
      <c r="E364" s="8" t="s">
        <v>2135</v>
      </c>
      <c r="F364" s="8" t="s">
        <v>9189</v>
      </c>
      <c r="G364" s="8" t="s">
        <v>2135</v>
      </c>
      <c r="H364" s="8" t="s">
        <v>2135</v>
      </c>
      <c r="I364" s="8" t="s">
        <v>1152</v>
      </c>
      <c r="J364" s="8" t="s">
        <v>8957</v>
      </c>
      <c r="K364" s="8" t="s">
        <v>2135</v>
      </c>
      <c r="L364" s="8" t="s">
        <v>2135</v>
      </c>
      <c r="M364" s="8" t="s">
        <v>3332</v>
      </c>
      <c r="N364" s="8" t="s">
        <v>3333</v>
      </c>
      <c r="O364" s="8" t="s">
        <v>2135</v>
      </c>
      <c r="P364" s="8" t="s">
        <v>2135</v>
      </c>
      <c r="Q364" s="8" t="s">
        <v>2135</v>
      </c>
      <c r="R364" s="8" t="s">
        <v>2135</v>
      </c>
      <c r="S364" s="8" t="s">
        <v>2135</v>
      </c>
      <c r="T364" s="8" t="s">
        <v>2135</v>
      </c>
      <c r="U364" s="8" t="s">
        <v>9190</v>
      </c>
      <c r="V364" s="8" t="s">
        <v>9191</v>
      </c>
      <c r="W364" s="8" t="s">
        <v>9192</v>
      </c>
      <c r="X364" s="8" t="s">
        <v>9193</v>
      </c>
      <c r="Y364" s="8" t="s">
        <v>9194</v>
      </c>
      <c r="Z364" s="8" t="s">
        <v>2135</v>
      </c>
      <c r="AA364" s="8" t="s">
        <v>2135</v>
      </c>
      <c r="AB364" s="8" t="s">
        <v>2135</v>
      </c>
      <c r="AC364" s="8" t="s">
        <v>2135</v>
      </c>
      <c r="AD364" s="8" t="s">
        <v>2135</v>
      </c>
      <c r="AE364" s="8" t="s">
        <v>2135</v>
      </c>
      <c r="AF364" s="8" t="s">
        <v>2135</v>
      </c>
      <c r="AG364" s="8">
        <v>46.0</v>
      </c>
      <c r="AH364" s="8">
        <v>12.0</v>
      </c>
      <c r="AI364" s="8">
        <v>12.0</v>
      </c>
      <c r="AJ364" s="8">
        <v>0.0</v>
      </c>
      <c r="AK364" s="8">
        <v>9.0</v>
      </c>
      <c r="AL364" s="8" t="s">
        <v>9195</v>
      </c>
      <c r="AM364" s="8" t="s">
        <v>3624</v>
      </c>
      <c r="AN364" s="8" t="s">
        <v>9196</v>
      </c>
      <c r="AO364" s="8" t="s">
        <v>8970</v>
      </c>
      <c r="AP364" s="8" t="s">
        <v>2135</v>
      </c>
      <c r="AQ364" s="8" t="s">
        <v>2135</v>
      </c>
      <c r="AR364" s="8" t="s">
        <v>8972</v>
      </c>
      <c r="AS364" s="8" t="s">
        <v>8973</v>
      </c>
      <c r="AT364" s="8" t="s">
        <v>9197</v>
      </c>
      <c r="AU364" s="8">
        <v>2004.0</v>
      </c>
      <c r="AV364" s="8">
        <v>154.0</v>
      </c>
      <c r="AW364" s="8">
        <v>17.0</v>
      </c>
      <c r="AX364" s="8" t="s">
        <v>2135</v>
      </c>
      <c r="AY364" s="8" t="s">
        <v>2135</v>
      </c>
      <c r="AZ364" s="8" t="s">
        <v>2135</v>
      </c>
      <c r="BA364" s="8" t="s">
        <v>2135</v>
      </c>
      <c r="BB364" s="8">
        <v>527.0</v>
      </c>
      <c r="BC364" s="8">
        <v>530.0</v>
      </c>
      <c r="BD364" s="8" t="s">
        <v>2135</v>
      </c>
      <c r="BE364" s="8" t="s">
        <v>9198</v>
      </c>
      <c r="BF364" s="13" t="str">
        <f>HYPERLINK("http://dx.doi.org/10.1136/vr.154.17.527","http://dx.doi.org/10.1136/vr.154.17.527")</f>
        <v>http://dx.doi.org/10.1136/vr.154.17.527</v>
      </c>
      <c r="BG364" s="8" t="s">
        <v>2135</v>
      </c>
      <c r="BH364" s="8" t="s">
        <v>2135</v>
      </c>
      <c r="BI364" s="8">
        <v>4.0</v>
      </c>
      <c r="BJ364" s="8" t="s">
        <v>6958</v>
      </c>
      <c r="BK364" s="8" t="s">
        <v>3352</v>
      </c>
      <c r="BL364" s="8" t="s">
        <v>6958</v>
      </c>
      <c r="BM364" s="8" t="s">
        <v>9199</v>
      </c>
      <c r="BN364" s="8">
        <v>1.5134165E7</v>
      </c>
      <c r="BO364" s="8" t="s">
        <v>2135</v>
      </c>
      <c r="BP364" s="8" t="s">
        <v>2135</v>
      </c>
      <c r="BQ364" s="8" t="s">
        <v>2135</v>
      </c>
      <c r="BR364" s="8" t="s">
        <v>3355</v>
      </c>
      <c r="BS364" s="8" t="s">
        <v>9200</v>
      </c>
      <c r="BT364" s="8" t="s">
        <v>2307</v>
      </c>
      <c r="BU364" s="8" t="s">
        <v>2142</v>
      </c>
      <c r="BW364" s="8" t="s">
        <v>2311</v>
      </c>
      <c r="BX364" s="8" t="s">
        <v>2985</v>
      </c>
      <c r="BY364" s="8" t="s">
        <v>2992</v>
      </c>
      <c r="BZ364" s="8" t="str">
        <f>HYPERLINK("https%3A%2F%2Fwww.webofscience.com%2Fwos%2Fwoscc%2Ffull-record%2FWOS:000221334800014","View Full Record in Web of Science")</f>
        <v>View Full Record in Web of Science</v>
      </c>
    </row>
    <row r="365" ht="12.75" customHeight="1">
      <c r="A365" s="8" t="s">
        <v>3329</v>
      </c>
      <c r="B365" s="8" t="s">
        <v>9201</v>
      </c>
      <c r="C365" s="8" t="s">
        <v>2135</v>
      </c>
      <c r="D365" s="8" t="s">
        <v>2135</v>
      </c>
      <c r="E365" s="8" t="s">
        <v>2135</v>
      </c>
      <c r="F365" s="8" t="s">
        <v>9201</v>
      </c>
      <c r="G365" s="8" t="s">
        <v>2135</v>
      </c>
      <c r="H365" s="8" t="s">
        <v>2135</v>
      </c>
      <c r="I365" s="8" t="s">
        <v>1148</v>
      </c>
      <c r="J365" s="8" t="s">
        <v>9093</v>
      </c>
      <c r="K365" s="8" t="s">
        <v>2135</v>
      </c>
      <c r="L365" s="8" t="s">
        <v>2135</v>
      </c>
      <c r="M365" s="8" t="s">
        <v>3332</v>
      </c>
      <c r="N365" s="8" t="s">
        <v>3963</v>
      </c>
      <c r="O365" s="8" t="s">
        <v>9202</v>
      </c>
      <c r="P365" s="8" t="s">
        <v>9203</v>
      </c>
      <c r="Q365" s="8" t="s">
        <v>9204</v>
      </c>
      <c r="R365" s="8" t="s">
        <v>2135</v>
      </c>
      <c r="S365" s="8" t="s">
        <v>2135</v>
      </c>
      <c r="T365" s="8" t="s">
        <v>9205</v>
      </c>
      <c r="U365" s="8" t="s">
        <v>9206</v>
      </c>
      <c r="V365" s="8" t="s">
        <v>9207</v>
      </c>
      <c r="W365" s="8" t="s">
        <v>9208</v>
      </c>
      <c r="X365" s="8" t="s">
        <v>5444</v>
      </c>
      <c r="Y365" s="8" t="s">
        <v>9209</v>
      </c>
      <c r="Z365" s="8" t="s">
        <v>2135</v>
      </c>
      <c r="AA365" s="8" t="s">
        <v>2135</v>
      </c>
      <c r="AB365" s="8" t="s">
        <v>2135</v>
      </c>
      <c r="AC365" s="8" t="s">
        <v>2135</v>
      </c>
      <c r="AD365" s="8" t="s">
        <v>2135</v>
      </c>
      <c r="AE365" s="8" t="s">
        <v>2135</v>
      </c>
      <c r="AF365" s="8" t="s">
        <v>2135</v>
      </c>
      <c r="AG365" s="8">
        <v>144.0</v>
      </c>
      <c r="AH365" s="8">
        <v>136.0</v>
      </c>
      <c r="AI365" s="8">
        <v>152.0</v>
      </c>
      <c r="AJ365" s="8">
        <v>0.0</v>
      </c>
      <c r="AK365" s="8">
        <v>119.0</v>
      </c>
      <c r="AL365" s="8" t="s">
        <v>5073</v>
      </c>
      <c r="AM365" s="8" t="s">
        <v>5074</v>
      </c>
      <c r="AN365" s="8" t="s">
        <v>5488</v>
      </c>
      <c r="AO365" s="8" t="s">
        <v>9099</v>
      </c>
      <c r="AP365" s="8" t="s">
        <v>9100</v>
      </c>
      <c r="AQ365" s="8" t="s">
        <v>2135</v>
      </c>
      <c r="AR365" s="8" t="s">
        <v>9101</v>
      </c>
      <c r="AS365" s="8" t="s">
        <v>9102</v>
      </c>
      <c r="AT365" s="8" t="s">
        <v>3741</v>
      </c>
      <c r="AU365" s="8">
        <v>2003.0</v>
      </c>
      <c r="AV365" s="8">
        <v>30.0</v>
      </c>
      <c r="AW365" s="8">
        <v>4.0</v>
      </c>
      <c r="AX365" s="8" t="s">
        <v>2135</v>
      </c>
      <c r="AY365" s="8" t="s">
        <v>2135</v>
      </c>
      <c r="AZ365" s="8" t="s">
        <v>2135</v>
      </c>
      <c r="BA365" s="8" t="s">
        <v>2135</v>
      </c>
      <c r="BB365" s="8">
        <v>421.0</v>
      </c>
      <c r="BC365" s="8">
        <v>441.0</v>
      </c>
      <c r="BD365" s="8" t="s">
        <v>2135</v>
      </c>
      <c r="BE365" s="8" t="s">
        <v>9210</v>
      </c>
      <c r="BF365" s="13" t="str">
        <f>HYPERLINK("http://dx.doi.org/10.1080/03014223.2003.9518350","http://dx.doi.org/10.1080/03014223.2003.9518350")</f>
        <v>http://dx.doi.org/10.1080/03014223.2003.9518350</v>
      </c>
      <c r="BG365" s="8" t="s">
        <v>2135</v>
      </c>
      <c r="BH365" s="8" t="s">
        <v>2135</v>
      </c>
      <c r="BI365" s="8">
        <v>21.0</v>
      </c>
      <c r="BJ365" s="8" t="s">
        <v>3397</v>
      </c>
      <c r="BK365" s="8" t="s">
        <v>4418</v>
      </c>
      <c r="BL365" s="8" t="s">
        <v>3397</v>
      </c>
      <c r="BM365" s="8" t="s">
        <v>9211</v>
      </c>
      <c r="BN365" s="8" t="s">
        <v>2135</v>
      </c>
      <c r="BO365" s="8" t="s">
        <v>3445</v>
      </c>
      <c r="BP365" s="8" t="s">
        <v>2135</v>
      </c>
      <c r="BQ365" s="8" t="s">
        <v>2135</v>
      </c>
      <c r="BR365" s="8" t="s">
        <v>3355</v>
      </c>
      <c r="BS365" s="8" t="s">
        <v>9212</v>
      </c>
      <c r="BU365" s="8" t="s">
        <v>2142</v>
      </c>
      <c r="BW365" s="8" t="s">
        <v>2168</v>
      </c>
      <c r="BX365" s="8" t="s">
        <v>3010</v>
      </c>
      <c r="BY365" s="8" t="s">
        <v>2992</v>
      </c>
      <c r="BZ365" s="8" t="str">
        <f>HYPERLINK("https%3A%2F%2Fwww.webofscience.com%2Fwos%2Fwoscc%2Ffull-record%2FWOS:000187883700006","View Full Record in Web of Science")</f>
        <v>View Full Record in Web of Science</v>
      </c>
    </row>
    <row r="366" ht="12.75" customHeight="1">
      <c r="A366" s="8" t="s">
        <v>3329</v>
      </c>
      <c r="B366" s="8" t="s">
        <v>9213</v>
      </c>
      <c r="C366" s="8" t="s">
        <v>2135</v>
      </c>
      <c r="D366" s="8" t="s">
        <v>2135</v>
      </c>
      <c r="E366" s="8" t="s">
        <v>2135</v>
      </c>
      <c r="F366" s="8" t="s">
        <v>9213</v>
      </c>
      <c r="G366" s="8" t="s">
        <v>2135</v>
      </c>
      <c r="H366" s="8" t="s">
        <v>2135</v>
      </c>
      <c r="I366" s="8" t="s">
        <v>1150</v>
      </c>
      <c r="J366" s="8" t="s">
        <v>7602</v>
      </c>
      <c r="K366" s="8" t="s">
        <v>2135</v>
      </c>
      <c r="L366" s="8" t="s">
        <v>2135</v>
      </c>
      <c r="M366" s="8" t="s">
        <v>3332</v>
      </c>
      <c r="N366" s="8" t="s">
        <v>3333</v>
      </c>
      <c r="O366" s="8" t="s">
        <v>2135</v>
      </c>
      <c r="P366" s="8" t="s">
        <v>2135</v>
      </c>
      <c r="Q366" s="8" t="s">
        <v>2135</v>
      </c>
      <c r="R366" s="8" t="s">
        <v>2135</v>
      </c>
      <c r="S366" s="8" t="s">
        <v>2135</v>
      </c>
      <c r="T366" s="8" t="s">
        <v>9214</v>
      </c>
      <c r="U366" s="8" t="s">
        <v>9215</v>
      </c>
      <c r="V366" s="8" t="s">
        <v>9216</v>
      </c>
      <c r="W366" s="8" t="s">
        <v>9217</v>
      </c>
      <c r="X366" s="8" t="s">
        <v>9218</v>
      </c>
      <c r="Y366" s="8" t="s">
        <v>9219</v>
      </c>
      <c r="Z366" s="8" t="s">
        <v>9220</v>
      </c>
      <c r="AA366" s="8" t="s">
        <v>2135</v>
      </c>
      <c r="AB366" s="8" t="s">
        <v>2135</v>
      </c>
      <c r="AC366" s="8" t="s">
        <v>2135</v>
      </c>
      <c r="AD366" s="8" t="s">
        <v>2135</v>
      </c>
      <c r="AE366" s="8" t="s">
        <v>2135</v>
      </c>
      <c r="AF366" s="8" t="s">
        <v>2135</v>
      </c>
      <c r="AG366" s="8">
        <v>37.0</v>
      </c>
      <c r="AH366" s="8">
        <v>29.0</v>
      </c>
      <c r="AI366" s="8">
        <v>38.0</v>
      </c>
      <c r="AJ366" s="8">
        <v>1.0</v>
      </c>
      <c r="AK366" s="8">
        <v>7.0</v>
      </c>
      <c r="AL366" s="8" t="s">
        <v>7615</v>
      </c>
      <c r="AM366" s="8" t="s">
        <v>3390</v>
      </c>
      <c r="AN366" s="8" t="s">
        <v>7616</v>
      </c>
      <c r="AO366" s="8" t="s">
        <v>7617</v>
      </c>
      <c r="AP366" s="8" t="s">
        <v>7618</v>
      </c>
      <c r="AQ366" s="8" t="s">
        <v>2135</v>
      </c>
      <c r="AR366" s="8" t="s">
        <v>7619</v>
      </c>
      <c r="AS366" s="8" t="s">
        <v>7620</v>
      </c>
      <c r="AT366" s="8" t="s">
        <v>3580</v>
      </c>
      <c r="AU366" s="8">
        <v>2003.0</v>
      </c>
      <c r="AV366" s="8">
        <v>39.0</v>
      </c>
      <c r="AW366" s="8">
        <v>4.0</v>
      </c>
      <c r="AX366" s="8" t="s">
        <v>2135</v>
      </c>
      <c r="AY366" s="8" t="s">
        <v>2135</v>
      </c>
      <c r="AZ366" s="8" t="s">
        <v>2135</v>
      </c>
      <c r="BA366" s="8" t="s">
        <v>2135</v>
      </c>
      <c r="BB366" s="8">
        <v>787.0</v>
      </c>
      <c r="BC366" s="8">
        <v>797.0</v>
      </c>
      <c r="BD366" s="8" t="s">
        <v>2135</v>
      </c>
      <c r="BE366" s="8" t="s">
        <v>9221</v>
      </c>
      <c r="BF366" s="13" t="str">
        <f>HYPERLINK("http://dx.doi.org/10.7589/0090-3558-39.4.787","http://dx.doi.org/10.7589/0090-3558-39.4.787")</f>
        <v>http://dx.doi.org/10.7589/0090-3558-39.4.787</v>
      </c>
      <c r="BG366" s="8" t="s">
        <v>2135</v>
      </c>
      <c r="BH366" s="8" t="s">
        <v>2135</v>
      </c>
      <c r="BI366" s="8">
        <v>11.0</v>
      </c>
      <c r="BJ366" s="8" t="s">
        <v>6958</v>
      </c>
      <c r="BK366" s="8" t="s">
        <v>3352</v>
      </c>
      <c r="BL366" s="8" t="s">
        <v>6958</v>
      </c>
      <c r="BM366" s="8" t="s">
        <v>9222</v>
      </c>
      <c r="BN366" s="8">
        <v>1.4733273E7</v>
      </c>
      <c r="BO366" s="8" t="s">
        <v>3560</v>
      </c>
      <c r="BP366" s="8" t="s">
        <v>2135</v>
      </c>
      <c r="BQ366" s="8" t="s">
        <v>2135</v>
      </c>
      <c r="BR366" s="8" t="s">
        <v>3355</v>
      </c>
      <c r="BS366" s="8" t="s">
        <v>9223</v>
      </c>
      <c r="BT366" s="8" t="s">
        <v>2600</v>
      </c>
      <c r="BU366" s="8" t="s">
        <v>2147</v>
      </c>
      <c r="BV366" s="8" t="s">
        <v>2217</v>
      </c>
      <c r="BW366" s="8" t="s">
        <v>2601</v>
      </c>
      <c r="BX366" s="8" t="s">
        <v>2983</v>
      </c>
      <c r="BY366" s="8" t="s">
        <v>2992</v>
      </c>
      <c r="BZ366" s="8" t="str">
        <f>HYPERLINK("https%3A%2F%2Fwww.webofscience.com%2Fwos%2Fwoscc%2Ffull-record%2FWOS:000187791800005","View Full Record in Web of Science")</f>
        <v>View Full Record in Web of Science</v>
      </c>
    </row>
    <row r="367" ht="12.75" customHeight="1">
      <c r="A367" s="8" t="s">
        <v>3329</v>
      </c>
      <c r="B367" s="8" t="s">
        <v>9224</v>
      </c>
      <c r="C367" s="8" t="s">
        <v>2135</v>
      </c>
      <c r="D367" s="8" t="s">
        <v>2135</v>
      </c>
      <c r="E367" s="8" t="s">
        <v>2135</v>
      </c>
      <c r="F367" s="8" t="s">
        <v>9224</v>
      </c>
      <c r="G367" s="8" t="s">
        <v>2135</v>
      </c>
      <c r="H367" s="8" t="s">
        <v>2135</v>
      </c>
      <c r="I367" s="8" t="s">
        <v>1093</v>
      </c>
      <c r="J367" s="8" t="s">
        <v>7602</v>
      </c>
      <c r="K367" s="8" t="s">
        <v>2135</v>
      </c>
      <c r="L367" s="8" t="s">
        <v>2135</v>
      </c>
      <c r="M367" s="8" t="s">
        <v>3332</v>
      </c>
      <c r="N367" s="8" t="s">
        <v>3333</v>
      </c>
      <c r="O367" s="8" t="s">
        <v>2135</v>
      </c>
      <c r="P367" s="8" t="s">
        <v>2135</v>
      </c>
      <c r="Q367" s="8" t="s">
        <v>2135</v>
      </c>
      <c r="R367" s="8" t="s">
        <v>2135</v>
      </c>
      <c r="S367" s="8" t="s">
        <v>2135</v>
      </c>
      <c r="T367" s="8" t="s">
        <v>9225</v>
      </c>
      <c r="U367" s="8" t="s">
        <v>9226</v>
      </c>
      <c r="V367" s="8" t="s">
        <v>9227</v>
      </c>
      <c r="W367" s="8" t="s">
        <v>9228</v>
      </c>
      <c r="X367" s="8" t="s">
        <v>7893</v>
      </c>
      <c r="Y367" s="8" t="s">
        <v>9229</v>
      </c>
      <c r="Z367" s="8" t="s">
        <v>9230</v>
      </c>
      <c r="AA367" s="8" t="s">
        <v>7610</v>
      </c>
      <c r="AB367" s="8" t="s">
        <v>9231</v>
      </c>
      <c r="AC367" s="8" t="s">
        <v>2135</v>
      </c>
      <c r="AD367" s="8" t="s">
        <v>2135</v>
      </c>
      <c r="AE367" s="8" t="s">
        <v>2135</v>
      </c>
      <c r="AF367" s="8" t="s">
        <v>2135</v>
      </c>
      <c r="AG367" s="8">
        <v>40.0</v>
      </c>
      <c r="AH367" s="8">
        <v>226.0</v>
      </c>
      <c r="AI367" s="8">
        <v>272.0</v>
      </c>
      <c r="AJ367" s="8">
        <v>1.0</v>
      </c>
      <c r="AK367" s="8">
        <v>143.0</v>
      </c>
      <c r="AL367" s="8" t="s">
        <v>7615</v>
      </c>
      <c r="AM367" s="8" t="s">
        <v>3390</v>
      </c>
      <c r="AN367" s="8" t="s">
        <v>7616</v>
      </c>
      <c r="AO367" s="8" t="s">
        <v>7617</v>
      </c>
      <c r="AP367" s="8" t="s">
        <v>7618</v>
      </c>
      <c r="AQ367" s="8" t="s">
        <v>2135</v>
      </c>
      <c r="AR367" s="8" t="s">
        <v>7619</v>
      </c>
      <c r="AS367" s="8" t="s">
        <v>7620</v>
      </c>
      <c r="AT367" s="8" t="s">
        <v>3512</v>
      </c>
      <c r="AU367" s="8">
        <v>2003.0</v>
      </c>
      <c r="AV367" s="8">
        <v>39.0</v>
      </c>
      <c r="AW367" s="8">
        <v>3.0</v>
      </c>
      <c r="AX367" s="8" t="s">
        <v>2135</v>
      </c>
      <c r="AY367" s="8" t="s">
        <v>2135</v>
      </c>
      <c r="AZ367" s="8" t="s">
        <v>2135</v>
      </c>
      <c r="BA367" s="8" t="s">
        <v>2135</v>
      </c>
      <c r="BB367" s="8">
        <v>495.0</v>
      </c>
      <c r="BC367" s="8">
        <v>509.0</v>
      </c>
      <c r="BD367" s="8" t="s">
        <v>2135</v>
      </c>
      <c r="BE367" s="8" t="s">
        <v>9232</v>
      </c>
      <c r="BF367" s="13" t="str">
        <f>HYPERLINK("http://dx.doi.org/10.7589/0090-3558-39.3.495","http://dx.doi.org/10.7589/0090-3558-39.3.495")</f>
        <v>http://dx.doi.org/10.7589/0090-3558-39.3.495</v>
      </c>
      <c r="BG367" s="8" t="s">
        <v>2135</v>
      </c>
      <c r="BH367" s="8" t="s">
        <v>2135</v>
      </c>
      <c r="BI367" s="8">
        <v>15.0</v>
      </c>
      <c r="BJ367" s="8" t="s">
        <v>6958</v>
      </c>
      <c r="BK367" s="8" t="s">
        <v>3352</v>
      </c>
      <c r="BL367" s="8" t="s">
        <v>6958</v>
      </c>
      <c r="BM367" s="8" t="s">
        <v>9233</v>
      </c>
      <c r="BN367" s="8">
        <v>1.456721E7</v>
      </c>
      <c r="BO367" s="8" t="s">
        <v>3560</v>
      </c>
      <c r="BP367" s="8" t="s">
        <v>2135</v>
      </c>
      <c r="BQ367" s="8" t="s">
        <v>2135</v>
      </c>
      <c r="BR367" s="8" t="s">
        <v>3355</v>
      </c>
      <c r="BS367" s="8" t="s">
        <v>9234</v>
      </c>
      <c r="BT367" s="8" t="s">
        <v>2600</v>
      </c>
      <c r="BU367" s="8" t="s">
        <v>2147</v>
      </c>
      <c r="BV367" s="8" t="s">
        <v>2217</v>
      </c>
      <c r="BW367" s="8" t="s">
        <v>2237</v>
      </c>
      <c r="BX367" s="8" t="s">
        <v>2985</v>
      </c>
      <c r="BY367" s="8" t="s">
        <v>2992</v>
      </c>
      <c r="BZ367" s="8" t="str">
        <f>HYPERLINK("https%3A%2F%2Fwww.webofscience.com%2Fwos%2Fwoscc%2Ffull-record%2FWOS:000185459200002","View Full Record in Web of Science")</f>
        <v>View Full Record in Web of Science</v>
      </c>
    </row>
    <row r="368" ht="12.75" customHeight="1">
      <c r="A368" s="8" t="s">
        <v>3329</v>
      </c>
      <c r="B368" s="8" t="s">
        <v>9235</v>
      </c>
      <c r="C368" s="8" t="s">
        <v>2135</v>
      </c>
      <c r="D368" s="8" t="s">
        <v>2135</v>
      </c>
      <c r="E368" s="8" t="s">
        <v>2135</v>
      </c>
      <c r="F368" s="8" t="s">
        <v>9235</v>
      </c>
      <c r="G368" s="8" t="s">
        <v>2135</v>
      </c>
      <c r="H368" s="8" t="s">
        <v>2135</v>
      </c>
      <c r="I368" s="8" t="s">
        <v>1146</v>
      </c>
      <c r="J368" s="8" t="s">
        <v>3331</v>
      </c>
      <c r="K368" s="8" t="s">
        <v>2135</v>
      </c>
      <c r="L368" s="8" t="s">
        <v>2135</v>
      </c>
      <c r="M368" s="8" t="s">
        <v>3332</v>
      </c>
      <c r="N368" s="8" t="s">
        <v>3492</v>
      </c>
      <c r="O368" s="8" t="s">
        <v>2135</v>
      </c>
      <c r="P368" s="8" t="s">
        <v>2135</v>
      </c>
      <c r="Q368" s="8" t="s">
        <v>2135</v>
      </c>
      <c r="R368" s="8" t="s">
        <v>2135</v>
      </c>
      <c r="S368" s="8" t="s">
        <v>2135</v>
      </c>
      <c r="T368" s="8" t="s">
        <v>2135</v>
      </c>
      <c r="U368" s="8" t="s">
        <v>9236</v>
      </c>
      <c r="V368" s="8" t="s">
        <v>9237</v>
      </c>
      <c r="W368" s="8" t="s">
        <v>9238</v>
      </c>
      <c r="X368" s="8" t="s">
        <v>9239</v>
      </c>
      <c r="Y368" s="8" t="s">
        <v>9240</v>
      </c>
      <c r="Z368" s="8" t="s">
        <v>4450</v>
      </c>
      <c r="AA368" s="8" t="s">
        <v>9241</v>
      </c>
      <c r="AB368" s="8" t="s">
        <v>9242</v>
      </c>
      <c r="AC368" s="8" t="s">
        <v>2135</v>
      </c>
      <c r="AD368" s="8" t="s">
        <v>2135</v>
      </c>
      <c r="AE368" s="8" t="s">
        <v>2135</v>
      </c>
      <c r="AF368" s="8" t="s">
        <v>2135</v>
      </c>
      <c r="AG368" s="8">
        <v>97.0</v>
      </c>
      <c r="AH368" s="8">
        <v>178.0</v>
      </c>
      <c r="AI368" s="8">
        <v>227.0</v>
      </c>
      <c r="AJ368" s="8">
        <v>1.0</v>
      </c>
      <c r="AK368" s="8">
        <v>137.0</v>
      </c>
      <c r="AL368" s="8" t="s">
        <v>3342</v>
      </c>
      <c r="AM368" s="8" t="s">
        <v>3343</v>
      </c>
      <c r="AN368" s="8" t="s">
        <v>3344</v>
      </c>
      <c r="AO368" s="8" t="s">
        <v>3345</v>
      </c>
      <c r="AP368" s="8" t="s">
        <v>3346</v>
      </c>
      <c r="AQ368" s="8" t="s">
        <v>2135</v>
      </c>
      <c r="AR368" s="8" t="s">
        <v>3347</v>
      </c>
      <c r="AS368" s="8" t="s">
        <v>3348</v>
      </c>
      <c r="AT368" s="8" t="s">
        <v>3349</v>
      </c>
      <c r="AU368" s="8">
        <v>2002.0</v>
      </c>
      <c r="AV368" s="8">
        <v>16.0</v>
      </c>
      <c r="AW368" s="8">
        <v>3.0</v>
      </c>
      <c r="AX368" s="8" t="s">
        <v>2135</v>
      </c>
      <c r="AY368" s="8" t="s">
        <v>2135</v>
      </c>
      <c r="AZ368" s="8" t="s">
        <v>2135</v>
      </c>
      <c r="BA368" s="8" t="s">
        <v>2135</v>
      </c>
      <c r="BB368" s="8">
        <v>593.0</v>
      </c>
      <c r="BC368" s="8">
        <v>604.0</v>
      </c>
      <c r="BD368" s="8" t="s">
        <v>2135</v>
      </c>
      <c r="BE368" s="8" t="s">
        <v>9243</v>
      </c>
      <c r="BF368" s="13" t="str">
        <f>HYPERLINK("http://dx.doi.org/10.1046/j.1523-1739.2002.00446.x","http://dx.doi.org/10.1046/j.1523-1739.2002.00446.x")</f>
        <v>http://dx.doi.org/10.1046/j.1523-1739.2002.00446.x</v>
      </c>
      <c r="BG368" s="8" t="s">
        <v>2135</v>
      </c>
      <c r="BH368" s="8" t="s">
        <v>2135</v>
      </c>
      <c r="BI368" s="8">
        <v>12.0</v>
      </c>
      <c r="BJ368" s="8" t="s">
        <v>3351</v>
      </c>
      <c r="BK368" s="8" t="s">
        <v>3352</v>
      </c>
      <c r="BL368" s="8" t="s">
        <v>3353</v>
      </c>
      <c r="BM368" s="8" t="s">
        <v>9244</v>
      </c>
      <c r="BN368" s="8" t="s">
        <v>2135</v>
      </c>
      <c r="BO368" s="8" t="s">
        <v>2135</v>
      </c>
      <c r="BP368" s="8" t="s">
        <v>2135</v>
      </c>
      <c r="BQ368" s="8" t="s">
        <v>2135</v>
      </c>
      <c r="BR368" s="8" t="s">
        <v>3355</v>
      </c>
      <c r="BS368" s="8" t="s">
        <v>9245</v>
      </c>
      <c r="BT368" s="8" t="s">
        <v>2600</v>
      </c>
      <c r="BU368" s="8" t="s">
        <v>2147</v>
      </c>
      <c r="BV368" s="8" t="s">
        <v>2217</v>
      </c>
      <c r="BW368" s="8" t="s">
        <v>2237</v>
      </c>
      <c r="BX368" s="8" t="s">
        <v>2985</v>
      </c>
      <c r="BY368" s="8" t="s">
        <v>2992</v>
      </c>
      <c r="BZ368" s="8" t="str">
        <f>HYPERLINK("https%3A%2F%2Fwww.webofscience.com%2Fwos%2Fwoscc%2Ffull-record%2FWOS:000175832000008","View Full Record in Web of Science")</f>
        <v>View Full Record in Web of Science</v>
      </c>
    </row>
    <row r="369" ht="12.75" customHeight="1">
      <c r="A369" s="8" t="s">
        <v>3329</v>
      </c>
      <c r="B369" s="8" t="s">
        <v>9246</v>
      </c>
      <c r="C369" s="8" t="s">
        <v>2135</v>
      </c>
      <c r="D369" s="8" t="s">
        <v>2135</v>
      </c>
      <c r="E369" s="8" t="s">
        <v>2135</v>
      </c>
      <c r="F369" s="8" t="s">
        <v>9246</v>
      </c>
      <c r="G369" s="8" t="s">
        <v>2135</v>
      </c>
      <c r="H369" s="8" t="s">
        <v>2135</v>
      </c>
      <c r="I369" s="8" t="s">
        <v>1144</v>
      </c>
      <c r="J369" s="8" t="s">
        <v>9247</v>
      </c>
      <c r="K369" s="8" t="s">
        <v>2135</v>
      </c>
      <c r="L369" s="8" t="s">
        <v>2135</v>
      </c>
      <c r="M369" s="8" t="s">
        <v>3332</v>
      </c>
      <c r="N369" s="8" t="s">
        <v>3333</v>
      </c>
      <c r="O369" s="8" t="s">
        <v>2135</v>
      </c>
      <c r="P369" s="8" t="s">
        <v>2135</v>
      </c>
      <c r="Q369" s="8" t="s">
        <v>2135</v>
      </c>
      <c r="R369" s="8" t="s">
        <v>2135</v>
      </c>
      <c r="S369" s="8" t="s">
        <v>2135</v>
      </c>
      <c r="T369" s="8" t="s">
        <v>2135</v>
      </c>
      <c r="U369" s="8" t="s">
        <v>9248</v>
      </c>
      <c r="V369" s="8" t="s">
        <v>9249</v>
      </c>
      <c r="W369" s="8" t="s">
        <v>9250</v>
      </c>
      <c r="X369" s="8" t="s">
        <v>7893</v>
      </c>
      <c r="Y369" s="8" t="s">
        <v>9251</v>
      </c>
      <c r="Z369" s="8" t="s">
        <v>2135</v>
      </c>
      <c r="AA369" s="8" t="s">
        <v>8360</v>
      </c>
      <c r="AB369" s="8" t="s">
        <v>8361</v>
      </c>
      <c r="AC369" s="8" t="s">
        <v>2135</v>
      </c>
      <c r="AD369" s="8" t="s">
        <v>2135</v>
      </c>
      <c r="AE369" s="8" t="s">
        <v>2135</v>
      </c>
      <c r="AF369" s="8" t="s">
        <v>2135</v>
      </c>
      <c r="AG369" s="8">
        <v>30.0</v>
      </c>
      <c r="AH369" s="8">
        <v>79.0</v>
      </c>
      <c r="AI369" s="8">
        <v>92.0</v>
      </c>
      <c r="AJ369" s="8">
        <v>0.0</v>
      </c>
      <c r="AK369" s="8">
        <v>15.0</v>
      </c>
      <c r="AL369" s="8" t="s">
        <v>9252</v>
      </c>
      <c r="AM369" s="8" t="s">
        <v>3390</v>
      </c>
      <c r="AN369" s="8" t="s">
        <v>3391</v>
      </c>
      <c r="AO369" s="8" t="s">
        <v>9253</v>
      </c>
      <c r="AP369" s="8" t="s">
        <v>2135</v>
      </c>
      <c r="AQ369" s="8" t="s">
        <v>2135</v>
      </c>
      <c r="AR369" s="8" t="s">
        <v>9254</v>
      </c>
      <c r="AS369" s="8" t="s">
        <v>9255</v>
      </c>
      <c r="AT369" s="8" t="s">
        <v>3349</v>
      </c>
      <c r="AU369" s="8">
        <v>2002.0</v>
      </c>
      <c r="AV369" s="8">
        <v>88.0</v>
      </c>
      <c r="AW369" s="8">
        <v>3.0</v>
      </c>
      <c r="AX369" s="8" t="s">
        <v>2135</v>
      </c>
      <c r="AY369" s="8" t="s">
        <v>2135</v>
      </c>
      <c r="AZ369" s="8" t="s">
        <v>2135</v>
      </c>
      <c r="BA369" s="8" t="s">
        <v>2135</v>
      </c>
      <c r="BB369" s="8">
        <v>594.0</v>
      </c>
      <c r="BC369" s="8">
        <v>599.0</v>
      </c>
      <c r="BD369" s="8" t="s">
        <v>2135</v>
      </c>
      <c r="BE369" s="8" t="s">
        <v>9256</v>
      </c>
      <c r="BF369" s="13" t="str">
        <f>HYPERLINK("http://dx.doi.org/10.1645/0022-3395(2002)088[0594:EOAIFA]2.0.CO;2","http://dx.doi.org/10.1645/0022-3395(2002)088[0594:EOAIFA]2.0.CO;2")</f>
        <v>http://dx.doi.org/10.1645/0022-3395(2002)088[0594:EOAIFA]2.0.CO;2</v>
      </c>
      <c r="BG369" s="8" t="s">
        <v>2135</v>
      </c>
      <c r="BH369" s="8" t="s">
        <v>2135</v>
      </c>
      <c r="BI369" s="8">
        <v>6.0</v>
      </c>
      <c r="BJ369" s="8" t="s">
        <v>7597</v>
      </c>
      <c r="BK369" s="8" t="s">
        <v>3352</v>
      </c>
      <c r="BL369" s="8" t="s">
        <v>7597</v>
      </c>
      <c r="BM369" s="8" t="s">
        <v>9257</v>
      </c>
      <c r="BN369" s="8">
        <v>1.2099433E7</v>
      </c>
      <c r="BO369" s="8" t="s">
        <v>2135</v>
      </c>
      <c r="BP369" s="8" t="s">
        <v>2135</v>
      </c>
      <c r="BQ369" s="8" t="s">
        <v>2135</v>
      </c>
      <c r="BR369" s="8" t="s">
        <v>3355</v>
      </c>
      <c r="BS369" s="8" t="s">
        <v>9258</v>
      </c>
      <c r="BT369" s="8" t="s">
        <v>2600</v>
      </c>
      <c r="BU369" s="8" t="s">
        <v>2147</v>
      </c>
      <c r="BV369" s="8" t="s">
        <v>2217</v>
      </c>
      <c r="BW369" s="8" t="s">
        <v>2237</v>
      </c>
      <c r="BX369" s="8" t="s">
        <v>2985</v>
      </c>
      <c r="BY369" s="8" t="s">
        <v>2992</v>
      </c>
      <c r="BZ369" s="8" t="str">
        <f>HYPERLINK("https%3A%2F%2Fwww.webofscience.com%2Fwos%2Fwoscc%2Ffull-record%2FWOS:000176526500027","View Full Record in Web of Science")</f>
        <v>View Full Record in Web of Science</v>
      </c>
    </row>
    <row r="370" ht="12.75" customHeight="1">
      <c r="A370" s="8" t="s">
        <v>3329</v>
      </c>
      <c r="B370" s="8" t="s">
        <v>9259</v>
      </c>
      <c r="C370" s="8" t="s">
        <v>2135</v>
      </c>
      <c r="D370" s="8" t="s">
        <v>2135</v>
      </c>
      <c r="E370" s="8" t="s">
        <v>2135</v>
      </c>
      <c r="F370" s="8" t="s">
        <v>9259</v>
      </c>
      <c r="G370" s="8" t="s">
        <v>2135</v>
      </c>
      <c r="H370" s="8" t="s">
        <v>2135</v>
      </c>
      <c r="I370" s="8" t="s">
        <v>1142</v>
      </c>
      <c r="J370" s="8" t="s">
        <v>8957</v>
      </c>
      <c r="K370" s="8" t="s">
        <v>2135</v>
      </c>
      <c r="L370" s="8" t="s">
        <v>2135</v>
      </c>
      <c r="M370" s="8" t="s">
        <v>3332</v>
      </c>
      <c r="N370" s="8" t="s">
        <v>3333</v>
      </c>
      <c r="O370" s="8" t="s">
        <v>2135</v>
      </c>
      <c r="P370" s="8" t="s">
        <v>2135</v>
      </c>
      <c r="Q370" s="8" t="s">
        <v>2135</v>
      </c>
      <c r="R370" s="8" t="s">
        <v>2135</v>
      </c>
      <c r="S370" s="8" t="s">
        <v>2135</v>
      </c>
      <c r="T370" s="8" t="s">
        <v>2135</v>
      </c>
      <c r="U370" s="8" t="s">
        <v>9260</v>
      </c>
      <c r="V370" s="8" t="s">
        <v>9261</v>
      </c>
      <c r="W370" s="8" t="s">
        <v>9208</v>
      </c>
      <c r="X370" s="8" t="s">
        <v>5444</v>
      </c>
      <c r="Y370" s="8" t="s">
        <v>9262</v>
      </c>
      <c r="Z370" s="8" t="s">
        <v>2135</v>
      </c>
      <c r="AA370" s="8" t="s">
        <v>9263</v>
      </c>
      <c r="AB370" s="8" t="s">
        <v>2135</v>
      </c>
      <c r="AC370" s="8" t="s">
        <v>2135</v>
      </c>
      <c r="AD370" s="8" t="s">
        <v>2135</v>
      </c>
      <c r="AE370" s="8" t="s">
        <v>2135</v>
      </c>
      <c r="AF370" s="8" t="s">
        <v>2135</v>
      </c>
      <c r="AG370" s="8">
        <v>43.0</v>
      </c>
      <c r="AH370" s="8">
        <v>36.0</v>
      </c>
      <c r="AI370" s="8">
        <v>38.0</v>
      </c>
      <c r="AJ370" s="8">
        <v>0.0</v>
      </c>
      <c r="AK370" s="8">
        <v>15.0</v>
      </c>
      <c r="AL370" s="8" t="s">
        <v>9195</v>
      </c>
      <c r="AM370" s="8" t="s">
        <v>3624</v>
      </c>
      <c r="AN370" s="8" t="s">
        <v>9196</v>
      </c>
      <c r="AO370" s="8" t="s">
        <v>8970</v>
      </c>
      <c r="AP370" s="8" t="s">
        <v>2135</v>
      </c>
      <c r="AQ370" s="8" t="s">
        <v>2135</v>
      </c>
      <c r="AR370" s="8" t="s">
        <v>8972</v>
      </c>
      <c r="AS370" s="8" t="s">
        <v>8973</v>
      </c>
      <c r="AT370" s="8" t="s">
        <v>9264</v>
      </c>
      <c r="AU370" s="8">
        <v>2001.0</v>
      </c>
      <c r="AV370" s="8">
        <v>149.0</v>
      </c>
      <c r="AW370" s="8">
        <v>16.0</v>
      </c>
      <c r="AX370" s="8" t="s">
        <v>2135</v>
      </c>
      <c r="AY370" s="8" t="s">
        <v>2135</v>
      </c>
      <c r="AZ370" s="8" t="s">
        <v>2135</v>
      </c>
      <c r="BA370" s="8" t="s">
        <v>2135</v>
      </c>
      <c r="BB370" s="8">
        <v>485.0</v>
      </c>
      <c r="BC370" s="8">
        <v>488.0</v>
      </c>
      <c r="BD370" s="8" t="s">
        <v>2135</v>
      </c>
      <c r="BE370" s="8" t="s">
        <v>9265</v>
      </c>
      <c r="BF370" s="13" t="str">
        <f>HYPERLINK("http://dx.doi.org/10.1136/vr.149.16.485","http://dx.doi.org/10.1136/vr.149.16.485")</f>
        <v>http://dx.doi.org/10.1136/vr.149.16.485</v>
      </c>
      <c r="BG370" s="8" t="s">
        <v>2135</v>
      </c>
      <c r="BH370" s="8" t="s">
        <v>2135</v>
      </c>
      <c r="BI370" s="8">
        <v>4.0</v>
      </c>
      <c r="BJ370" s="8" t="s">
        <v>6958</v>
      </c>
      <c r="BK370" s="8" t="s">
        <v>3352</v>
      </c>
      <c r="BL370" s="8" t="s">
        <v>6958</v>
      </c>
      <c r="BM370" s="8" t="s">
        <v>9266</v>
      </c>
      <c r="BN370" s="8">
        <v>1.1700927E7</v>
      </c>
      <c r="BO370" s="8" t="s">
        <v>2135</v>
      </c>
      <c r="BP370" s="8" t="s">
        <v>2135</v>
      </c>
      <c r="BQ370" s="8" t="s">
        <v>2135</v>
      </c>
      <c r="BR370" s="8" t="s">
        <v>3355</v>
      </c>
      <c r="BS370" s="8" t="s">
        <v>9267</v>
      </c>
      <c r="BT370" s="8" t="s">
        <v>2553</v>
      </c>
      <c r="BU370" s="8" t="s">
        <v>2142</v>
      </c>
      <c r="BW370" s="8" t="s">
        <v>2575</v>
      </c>
      <c r="BX370" s="8" t="s">
        <v>3010</v>
      </c>
      <c r="BY370" s="8" t="s">
        <v>2992</v>
      </c>
      <c r="BZ370" s="8" t="str">
        <f>HYPERLINK("https%3A%2F%2Fwww.webofscience.com%2Fwos%2Fwoscc%2Ffull-record%2FWOS:000172093900013","View Full Record in Web of Science")</f>
        <v>View Full Record in Web of Science</v>
      </c>
    </row>
    <row r="371" ht="12.75" customHeight="1">
      <c r="A371" s="8" t="s">
        <v>3329</v>
      </c>
      <c r="B371" s="8" t="s">
        <v>9268</v>
      </c>
      <c r="C371" s="8" t="s">
        <v>2135</v>
      </c>
      <c r="D371" s="8" t="s">
        <v>2135</v>
      </c>
      <c r="E371" s="8" t="s">
        <v>2135</v>
      </c>
      <c r="F371" s="8" t="s">
        <v>9268</v>
      </c>
      <c r="G371" s="8" t="s">
        <v>2135</v>
      </c>
      <c r="H371" s="8" t="s">
        <v>2135</v>
      </c>
      <c r="I371" s="8" t="s">
        <v>1138</v>
      </c>
      <c r="J371" s="8" t="s">
        <v>9269</v>
      </c>
      <c r="K371" s="8" t="s">
        <v>2135</v>
      </c>
      <c r="L371" s="8" t="s">
        <v>2135</v>
      </c>
      <c r="M371" s="8" t="s">
        <v>3332</v>
      </c>
      <c r="N371" s="8" t="s">
        <v>3333</v>
      </c>
      <c r="O371" s="8" t="s">
        <v>2135</v>
      </c>
      <c r="P371" s="8" t="s">
        <v>2135</v>
      </c>
      <c r="Q371" s="8" t="s">
        <v>2135</v>
      </c>
      <c r="R371" s="8" t="s">
        <v>2135</v>
      </c>
      <c r="S371" s="8" t="s">
        <v>2135</v>
      </c>
      <c r="T371" s="8" t="s">
        <v>9270</v>
      </c>
      <c r="U371" s="8" t="s">
        <v>2135</v>
      </c>
      <c r="V371" s="8" t="s">
        <v>9271</v>
      </c>
      <c r="W371" s="8" t="s">
        <v>9272</v>
      </c>
      <c r="X371" s="8" t="s">
        <v>9273</v>
      </c>
      <c r="Y371" s="8" t="s">
        <v>9274</v>
      </c>
      <c r="Z371" s="8" t="s">
        <v>2135</v>
      </c>
      <c r="AA371" s="8" t="s">
        <v>2135</v>
      </c>
      <c r="AB371" s="8" t="s">
        <v>2135</v>
      </c>
      <c r="AC371" s="8" t="s">
        <v>2135</v>
      </c>
      <c r="AD371" s="8" t="s">
        <v>2135</v>
      </c>
      <c r="AE371" s="8" t="s">
        <v>2135</v>
      </c>
      <c r="AF371" s="8" t="s">
        <v>2135</v>
      </c>
      <c r="AG371" s="8">
        <v>38.0</v>
      </c>
      <c r="AH371" s="8">
        <v>57.0</v>
      </c>
      <c r="AI371" s="8">
        <v>65.0</v>
      </c>
      <c r="AJ371" s="8">
        <v>0.0</v>
      </c>
      <c r="AK371" s="8">
        <v>11.0</v>
      </c>
      <c r="AL371" s="8" t="s">
        <v>9275</v>
      </c>
      <c r="AM371" s="8" t="s">
        <v>9276</v>
      </c>
      <c r="AN371" s="8" t="s">
        <v>9277</v>
      </c>
      <c r="AO371" s="8" t="s">
        <v>9278</v>
      </c>
      <c r="AP371" s="8" t="s">
        <v>2135</v>
      </c>
      <c r="AQ371" s="8" t="s">
        <v>2135</v>
      </c>
      <c r="AR371" s="8" t="s">
        <v>9279</v>
      </c>
      <c r="AS371" s="8" t="s">
        <v>9280</v>
      </c>
      <c r="AT371" s="8" t="s">
        <v>3721</v>
      </c>
      <c r="AU371" s="8">
        <v>2001.0</v>
      </c>
      <c r="AV371" s="8">
        <v>51.0</v>
      </c>
      <c r="AW371" s="8">
        <v>1.0</v>
      </c>
      <c r="AX371" s="8" t="s">
        <v>2135</v>
      </c>
      <c r="AY371" s="8" t="s">
        <v>2135</v>
      </c>
      <c r="AZ371" s="8" t="s">
        <v>2135</v>
      </c>
      <c r="BA371" s="8" t="s">
        <v>2135</v>
      </c>
      <c r="BB371" s="8">
        <v>107.0</v>
      </c>
      <c r="BC371" s="8">
        <v>126.0</v>
      </c>
      <c r="BD371" s="8" t="s">
        <v>2135</v>
      </c>
      <c r="BE371" s="8" t="s">
        <v>9281</v>
      </c>
      <c r="BF371" s="13" t="str">
        <f>HYPERLINK("http://dx.doi.org/10.1163/156854201750210878","http://dx.doi.org/10.1163/156854201750210878")</f>
        <v>http://dx.doi.org/10.1163/156854201750210878</v>
      </c>
      <c r="BG371" s="8" t="s">
        <v>2135</v>
      </c>
      <c r="BH371" s="8" t="s">
        <v>2135</v>
      </c>
      <c r="BI371" s="8">
        <v>20.0</v>
      </c>
      <c r="BJ371" s="8" t="s">
        <v>3397</v>
      </c>
      <c r="BK371" s="8" t="s">
        <v>3352</v>
      </c>
      <c r="BL371" s="8" t="s">
        <v>3397</v>
      </c>
      <c r="BM371" s="8" t="s">
        <v>9282</v>
      </c>
      <c r="BN371" s="8" t="s">
        <v>2135</v>
      </c>
      <c r="BO371" s="8" t="s">
        <v>2135</v>
      </c>
      <c r="BP371" s="8" t="s">
        <v>2135</v>
      </c>
      <c r="BQ371" s="8" t="s">
        <v>2135</v>
      </c>
      <c r="BR371" s="8" t="s">
        <v>3355</v>
      </c>
      <c r="BS371" s="8" t="s">
        <v>9283</v>
      </c>
      <c r="BT371" s="8" t="s">
        <v>2163</v>
      </c>
      <c r="BU371" s="8" t="s">
        <v>2142</v>
      </c>
      <c r="BW371" s="8" t="s">
        <v>2168</v>
      </c>
      <c r="BX371" s="8" t="s">
        <v>3010</v>
      </c>
      <c r="BY371" s="8" t="s">
        <v>2992</v>
      </c>
      <c r="BZ371" s="8" t="str">
        <f>HYPERLINK("https%3A%2F%2Fwww.webofscience.com%2Fwos%2Fwoscc%2Ffull-record%2FWOS:000169673400008","View Full Record in Web of Science")</f>
        <v>View Full Record in Web of Science</v>
      </c>
    </row>
    <row r="372" ht="12.75" customHeight="1">
      <c r="A372" s="8" t="s">
        <v>3329</v>
      </c>
      <c r="B372" s="8" t="s">
        <v>9284</v>
      </c>
      <c r="C372" s="8" t="s">
        <v>2135</v>
      </c>
      <c r="D372" s="8" t="s">
        <v>2135</v>
      </c>
      <c r="E372" s="8" t="s">
        <v>2135</v>
      </c>
      <c r="F372" s="8" t="s">
        <v>9284</v>
      </c>
      <c r="G372" s="8" t="s">
        <v>2135</v>
      </c>
      <c r="H372" s="8" t="s">
        <v>2135</v>
      </c>
      <c r="I372" s="8" t="s">
        <v>1140</v>
      </c>
      <c r="J372" s="8" t="s">
        <v>7602</v>
      </c>
      <c r="K372" s="8" t="s">
        <v>2135</v>
      </c>
      <c r="L372" s="8" t="s">
        <v>2135</v>
      </c>
      <c r="M372" s="8" t="s">
        <v>3332</v>
      </c>
      <c r="N372" s="8" t="s">
        <v>3333</v>
      </c>
      <c r="O372" s="8" t="s">
        <v>2135</v>
      </c>
      <c r="P372" s="8" t="s">
        <v>2135</v>
      </c>
      <c r="Q372" s="8" t="s">
        <v>2135</v>
      </c>
      <c r="R372" s="8" t="s">
        <v>2135</v>
      </c>
      <c r="S372" s="8" t="s">
        <v>2135</v>
      </c>
      <c r="T372" s="8" t="s">
        <v>9285</v>
      </c>
      <c r="U372" s="8" t="s">
        <v>9286</v>
      </c>
      <c r="V372" s="8" t="s">
        <v>9287</v>
      </c>
      <c r="W372" s="8" t="s">
        <v>9288</v>
      </c>
      <c r="X372" s="8" t="s">
        <v>9289</v>
      </c>
      <c r="Y372" s="8" t="s">
        <v>9290</v>
      </c>
      <c r="Z372" s="8" t="s">
        <v>2135</v>
      </c>
      <c r="AA372" s="8" t="s">
        <v>9291</v>
      </c>
      <c r="AB372" s="8" t="s">
        <v>9292</v>
      </c>
      <c r="AC372" s="8" t="s">
        <v>2135</v>
      </c>
      <c r="AD372" s="8" t="s">
        <v>2135</v>
      </c>
      <c r="AE372" s="8" t="s">
        <v>2135</v>
      </c>
      <c r="AF372" s="8" t="s">
        <v>2135</v>
      </c>
      <c r="AG372" s="8">
        <v>41.0</v>
      </c>
      <c r="AH372" s="8">
        <v>85.0</v>
      </c>
      <c r="AI372" s="8">
        <v>90.0</v>
      </c>
      <c r="AJ372" s="8">
        <v>0.0</v>
      </c>
      <c r="AK372" s="8">
        <v>32.0</v>
      </c>
      <c r="AL372" s="8" t="s">
        <v>9293</v>
      </c>
      <c r="AM372" s="8" t="s">
        <v>3390</v>
      </c>
      <c r="AN372" s="8" t="s">
        <v>7616</v>
      </c>
      <c r="AO372" s="8" t="s">
        <v>7617</v>
      </c>
      <c r="AP372" s="8" t="s">
        <v>2135</v>
      </c>
      <c r="AQ372" s="8" t="s">
        <v>2135</v>
      </c>
      <c r="AR372" s="8" t="s">
        <v>7619</v>
      </c>
      <c r="AS372" s="8" t="s">
        <v>7620</v>
      </c>
      <c r="AT372" s="8" t="s">
        <v>3629</v>
      </c>
      <c r="AU372" s="8">
        <v>2001.0</v>
      </c>
      <c r="AV372" s="8">
        <v>37.0</v>
      </c>
      <c r="AW372" s="8">
        <v>1.0</v>
      </c>
      <c r="AX372" s="8" t="s">
        <v>2135</v>
      </c>
      <c r="AY372" s="8" t="s">
        <v>2135</v>
      </c>
      <c r="AZ372" s="8" t="s">
        <v>2135</v>
      </c>
      <c r="BA372" s="8" t="s">
        <v>2135</v>
      </c>
      <c r="BB372" s="8">
        <v>138.0</v>
      </c>
      <c r="BC372" s="8">
        <v>144.0</v>
      </c>
      <c r="BD372" s="8" t="s">
        <v>2135</v>
      </c>
      <c r="BE372" s="8" t="s">
        <v>9294</v>
      </c>
      <c r="BF372" s="13" t="str">
        <f>HYPERLINK("http://dx.doi.org/10.7589/0090-3558-37.1.138","http://dx.doi.org/10.7589/0090-3558-37.1.138")</f>
        <v>http://dx.doi.org/10.7589/0090-3558-37.1.138</v>
      </c>
      <c r="BG372" s="8" t="s">
        <v>2135</v>
      </c>
      <c r="BH372" s="8" t="s">
        <v>2135</v>
      </c>
      <c r="BI372" s="8">
        <v>7.0</v>
      </c>
      <c r="BJ372" s="8" t="s">
        <v>6958</v>
      </c>
      <c r="BK372" s="8" t="s">
        <v>3352</v>
      </c>
      <c r="BL372" s="8" t="s">
        <v>6958</v>
      </c>
      <c r="BM372" s="8" t="s">
        <v>9295</v>
      </c>
      <c r="BN372" s="8">
        <v>1.1272488E7</v>
      </c>
      <c r="BO372" s="8" t="s">
        <v>3560</v>
      </c>
      <c r="BP372" s="8" t="s">
        <v>2135</v>
      </c>
      <c r="BQ372" s="8" t="s">
        <v>2135</v>
      </c>
      <c r="BR372" s="8" t="s">
        <v>3355</v>
      </c>
      <c r="BS372" s="8" t="s">
        <v>9296</v>
      </c>
      <c r="BU372" s="8" t="s">
        <v>2142</v>
      </c>
      <c r="BW372" s="8" t="s">
        <v>2168</v>
      </c>
      <c r="BX372" s="8" t="s">
        <v>2985</v>
      </c>
      <c r="BY372" s="8" t="s">
        <v>2992</v>
      </c>
      <c r="BZ372" s="8" t="str">
        <f>HYPERLINK("https%3A%2F%2Fwww.webofscience.com%2Fwos%2Fwoscc%2Ffull-record%2FWOS:000167011600017","View Full Record in Web of Science")</f>
        <v>View Full Record in Web of Science</v>
      </c>
    </row>
    <row r="373" ht="12.75" customHeight="1">
      <c r="A373" s="8" t="s">
        <v>3329</v>
      </c>
      <c r="B373" s="8" t="s">
        <v>9297</v>
      </c>
      <c r="C373" s="8" t="s">
        <v>2135</v>
      </c>
      <c r="D373" s="8" t="s">
        <v>2135</v>
      </c>
      <c r="E373" s="8" t="s">
        <v>2135</v>
      </c>
      <c r="F373" s="8" t="s">
        <v>9297</v>
      </c>
      <c r="G373" s="8" t="s">
        <v>2135</v>
      </c>
      <c r="H373" s="8" t="s">
        <v>2135</v>
      </c>
      <c r="I373" s="8" t="s">
        <v>1136</v>
      </c>
      <c r="J373" s="8" t="s">
        <v>4864</v>
      </c>
      <c r="K373" s="8" t="s">
        <v>2135</v>
      </c>
      <c r="L373" s="8" t="s">
        <v>2135</v>
      </c>
      <c r="M373" s="8" t="s">
        <v>3332</v>
      </c>
      <c r="N373" s="8" t="s">
        <v>3333</v>
      </c>
      <c r="O373" s="8" t="s">
        <v>2135</v>
      </c>
      <c r="P373" s="8" t="s">
        <v>2135</v>
      </c>
      <c r="Q373" s="8" t="s">
        <v>2135</v>
      </c>
      <c r="R373" s="8" t="s">
        <v>2135</v>
      </c>
      <c r="S373" s="8" t="s">
        <v>2135</v>
      </c>
      <c r="T373" s="8" t="s">
        <v>2135</v>
      </c>
      <c r="U373" s="8" t="s">
        <v>9298</v>
      </c>
      <c r="V373" s="8" t="s">
        <v>9299</v>
      </c>
      <c r="W373" s="8" t="s">
        <v>9300</v>
      </c>
      <c r="X373" s="8" t="s">
        <v>9301</v>
      </c>
      <c r="Y373" s="8" t="s">
        <v>9302</v>
      </c>
      <c r="Z373" s="8" t="s">
        <v>9303</v>
      </c>
      <c r="AA373" s="8" t="s">
        <v>9304</v>
      </c>
      <c r="AB373" s="8" t="s">
        <v>9305</v>
      </c>
      <c r="AC373" s="8" t="s">
        <v>2135</v>
      </c>
      <c r="AD373" s="8" t="s">
        <v>2135</v>
      </c>
      <c r="AE373" s="8" t="s">
        <v>2135</v>
      </c>
      <c r="AF373" s="8" t="s">
        <v>2135</v>
      </c>
      <c r="AG373" s="8">
        <v>75.0</v>
      </c>
      <c r="AH373" s="8">
        <v>39.0</v>
      </c>
      <c r="AI373" s="8">
        <v>45.0</v>
      </c>
      <c r="AJ373" s="8">
        <v>0.0</v>
      </c>
      <c r="AK373" s="8">
        <v>12.0</v>
      </c>
      <c r="AL373" s="8" t="s">
        <v>3342</v>
      </c>
      <c r="AM373" s="8" t="s">
        <v>3343</v>
      </c>
      <c r="AN373" s="8" t="s">
        <v>3344</v>
      </c>
      <c r="AO373" s="8" t="s">
        <v>4873</v>
      </c>
      <c r="AP373" s="8" t="s">
        <v>4874</v>
      </c>
      <c r="AQ373" s="8" t="s">
        <v>2135</v>
      </c>
      <c r="AR373" s="8" t="s">
        <v>4875</v>
      </c>
      <c r="AS373" s="8" t="s">
        <v>4876</v>
      </c>
      <c r="AT373" s="8" t="s">
        <v>3440</v>
      </c>
      <c r="AU373" s="8">
        <v>2000.0</v>
      </c>
      <c r="AV373" s="8">
        <v>3.0</v>
      </c>
      <c r="AW373" s="8" t="s">
        <v>2135</v>
      </c>
      <c r="AX373" s="8">
        <v>4.0</v>
      </c>
      <c r="AY373" s="8" t="s">
        <v>2135</v>
      </c>
      <c r="AZ373" s="8" t="s">
        <v>2135</v>
      </c>
      <c r="BA373" s="8" t="s">
        <v>2135</v>
      </c>
      <c r="BB373" s="8">
        <v>345.0</v>
      </c>
      <c r="BC373" s="8">
        <v>355.0</v>
      </c>
      <c r="BD373" s="8" t="s">
        <v>2135</v>
      </c>
      <c r="BE373" s="8" t="s">
        <v>2135</v>
      </c>
      <c r="BF373" s="8" t="s">
        <v>2135</v>
      </c>
      <c r="BG373" s="8" t="s">
        <v>2135</v>
      </c>
      <c r="BH373" s="8" t="s">
        <v>2135</v>
      </c>
      <c r="BI373" s="8">
        <v>11.0</v>
      </c>
      <c r="BJ373" s="8" t="s">
        <v>3558</v>
      </c>
      <c r="BK373" s="8" t="s">
        <v>3352</v>
      </c>
      <c r="BL373" s="8" t="s">
        <v>3353</v>
      </c>
      <c r="BM373" s="8" t="s">
        <v>9306</v>
      </c>
      <c r="BN373" s="8" t="s">
        <v>2135</v>
      </c>
      <c r="BO373" s="8" t="s">
        <v>2135</v>
      </c>
      <c r="BP373" s="8" t="s">
        <v>2135</v>
      </c>
      <c r="BQ373" s="8" t="s">
        <v>2135</v>
      </c>
      <c r="BR373" s="8" t="s">
        <v>3355</v>
      </c>
      <c r="BS373" s="8" t="s">
        <v>9307</v>
      </c>
      <c r="BU373" s="8" t="s">
        <v>2142</v>
      </c>
      <c r="BW373" s="8" t="s">
        <v>2168</v>
      </c>
      <c r="BX373" s="8" t="s">
        <v>3118</v>
      </c>
      <c r="BY373" s="8" t="s">
        <v>2992</v>
      </c>
      <c r="BZ373" s="8" t="str">
        <f>HYPERLINK("https%3A%2F%2Fwww.webofscience.com%2Fwos%2Fwoscc%2Ffull-record%2FWOS:000165205800007","View Full Record in Web of Science")</f>
        <v>View Full Record in Web of Science</v>
      </c>
    </row>
    <row r="374" ht="12.75" customHeight="1">
      <c r="A374" s="8" t="s">
        <v>3329</v>
      </c>
      <c r="B374" s="8" t="s">
        <v>9308</v>
      </c>
      <c r="C374" s="8" t="s">
        <v>2135</v>
      </c>
      <c r="D374" s="8" t="s">
        <v>2135</v>
      </c>
      <c r="E374" s="8" t="s">
        <v>2135</v>
      </c>
      <c r="F374" s="8" t="s">
        <v>9308</v>
      </c>
      <c r="G374" s="8" t="s">
        <v>2135</v>
      </c>
      <c r="H374" s="8" t="s">
        <v>2135</v>
      </c>
      <c r="I374" s="8" t="s">
        <v>1132</v>
      </c>
      <c r="J374" s="8" t="s">
        <v>9309</v>
      </c>
      <c r="K374" s="8" t="s">
        <v>2135</v>
      </c>
      <c r="L374" s="8" t="s">
        <v>2135</v>
      </c>
      <c r="M374" s="8" t="s">
        <v>3332</v>
      </c>
      <c r="N374" s="8" t="s">
        <v>3333</v>
      </c>
      <c r="O374" s="8" t="s">
        <v>2135</v>
      </c>
      <c r="P374" s="8" t="s">
        <v>2135</v>
      </c>
      <c r="Q374" s="8" t="s">
        <v>2135</v>
      </c>
      <c r="R374" s="8" t="s">
        <v>2135</v>
      </c>
      <c r="S374" s="8" t="s">
        <v>2135</v>
      </c>
      <c r="T374" s="8" t="s">
        <v>9310</v>
      </c>
      <c r="U374" s="8" t="s">
        <v>9311</v>
      </c>
      <c r="V374" s="8" t="s">
        <v>9312</v>
      </c>
      <c r="W374" s="8" t="s">
        <v>9313</v>
      </c>
      <c r="X374" s="8" t="s">
        <v>6446</v>
      </c>
      <c r="Y374" s="8" t="s">
        <v>9314</v>
      </c>
      <c r="Z374" s="8" t="s">
        <v>9315</v>
      </c>
      <c r="AA374" s="8" t="s">
        <v>2135</v>
      </c>
      <c r="AB374" s="8" t="s">
        <v>2135</v>
      </c>
      <c r="AC374" s="8" t="s">
        <v>2135</v>
      </c>
      <c r="AD374" s="8" t="s">
        <v>2135</v>
      </c>
      <c r="AE374" s="8" t="s">
        <v>2135</v>
      </c>
      <c r="AF374" s="8" t="s">
        <v>2135</v>
      </c>
      <c r="AG374" s="8">
        <v>30.0</v>
      </c>
      <c r="AH374" s="8">
        <v>43.0</v>
      </c>
      <c r="AI374" s="8">
        <v>49.0</v>
      </c>
      <c r="AJ374" s="8">
        <v>2.0</v>
      </c>
      <c r="AK374" s="8">
        <v>47.0</v>
      </c>
      <c r="AL374" s="8" t="s">
        <v>3784</v>
      </c>
      <c r="AM374" s="8" t="s">
        <v>3785</v>
      </c>
      <c r="AN374" s="8" t="s">
        <v>3786</v>
      </c>
      <c r="AO374" s="8" t="s">
        <v>9316</v>
      </c>
      <c r="AP374" s="8" t="s">
        <v>2135</v>
      </c>
      <c r="AQ374" s="8" t="s">
        <v>2135</v>
      </c>
      <c r="AR374" s="8" t="s">
        <v>9317</v>
      </c>
      <c r="AS374" s="8" t="s">
        <v>9318</v>
      </c>
      <c r="AT374" s="8" t="s">
        <v>3580</v>
      </c>
      <c r="AU374" s="8">
        <v>2000.0</v>
      </c>
      <c r="AV374" s="8">
        <v>65.0</v>
      </c>
      <c r="AW374" s="8">
        <v>5.0</v>
      </c>
      <c r="AX374" s="8" t="s">
        <v>2135</v>
      </c>
      <c r="AY374" s="8" t="s">
        <v>2135</v>
      </c>
      <c r="AZ374" s="8" t="s">
        <v>2135</v>
      </c>
      <c r="BA374" s="8" t="s">
        <v>2135</v>
      </c>
      <c r="BB374" s="8">
        <v>271.0</v>
      </c>
      <c r="BC374" s="8">
        <v>285.0</v>
      </c>
      <c r="BD374" s="8" t="s">
        <v>2135</v>
      </c>
      <c r="BE374" s="8" t="s">
        <v>2135</v>
      </c>
      <c r="BF374" s="8" t="s">
        <v>2135</v>
      </c>
      <c r="BG374" s="8" t="s">
        <v>2135</v>
      </c>
      <c r="BH374" s="8" t="s">
        <v>2135</v>
      </c>
      <c r="BI374" s="8">
        <v>15.0</v>
      </c>
      <c r="BJ374" s="8" t="s">
        <v>3397</v>
      </c>
      <c r="BK374" s="8" t="s">
        <v>3352</v>
      </c>
      <c r="BL374" s="8" t="s">
        <v>3397</v>
      </c>
      <c r="BM374" s="8" t="s">
        <v>9319</v>
      </c>
      <c r="BN374" s="8" t="s">
        <v>2135</v>
      </c>
      <c r="BO374" s="8" t="s">
        <v>2135</v>
      </c>
      <c r="BP374" s="8" t="s">
        <v>2135</v>
      </c>
      <c r="BQ374" s="8" t="s">
        <v>2135</v>
      </c>
      <c r="BR374" s="8" t="s">
        <v>3355</v>
      </c>
      <c r="BS374" s="8" t="s">
        <v>9320</v>
      </c>
      <c r="BT374" s="8" t="s">
        <v>2163</v>
      </c>
      <c r="BU374" s="8" t="s">
        <v>2142</v>
      </c>
      <c r="BW374" s="8" t="s">
        <v>2170</v>
      </c>
      <c r="BX374" s="8" t="s">
        <v>3010</v>
      </c>
      <c r="BY374" s="8" t="s">
        <v>2992</v>
      </c>
      <c r="BZ374" s="8" t="str">
        <f>HYPERLINK("https%3A%2F%2Fwww.webofscience.com%2Fwos%2Fwoscc%2Ffull-record%2FWOS:000165292700002","View Full Record in Web of Science")</f>
        <v>View Full Record in Web of Science</v>
      </c>
    </row>
    <row r="375" ht="12.75" customHeight="1">
      <c r="A375" s="8" t="s">
        <v>3329</v>
      </c>
      <c r="B375" s="8" t="s">
        <v>9321</v>
      </c>
      <c r="C375" s="8" t="s">
        <v>2135</v>
      </c>
      <c r="D375" s="8" t="s">
        <v>2135</v>
      </c>
      <c r="E375" s="8" t="s">
        <v>2135</v>
      </c>
      <c r="F375" s="8" t="s">
        <v>9321</v>
      </c>
      <c r="G375" s="8" t="s">
        <v>2135</v>
      </c>
      <c r="H375" s="8" t="s">
        <v>2135</v>
      </c>
      <c r="I375" s="8" t="s">
        <v>1134</v>
      </c>
      <c r="J375" s="8" t="s">
        <v>4773</v>
      </c>
      <c r="K375" s="8" t="s">
        <v>2135</v>
      </c>
      <c r="L375" s="8" t="s">
        <v>2135</v>
      </c>
      <c r="M375" s="8" t="s">
        <v>3332</v>
      </c>
      <c r="N375" s="8" t="s">
        <v>3333</v>
      </c>
      <c r="O375" s="8" t="s">
        <v>2135</v>
      </c>
      <c r="P375" s="8" t="s">
        <v>2135</v>
      </c>
      <c r="Q375" s="8" t="s">
        <v>2135</v>
      </c>
      <c r="R375" s="8" t="s">
        <v>2135</v>
      </c>
      <c r="S375" s="8" t="s">
        <v>2135</v>
      </c>
      <c r="T375" s="8" t="s">
        <v>9322</v>
      </c>
      <c r="U375" s="8" t="s">
        <v>9323</v>
      </c>
      <c r="V375" s="8" t="s">
        <v>9324</v>
      </c>
      <c r="W375" s="8" t="s">
        <v>9325</v>
      </c>
      <c r="X375" s="8" t="s">
        <v>9326</v>
      </c>
      <c r="Y375" s="8" t="s">
        <v>9327</v>
      </c>
      <c r="Z375" s="8" t="s">
        <v>9328</v>
      </c>
      <c r="AA375" s="8" t="s">
        <v>9329</v>
      </c>
      <c r="AB375" s="8" t="s">
        <v>9330</v>
      </c>
      <c r="AC375" s="8" t="s">
        <v>2135</v>
      </c>
      <c r="AD375" s="8" t="s">
        <v>2135</v>
      </c>
      <c r="AE375" s="8" t="s">
        <v>2135</v>
      </c>
      <c r="AF375" s="8" t="s">
        <v>2135</v>
      </c>
      <c r="AG375" s="8">
        <v>30.0</v>
      </c>
      <c r="AH375" s="8">
        <v>67.0</v>
      </c>
      <c r="AI375" s="8">
        <v>74.0</v>
      </c>
      <c r="AJ375" s="8">
        <v>0.0</v>
      </c>
      <c r="AK375" s="8">
        <v>43.0</v>
      </c>
      <c r="AL375" s="8" t="s">
        <v>3342</v>
      </c>
      <c r="AM375" s="8" t="s">
        <v>3343</v>
      </c>
      <c r="AN375" s="8" t="s">
        <v>3344</v>
      </c>
      <c r="AO375" s="8" t="s">
        <v>4783</v>
      </c>
      <c r="AP375" s="8" t="s">
        <v>4784</v>
      </c>
      <c r="AQ375" s="8" t="s">
        <v>2135</v>
      </c>
      <c r="AR375" s="8" t="s">
        <v>4785</v>
      </c>
      <c r="AS375" s="8" t="s">
        <v>4786</v>
      </c>
      <c r="AT375" s="8" t="s">
        <v>3721</v>
      </c>
      <c r="AU375" s="8">
        <v>2000.0</v>
      </c>
      <c r="AV375" s="8">
        <v>250.0</v>
      </c>
      <c r="AW375" s="8" t="s">
        <v>2135</v>
      </c>
      <c r="AX375" s="8">
        <v>3.0</v>
      </c>
      <c r="AY375" s="8" t="s">
        <v>2135</v>
      </c>
      <c r="AZ375" s="8" t="s">
        <v>2135</v>
      </c>
      <c r="BA375" s="8" t="s">
        <v>2135</v>
      </c>
      <c r="BB375" s="8">
        <v>389.0</v>
      </c>
      <c r="BC375" s="8">
        <v>395.0</v>
      </c>
      <c r="BD375" s="8" t="s">
        <v>2135</v>
      </c>
      <c r="BE375" s="8" t="s">
        <v>9331</v>
      </c>
      <c r="BF375" s="13" t="str">
        <f>HYPERLINK("http://dx.doi.org/10.1017/S0952836900003113","http://dx.doi.org/10.1017/S0952836900003113")</f>
        <v>http://dx.doi.org/10.1017/S0952836900003113</v>
      </c>
      <c r="BG375" s="8" t="s">
        <v>2135</v>
      </c>
      <c r="BH375" s="8" t="s">
        <v>2135</v>
      </c>
      <c r="BI375" s="8">
        <v>7.0</v>
      </c>
      <c r="BJ375" s="8" t="s">
        <v>3397</v>
      </c>
      <c r="BK375" s="8" t="s">
        <v>3352</v>
      </c>
      <c r="BL375" s="8" t="s">
        <v>3397</v>
      </c>
      <c r="BM375" s="8" t="s">
        <v>9332</v>
      </c>
      <c r="BN375" s="8" t="s">
        <v>2135</v>
      </c>
      <c r="BO375" s="8" t="s">
        <v>2135</v>
      </c>
      <c r="BP375" s="8" t="s">
        <v>2135</v>
      </c>
      <c r="BQ375" s="8" t="s">
        <v>2135</v>
      </c>
      <c r="BR375" s="8" t="s">
        <v>3355</v>
      </c>
      <c r="BS375" s="8" t="s">
        <v>9333</v>
      </c>
      <c r="BT375" s="8" t="s">
        <v>2553</v>
      </c>
      <c r="BU375" s="8" t="s">
        <v>2142</v>
      </c>
      <c r="BW375" s="8" t="s">
        <v>2311</v>
      </c>
      <c r="BX375" s="8" t="s">
        <v>2983</v>
      </c>
      <c r="BY375" s="8" t="s">
        <v>2992</v>
      </c>
      <c r="BZ375" s="8" t="str">
        <f>HYPERLINK("https%3A%2F%2Fwww.webofscience.com%2Fwos%2Fwoscc%2Ffull-record%2FWOS:000086124300011","View Full Record in Web of Science")</f>
        <v>View Full Record in Web of Science</v>
      </c>
    </row>
    <row r="376" ht="12.75" customHeight="1">
      <c r="A376" s="8" t="s">
        <v>3329</v>
      </c>
      <c r="B376" s="8" t="s">
        <v>9334</v>
      </c>
      <c r="C376" s="8" t="s">
        <v>2135</v>
      </c>
      <c r="D376" s="8" t="s">
        <v>2135</v>
      </c>
      <c r="E376" s="8" t="s">
        <v>2135</v>
      </c>
      <c r="F376" s="8" t="s">
        <v>9334</v>
      </c>
      <c r="G376" s="8" t="s">
        <v>2135</v>
      </c>
      <c r="H376" s="8" t="s">
        <v>2135</v>
      </c>
      <c r="I376" s="8" t="s">
        <v>1129</v>
      </c>
      <c r="J376" s="8" t="s">
        <v>4773</v>
      </c>
      <c r="K376" s="8" t="s">
        <v>2135</v>
      </c>
      <c r="L376" s="8" t="s">
        <v>2135</v>
      </c>
      <c r="M376" s="8" t="s">
        <v>3332</v>
      </c>
      <c r="N376" s="8" t="s">
        <v>3333</v>
      </c>
      <c r="O376" s="8" t="s">
        <v>2135</v>
      </c>
      <c r="P376" s="8" t="s">
        <v>2135</v>
      </c>
      <c r="Q376" s="8" t="s">
        <v>2135</v>
      </c>
      <c r="R376" s="8" t="s">
        <v>2135</v>
      </c>
      <c r="S376" s="8" t="s">
        <v>2135</v>
      </c>
      <c r="T376" s="8" t="s">
        <v>9335</v>
      </c>
      <c r="U376" s="8" t="s">
        <v>9336</v>
      </c>
      <c r="V376" s="8" t="s">
        <v>9337</v>
      </c>
      <c r="W376" s="8" t="s">
        <v>9338</v>
      </c>
      <c r="X376" s="8" t="s">
        <v>9339</v>
      </c>
      <c r="Y376" s="8" t="s">
        <v>9340</v>
      </c>
      <c r="Z376" s="8" t="s">
        <v>9341</v>
      </c>
      <c r="AA376" s="8" t="s">
        <v>2135</v>
      </c>
      <c r="AB376" s="8" t="s">
        <v>2135</v>
      </c>
      <c r="AC376" s="8" t="s">
        <v>2135</v>
      </c>
      <c r="AD376" s="8" t="s">
        <v>2135</v>
      </c>
      <c r="AE376" s="8" t="s">
        <v>2135</v>
      </c>
      <c r="AF376" s="8" t="s">
        <v>2135</v>
      </c>
      <c r="AG376" s="8">
        <v>21.0</v>
      </c>
      <c r="AH376" s="8">
        <v>88.0</v>
      </c>
      <c r="AI376" s="8">
        <v>100.0</v>
      </c>
      <c r="AJ376" s="8">
        <v>1.0</v>
      </c>
      <c r="AK376" s="8">
        <v>59.0</v>
      </c>
      <c r="AL376" s="8" t="s">
        <v>3342</v>
      </c>
      <c r="AM376" s="8" t="s">
        <v>3343</v>
      </c>
      <c r="AN376" s="8" t="s">
        <v>3344</v>
      </c>
      <c r="AO376" s="8" t="s">
        <v>4783</v>
      </c>
      <c r="AP376" s="8" t="s">
        <v>4784</v>
      </c>
      <c r="AQ376" s="8" t="s">
        <v>2135</v>
      </c>
      <c r="AR376" s="8" t="s">
        <v>4785</v>
      </c>
      <c r="AS376" s="8" t="s">
        <v>4786</v>
      </c>
      <c r="AT376" s="8" t="s">
        <v>3395</v>
      </c>
      <c r="AU376" s="8">
        <v>1999.0</v>
      </c>
      <c r="AV376" s="8">
        <v>248.0</v>
      </c>
      <c r="AW376" s="8" t="s">
        <v>2135</v>
      </c>
      <c r="AX376" s="8">
        <v>4.0</v>
      </c>
      <c r="AY376" s="8" t="s">
        <v>2135</v>
      </c>
      <c r="AZ376" s="8" t="s">
        <v>2135</v>
      </c>
      <c r="BA376" s="8" t="s">
        <v>2135</v>
      </c>
      <c r="BB376" s="8">
        <v>521.0</v>
      </c>
      <c r="BC376" s="8">
        <v>527.0</v>
      </c>
      <c r="BD376" s="8" t="s">
        <v>2135</v>
      </c>
      <c r="BE376" s="8" t="s">
        <v>9342</v>
      </c>
      <c r="BF376" s="13" t="str">
        <f>HYPERLINK("http://dx.doi.org/10.1017/S0952836999008110","http://dx.doi.org/10.1017/S0952836999008110")</f>
        <v>http://dx.doi.org/10.1017/S0952836999008110</v>
      </c>
      <c r="BG376" s="8" t="s">
        <v>2135</v>
      </c>
      <c r="BH376" s="8" t="s">
        <v>2135</v>
      </c>
      <c r="BI376" s="8">
        <v>7.0</v>
      </c>
      <c r="BJ376" s="8" t="s">
        <v>3397</v>
      </c>
      <c r="BK376" s="8" t="s">
        <v>3352</v>
      </c>
      <c r="BL376" s="8" t="s">
        <v>3397</v>
      </c>
      <c r="BM376" s="8" t="s">
        <v>9343</v>
      </c>
      <c r="BN376" s="8" t="s">
        <v>2135</v>
      </c>
      <c r="BO376" s="8" t="s">
        <v>2135</v>
      </c>
      <c r="BP376" s="8" t="s">
        <v>2135</v>
      </c>
      <c r="BQ376" s="8" t="s">
        <v>2135</v>
      </c>
      <c r="BR376" s="8" t="s">
        <v>3355</v>
      </c>
      <c r="BS376" s="8" t="s">
        <v>9344</v>
      </c>
      <c r="BT376" s="8" t="s">
        <v>2163</v>
      </c>
      <c r="BU376" s="8" t="s">
        <v>2142</v>
      </c>
      <c r="BW376" s="8" t="s">
        <v>2168</v>
      </c>
      <c r="BX376" s="8" t="s">
        <v>3010</v>
      </c>
      <c r="BY376" s="8" t="s">
        <v>2992</v>
      </c>
      <c r="BZ376" s="8" t="str">
        <f>HYPERLINK("https%3A%2F%2Fwww.webofscience.com%2Fwos%2Fwoscc%2Ffull-record%2FWOS:000082062700011","View Full Record in Web of Science")</f>
        <v>View Full Record in Web of Science</v>
      </c>
    </row>
    <row r="377" ht="12.75" customHeight="1">
      <c r="A377" s="8" t="s">
        <v>3329</v>
      </c>
      <c r="B377" s="8" t="s">
        <v>9345</v>
      </c>
      <c r="C377" s="8" t="s">
        <v>2135</v>
      </c>
      <c r="D377" s="8" t="s">
        <v>2135</v>
      </c>
      <c r="E377" s="8" t="s">
        <v>2135</v>
      </c>
      <c r="F377" s="8" t="s">
        <v>9345</v>
      </c>
      <c r="G377" s="8" t="s">
        <v>2135</v>
      </c>
      <c r="H377" s="8" t="s">
        <v>2135</v>
      </c>
      <c r="I377" s="8" t="s">
        <v>1130</v>
      </c>
      <c r="J377" s="8" t="s">
        <v>5064</v>
      </c>
      <c r="K377" s="8" t="s">
        <v>2135</v>
      </c>
      <c r="L377" s="8" t="s">
        <v>2135</v>
      </c>
      <c r="M377" s="8" t="s">
        <v>3332</v>
      </c>
      <c r="N377" s="8" t="s">
        <v>3333</v>
      </c>
      <c r="O377" s="8" t="s">
        <v>2135</v>
      </c>
      <c r="P377" s="8" t="s">
        <v>2135</v>
      </c>
      <c r="Q377" s="8" t="s">
        <v>2135</v>
      </c>
      <c r="R377" s="8" t="s">
        <v>2135</v>
      </c>
      <c r="S377" s="8" t="s">
        <v>2135</v>
      </c>
      <c r="T377" s="8" t="s">
        <v>9346</v>
      </c>
      <c r="U377" s="8" t="s">
        <v>9347</v>
      </c>
      <c r="V377" s="8" t="s">
        <v>9348</v>
      </c>
      <c r="W377" s="8" t="s">
        <v>9349</v>
      </c>
      <c r="X377" s="8" t="s">
        <v>9350</v>
      </c>
      <c r="Y377" s="8" t="s">
        <v>9351</v>
      </c>
      <c r="Z377" s="8" t="s">
        <v>9352</v>
      </c>
      <c r="AA377" s="8" t="s">
        <v>2135</v>
      </c>
      <c r="AB377" s="8" t="s">
        <v>2135</v>
      </c>
      <c r="AC377" s="8" t="s">
        <v>2135</v>
      </c>
      <c r="AD377" s="8" t="s">
        <v>2135</v>
      </c>
      <c r="AE377" s="8" t="s">
        <v>2135</v>
      </c>
      <c r="AF377" s="8" t="s">
        <v>2135</v>
      </c>
      <c r="AG377" s="8">
        <v>26.0</v>
      </c>
      <c r="AH377" s="8">
        <v>12.0</v>
      </c>
      <c r="AI377" s="8">
        <v>13.0</v>
      </c>
      <c r="AJ377" s="8">
        <v>0.0</v>
      </c>
      <c r="AK377" s="8">
        <v>6.0</v>
      </c>
      <c r="AL377" s="8" t="s">
        <v>5073</v>
      </c>
      <c r="AM377" s="8" t="s">
        <v>5074</v>
      </c>
      <c r="AN377" s="8" t="s">
        <v>5488</v>
      </c>
      <c r="AO377" s="8" t="s">
        <v>5076</v>
      </c>
      <c r="AP377" s="8" t="s">
        <v>5970</v>
      </c>
      <c r="AQ377" s="8" t="s">
        <v>2135</v>
      </c>
      <c r="AR377" s="8" t="s">
        <v>5077</v>
      </c>
      <c r="AS377" s="8" t="s">
        <v>5078</v>
      </c>
      <c r="AT377" s="8" t="s">
        <v>2135</v>
      </c>
      <c r="AU377" s="8">
        <v>1999.0</v>
      </c>
      <c r="AV377" s="8">
        <v>66.0</v>
      </c>
      <c r="AW377" s="8">
        <v>4.0</v>
      </c>
      <c r="AX377" s="8" t="s">
        <v>2135</v>
      </c>
      <c r="AY377" s="8" t="s">
        <v>2135</v>
      </c>
      <c r="AZ377" s="8" t="s">
        <v>2135</v>
      </c>
      <c r="BA377" s="8" t="s">
        <v>2135</v>
      </c>
      <c r="BB377" s="8">
        <v>351.0</v>
      </c>
      <c r="BC377" s="8">
        <v>353.0</v>
      </c>
      <c r="BD377" s="8" t="s">
        <v>2135</v>
      </c>
      <c r="BE377" s="8" t="s">
        <v>9353</v>
      </c>
      <c r="BF377" s="13" t="str">
        <f>HYPERLINK("http://dx.doi.org/10.1080/11250009909356276","http://dx.doi.org/10.1080/11250009909356276")</f>
        <v>http://dx.doi.org/10.1080/11250009909356276</v>
      </c>
      <c r="BG377" s="8" t="s">
        <v>2135</v>
      </c>
      <c r="BH377" s="8" t="s">
        <v>2135</v>
      </c>
      <c r="BI377" s="8">
        <v>3.0</v>
      </c>
      <c r="BJ377" s="8" t="s">
        <v>3397</v>
      </c>
      <c r="BK377" s="8" t="s">
        <v>3352</v>
      </c>
      <c r="BL377" s="8" t="s">
        <v>3397</v>
      </c>
      <c r="BM377" s="8" t="s">
        <v>9354</v>
      </c>
      <c r="BN377" s="8" t="s">
        <v>2135</v>
      </c>
      <c r="BO377" s="8" t="s">
        <v>3445</v>
      </c>
      <c r="BP377" s="8" t="s">
        <v>2135</v>
      </c>
      <c r="BQ377" s="8" t="s">
        <v>2135</v>
      </c>
      <c r="BR377" s="8" t="s">
        <v>3355</v>
      </c>
      <c r="BS377" s="8" t="s">
        <v>9355</v>
      </c>
      <c r="BT377" s="8" t="s">
        <v>2325</v>
      </c>
      <c r="BU377" s="8" t="s">
        <v>2142</v>
      </c>
      <c r="BW377" s="8" t="s">
        <v>2168</v>
      </c>
      <c r="BX377" s="8" t="s">
        <v>3010</v>
      </c>
      <c r="BY377" s="8" t="s">
        <v>2992</v>
      </c>
      <c r="BZ377" s="8" t="str">
        <f>HYPERLINK("https%3A%2F%2Fwww.webofscience.com%2Fwos%2Fwoscc%2Ffull-record%2FWOS:000085017700008","View Full Record in Web of Science")</f>
        <v>View Full Record in Web of Science</v>
      </c>
    </row>
    <row r="378" ht="12.75" customHeight="1">
      <c r="A378" s="8" t="s">
        <v>3329</v>
      </c>
      <c r="B378" s="8" t="s">
        <v>9356</v>
      </c>
      <c r="C378" s="8" t="s">
        <v>2135</v>
      </c>
      <c r="D378" s="8" t="s">
        <v>2135</v>
      </c>
      <c r="E378" s="8" t="s">
        <v>2135</v>
      </c>
      <c r="F378" s="8" t="s">
        <v>9356</v>
      </c>
      <c r="G378" s="8" t="s">
        <v>2135</v>
      </c>
      <c r="H378" s="8" t="s">
        <v>2135</v>
      </c>
      <c r="I378" s="8" t="s">
        <v>1125</v>
      </c>
      <c r="J378" s="8" t="s">
        <v>7602</v>
      </c>
      <c r="K378" s="8" t="s">
        <v>2135</v>
      </c>
      <c r="L378" s="8" t="s">
        <v>2135</v>
      </c>
      <c r="M378" s="8" t="s">
        <v>3332</v>
      </c>
      <c r="N378" s="8" t="s">
        <v>9357</v>
      </c>
      <c r="O378" s="8" t="s">
        <v>2135</v>
      </c>
      <c r="P378" s="8" t="s">
        <v>2135</v>
      </c>
      <c r="Q378" s="8" t="s">
        <v>2135</v>
      </c>
      <c r="R378" s="8" t="s">
        <v>2135</v>
      </c>
      <c r="S378" s="8" t="s">
        <v>2135</v>
      </c>
      <c r="T378" s="8" t="s">
        <v>9358</v>
      </c>
      <c r="U378" s="8" t="s">
        <v>9359</v>
      </c>
      <c r="V378" s="8" t="s">
        <v>9360</v>
      </c>
      <c r="W378" s="8" t="s">
        <v>9361</v>
      </c>
      <c r="X378" s="8" t="s">
        <v>2135</v>
      </c>
      <c r="Y378" s="8" t="s">
        <v>9362</v>
      </c>
      <c r="Z378" s="8" t="s">
        <v>2135</v>
      </c>
      <c r="AA378" s="8" t="s">
        <v>2135</v>
      </c>
      <c r="AB378" s="8" t="s">
        <v>2135</v>
      </c>
      <c r="AC378" s="8" t="s">
        <v>2135</v>
      </c>
      <c r="AD378" s="8" t="s">
        <v>2135</v>
      </c>
      <c r="AE378" s="8" t="s">
        <v>2135</v>
      </c>
      <c r="AF378" s="8" t="s">
        <v>2135</v>
      </c>
      <c r="AG378" s="8">
        <v>32.0</v>
      </c>
      <c r="AH378" s="8">
        <v>43.0</v>
      </c>
      <c r="AI378" s="8">
        <v>50.0</v>
      </c>
      <c r="AJ378" s="8">
        <v>2.0</v>
      </c>
      <c r="AK378" s="8">
        <v>60.0</v>
      </c>
      <c r="AL378" s="8" t="s">
        <v>9293</v>
      </c>
      <c r="AM378" s="8" t="s">
        <v>3390</v>
      </c>
      <c r="AN378" s="8" t="s">
        <v>9363</v>
      </c>
      <c r="AO378" s="8" t="s">
        <v>7617</v>
      </c>
      <c r="AP378" s="8" t="s">
        <v>2135</v>
      </c>
      <c r="AQ378" s="8" t="s">
        <v>2135</v>
      </c>
      <c r="AR378" s="8" t="s">
        <v>7619</v>
      </c>
      <c r="AS378" s="8" t="s">
        <v>7620</v>
      </c>
      <c r="AT378" s="8" t="s">
        <v>3580</v>
      </c>
      <c r="AU378" s="8">
        <v>1994.0</v>
      </c>
      <c r="AV378" s="8">
        <v>30.0</v>
      </c>
      <c r="AW378" s="8">
        <v>4.0</v>
      </c>
      <c r="AX378" s="8" t="s">
        <v>2135</v>
      </c>
      <c r="AY378" s="8" t="s">
        <v>2135</v>
      </c>
      <c r="AZ378" s="8" t="s">
        <v>2135</v>
      </c>
      <c r="BA378" s="8" t="s">
        <v>2135</v>
      </c>
      <c r="BB378" s="8">
        <v>581.0</v>
      </c>
      <c r="BC378" s="8">
        <v>585.0</v>
      </c>
      <c r="BD378" s="8" t="s">
        <v>2135</v>
      </c>
      <c r="BE378" s="8" t="s">
        <v>9364</v>
      </c>
      <c r="BF378" s="13" t="str">
        <f>HYPERLINK("http://dx.doi.org/10.7589/0090-3558-30.4.581","http://dx.doi.org/10.7589/0090-3558-30.4.581")</f>
        <v>http://dx.doi.org/10.7589/0090-3558-30.4.581</v>
      </c>
      <c r="BG378" s="8" t="s">
        <v>2135</v>
      </c>
      <c r="BH378" s="8" t="s">
        <v>2135</v>
      </c>
      <c r="BI378" s="8">
        <v>5.0</v>
      </c>
      <c r="BJ378" s="8" t="s">
        <v>6958</v>
      </c>
      <c r="BK378" s="8" t="s">
        <v>3352</v>
      </c>
      <c r="BL378" s="8" t="s">
        <v>6958</v>
      </c>
      <c r="BM378" s="8" t="s">
        <v>9365</v>
      </c>
      <c r="BN378" s="8">
        <v>7760495.0</v>
      </c>
      <c r="BO378" s="8" t="s">
        <v>3445</v>
      </c>
      <c r="BP378" s="8" t="s">
        <v>2135</v>
      </c>
      <c r="BQ378" s="8" t="s">
        <v>2135</v>
      </c>
      <c r="BR378" s="8" t="s">
        <v>3355</v>
      </c>
      <c r="BS378" s="8" t="s">
        <v>9366</v>
      </c>
      <c r="BT378" s="8" t="s">
        <v>2600</v>
      </c>
      <c r="BU378" s="8" t="s">
        <v>2147</v>
      </c>
      <c r="BV378" s="8" t="s">
        <v>2217</v>
      </c>
      <c r="BW378" s="8" t="s">
        <v>2601</v>
      </c>
      <c r="BX378" s="8" t="s">
        <v>2983</v>
      </c>
      <c r="BY378" s="8" t="s">
        <v>2992</v>
      </c>
      <c r="BZ378" s="8" t="str">
        <f>HYPERLINK("https%3A%2F%2Fwww.webofscience.com%2Fwos%2Fwoscc%2Ffull-record%2FWOS:A1994PR49500021","View Full Record in Web of Science")</f>
        <v>View Full Record in Web of Science</v>
      </c>
    </row>
    <row r="379" ht="12.75" customHeight="1">
      <c r="A379" s="8" t="s">
        <v>3329</v>
      </c>
      <c r="B379" s="8" t="s">
        <v>9367</v>
      </c>
      <c r="C379" s="8" t="s">
        <v>2135</v>
      </c>
      <c r="D379" s="8" t="s">
        <v>2135</v>
      </c>
      <c r="E379" s="8" t="s">
        <v>2135</v>
      </c>
      <c r="F379" s="8" t="s">
        <v>9367</v>
      </c>
      <c r="G379" s="8" t="s">
        <v>2135</v>
      </c>
      <c r="H379" s="8" t="s">
        <v>2135</v>
      </c>
      <c r="I379" s="8" t="s">
        <v>1123</v>
      </c>
      <c r="J379" s="8" t="s">
        <v>3380</v>
      </c>
      <c r="K379" s="8" t="s">
        <v>2135</v>
      </c>
      <c r="L379" s="8" t="s">
        <v>2135</v>
      </c>
      <c r="M379" s="8" t="s">
        <v>3332</v>
      </c>
      <c r="N379" s="8" t="s">
        <v>3333</v>
      </c>
      <c r="O379" s="8" t="s">
        <v>2135</v>
      </c>
      <c r="P379" s="8" t="s">
        <v>2135</v>
      </c>
      <c r="Q379" s="8" t="s">
        <v>2135</v>
      </c>
      <c r="R379" s="8" t="s">
        <v>2135</v>
      </c>
      <c r="S379" s="8" t="s">
        <v>2135</v>
      </c>
      <c r="T379" s="8" t="s">
        <v>2135</v>
      </c>
      <c r="U379" s="8" t="s">
        <v>9368</v>
      </c>
      <c r="V379" s="8" t="s">
        <v>9369</v>
      </c>
      <c r="W379" s="8" t="s">
        <v>2135</v>
      </c>
      <c r="X379" s="8" t="s">
        <v>2135</v>
      </c>
      <c r="Y379" s="8" t="s">
        <v>9370</v>
      </c>
      <c r="Z379" s="8" t="s">
        <v>2135</v>
      </c>
      <c r="AA379" s="8" t="s">
        <v>2135</v>
      </c>
      <c r="AB379" s="8" t="s">
        <v>2135</v>
      </c>
      <c r="AC379" s="8" t="s">
        <v>2135</v>
      </c>
      <c r="AD379" s="8" t="s">
        <v>2135</v>
      </c>
      <c r="AE379" s="8" t="s">
        <v>2135</v>
      </c>
      <c r="AF379" s="8" t="s">
        <v>2135</v>
      </c>
      <c r="AG379" s="8">
        <v>23.0</v>
      </c>
      <c r="AH379" s="8">
        <v>21.0</v>
      </c>
      <c r="AI379" s="8">
        <v>31.0</v>
      </c>
      <c r="AJ379" s="8">
        <v>0.0</v>
      </c>
      <c r="AK379" s="8">
        <v>11.0</v>
      </c>
      <c r="AL379" s="8" t="s">
        <v>9371</v>
      </c>
      <c r="AM379" s="8" t="s">
        <v>4538</v>
      </c>
      <c r="AN379" s="8" t="s">
        <v>9372</v>
      </c>
      <c r="AO379" s="8" t="s">
        <v>3392</v>
      </c>
      <c r="AP379" s="8" t="s">
        <v>2135</v>
      </c>
      <c r="AQ379" s="8" t="s">
        <v>2135</v>
      </c>
      <c r="AR379" s="8" t="s">
        <v>3393</v>
      </c>
      <c r="AS379" s="8" t="s">
        <v>3394</v>
      </c>
      <c r="AT379" s="8" t="s">
        <v>3765</v>
      </c>
      <c r="AU379" s="8">
        <v>1991.0</v>
      </c>
      <c r="AV379" s="8">
        <v>72.0</v>
      </c>
      <c r="AW379" s="8">
        <v>2.0</v>
      </c>
      <c r="AX379" s="8" t="s">
        <v>2135</v>
      </c>
      <c r="AY379" s="8" t="s">
        <v>2135</v>
      </c>
      <c r="AZ379" s="8" t="s">
        <v>2135</v>
      </c>
      <c r="BA379" s="8" t="s">
        <v>2135</v>
      </c>
      <c r="BB379" s="8">
        <v>373.0</v>
      </c>
      <c r="BC379" s="8">
        <v>378.0</v>
      </c>
      <c r="BD379" s="8" t="s">
        <v>2135</v>
      </c>
      <c r="BE379" s="8" t="s">
        <v>9373</v>
      </c>
      <c r="BF379" s="13" t="str">
        <f>HYPERLINK("http://dx.doi.org/10.2307/1382109","http://dx.doi.org/10.2307/1382109")</f>
        <v>http://dx.doi.org/10.2307/1382109</v>
      </c>
      <c r="BG379" s="8" t="s">
        <v>2135</v>
      </c>
      <c r="BH379" s="8" t="s">
        <v>2135</v>
      </c>
      <c r="BI379" s="8">
        <v>6.0</v>
      </c>
      <c r="BJ379" s="8" t="s">
        <v>3397</v>
      </c>
      <c r="BK379" s="8" t="s">
        <v>3352</v>
      </c>
      <c r="BL379" s="8" t="s">
        <v>3397</v>
      </c>
      <c r="BM379" s="8" t="s">
        <v>9374</v>
      </c>
      <c r="BN379" s="8" t="s">
        <v>2135</v>
      </c>
      <c r="BO379" s="8" t="s">
        <v>2135</v>
      </c>
      <c r="BP379" s="8" t="s">
        <v>2135</v>
      </c>
      <c r="BQ379" s="8" t="s">
        <v>2135</v>
      </c>
      <c r="BR379" s="8" t="s">
        <v>3355</v>
      </c>
      <c r="BS379" s="8" t="s">
        <v>9375</v>
      </c>
      <c r="BT379" s="8" t="s">
        <v>2216</v>
      </c>
      <c r="BU379" s="8" t="s">
        <v>2147</v>
      </c>
      <c r="BV379" s="8" t="s">
        <v>2217</v>
      </c>
      <c r="BW379" s="8" t="s">
        <v>2254</v>
      </c>
      <c r="BX379" s="8" t="s">
        <v>2983</v>
      </c>
      <c r="BY379" s="8" t="s">
        <v>2992</v>
      </c>
      <c r="BZ379" s="8" t="str">
        <f>HYPERLINK("https%3A%2F%2Fwww.webofscience.com%2Fwos%2Fwoscc%2Ffull-record%2FWOS:A1991FN19600016","View Full Record in Web of Science")</f>
        <v>View Full Record in Web of Science</v>
      </c>
    </row>
    <row r="380" ht="12.75" customHeight="1">
      <c r="A380" s="8" t="s">
        <v>3329</v>
      </c>
      <c r="B380" s="8" t="s">
        <v>9376</v>
      </c>
      <c r="C380" s="8" t="s">
        <v>2135</v>
      </c>
      <c r="D380" s="8" t="s">
        <v>2135</v>
      </c>
      <c r="E380" s="8" t="s">
        <v>2135</v>
      </c>
      <c r="F380" s="8" t="s">
        <v>9376</v>
      </c>
      <c r="G380" s="8" t="s">
        <v>2135</v>
      </c>
      <c r="H380" s="8" t="s">
        <v>2135</v>
      </c>
      <c r="I380" s="8" t="s">
        <v>1121</v>
      </c>
      <c r="J380" s="8" t="s">
        <v>3747</v>
      </c>
      <c r="K380" s="8" t="s">
        <v>2135</v>
      </c>
      <c r="L380" s="8" t="s">
        <v>2135</v>
      </c>
      <c r="M380" s="8" t="s">
        <v>3332</v>
      </c>
      <c r="N380" s="8" t="s">
        <v>3333</v>
      </c>
      <c r="O380" s="8" t="s">
        <v>2135</v>
      </c>
      <c r="P380" s="8" t="s">
        <v>2135</v>
      </c>
      <c r="Q380" s="8" t="s">
        <v>2135</v>
      </c>
      <c r="R380" s="8" t="s">
        <v>2135</v>
      </c>
      <c r="S380" s="8" t="s">
        <v>2135</v>
      </c>
      <c r="T380" s="8" t="s">
        <v>2135</v>
      </c>
      <c r="U380" s="8" t="s">
        <v>2135</v>
      </c>
      <c r="V380" s="8" t="s">
        <v>9377</v>
      </c>
      <c r="W380" s="8" t="s">
        <v>2135</v>
      </c>
      <c r="X380" s="8" t="s">
        <v>2135</v>
      </c>
      <c r="Y380" s="8" t="s">
        <v>9378</v>
      </c>
      <c r="Z380" s="8" t="s">
        <v>2135</v>
      </c>
      <c r="AA380" s="8" t="s">
        <v>2135</v>
      </c>
      <c r="AB380" s="8" t="s">
        <v>2135</v>
      </c>
      <c r="AC380" s="8" t="s">
        <v>2135</v>
      </c>
      <c r="AD380" s="8" t="s">
        <v>2135</v>
      </c>
      <c r="AE380" s="8" t="s">
        <v>2135</v>
      </c>
      <c r="AF380" s="8" t="s">
        <v>2135</v>
      </c>
      <c r="AG380" s="8">
        <v>23.0</v>
      </c>
      <c r="AH380" s="8">
        <v>46.0</v>
      </c>
      <c r="AI380" s="8">
        <v>55.0</v>
      </c>
      <c r="AJ380" s="8">
        <v>0.0</v>
      </c>
      <c r="AK380" s="8">
        <v>26.0</v>
      </c>
      <c r="AL380" s="8" t="s">
        <v>3758</v>
      </c>
      <c r="AM380" s="8" t="s">
        <v>3893</v>
      </c>
      <c r="AN380" s="8" t="s">
        <v>3894</v>
      </c>
      <c r="AO380" s="8" t="s">
        <v>3761</v>
      </c>
      <c r="AP380" s="8" t="s">
        <v>3762</v>
      </c>
      <c r="AQ380" s="8" t="s">
        <v>2135</v>
      </c>
      <c r="AR380" s="8" t="s">
        <v>3763</v>
      </c>
      <c r="AS380" s="8" t="s">
        <v>3764</v>
      </c>
      <c r="AT380" s="8" t="s">
        <v>2135</v>
      </c>
      <c r="AU380" s="8">
        <v>1989.0</v>
      </c>
      <c r="AV380" s="8">
        <v>49.0</v>
      </c>
      <c r="AW380" s="8">
        <v>4.0</v>
      </c>
      <c r="AX380" s="8" t="s">
        <v>2135</v>
      </c>
      <c r="AY380" s="8" t="s">
        <v>2135</v>
      </c>
      <c r="AZ380" s="8" t="s">
        <v>2135</v>
      </c>
      <c r="BA380" s="8" t="s">
        <v>2135</v>
      </c>
      <c r="BB380" s="8">
        <v>241.0</v>
      </c>
      <c r="BC380" s="8">
        <v>254.0</v>
      </c>
      <c r="BD380" s="8" t="s">
        <v>2135</v>
      </c>
      <c r="BE380" s="8" t="s">
        <v>9379</v>
      </c>
      <c r="BF380" s="13" t="str">
        <f>HYPERLINK("http://dx.doi.org/10.1016/0006-3207(89)90046-3","http://dx.doi.org/10.1016/0006-3207(89)90046-3")</f>
        <v>http://dx.doi.org/10.1016/0006-3207(89)90046-3</v>
      </c>
      <c r="BG380" s="8" t="s">
        <v>2135</v>
      </c>
      <c r="BH380" s="8" t="s">
        <v>2135</v>
      </c>
      <c r="BI380" s="8">
        <v>14.0</v>
      </c>
      <c r="BJ380" s="8" t="s">
        <v>3351</v>
      </c>
      <c r="BK380" s="8" t="s">
        <v>3352</v>
      </c>
      <c r="BL380" s="8" t="s">
        <v>3353</v>
      </c>
      <c r="BM380" s="8" t="s">
        <v>9380</v>
      </c>
      <c r="BN380" s="8" t="s">
        <v>2135</v>
      </c>
      <c r="BO380" s="8" t="s">
        <v>2135</v>
      </c>
      <c r="BP380" s="8" t="s">
        <v>2135</v>
      </c>
      <c r="BQ380" s="8" t="s">
        <v>2135</v>
      </c>
      <c r="BR380" s="8" t="s">
        <v>3355</v>
      </c>
      <c r="BS380" s="8" t="s">
        <v>9381</v>
      </c>
      <c r="BT380" s="8" t="s">
        <v>2553</v>
      </c>
      <c r="BU380" s="8" t="s">
        <v>2142</v>
      </c>
      <c r="BW380" s="8" t="s">
        <v>2143</v>
      </c>
      <c r="BX380" s="8" t="s">
        <v>2985</v>
      </c>
      <c r="BY380" s="8" t="s">
        <v>2992</v>
      </c>
      <c r="BZ380" s="8" t="str">
        <f>HYPERLINK("https%3A%2F%2Fwww.webofscience.com%2Fwos%2Fwoscc%2Ffull-record%2FWOS:A1989AM65400002","View Full Record in Web of Science")</f>
        <v>View Full Record in Web of Science</v>
      </c>
    </row>
    <row r="381" ht="12.75" customHeight="1">
      <c r="A381" s="8" t="s">
        <v>3329</v>
      </c>
      <c r="B381" s="8" t="s">
        <v>9382</v>
      </c>
      <c r="C381" s="8" t="s">
        <v>2135</v>
      </c>
      <c r="D381" s="8" t="s">
        <v>2135</v>
      </c>
      <c r="E381" s="8" t="s">
        <v>2135</v>
      </c>
      <c r="F381" s="8" t="s">
        <v>9383</v>
      </c>
      <c r="G381" s="8" t="s">
        <v>2135</v>
      </c>
      <c r="H381" s="8" t="s">
        <v>2135</v>
      </c>
      <c r="I381" s="8" t="s">
        <v>1358</v>
      </c>
      <c r="J381" s="8" t="s">
        <v>4986</v>
      </c>
      <c r="K381" s="8" t="s">
        <v>2135</v>
      </c>
      <c r="L381" s="8" t="s">
        <v>2135</v>
      </c>
      <c r="M381" s="8" t="s">
        <v>3332</v>
      </c>
      <c r="N381" s="8" t="s">
        <v>3333</v>
      </c>
      <c r="O381" s="8" t="s">
        <v>2135</v>
      </c>
      <c r="P381" s="8" t="s">
        <v>2135</v>
      </c>
      <c r="Q381" s="8" t="s">
        <v>2135</v>
      </c>
      <c r="R381" s="8" t="s">
        <v>2135</v>
      </c>
      <c r="S381" s="8" t="s">
        <v>2135</v>
      </c>
      <c r="T381" s="8" t="s">
        <v>9384</v>
      </c>
      <c r="U381" s="8" t="s">
        <v>9385</v>
      </c>
      <c r="V381" s="8" t="s">
        <v>9386</v>
      </c>
      <c r="W381" s="8" t="s">
        <v>9387</v>
      </c>
      <c r="X381" s="8" t="s">
        <v>9388</v>
      </c>
      <c r="Y381" s="8" t="s">
        <v>9389</v>
      </c>
      <c r="Z381" s="8" t="s">
        <v>9390</v>
      </c>
      <c r="AA381" s="8" t="s">
        <v>9391</v>
      </c>
      <c r="AB381" s="8" t="s">
        <v>2135</v>
      </c>
      <c r="AC381" s="8" t="s">
        <v>2135</v>
      </c>
      <c r="AD381" s="8" t="s">
        <v>2135</v>
      </c>
      <c r="AE381" s="8" t="s">
        <v>2135</v>
      </c>
      <c r="AF381" s="8" t="s">
        <v>2135</v>
      </c>
      <c r="AG381" s="8">
        <v>60.0</v>
      </c>
      <c r="AH381" s="8">
        <v>5.0</v>
      </c>
      <c r="AI381" s="8">
        <v>6.0</v>
      </c>
      <c r="AJ381" s="8">
        <v>1.0</v>
      </c>
      <c r="AK381" s="8">
        <v>79.0</v>
      </c>
      <c r="AL381" s="8" t="s">
        <v>4998</v>
      </c>
      <c r="AM381" s="8" t="s">
        <v>4999</v>
      </c>
      <c r="AN381" s="8" t="s">
        <v>5000</v>
      </c>
      <c r="AO381" s="8" t="s">
        <v>5001</v>
      </c>
      <c r="AP381" s="8" t="s">
        <v>5002</v>
      </c>
      <c r="AQ381" s="8" t="s">
        <v>2135</v>
      </c>
      <c r="AR381" s="8" t="s">
        <v>4986</v>
      </c>
      <c r="AS381" s="8" t="s">
        <v>5003</v>
      </c>
      <c r="AT381" s="8" t="s">
        <v>3485</v>
      </c>
      <c r="AU381" s="8">
        <v>2014.0</v>
      </c>
      <c r="AV381" s="8">
        <v>78.0</v>
      </c>
      <c r="AW381" s="8">
        <v>1.0</v>
      </c>
      <c r="AX381" s="8" t="s">
        <v>2135</v>
      </c>
      <c r="AY381" s="8" t="s">
        <v>2135</v>
      </c>
      <c r="AZ381" s="8" t="s">
        <v>2135</v>
      </c>
      <c r="BA381" s="8" t="s">
        <v>2135</v>
      </c>
      <c r="BB381" s="8">
        <v>45.0</v>
      </c>
      <c r="BC381" s="8">
        <v>56.0</v>
      </c>
      <c r="BD381" s="8" t="s">
        <v>2135</v>
      </c>
      <c r="BE381" s="8" t="s">
        <v>9392</v>
      </c>
      <c r="BF381" s="13" t="str">
        <f>HYPERLINK("http://dx.doi.org/10.1515/mammalia-2013-0036","http://dx.doi.org/10.1515/mammalia-2013-0036")</f>
        <v>http://dx.doi.org/10.1515/mammalia-2013-0036</v>
      </c>
      <c r="BG381" s="8" t="s">
        <v>2135</v>
      </c>
      <c r="BH381" s="8" t="s">
        <v>2135</v>
      </c>
      <c r="BI381" s="8">
        <v>12.0</v>
      </c>
      <c r="BJ381" s="8" t="s">
        <v>3397</v>
      </c>
      <c r="BK381" s="8" t="s">
        <v>3352</v>
      </c>
      <c r="BL381" s="8" t="s">
        <v>3397</v>
      </c>
      <c r="BM381" s="8" t="s">
        <v>9393</v>
      </c>
      <c r="BN381" s="8" t="s">
        <v>2135</v>
      </c>
      <c r="BO381" s="8" t="s">
        <v>2135</v>
      </c>
      <c r="BP381" s="8" t="s">
        <v>2135</v>
      </c>
      <c r="BQ381" s="8" t="s">
        <v>2135</v>
      </c>
      <c r="BR381" s="8" t="s">
        <v>3355</v>
      </c>
      <c r="BS381" s="8" t="s">
        <v>9394</v>
      </c>
      <c r="BT381" s="8" t="s">
        <v>2600</v>
      </c>
      <c r="BU381" s="8" t="s">
        <v>2147</v>
      </c>
      <c r="BV381" s="8" t="s">
        <v>2217</v>
      </c>
      <c r="BW381" s="8" t="s">
        <v>2173</v>
      </c>
      <c r="BX381" s="8" t="s">
        <v>3158</v>
      </c>
      <c r="BY381" s="8" t="s">
        <v>3159</v>
      </c>
      <c r="BZ381" s="8" t="str">
        <f>HYPERLINK("https%3A%2F%2Fwww.webofscience.com%2Fwos%2Fwoscc%2Ffull-record%2FWOS:000330878900005","View Full Record in Web of Science")</f>
        <v>View Full Record in Web of Science</v>
      </c>
    </row>
    <row r="382" ht="12.75" customHeight="1">
      <c r="A382" s="8" t="s">
        <v>3329</v>
      </c>
      <c r="B382" s="8" t="s">
        <v>9395</v>
      </c>
      <c r="C382" s="8" t="s">
        <v>2135</v>
      </c>
      <c r="D382" s="8" t="s">
        <v>2135</v>
      </c>
      <c r="E382" s="8" t="s">
        <v>2135</v>
      </c>
      <c r="F382" s="8" t="s">
        <v>9396</v>
      </c>
      <c r="G382" s="8" t="s">
        <v>2135</v>
      </c>
      <c r="H382" s="8" t="s">
        <v>2135</v>
      </c>
      <c r="I382" s="8" t="s">
        <v>1364</v>
      </c>
      <c r="J382" s="8" t="s">
        <v>3518</v>
      </c>
      <c r="K382" s="8" t="s">
        <v>2135</v>
      </c>
      <c r="L382" s="8" t="s">
        <v>2135</v>
      </c>
      <c r="M382" s="8" t="s">
        <v>3332</v>
      </c>
      <c r="N382" s="8" t="s">
        <v>3333</v>
      </c>
      <c r="O382" s="8" t="s">
        <v>2135</v>
      </c>
      <c r="P382" s="8" t="s">
        <v>2135</v>
      </c>
      <c r="Q382" s="8" t="s">
        <v>2135</v>
      </c>
      <c r="R382" s="8" t="s">
        <v>2135</v>
      </c>
      <c r="S382" s="8" t="s">
        <v>2135</v>
      </c>
      <c r="T382" s="8" t="s">
        <v>9397</v>
      </c>
      <c r="U382" s="8" t="s">
        <v>2135</v>
      </c>
      <c r="V382" s="8" t="s">
        <v>9398</v>
      </c>
      <c r="W382" s="8" t="s">
        <v>9399</v>
      </c>
      <c r="X382" s="8" t="s">
        <v>9400</v>
      </c>
      <c r="Y382" s="8" t="s">
        <v>9401</v>
      </c>
      <c r="Z382" s="8" t="s">
        <v>9402</v>
      </c>
      <c r="AA382" s="8" t="s">
        <v>3525</v>
      </c>
      <c r="AB382" s="8" t="s">
        <v>9403</v>
      </c>
      <c r="AC382" s="8" t="s">
        <v>2135</v>
      </c>
      <c r="AD382" s="8" t="s">
        <v>2135</v>
      </c>
      <c r="AE382" s="8" t="s">
        <v>2135</v>
      </c>
      <c r="AF382" s="8" t="s">
        <v>2135</v>
      </c>
      <c r="AG382" s="8">
        <v>20.0</v>
      </c>
      <c r="AH382" s="8">
        <v>8.0</v>
      </c>
      <c r="AI382" s="8">
        <v>9.0</v>
      </c>
      <c r="AJ382" s="8">
        <v>0.0</v>
      </c>
      <c r="AK382" s="8">
        <v>13.0</v>
      </c>
      <c r="AL382" s="8" t="s">
        <v>3527</v>
      </c>
      <c r="AM382" s="8" t="s">
        <v>3528</v>
      </c>
      <c r="AN382" s="8" t="s">
        <v>3529</v>
      </c>
      <c r="AO382" s="8" t="s">
        <v>3530</v>
      </c>
      <c r="AP382" s="8" t="s">
        <v>2135</v>
      </c>
      <c r="AQ382" s="8" t="s">
        <v>2135</v>
      </c>
      <c r="AR382" s="8" t="s">
        <v>3531</v>
      </c>
      <c r="AS382" s="8" t="s">
        <v>3532</v>
      </c>
      <c r="AT382" s="8" t="s">
        <v>2135</v>
      </c>
      <c r="AU382" s="8">
        <v>2010.0</v>
      </c>
      <c r="AV382" s="8">
        <v>21.0</v>
      </c>
      <c r="AW382" s="8">
        <v>1.0</v>
      </c>
      <c r="AX382" s="8" t="s">
        <v>2135</v>
      </c>
      <c r="AY382" s="8" t="s">
        <v>2135</v>
      </c>
      <c r="AZ382" s="8" t="s">
        <v>2135</v>
      </c>
      <c r="BA382" s="8" t="s">
        <v>2135</v>
      </c>
      <c r="BB382" s="8">
        <v>83.0</v>
      </c>
      <c r="BC382" s="8">
        <v>88.0</v>
      </c>
      <c r="BD382" s="8" t="s">
        <v>2135</v>
      </c>
      <c r="BE382" s="8" t="s">
        <v>2135</v>
      </c>
      <c r="BF382" s="8" t="s">
        <v>2135</v>
      </c>
      <c r="BG382" s="8" t="s">
        <v>2135</v>
      </c>
      <c r="BH382" s="8" t="s">
        <v>2135</v>
      </c>
      <c r="BI382" s="8">
        <v>6.0</v>
      </c>
      <c r="BJ382" s="8" t="s">
        <v>3397</v>
      </c>
      <c r="BK382" s="8" t="s">
        <v>3352</v>
      </c>
      <c r="BL382" s="8" t="s">
        <v>3397</v>
      </c>
      <c r="BM382" s="8" t="s">
        <v>9404</v>
      </c>
      <c r="BN382" s="8" t="s">
        <v>2135</v>
      </c>
      <c r="BO382" s="8" t="s">
        <v>2135</v>
      </c>
      <c r="BP382" s="8" t="s">
        <v>2135</v>
      </c>
      <c r="BQ382" s="8" t="s">
        <v>2135</v>
      </c>
      <c r="BR382" s="8" t="s">
        <v>3355</v>
      </c>
      <c r="BS382" s="8" t="s">
        <v>9405</v>
      </c>
      <c r="BT382" s="8" t="s">
        <v>2367</v>
      </c>
      <c r="BW382" s="8" t="s">
        <v>2369</v>
      </c>
      <c r="BX382" s="8" t="s">
        <v>3048</v>
      </c>
      <c r="BY382" s="8" t="s">
        <v>3049</v>
      </c>
      <c r="BZ382" s="8" t="str">
        <f>HYPERLINK("https%3A%2F%2Fwww.webofscience.com%2Fwos%2Fwoscc%2Ffull-record%2FWOS:000280348900008","View Full Record in Web of Science")</f>
        <v>View Full Record in Web of Science</v>
      </c>
    </row>
    <row r="383" ht="12.75" customHeight="1">
      <c r="A383" s="8" t="s">
        <v>3329</v>
      </c>
      <c r="B383" s="8" t="s">
        <v>9406</v>
      </c>
      <c r="C383" s="8" t="s">
        <v>2135</v>
      </c>
      <c r="D383" s="8" t="s">
        <v>2135</v>
      </c>
      <c r="E383" s="8" t="s">
        <v>2135</v>
      </c>
      <c r="F383" s="8" t="s">
        <v>9407</v>
      </c>
      <c r="G383" s="8" t="s">
        <v>2135</v>
      </c>
      <c r="H383" s="8" t="s">
        <v>2135</v>
      </c>
      <c r="I383" s="8" t="s">
        <v>1366</v>
      </c>
      <c r="J383" s="8" t="s">
        <v>3747</v>
      </c>
      <c r="K383" s="8" t="s">
        <v>2135</v>
      </c>
      <c r="L383" s="8" t="s">
        <v>2135</v>
      </c>
      <c r="M383" s="8" t="s">
        <v>3332</v>
      </c>
      <c r="N383" s="8" t="s">
        <v>3333</v>
      </c>
      <c r="O383" s="8" t="s">
        <v>2135</v>
      </c>
      <c r="P383" s="8" t="s">
        <v>2135</v>
      </c>
      <c r="Q383" s="8" t="s">
        <v>2135</v>
      </c>
      <c r="R383" s="8" t="s">
        <v>2135</v>
      </c>
      <c r="S383" s="8" t="s">
        <v>2135</v>
      </c>
      <c r="T383" s="8" t="s">
        <v>9408</v>
      </c>
      <c r="U383" s="8" t="s">
        <v>9409</v>
      </c>
      <c r="V383" s="8" t="s">
        <v>9410</v>
      </c>
      <c r="W383" s="8" t="s">
        <v>9411</v>
      </c>
      <c r="X383" s="8" t="s">
        <v>6464</v>
      </c>
      <c r="Y383" s="8" t="s">
        <v>9412</v>
      </c>
      <c r="Z383" s="8" t="s">
        <v>9413</v>
      </c>
      <c r="AA383" s="8" t="s">
        <v>9414</v>
      </c>
      <c r="AB383" s="8" t="s">
        <v>9415</v>
      </c>
      <c r="AC383" s="8" t="s">
        <v>9416</v>
      </c>
      <c r="AD383" s="8" t="s">
        <v>9416</v>
      </c>
      <c r="AE383" s="8" t="s">
        <v>9417</v>
      </c>
      <c r="AF383" s="8" t="s">
        <v>2135</v>
      </c>
      <c r="AG383" s="8">
        <v>47.0</v>
      </c>
      <c r="AH383" s="8">
        <v>59.0</v>
      </c>
      <c r="AI383" s="8">
        <v>78.0</v>
      </c>
      <c r="AJ383" s="8">
        <v>0.0</v>
      </c>
      <c r="AK383" s="8">
        <v>73.0</v>
      </c>
      <c r="AL383" s="8" t="s">
        <v>3758</v>
      </c>
      <c r="AM383" s="8" t="s">
        <v>3759</v>
      </c>
      <c r="AN383" s="8" t="s">
        <v>3760</v>
      </c>
      <c r="AO383" s="8" t="s">
        <v>3761</v>
      </c>
      <c r="AP383" s="8" t="s">
        <v>3762</v>
      </c>
      <c r="AQ383" s="8" t="s">
        <v>2135</v>
      </c>
      <c r="AR383" s="8" t="s">
        <v>3763</v>
      </c>
      <c r="AS383" s="8" t="s">
        <v>3764</v>
      </c>
      <c r="AT383" s="8" t="s">
        <v>3485</v>
      </c>
      <c r="AU383" s="8">
        <v>2011.0</v>
      </c>
      <c r="AV383" s="8">
        <v>144.0</v>
      </c>
      <c r="AW383" s="8">
        <v>2.0</v>
      </c>
      <c r="AX383" s="8" t="s">
        <v>2135</v>
      </c>
      <c r="AY383" s="8" t="s">
        <v>2135</v>
      </c>
      <c r="AZ383" s="8" t="s">
        <v>2135</v>
      </c>
      <c r="BA383" s="8" t="s">
        <v>2135</v>
      </c>
      <c r="BB383" s="8">
        <v>788.0</v>
      </c>
      <c r="BC383" s="8">
        <v>803.0</v>
      </c>
      <c r="BD383" s="8" t="s">
        <v>2135</v>
      </c>
      <c r="BE383" s="8" t="s">
        <v>9418</v>
      </c>
      <c r="BF383" s="13" t="str">
        <f>HYPERLINK("http://dx.doi.org/10.1016/j.biocon.2010.10.027","http://dx.doi.org/10.1016/j.biocon.2010.10.027")</f>
        <v>http://dx.doi.org/10.1016/j.biocon.2010.10.027</v>
      </c>
      <c r="BG383" s="8" t="s">
        <v>2135</v>
      </c>
      <c r="BH383" s="8" t="s">
        <v>2135</v>
      </c>
      <c r="BI383" s="8">
        <v>16.0</v>
      </c>
      <c r="BJ383" s="8" t="s">
        <v>3351</v>
      </c>
      <c r="BK383" s="8" t="s">
        <v>3352</v>
      </c>
      <c r="BL383" s="8" t="s">
        <v>3353</v>
      </c>
      <c r="BM383" s="8" t="s">
        <v>9419</v>
      </c>
      <c r="BN383" s="8" t="s">
        <v>2135</v>
      </c>
      <c r="BO383" s="8" t="s">
        <v>2135</v>
      </c>
      <c r="BP383" s="8" t="s">
        <v>2135</v>
      </c>
      <c r="BQ383" s="8" t="s">
        <v>2135</v>
      </c>
      <c r="BR383" s="8" t="s">
        <v>3355</v>
      </c>
      <c r="BS383" s="8" t="s">
        <v>9420</v>
      </c>
      <c r="BT383" s="8" t="s">
        <v>2600</v>
      </c>
      <c r="BU383" s="8" t="s">
        <v>2147</v>
      </c>
      <c r="BV383" s="8" t="s">
        <v>2217</v>
      </c>
      <c r="BW383" s="8" t="s">
        <v>2224</v>
      </c>
      <c r="BX383" s="8" t="s">
        <v>3202</v>
      </c>
      <c r="BY383" s="8" t="s">
        <v>3203</v>
      </c>
      <c r="BZ383" s="8" t="str">
        <f>HYPERLINK("https%3A%2F%2Fwww.webofscience.com%2Fwos%2Fwoscc%2Ffull-record%2FWOS:000287897100019","View Full Record in Web of Science")</f>
        <v>View Full Record in Web of Science</v>
      </c>
    </row>
    <row r="384" ht="12.75" customHeight="1">
      <c r="A384" s="8" t="s">
        <v>3329</v>
      </c>
      <c r="B384" s="8" t="s">
        <v>9421</v>
      </c>
      <c r="C384" s="8" t="s">
        <v>2135</v>
      </c>
      <c r="D384" s="8" t="s">
        <v>2135</v>
      </c>
      <c r="E384" s="8" t="s">
        <v>2135</v>
      </c>
      <c r="F384" s="8" t="s">
        <v>9422</v>
      </c>
      <c r="G384" s="8" t="s">
        <v>2135</v>
      </c>
      <c r="H384" s="8" t="s">
        <v>2135</v>
      </c>
      <c r="I384" s="8" t="s">
        <v>1368</v>
      </c>
      <c r="J384" s="8" t="s">
        <v>5420</v>
      </c>
      <c r="K384" s="8" t="s">
        <v>2135</v>
      </c>
      <c r="L384" s="8" t="s">
        <v>2135</v>
      </c>
      <c r="M384" s="8" t="s">
        <v>3332</v>
      </c>
      <c r="N384" s="8" t="s">
        <v>3333</v>
      </c>
      <c r="O384" s="8" t="s">
        <v>2135</v>
      </c>
      <c r="P384" s="8" t="s">
        <v>2135</v>
      </c>
      <c r="Q384" s="8" t="s">
        <v>2135</v>
      </c>
      <c r="R384" s="8" t="s">
        <v>2135</v>
      </c>
      <c r="S384" s="8" t="s">
        <v>2135</v>
      </c>
      <c r="T384" s="8" t="s">
        <v>9423</v>
      </c>
      <c r="U384" s="8" t="s">
        <v>9424</v>
      </c>
      <c r="V384" s="8" t="s">
        <v>9425</v>
      </c>
      <c r="W384" s="8" t="s">
        <v>9426</v>
      </c>
      <c r="X384" s="8" t="s">
        <v>8928</v>
      </c>
      <c r="Y384" s="8" t="s">
        <v>9427</v>
      </c>
      <c r="Z384" s="8" t="s">
        <v>9428</v>
      </c>
      <c r="AA384" s="8" t="s">
        <v>9429</v>
      </c>
      <c r="AB384" s="8" t="s">
        <v>9430</v>
      </c>
      <c r="AC384" s="8" t="s">
        <v>8966</v>
      </c>
      <c r="AD384" s="8" t="s">
        <v>8966</v>
      </c>
      <c r="AE384" s="8" t="s">
        <v>9431</v>
      </c>
      <c r="AF384" s="8" t="s">
        <v>2135</v>
      </c>
      <c r="AG384" s="8">
        <v>50.0</v>
      </c>
      <c r="AH384" s="8">
        <v>25.0</v>
      </c>
      <c r="AI384" s="8">
        <v>27.0</v>
      </c>
      <c r="AJ384" s="8">
        <v>0.0</v>
      </c>
      <c r="AK384" s="8">
        <v>97.0</v>
      </c>
      <c r="AL384" s="8" t="s">
        <v>4033</v>
      </c>
      <c r="AM384" s="8" t="s">
        <v>6809</v>
      </c>
      <c r="AN384" s="8" t="s">
        <v>9432</v>
      </c>
      <c r="AO384" s="8" t="s">
        <v>5430</v>
      </c>
      <c r="AP384" s="8" t="s">
        <v>2135</v>
      </c>
      <c r="AQ384" s="8" t="s">
        <v>2135</v>
      </c>
      <c r="AR384" s="8" t="s">
        <v>5432</v>
      </c>
      <c r="AS384" s="8" t="s">
        <v>5433</v>
      </c>
      <c r="AT384" s="8" t="s">
        <v>3580</v>
      </c>
      <c r="AU384" s="8">
        <v>2011.0</v>
      </c>
      <c r="AV384" s="8">
        <v>48.0</v>
      </c>
      <c r="AW384" s="8">
        <v>5.0</v>
      </c>
      <c r="AX384" s="8" t="s">
        <v>2135</v>
      </c>
      <c r="AY384" s="8" t="s">
        <v>2135</v>
      </c>
      <c r="AZ384" s="8" t="s">
        <v>2135</v>
      </c>
      <c r="BA384" s="8" t="s">
        <v>2135</v>
      </c>
      <c r="BB384" s="8">
        <v>1206.0</v>
      </c>
      <c r="BC384" s="8">
        <v>1217.0</v>
      </c>
      <c r="BD384" s="8" t="s">
        <v>2135</v>
      </c>
      <c r="BE384" s="8" t="s">
        <v>9433</v>
      </c>
      <c r="BF384" s="13" t="str">
        <f>HYPERLINK("http://dx.doi.org/10.1111/j.1365-2664.2011.02028.x","http://dx.doi.org/10.1111/j.1365-2664.2011.02028.x")</f>
        <v>http://dx.doi.org/10.1111/j.1365-2664.2011.02028.x</v>
      </c>
      <c r="BG384" s="8" t="s">
        <v>2135</v>
      </c>
      <c r="BH384" s="8" t="s">
        <v>2135</v>
      </c>
      <c r="BI384" s="8">
        <v>12.0</v>
      </c>
      <c r="BJ384" s="8" t="s">
        <v>3558</v>
      </c>
      <c r="BK384" s="8" t="s">
        <v>3352</v>
      </c>
      <c r="BL384" s="8" t="s">
        <v>3353</v>
      </c>
      <c r="BM384" s="8" t="s">
        <v>9434</v>
      </c>
      <c r="BN384" s="8" t="s">
        <v>2135</v>
      </c>
      <c r="BO384" s="8" t="s">
        <v>2135</v>
      </c>
      <c r="BP384" s="8" t="s">
        <v>2135</v>
      </c>
      <c r="BQ384" s="8" t="s">
        <v>2135</v>
      </c>
      <c r="BR384" s="8" t="s">
        <v>3355</v>
      </c>
      <c r="BS384" s="8" t="s">
        <v>9435</v>
      </c>
      <c r="BT384" s="8" t="s">
        <v>2553</v>
      </c>
      <c r="BU384" s="8" t="s">
        <v>2142</v>
      </c>
      <c r="BW384" s="8" t="s">
        <v>2143</v>
      </c>
      <c r="BX384" s="8" t="s">
        <v>3044</v>
      </c>
      <c r="BY384" s="8" t="s">
        <v>3076</v>
      </c>
      <c r="BZ384" s="8" t="str">
        <f>HYPERLINK("https%3A%2F%2Fwww.webofscience.com%2Fwos%2Fwoscc%2Ffull-record%2FWOS:000295095100016","View Full Record in Web of Science")</f>
        <v>View Full Record in Web of Science</v>
      </c>
    </row>
    <row r="385" ht="12.75" customHeight="1">
      <c r="A385" s="8" t="s">
        <v>3329</v>
      </c>
      <c r="B385" s="8" t="s">
        <v>9436</v>
      </c>
      <c r="C385" s="8" t="s">
        <v>2135</v>
      </c>
      <c r="D385" s="8" t="s">
        <v>2135</v>
      </c>
      <c r="E385" s="8" t="s">
        <v>2135</v>
      </c>
      <c r="F385" s="8" t="s">
        <v>9437</v>
      </c>
      <c r="G385" s="8" t="s">
        <v>2135</v>
      </c>
      <c r="H385" s="8" t="s">
        <v>2135</v>
      </c>
      <c r="I385" s="8" t="s">
        <v>1370</v>
      </c>
      <c r="J385" s="8" t="s">
        <v>4123</v>
      </c>
      <c r="K385" s="8" t="s">
        <v>2135</v>
      </c>
      <c r="L385" s="8" t="s">
        <v>2135</v>
      </c>
      <c r="M385" s="8" t="s">
        <v>3332</v>
      </c>
      <c r="N385" s="8" t="s">
        <v>3333</v>
      </c>
      <c r="O385" s="8" t="s">
        <v>2135</v>
      </c>
      <c r="P385" s="8" t="s">
        <v>2135</v>
      </c>
      <c r="Q385" s="8" t="s">
        <v>2135</v>
      </c>
      <c r="R385" s="8" t="s">
        <v>2135</v>
      </c>
      <c r="S385" s="8" t="s">
        <v>2135</v>
      </c>
      <c r="T385" s="8" t="s">
        <v>9438</v>
      </c>
      <c r="U385" s="8" t="s">
        <v>9439</v>
      </c>
      <c r="V385" s="8" t="s">
        <v>9440</v>
      </c>
      <c r="W385" s="8" t="s">
        <v>9441</v>
      </c>
      <c r="X385" s="8" t="s">
        <v>9442</v>
      </c>
      <c r="Y385" s="8" t="s">
        <v>9443</v>
      </c>
      <c r="Z385" s="8" t="s">
        <v>9444</v>
      </c>
      <c r="AA385" s="8" t="s">
        <v>9445</v>
      </c>
      <c r="AB385" s="8" t="s">
        <v>9446</v>
      </c>
      <c r="AC385" s="8" t="s">
        <v>2135</v>
      </c>
      <c r="AD385" s="8" t="s">
        <v>2135</v>
      </c>
      <c r="AE385" s="8" t="s">
        <v>2135</v>
      </c>
      <c r="AF385" s="8" t="s">
        <v>2135</v>
      </c>
      <c r="AG385" s="8">
        <v>48.0</v>
      </c>
      <c r="AH385" s="8">
        <v>23.0</v>
      </c>
      <c r="AI385" s="8">
        <v>26.0</v>
      </c>
      <c r="AJ385" s="8">
        <v>3.0</v>
      </c>
      <c r="AK385" s="8">
        <v>53.0</v>
      </c>
      <c r="AL385" s="8" t="s">
        <v>4123</v>
      </c>
      <c r="AM385" s="8" t="s">
        <v>4131</v>
      </c>
      <c r="AN385" s="8" t="s">
        <v>4132</v>
      </c>
      <c r="AO385" s="8" t="s">
        <v>4133</v>
      </c>
      <c r="AP385" s="8" t="s">
        <v>5033</v>
      </c>
      <c r="AQ385" s="8" t="s">
        <v>2135</v>
      </c>
      <c r="AR385" s="8" t="s">
        <v>4134</v>
      </c>
      <c r="AS385" s="8" t="s">
        <v>4135</v>
      </c>
      <c r="AT385" s="8" t="s">
        <v>3349</v>
      </c>
      <c r="AU385" s="8">
        <v>2008.0</v>
      </c>
      <c r="AV385" s="8">
        <v>14.0</v>
      </c>
      <c r="AW385" s="8">
        <v>2.0</v>
      </c>
      <c r="AX385" s="8" t="s">
        <v>2135</v>
      </c>
      <c r="AY385" s="8" t="s">
        <v>2135</v>
      </c>
      <c r="AZ385" s="8" t="s">
        <v>2135</v>
      </c>
      <c r="BA385" s="8" t="s">
        <v>2135</v>
      </c>
      <c r="BB385" s="8">
        <v>211.0</v>
      </c>
      <c r="BC385" s="8">
        <v>220.0</v>
      </c>
      <c r="BD385" s="8" t="s">
        <v>2135</v>
      </c>
      <c r="BE385" s="8" t="s">
        <v>9447</v>
      </c>
      <c r="BF385" s="13" t="str">
        <f>HYPERLINK("http://dx.doi.org/10.2981/0909-6396(2008)14[211:HUADOE]2.0.CO;2","http://dx.doi.org/10.2981/0909-6396(2008)14[211:HUADOE]2.0.CO;2")</f>
        <v>http://dx.doi.org/10.2981/0909-6396(2008)14[211:HUADOE]2.0.CO;2</v>
      </c>
      <c r="BG385" s="8" t="s">
        <v>2135</v>
      </c>
      <c r="BH385" s="8" t="s">
        <v>2135</v>
      </c>
      <c r="BI385" s="8">
        <v>10.0</v>
      </c>
      <c r="BJ385" s="8" t="s">
        <v>3442</v>
      </c>
      <c r="BK385" s="8" t="s">
        <v>3352</v>
      </c>
      <c r="BL385" s="8" t="s">
        <v>3443</v>
      </c>
      <c r="BM385" s="8" t="s">
        <v>9448</v>
      </c>
      <c r="BN385" s="8" t="s">
        <v>2135</v>
      </c>
      <c r="BO385" s="8" t="s">
        <v>3445</v>
      </c>
      <c r="BP385" s="8" t="s">
        <v>2135</v>
      </c>
      <c r="BQ385" s="8" t="s">
        <v>2135</v>
      </c>
      <c r="BR385" s="8" t="s">
        <v>3355</v>
      </c>
      <c r="BS385" s="8" t="s">
        <v>9449</v>
      </c>
      <c r="BT385" s="8" t="s">
        <v>2272</v>
      </c>
      <c r="BU385" s="8" t="s">
        <v>2147</v>
      </c>
      <c r="BW385" s="8" t="s">
        <v>2148</v>
      </c>
      <c r="BX385" s="8" t="s">
        <v>3044</v>
      </c>
      <c r="BY385" s="8" t="s">
        <v>3045</v>
      </c>
      <c r="BZ385" s="8" t="str">
        <f>HYPERLINK("https%3A%2F%2Fwww.webofscience.com%2Fwos%2Fwoscc%2Ffull-record%2FWOS:000258027500005","View Full Record in Web of Science")</f>
        <v>View Full Record in Web of Science</v>
      </c>
    </row>
    <row r="386" ht="12.75" customHeight="1">
      <c r="A386" s="8" t="s">
        <v>3329</v>
      </c>
      <c r="B386" s="8" t="s">
        <v>9450</v>
      </c>
      <c r="C386" s="8" t="s">
        <v>2135</v>
      </c>
      <c r="D386" s="8" t="s">
        <v>2135</v>
      </c>
      <c r="E386" s="8" t="s">
        <v>2135</v>
      </c>
      <c r="F386" s="8" t="s">
        <v>9451</v>
      </c>
      <c r="G386" s="8" t="s">
        <v>2135</v>
      </c>
      <c r="H386" s="8" t="s">
        <v>2135</v>
      </c>
      <c r="I386" s="8" t="s">
        <v>1379</v>
      </c>
      <c r="J386" s="8" t="s">
        <v>9452</v>
      </c>
      <c r="K386" s="8" t="s">
        <v>2135</v>
      </c>
      <c r="L386" s="8" t="s">
        <v>2135</v>
      </c>
      <c r="M386" s="8" t="s">
        <v>3332</v>
      </c>
      <c r="N386" s="8" t="s">
        <v>3333</v>
      </c>
      <c r="O386" s="8" t="s">
        <v>2135</v>
      </c>
      <c r="P386" s="8" t="s">
        <v>2135</v>
      </c>
      <c r="Q386" s="8" t="s">
        <v>2135</v>
      </c>
      <c r="R386" s="8" t="s">
        <v>2135</v>
      </c>
      <c r="S386" s="8" t="s">
        <v>2135</v>
      </c>
      <c r="T386" s="8" t="s">
        <v>9453</v>
      </c>
      <c r="U386" s="8" t="s">
        <v>9454</v>
      </c>
      <c r="V386" s="8" t="s">
        <v>9455</v>
      </c>
      <c r="W386" s="8" t="s">
        <v>9456</v>
      </c>
      <c r="X386" s="8" t="s">
        <v>9457</v>
      </c>
      <c r="Y386" s="8" t="s">
        <v>9458</v>
      </c>
      <c r="Z386" s="8" t="s">
        <v>9459</v>
      </c>
      <c r="AA386" s="8" t="s">
        <v>9460</v>
      </c>
      <c r="AB386" s="8" t="s">
        <v>9461</v>
      </c>
      <c r="AC386" s="8" t="s">
        <v>2135</v>
      </c>
      <c r="AD386" s="8" t="s">
        <v>2135</v>
      </c>
      <c r="AE386" s="8" t="s">
        <v>2135</v>
      </c>
      <c r="AF386" s="8" t="s">
        <v>2135</v>
      </c>
      <c r="AG386" s="8">
        <v>75.0</v>
      </c>
      <c r="AH386" s="8">
        <v>4.0</v>
      </c>
      <c r="AI386" s="8">
        <v>4.0</v>
      </c>
      <c r="AJ386" s="8">
        <v>0.0</v>
      </c>
      <c r="AK386" s="8">
        <v>46.0</v>
      </c>
      <c r="AL386" s="8" t="s">
        <v>9462</v>
      </c>
      <c r="AM386" s="8" t="s">
        <v>9463</v>
      </c>
      <c r="AN386" s="8" t="s">
        <v>9464</v>
      </c>
      <c r="AO386" s="8" t="s">
        <v>9465</v>
      </c>
      <c r="AP386" s="8" t="s">
        <v>9466</v>
      </c>
      <c r="AQ386" s="8" t="s">
        <v>2135</v>
      </c>
      <c r="AR386" s="8" t="s">
        <v>9467</v>
      </c>
      <c r="AS386" s="8" t="s">
        <v>9468</v>
      </c>
      <c r="AT386" s="8" t="s">
        <v>3741</v>
      </c>
      <c r="AU386" s="8">
        <v>2013.0</v>
      </c>
      <c r="AV386" s="8">
        <v>9.0</v>
      </c>
      <c r="AW386" s="8">
        <v>2.0</v>
      </c>
      <c r="AX386" s="8" t="s">
        <v>2135</v>
      </c>
      <c r="AY386" s="8" t="s">
        <v>2135</v>
      </c>
      <c r="AZ386" s="8" t="s">
        <v>2135</v>
      </c>
      <c r="BA386" s="8" t="s">
        <v>2135</v>
      </c>
      <c r="BB386" s="8">
        <v>227.0</v>
      </c>
      <c r="BC386" s="8">
        <v>238.0</v>
      </c>
      <c r="BD386" s="8">
        <v>131704.0</v>
      </c>
      <c r="BE386" s="8" t="s">
        <v>2135</v>
      </c>
      <c r="BF386" s="8" t="s">
        <v>2135</v>
      </c>
      <c r="BG386" s="8" t="s">
        <v>2135</v>
      </c>
      <c r="BH386" s="8" t="s">
        <v>2135</v>
      </c>
      <c r="BI386" s="8">
        <v>12.0</v>
      </c>
      <c r="BJ386" s="8" t="s">
        <v>3397</v>
      </c>
      <c r="BK386" s="8" t="s">
        <v>3352</v>
      </c>
      <c r="BL386" s="8" t="s">
        <v>3397</v>
      </c>
      <c r="BM386" s="8" t="s">
        <v>9469</v>
      </c>
      <c r="BN386" s="8" t="s">
        <v>2135</v>
      </c>
      <c r="BO386" s="8" t="s">
        <v>2135</v>
      </c>
      <c r="BP386" s="8" t="s">
        <v>2135</v>
      </c>
      <c r="BQ386" s="8" t="s">
        <v>2135</v>
      </c>
      <c r="BR386" s="8" t="s">
        <v>3355</v>
      </c>
      <c r="BS386" s="8" t="s">
        <v>9470</v>
      </c>
      <c r="BU386" s="8" t="s">
        <v>2142</v>
      </c>
      <c r="BW386" s="8" t="s">
        <v>2143</v>
      </c>
      <c r="BY386" s="8" t="s">
        <v>3077</v>
      </c>
      <c r="BZ386" s="8" t="str">
        <f>HYPERLINK("https%3A%2F%2Fwww.webofscience.com%2Fwos%2Fwoscc%2Ffull-record%2FWOS:000329533900001","View Full Record in Web of Science")</f>
        <v>View Full Record in Web of Science</v>
      </c>
    </row>
    <row r="387" ht="12.75" customHeight="1">
      <c r="A387" s="8" t="s">
        <v>3329</v>
      </c>
      <c r="B387" s="8" t="s">
        <v>9471</v>
      </c>
      <c r="C387" s="8" t="s">
        <v>2135</v>
      </c>
      <c r="D387" s="8" t="s">
        <v>2135</v>
      </c>
      <c r="E387" s="8" t="s">
        <v>2135</v>
      </c>
      <c r="F387" s="8" t="s">
        <v>9471</v>
      </c>
      <c r="G387" s="8" t="s">
        <v>2135</v>
      </c>
      <c r="H387" s="8" t="s">
        <v>2135</v>
      </c>
      <c r="I387" s="8" t="s">
        <v>1377</v>
      </c>
      <c r="J387" s="8" t="s">
        <v>7563</v>
      </c>
      <c r="K387" s="8" t="s">
        <v>2135</v>
      </c>
      <c r="L387" s="8" t="s">
        <v>2135</v>
      </c>
      <c r="M387" s="8" t="s">
        <v>3332</v>
      </c>
      <c r="N387" s="8" t="s">
        <v>3333</v>
      </c>
      <c r="O387" s="8" t="s">
        <v>2135</v>
      </c>
      <c r="P387" s="8" t="s">
        <v>2135</v>
      </c>
      <c r="Q387" s="8" t="s">
        <v>2135</v>
      </c>
      <c r="R387" s="8" t="s">
        <v>2135</v>
      </c>
      <c r="S387" s="8" t="s">
        <v>2135</v>
      </c>
      <c r="T387" s="8" t="s">
        <v>2135</v>
      </c>
      <c r="U387" s="8" t="s">
        <v>9472</v>
      </c>
      <c r="V387" s="8" t="s">
        <v>9473</v>
      </c>
      <c r="W387" s="8" t="s">
        <v>2135</v>
      </c>
      <c r="X387" s="8" t="s">
        <v>2135</v>
      </c>
      <c r="Y387" s="8" t="s">
        <v>9474</v>
      </c>
      <c r="Z387" s="8" t="s">
        <v>2135</v>
      </c>
      <c r="AA387" s="8" t="s">
        <v>9475</v>
      </c>
      <c r="AB387" s="8" t="s">
        <v>9476</v>
      </c>
      <c r="AC387" s="8" t="s">
        <v>2135</v>
      </c>
      <c r="AD387" s="8" t="s">
        <v>2135</v>
      </c>
      <c r="AE387" s="8" t="s">
        <v>2135</v>
      </c>
      <c r="AF387" s="8" t="s">
        <v>2135</v>
      </c>
      <c r="AG387" s="8">
        <v>21.0</v>
      </c>
      <c r="AH387" s="8">
        <v>22.0</v>
      </c>
      <c r="AI387" s="8">
        <v>28.0</v>
      </c>
      <c r="AJ387" s="8">
        <v>0.0</v>
      </c>
      <c r="AK387" s="8">
        <v>8.0</v>
      </c>
      <c r="AL387" s="8" t="s">
        <v>3342</v>
      </c>
      <c r="AM387" s="8" t="s">
        <v>3343</v>
      </c>
      <c r="AN387" s="8" t="s">
        <v>3344</v>
      </c>
      <c r="AO387" s="8" t="s">
        <v>7573</v>
      </c>
      <c r="AP387" s="8" t="s">
        <v>7574</v>
      </c>
      <c r="AQ387" s="8" t="s">
        <v>2135</v>
      </c>
      <c r="AR387" s="8" t="s">
        <v>7563</v>
      </c>
      <c r="AS387" s="8" t="s">
        <v>7575</v>
      </c>
      <c r="AT387" s="8" t="s">
        <v>8460</v>
      </c>
      <c r="AU387" s="8">
        <v>1992.0</v>
      </c>
      <c r="AV387" s="8">
        <v>15.0</v>
      </c>
      <c r="AW387" s="8">
        <v>3.0</v>
      </c>
      <c r="AX387" s="8" t="s">
        <v>2135</v>
      </c>
      <c r="AY387" s="8" t="s">
        <v>2135</v>
      </c>
      <c r="AZ387" s="8" t="s">
        <v>2135</v>
      </c>
      <c r="BA387" s="8" t="s">
        <v>2135</v>
      </c>
      <c r="BB387" s="8">
        <v>273.0</v>
      </c>
      <c r="BC387" s="8">
        <v>278.0</v>
      </c>
      <c r="BD387" s="8" t="s">
        <v>2135</v>
      </c>
      <c r="BE387" s="8" t="s">
        <v>9477</v>
      </c>
      <c r="BF387" s="13" t="str">
        <f>HYPERLINK("http://dx.doi.org/10.1111/j.1600-0587.1992.tb00035.x","http://dx.doi.org/10.1111/j.1600-0587.1992.tb00035.x")</f>
        <v>http://dx.doi.org/10.1111/j.1600-0587.1992.tb00035.x</v>
      </c>
      <c r="BG387" s="8" t="s">
        <v>2135</v>
      </c>
      <c r="BH387" s="8" t="s">
        <v>2135</v>
      </c>
      <c r="BI387" s="8">
        <v>6.0</v>
      </c>
      <c r="BJ387" s="8" t="s">
        <v>3558</v>
      </c>
      <c r="BK387" s="8" t="s">
        <v>3352</v>
      </c>
      <c r="BL387" s="8" t="s">
        <v>3353</v>
      </c>
      <c r="BM387" s="8" t="s">
        <v>9478</v>
      </c>
      <c r="BN387" s="8" t="s">
        <v>2135</v>
      </c>
      <c r="BO387" s="8" t="s">
        <v>2135</v>
      </c>
      <c r="BP387" s="8" t="s">
        <v>2135</v>
      </c>
      <c r="BQ387" s="8" t="s">
        <v>2135</v>
      </c>
      <c r="BR387" s="8" t="s">
        <v>3355</v>
      </c>
      <c r="BS387" s="8" t="s">
        <v>9479</v>
      </c>
      <c r="BT387" s="8" t="s">
        <v>2471</v>
      </c>
      <c r="BU387" s="8" t="s">
        <v>2142</v>
      </c>
      <c r="BW387" s="8" t="s">
        <v>2143</v>
      </c>
      <c r="BX387" s="8" t="s">
        <v>3078</v>
      </c>
      <c r="BY387" s="8" t="s">
        <v>3077</v>
      </c>
      <c r="BZ387" s="8" t="str">
        <f>HYPERLINK("https%3A%2F%2Fwww.webofscience.com%2Fwos%2Fwoscc%2Ffull-record%2FWOS:A1992JM78800004","View Full Record in Web of Science")</f>
        <v>View Full Record in Web of Science</v>
      </c>
    </row>
    <row r="388" ht="12.75" customHeight="1">
      <c r="A388" s="8" t="s">
        <v>3329</v>
      </c>
      <c r="B388" s="8" t="s">
        <v>9480</v>
      </c>
      <c r="C388" s="8" t="s">
        <v>2135</v>
      </c>
      <c r="D388" s="8" t="s">
        <v>2135</v>
      </c>
      <c r="E388" s="8" t="s">
        <v>2135</v>
      </c>
      <c r="F388" s="8" t="s">
        <v>9481</v>
      </c>
      <c r="G388" s="8" t="s">
        <v>2135</v>
      </c>
      <c r="H388" s="8" t="s">
        <v>2135</v>
      </c>
      <c r="I388" s="8" t="s">
        <v>1385</v>
      </c>
      <c r="J388" s="8" t="s">
        <v>9482</v>
      </c>
      <c r="K388" s="8" t="s">
        <v>2135</v>
      </c>
      <c r="L388" s="8" t="s">
        <v>2135</v>
      </c>
      <c r="M388" s="8" t="s">
        <v>3332</v>
      </c>
      <c r="N388" s="8" t="s">
        <v>3333</v>
      </c>
      <c r="O388" s="8" t="s">
        <v>2135</v>
      </c>
      <c r="P388" s="8" t="s">
        <v>2135</v>
      </c>
      <c r="Q388" s="8" t="s">
        <v>2135</v>
      </c>
      <c r="R388" s="8" t="s">
        <v>2135</v>
      </c>
      <c r="S388" s="8" t="s">
        <v>2135</v>
      </c>
      <c r="T388" s="8" t="s">
        <v>2135</v>
      </c>
      <c r="U388" s="8" t="s">
        <v>9483</v>
      </c>
      <c r="V388" s="8" t="s">
        <v>9484</v>
      </c>
      <c r="W388" s="8" t="s">
        <v>9485</v>
      </c>
      <c r="X388" s="8" t="s">
        <v>9486</v>
      </c>
      <c r="Y388" s="8" t="s">
        <v>9487</v>
      </c>
      <c r="Z388" s="8" t="s">
        <v>9488</v>
      </c>
      <c r="AA388" s="8" t="s">
        <v>9489</v>
      </c>
      <c r="AB388" s="8" t="s">
        <v>9490</v>
      </c>
      <c r="AC388" s="8" t="s">
        <v>9491</v>
      </c>
      <c r="AD388" s="8" t="s">
        <v>9492</v>
      </c>
      <c r="AE388" s="8" t="s">
        <v>9493</v>
      </c>
      <c r="AF388" s="8" t="s">
        <v>2135</v>
      </c>
      <c r="AG388" s="8">
        <v>17.0</v>
      </c>
      <c r="AH388" s="8">
        <v>2.0</v>
      </c>
      <c r="AI388" s="8">
        <v>2.0</v>
      </c>
      <c r="AJ388" s="8">
        <v>3.0</v>
      </c>
      <c r="AK388" s="8">
        <v>26.0</v>
      </c>
      <c r="AL388" s="8" t="s">
        <v>9494</v>
      </c>
      <c r="AM388" s="8" t="s">
        <v>9495</v>
      </c>
      <c r="AN388" s="8" t="s">
        <v>9496</v>
      </c>
      <c r="AO388" s="8" t="s">
        <v>9497</v>
      </c>
      <c r="AP388" s="8" t="s">
        <v>9498</v>
      </c>
      <c r="AQ388" s="8" t="s">
        <v>2135</v>
      </c>
      <c r="AR388" s="8" t="s">
        <v>9499</v>
      </c>
      <c r="AS388" s="8" t="s">
        <v>9500</v>
      </c>
      <c r="AT388" s="8" t="s">
        <v>3462</v>
      </c>
      <c r="AU388" s="8">
        <v>2014.0</v>
      </c>
      <c r="AV388" s="8">
        <v>13.0</v>
      </c>
      <c r="AW388" s="8">
        <v>3.0</v>
      </c>
      <c r="AX388" s="8" t="s">
        <v>2135</v>
      </c>
      <c r="AY388" s="8" t="s">
        <v>2135</v>
      </c>
      <c r="AZ388" s="8" t="s">
        <v>2135</v>
      </c>
      <c r="BA388" s="8" t="s">
        <v>2135</v>
      </c>
      <c r="BB388" s="8" t="s">
        <v>9501</v>
      </c>
      <c r="BC388" s="8" t="s">
        <v>9502</v>
      </c>
      <c r="BD388" s="8" t="s">
        <v>2135</v>
      </c>
      <c r="BE388" s="8" t="s">
        <v>9503</v>
      </c>
      <c r="BF388" s="13" t="str">
        <f>HYPERLINK("http://dx.doi.org/10.1656/058.013.0303","http://dx.doi.org/10.1656/058.013.0303")</f>
        <v>http://dx.doi.org/10.1656/058.013.0303</v>
      </c>
      <c r="BG388" s="8" t="s">
        <v>2135</v>
      </c>
      <c r="BH388" s="8" t="s">
        <v>2135</v>
      </c>
      <c r="BI388" s="8">
        <v>4.0</v>
      </c>
      <c r="BJ388" s="8" t="s">
        <v>3558</v>
      </c>
      <c r="BK388" s="8" t="s">
        <v>3352</v>
      </c>
      <c r="BL388" s="8" t="s">
        <v>3353</v>
      </c>
      <c r="BM388" s="8" t="s">
        <v>9504</v>
      </c>
      <c r="BN388" s="8" t="s">
        <v>2135</v>
      </c>
      <c r="BO388" s="8" t="s">
        <v>2135</v>
      </c>
      <c r="BP388" s="8" t="s">
        <v>2135</v>
      </c>
      <c r="BQ388" s="8" t="s">
        <v>2135</v>
      </c>
      <c r="BR388" s="8" t="s">
        <v>3355</v>
      </c>
      <c r="BS388" s="8" t="s">
        <v>9505</v>
      </c>
      <c r="BT388" s="8" t="s">
        <v>2600</v>
      </c>
      <c r="BU388" s="8" t="s">
        <v>2147</v>
      </c>
      <c r="BV388" s="8" t="s">
        <v>2217</v>
      </c>
      <c r="BW388" s="8" t="s">
        <v>2155</v>
      </c>
      <c r="BX388" s="8" t="s">
        <v>3191</v>
      </c>
      <c r="BY388" s="8" t="s">
        <v>2993</v>
      </c>
      <c r="BZ388" s="8" t="str">
        <f>HYPERLINK("https%3A%2F%2Fwww.webofscience.com%2Fwos%2Fwoscc%2Ffull-record%2FWOS:000342487600001","View Full Record in Web of Science")</f>
        <v>View Full Record in Web of Science</v>
      </c>
    </row>
    <row r="389" ht="12.75" customHeight="1">
      <c r="A389" s="8" t="s">
        <v>3329</v>
      </c>
      <c r="B389" s="8" t="s">
        <v>9506</v>
      </c>
      <c r="C389" s="8" t="s">
        <v>2135</v>
      </c>
      <c r="D389" s="8" t="s">
        <v>2135</v>
      </c>
      <c r="E389" s="8" t="s">
        <v>2135</v>
      </c>
      <c r="F389" s="8" t="s">
        <v>9507</v>
      </c>
      <c r="G389" s="8" t="s">
        <v>2135</v>
      </c>
      <c r="H389" s="8" t="s">
        <v>2135</v>
      </c>
      <c r="I389" s="8" t="s">
        <v>1383</v>
      </c>
      <c r="J389" s="8" t="s">
        <v>9508</v>
      </c>
      <c r="K389" s="8" t="s">
        <v>2135</v>
      </c>
      <c r="L389" s="8" t="s">
        <v>2135</v>
      </c>
      <c r="M389" s="8" t="s">
        <v>3332</v>
      </c>
      <c r="N389" s="8" t="s">
        <v>3333</v>
      </c>
      <c r="O389" s="8" t="s">
        <v>2135</v>
      </c>
      <c r="P389" s="8" t="s">
        <v>2135</v>
      </c>
      <c r="Q389" s="8" t="s">
        <v>2135</v>
      </c>
      <c r="R389" s="8" t="s">
        <v>2135</v>
      </c>
      <c r="S389" s="8" t="s">
        <v>2135</v>
      </c>
      <c r="T389" s="8" t="s">
        <v>2135</v>
      </c>
      <c r="U389" s="8" t="s">
        <v>9509</v>
      </c>
      <c r="V389" s="8" t="s">
        <v>9510</v>
      </c>
      <c r="W389" s="8" t="s">
        <v>9511</v>
      </c>
      <c r="X389" s="8" t="s">
        <v>9512</v>
      </c>
      <c r="Y389" s="8" t="s">
        <v>9513</v>
      </c>
      <c r="Z389" s="8" t="s">
        <v>7609</v>
      </c>
      <c r="AA389" s="8" t="s">
        <v>9514</v>
      </c>
      <c r="AB389" s="8" t="s">
        <v>9515</v>
      </c>
      <c r="AC389" s="8" t="s">
        <v>9516</v>
      </c>
      <c r="AD389" s="8" t="s">
        <v>9517</v>
      </c>
      <c r="AE389" s="8" t="s">
        <v>9518</v>
      </c>
      <c r="AF389" s="8" t="s">
        <v>2135</v>
      </c>
      <c r="AG389" s="8">
        <v>33.0</v>
      </c>
      <c r="AH389" s="8">
        <v>38.0</v>
      </c>
      <c r="AI389" s="8">
        <v>44.0</v>
      </c>
      <c r="AJ389" s="8">
        <v>0.0</v>
      </c>
      <c r="AK389" s="8">
        <v>30.0</v>
      </c>
      <c r="AL389" s="8" t="s">
        <v>9519</v>
      </c>
      <c r="AM389" s="8" t="s">
        <v>9520</v>
      </c>
      <c r="AN389" s="8" t="s">
        <v>9521</v>
      </c>
      <c r="AO389" s="8" t="s">
        <v>9522</v>
      </c>
      <c r="AP389" s="8" t="s">
        <v>9523</v>
      </c>
      <c r="AQ389" s="8" t="s">
        <v>2135</v>
      </c>
      <c r="AR389" s="8" t="s">
        <v>9524</v>
      </c>
      <c r="AS389" s="8" t="s">
        <v>9525</v>
      </c>
      <c r="AT389" s="8" t="s">
        <v>3721</v>
      </c>
      <c r="AU389" s="8">
        <v>2012.0</v>
      </c>
      <c r="AV389" s="8">
        <v>57.0</v>
      </c>
      <c r="AW389" s="8">
        <v>2.0</v>
      </c>
      <c r="AX389" s="8" t="s">
        <v>2135</v>
      </c>
      <c r="AY389" s="8" t="s">
        <v>2135</v>
      </c>
      <c r="AZ389" s="8" t="s">
        <v>2135</v>
      </c>
      <c r="BA389" s="8" t="s">
        <v>2135</v>
      </c>
      <c r="BB389" s="8">
        <v>449.0</v>
      </c>
      <c r="BC389" s="8">
        <v>456.0</v>
      </c>
      <c r="BD389" s="8" t="s">
        <v>2135</v>
      </c>
      <c r="BE389" s="8" t="s">
        <v>9526</v>
      </c>
      <c r="BF389" s="13" t="str">
        <f>HYPERLINK("http://dx.doi.org/10.4319/lo.2012.57.2.0449","http://dx.doi.org/10.4319/lo.2012.57.2.0449")</f>
        <v>http://dx.doi.org/10.4319/lo.2012.57.2.0449</v>
      </c>
      <c r="BG389" s="8" t="s">
        <v>2135</v>
      </c>
      <c r="BH389" s="8" t="s">
        <v>2135</v>
      </c>
      <c r="BI389" s="8">
        <v>8.0</v>
      </c>
      <c r="BJ389" s="8" t="s">
        <v>9527</v>
      </c>
      <c r="BK389" s="8" t="s">
        <v>3352</v>
      </c>
      <c r="BL389" s="8" t="s">
        <v>5855</v>
      </c>
      <c r="BM389" s="8" t="s">
        <v>9528</v>
      </c>
      <c r="BN389" s="8" t="s">
        <v>2135</v>
      </c>
      <c r="BO389" s="8" t="s">
        <v>3445</v>
      </c>
      <c r="BP389" s="8" t="s">
        <v>2135</v>
      </c>
      <c r="BQ389" s="8" t="s">
        <v>2135</v>
      </c>
      <c r="BR389" s="8" t="s">
        <v>3355</v>
      </c>
      <c r="BS389" s="8" t="s">
        <v>9529</v>
      </c>
      <c r="BT389" s="8" t="s">
        <v>2600</v>
      </c>
      <c r="BU389" s="8" t="s">
        <v>2147</v>
      </c>
      <c r="BV389" s="8" t="s">
        <v>2217</v>
      </c>
      <c r="BW389" s="8" t="s">
        <v>2237</v>
      </c>
      <c r="BX389" s="8" t="s">
        <v>2985</v>
      </c>
      <c r="BY389" s="8" t="s">
        <v>2993</v>
      </c>
      <c r="BZ389" s="8" t="str">
        <f>HYPERLINK("https%3A%2F%2Fwww.webofscience.com%2Fwos%2Fwoscc%2Ffull-record%2FWOS:000302613200006","View Full Record in Web of Science")</f>
        <v>View Full Record in Web of Science</v>
      </c>
    </row>
    <row r="390" ht="12.75" customHeight="1">
      <c r="A390" s="8" t="s">
        <v>3329</v>
      </c>
      <c r="B390" s="8" t="s">
        <v>9530</v>
      </c>
      <c r="C390" s="8" t="s">
        <v>2135</v>
      </c>
      <c r="D390" s="8" t="s">
        <v>2135</v>
      </c>
      <c r="E390" s="8" t="s">
        <v>2135</v>
      </c>
      <c r="F390" s="8" t="s">
        <v>9531</v>
      </c>
      <c r="G390" s="8" t="s">
        <v>2135</v>
      </c>
      <c r="H390" s="8" t="s">
        <v>2135</v>
      </c>
      <c r="I390" s="8" t="s">
        <v>1381</v>
      </c>
      <c r="J390" s="8" t="s">
        <v>4958</v>
      </c>
      <c r="K390" s="8" t="s">
        <v>2135</v>
      </c>
      <c r="L390" s="8" t="s">
        <v>2135</v>
      </c>
      <c r="M390" s="8" t="s">
        <v>3332</v>
      </c>
      <c r="N390" s="8" t="s">
        <v>3333</v>
      </c>
      <c r="O390" s="8" t="s">
        <v>2135</v>
      </c>
      <c r="P390" s="8" t="s">
        <v>2135</v>
      </c>
      <c r="Q390" s="8" t="s">
        <v>2135</v>
      </c>
      <c r="R390" s="8" t="s">
        <v>2135</v>
      </c>
      <c r="S390" s="8" t="s">
        <v>2135</v>
      </c>
      <c r="T390" s="8" t="s">
        <v>9532</v>
      </c>
      <c r="U390" s="8" t="s">
        <v>9533</v>
      </c>
      <c r="V390" s="8" t="s">
        <v>9534</v>
      </c>
      <c r="W390" s="8" t="s">
        <v>9535</v>
      </c>
      <c r="X390" s="8" t="s">
        <v>9536</v>
      </c>
      <c r="Y390" s="8" t="s">
        <v>9537</v>
      </c>
      <c r="Z390" s="8" t="s">
        <v>9538</v>
      </c>
      <c r="AA390" s="8" t="s">
        <v>2135</v>
      </c>
      <c r="AB390" s="8" t="s">
        <v>9539</v>
      </c>
      <c r="AC390" s="8" t="s">
        <v>9540</v>
      </c>
      <c r="AD390" s="8" t="s">
        <v>9540</v>
      </c>
      <c r="AE390" s="8" t="s">
        <v>9541</v>
      </c>
      <c r="AF390" s="8" t="s">
        <v>2135</v>
      </c>
      <c r="AG390" s="8">
        <v>44.0</v>
      </c>
      <c r="AH390" s="8">
        <v>17.0</v>
      </c>
      <c r="AI390" s="8">
        <v>21.0</v>
      </c>
      <c r="AJ390" s="8">
        <v>0.0</v>
      </c>
      <c r="AK390" s="8">
        <v>14.0</v>
      </c>
      <c r="AL390" s="8" t="s">
        <v>3342</v>
      </c>
      <c r="AM390" s="8" t="s">
        <v>3343</v>
      </c>
      <c r="AN390" s="8" t="s">
        <v>3344</v>
      </c>
      <c r="AO390" s="8" t="s">
        <v>9542</v>
      </c>
      <c r="AP390" s="8" t="s">
        <v>2135</v>
      </c>
      <c r="AQ390" s="8" t="s">
        <v>2135</v>
      </c>
      <c r="AR390" s="8" t="s">
        <v>4966</v>
      </c>
      <c r="AS390" s="8" t="s">
        <v>4967</v>
      </c>
      <c r="AT390" s="8" t="s">
        <v>3349</v>
      </c>
      <c r="AU390" s="8">
        <v>2011.0</v>
      </c>
      <c r="AV390" s="8">
        <v>35.0</v>
      </c>
      <c r="AW390" s="8">
        <v>2.0</v>
      </c>
      <c r="AX390" s="8" t="s">
        <v>2135</v>
      </c>
      <c r="AY390" s="8" t="s">
        <v>2135</v>
      </c>
      <c r="AZ390" s="8" t="s">
        <v>2135</v>
      </c>
      <c r="BA390" s="8" t="s">
        <v>2135</v>
      </c>
      <c r="BB390" s="8">
        <v>69.0</v>
      </c>
      <c r="BC390" s="8">
        <v>75.0</v>
      </c>
      <c r="BD390" s="8" t="s">
        <v>2135</v>
      </c>
      <c r="BE390" s="8" t="s">
        <v>9543</v>
      </c>
      <c r="BF390" s="13" t="str">
        <f>HYPERLINK("http://dx.doi.org/10.1002/wsb.19","http://dx.doi.org/10.1002/wsb.19")</f>
        <v>http://dx.doi.org/10.1002/wsb.19</v>
      </c>
      <c r="BG390" s="8" t="s">
        <v>2135</v>
      </c>
      <c r="BH390" s="8" t="s">
        <v>2135</v>
      </c>
      <c r="BI390" s="8">
        <v>7.0</v>
      </c>
      <c r="BJ390" s="8" t="s">
        <v>3604</v>
      </c>
      <c r="BK390" s="8" t="s">
        <v>3352</v>
      </c>
      <c r="BL390" s="8" t="s">
        <v>3605</v>
      </c>
      <c r="BM390" s="8" t="s">
        <v>9544</v>
      </c>
      <c r="BN390" s="8" t="s">
        <v>2135</v>
      </c>
      <c r="BO390" s="8" t="s">
        <v>2135</v>
      </c>
      <c r="BP390" s="8" t="s">
        <v>2135</v>
      </c>
      <c r="BQ390" s="8" t="s">
        <v>2135</v>
      </c>
      <c r="BR390" s="8" t="s">
        <v>3355</v>
      </c>
      <c r="BS390" s="8" t="s">
        <v>9545</v>
      </c>
      <c r="BT390" s="8" t="s">
        <v>2600</v>
      </c>
      <c r="BU390" s="8" t="s">
        <v>2147</v>
      </c>
      <c r="BV390" s="8" t="s">
        <v>2217</v>
      </c>
      <c r="BW390" s="8" t="s">
        <v>2224</v>
      </c>
      <c r="BX390" s="8" t="s">
        <v>3204</v>
      </c>
      <c r="BY390" s="8" t="s">
        <v>2993</v>
      </c>
      <c r="BZ390" s="8" t="str">
        <f>HYPERLINK("https%3A%2F%2Fwww.webofscience.com%2Fwos%2Fwoscc%2Ffull-record%2FWOS:000209332700005","View Full Record in Web of Science")</f>
        <v>View Full Record in Web of Science</v>
      </c>
    </row>
    <row r="391" ht="12.75" customHeight="1">
      <c r="A391" s="8" t="s">
        <v>3329</v>
      </c>
      <c r="B391" s="8" t="s">
        <v>9546</v>
      </c>
      <c r="C391" s="8" t="s">
        <v>2135</v>
      </c>
      <c r="D391" s="8" t="s">
        <v>2135</v>
      </c>
      <c r="E391" s="8" t="s">
        <v>2135</v>
      </c>
      <c r="F391" s="8" t="s">
        <v>9547</v>
      </c>
      <c r="G391" s="8" t="s">
        <v>2135</v>
      </c>
      <c r="H391" s="8" t="s">
        <v>2135</v>
      </c>
      <c r="I391" s="8" t="s">
        <v>1424</v>
      </c>
      <c r="J391" s="8" t="s">
        <v>9548</v>
      </c>
      <c r="K391" s="8" t="s">
        <v>2135</v>
      </c>
      <c r="L391" s="8" t="s">
        <v>2135</v>
      </c>
      <c r="M391" s="8" t="s">
        <v>4896</v>
      </c>
      <c r="N391" s="8" t="s">
        <v>3333</v>
      </c>
      <c r="O391" s="8" t="s">
        <v>2135</v>
      </c>
      <c r="P391" s="8" t="s">
        <v>2135</v>
      </c>
      <c r="Q391" s="8" t="s">
        <v>2135</v>
      </c>
      <c r="R391" s="8" t="s">
        <v>2135</v>
      </c>
      <c r="S391" s="8" t="s">
        <v>2135</v>
      </c>
      <c r="T391" s="8" t="s">
        <v>9549</v>
      </c>
      <c r="U391" s="8" t="s">
        <v>9550</v>
      </c>
      <c r="V391" s="8" t="s">
        <v>9551</v>
      </c>
      <c r="W391" s="8" t="s">
        <v>9552</v>
      </c>
      <c r="X391" s="8" t="s">
        <v>9553</v>
      </c>
      <c r="Y391" s="8" t="s">
        <v>9554</v>
      </c>
      <c r="Z391" s="8" t="s">
        <v>9555</v>
      </c>
      <c r="AA391" s="8" t="s">
        <v>2135</v>
      </c>
      <c r="AB391" s="8" t="s">
        <v>2135</v>
      </c>
      <c r="AC391" s="8" t="s">
        <v>2135</v>
      </c>
      <c r="AD391" s="8" t="s">
        <v>2135</v>
      </c>
      <c r="AE391" s="8" t="s">
        <v>2135</v>
      </c>
      <c r="AF391" s="8" t="s">
        <v>2135</v>
      </c>
      <c r="AG391" s="8">
        <v>32.0</v>
      </c>
      <c r="AH391" s="8">
        <v>5.0</v>
      </c>
      <c r="AI391" s="8">
        <v>6.0</v>
      </c>
      <c r="AJ391" s="8">
        <v>0.0</v>
      </c>
      <c r="AK391" s="8">
        <v>15.0</v>
      </c>
      <c r="AL391" s="8" t="s">
        <v>9556</v>
      </c>
      <c r="AM391" s="8" t="s">
        <v>9557</v>
      </c>
      <c r="AN391" s="8" t="s">
        <v>9558</v>
      </c>
      <c r="AO391" s="8" t="s">
        <v>9559</v>
      </c>
      <c r="AP391" s="8" t="s">
        <v>9560</v>
      </c>
      <c r="AQ391" s="8" t="s">
        <v>2135</v>
      </c>
      <c r="AR391" s="8" t="s">
        <v>9548</v>
      </c>
      <c r="AS391" s="8" t="s">
        <v>9561</v>
      </c>
      <c r="AT391" s="8" t="s">
        <v>9562</v>
      </c>
      <c r="AU391" s="8">
        <v>2017.0</v>
      </c>
      <c r="AV391" s="8">
        <v>31.0</v>
      </c>
      <c r="AW391" s="8">
        <v>1.0</v>
      </c>
      <c r="AX391" s="8" t="s">
        <v>2135</v>
      </c>
      <c r="AY391" s="8" t="s">
        <v>2135</v>
      </c>
      <c r="AZ391" s="8" t="s">
        <v>2135</v>
      </c>
      <c r="BA391" s="8" t="s">
        <v>2135</v>
      </c>
      <c r="BB391" s="8">
        <v>73.0</v>
      </c>
      <c r="BC391" s="8">
        <v>84.0</v>
      </c>
      <c r="BD391" s="8" t="s">
        <v>2135</v>
      </c>
      <c r="BE391" s="8" t="s">
        <v>9563</v>
      </c>
      <c r="BF391" s="13" t="str">
        <f>HYPERLINK("http://dx.doi.org/10.15359/ru.31-1.8","http://dx.doi.org/10.15359/ru.31-1.8")</f>
        <v>http://dx.doi.org/10.15359/ru.31-1.8</v>
      </c>
      <c r="BG391" s="8" t="s">
        <v>2135</v>
      </c>
      <c r="BH391" s="8" t="s">
        <v>2135</v>
      </c>
      <c r="BI391" s="8">
        <v>12.0</v>
      </c>
      <c r="BJ391" s="8" t="s">
        <v>3656</v>
      </c>
      <c r="BK391" s="8" t="s">
        <v>4654</v>
      </c>
      <c r="BL391" s="8" t="s">
        <v>3657</v>
      </c>
      <c r="BM391" s="8" t="s">
        <v>9564</v>
      </c>
      <c r="BN391" s="8" t="s">
        <v>2135</v>
      </c>
      <c r="BO391" s="8" t="s">
        <v>8177</v>
      </c>
      <c r="BP391" s="8" t="s">
        <v>2135</v>
      </c>
      <c r="BQ391" s="8" t="s">
        <v>2135</v>
      </c>
      <c r="BR391" s="8" t="s">
        <v>3355</v>
      </c>
      <c r="BS391" s="8" t="s">
        <v>9565</v>
      </c>
      <c r="BT391" s="8" t="s">
        <v>2301</v>
      </c>
      <c r="BU391" s="8" t="s">
        <v>2147</v>
      </c>
      <c r="BW391" s="8" t="s">
        <v>2157</v>
      </c>
      <c r="BX391" s="8" t="s">
        <v>3038</v>
      </c>
      <c r="BY391" s="8" t="s">
        <v>2955</v>
      </c>
      <c r="BZ391" s="8" t="str">
        <f>HYPERLINK("https%3A%2F%2Fwww.webofscience.com%2Fwos%2Fwoscc%2Ffull-record%2FWOS:000396638200008","View Full Record in Web of Science")</f>
        <v>View Full Record in Web of Science</v>
      </c>
    </row>
    <row r="392" ht="12.75" customHeight="1">
      <c r="A392" s="8" t="s">
        <v>3329</v>
      </c>
      <c r="B392" s="8" t="s">
        <v>9566</v>
      </c>
      <c r="C392" s="8" t="s">
        <v>2135</v>
      </c>
      <c r="D392" s="8" t="s">
        <v>2135</v>
      </c>
      <c r="E392" s="8" t="s">
        <v>2135</v>
      </c>
      <c r="F392" s="8" t="s">
        <v>9567</v>
      </c>
      <c r="G392" s="8" t="s">
        <v>2135</v>
      </c>
      <c r="H392" s="8" t="s">
        <v>2135</v>
      </c>
      <c r="I392" s="8" t="s">
        <v>1422</v>
      </c>
      <c r="J392" s="8" t="s">
        <v>4513</v>
      </c>
      <c r="K392" s="8" t="s">
        <v>2135</v>
      </c>
      <c r="L392" s="8" t="s">
        <v>2135</v>
      </c>
      <c r="M392" s="8" t="s">
        <v>3332</v>
      </c>
      <c r="N392" s="8" t="s">
        <v>3333</v>
      </c>
      <c r="O392" s="8" t="s">
        <v>2135</v>
      </c>
      <c r="P392" s="8" t="s">
        <v>2135</v>
      </c>
      <c r="Q392" s="8" t="s">
        <v>2135</v>
      </c>
      <c r="R392" s="8" t="s">
        <v>2135</v>
      </c>
      <c r="S392" s="8" t="s">
        <v>2135</v>
      </c>
      <c r="T392" s="8" t="s">
        <v>9568</v>
      </c>
      <c r="U392" s="8" t="s">
        <v>9569</v>
      </c>
      <c r="V392" s="8" t="s">
        <v>9570</v>
      </c>
      <c r="W392" s="8" t="s">
        <v>9571</v>
      </c>
      <c r="X392" s="8" t="s">
        <v>9572</v>
      </c>
      <c r="Y392" s="8" t="s">
        <v>7662</v>
      </c>
      <c r="Z392" s="8" t="s">
        <v>9573</v>
      </c>
      <c r="AA392" s="8" t="s">
        <v>9574</v>
      </c>
      <c r="AB392" s="8" t="s">
        <v>2135</v>
      </c>
      <c r="AC392" s="8" t="s">
        <v>9575</v>
      </c>
      <c r="AD392" s="8" t="s">
        <v>9575</v>
      </c>
      <c r="AE392" s="8" t="s">
        <v>9576</v>
      </c>
      <c r="AF392" s="8" t="s">
        <v>2135</v>
      </c>
      <c r="AG392" s="8">
        <v>81.0</v>
      </c>
      <c r="AH392" s="8">
        <v>34.0</v>
      </c>
      <c r="AI392" s="8">
        <v>39.0</v>
      </c>
      <c r="AJ392" s="8">
        <v>1.0</v>
      </c>
      <c r="AK392" s="8">
        <v>86.0</v>
      </c>
      <c r="AL392" s="8" t="s">
        <v>3366</v>
      </c>
      <c r="AM392" s="8" t="s">
        <v>3367</v>
      </c>
      <c r="AN392" s="8" t="s">
        <v>3368</v>
      </c>
      <c r="AO392" s="8" t="s">
        <v>4522</v>
      </c>
      <c r="AP392" s="8" t="s">
        <v>4523</v>
      </c>
      <c r="AQ392" s="8" t="s">
        <v>2135</v>
      </c>
      <c r="AR392" s="8" t="s">
        <v>4524</v>
      </c>
      <c r="AS392" s="8" t="s">
        <v>4525</v>
      </c>
      <c r="AT392" s="8" t="s">
        <v>9577</v>
      </c>
      <c r="AU392" s="8">
        <v>2016.0</v>
      </c>
      <c r="AV392" s="8">
        <v>361.0</v>
      </c>
      <c r="AW392" s="8" t="s">
        <v>2135</v>
      </c>
      <c r="AX392" s="8" t="s">
        <v>2135</v>
      </c>
      <c r="AY392" s="8" t="s">
        <v>2135</v>
      </c>
      <c r="AZ392" s="8" t="s">
        <v>2135</v>
      </c>
      <c r="BA392" s="8" t="s">
        <v>2135</v>
      </c>
      <c r="BB392" s="8">
        <v>208.0</v>
      </c>
      <c r="BC392" s="8">
        <v>225.0</v>
      </c>
      <c r="BD392" s="8" t="s">
        <v>2135</v>
      </c>
      <c r="BE392" s="8" t="s">
        <v>9578</v>
      </c>
      <c r="BF392" s="13" t="str">
        <f>HYPERLINK("http://dx.doi.org/10.1016/j.foreco.2015.11.026","http://dx.doi.org/10.1016/j.foreco.2015.11.026")</f>
        <v>http://dx.doi.org/10.1016/j.foreco.2015.11.026</v>
      </c>
      <c r="BG392" s="8" t="s">
        <v>2135</v>
      </c>
      <c r="BH392" s="8" t="s">
        <v>2135</v>
      </c>
      <c r="BI392" s="8">
        <v>18.0</v>
      </c>
      <c r="BJ392" s="8" t="s">
        <v>3423</v>
      </c>
      <c r="BK392" s="8" t="s">
        <v>3352</v>
      </c>
      <c r="BL392" s="8" t="s">
        <v>3423</v>
      </c>
      <c r="BM392" s="8" t="s">
        <v>9579</v>
      </c>
      <c r="BN392" s="8" t="s">
        <v>2135</v>
      </c>
      <c r="BO392" s="8" t="s">
        <v>2135</v>
      </c>
      <c r="BP392" s="8" t="s">
        <v>2135</v>
      </c>
      <c r="BQ392" s="8" t="s">
        <v>2135</v>
      </c>
      <c r="BR392" s="8" t="s">
        <v>3355</v>
      </c>
      <c r="BS392" s="8" t="s">
        <v>9580</v>
      </c>
      <c r="BT392" s="8" t="s">
        <v>2600</v>
      </c>
      <c r="BU392" s="8" t="s">
        <v>2147</v>
      </c>
      <c r="BV392" s="8" t="s">
        <v>2217</v>
      </c>
      <c r="BW392" s="8" t="s">
        <v>2224</v>
      </c>
      <c r="BX392" s="8" t="s">
        <v>3205</v>
      </c>
      <c r="BY392" s="8" t="s">
        <v>2955</v>
      </c>
      <c r="BZ392" s="8" t="str">
        <f>HYPERLINK("https%3A%2F%2Fwww.webofscience.com%2Fwos%2Fwoscc%2Ffull-record%2FWOS:000368753900019","View Full Record in Web of Science")</f>
        <v>View Full Record in Web of Science</v>
      </c>
    </row>
    <row r="393" ht="12.75" customHeight="1">
      <c r="A393" s="8" t="s">
        <v>3329</v>
      </c>
      <c r="B393" s="8" t="s">
        <v>9581</v>
      </c>
      <c r="C393" s="8" t="s">
        <v>2135</v>
      </c>
      <c r="D393" s="8" t="s">
        <v>2135</v>
      </c>
      <c r="E393" s="8" t="s">
        <v>2135</v>
      </c>
      <c r="F393" s="8" t="s">
        <v>9582</v>
      </c>
      <c r="G393" s="8" t="s">
        <v>2135</v>
      </c>
      <c r="H393" s="8" t="s">
        <v>2135</v>
      </c>
      <c r="I393" s="8" t="s">
        <v>1420</v>
      </c>
      <c r="J393" s="8" t="s">
        <v>3747</v>
      </c>
      <c r="K393" s="8" t="s">
        <v>2135</v>
      </c>
      <c r="L393" s="8" t="s">
        <v>2135</v>
      </c>
      <c r="M393" s="8" t="s">
        <v>3332</v>
      </c>
      <c r="N393" s="8" t="s">
        <v>3333</v>
      </c>
      <c r="O393" s="8" t="s">
        <v>2135</v>
      </c>
      <c r="P393" s="8" t="s">
        <v>2135</v>
      </c>
      <c r="Q393" s="8" t="s">
        <v>2135</v>
      </c>
      <c r="R393" s="8" t="s">
        <v>2135</v>
      </c>
      <c r="S393" s="8" t="s">
        <v>2135</v>
      </c>
      <c r="T393" s="8" t="s">
        <v>9583</v>
      </c>
      <c r="U393" s="8" t="s">
        <v>9584</v>
      </c>
      <c r="V393" s="8" t="s">
        <v>9585</v>
      </c>
      <c r="W393" s="8" t="s">
        <v>9586</v>
      </c>
      <c r="X393" s="8" t="s">
        <v>9587</v>
      </c>
      <c r="Y393" s="8" t="s">
        <v>9588</v>
      </c>
      <c r="Z393" s="8" t="s">
        <v>9138</v>
      </c>
      <c r="AA393" s="8" t="s">
        <v>2135</v>
      </c>
      <c r="AB393" s="8" t="s">
        <v>2135</v>
      </c>
      <c r="AC393" s="8" t="s">
        <v>9589</v>
      </c>
      <c r="AD393" s="8" t="s">
        <v>9590</v>
      </c>
      <c r="AE393" s="8" t="s">
        <v>9591</v>
      </c>
      <c r="AF393" s="8" t="s">
        <v>2135</v>
      </c>
      <c r="AG393" s="8">
        <v>73.0</v>
      </c>
      <c r="AH393" s="8">
        <v>9.0</v>
      </c>
      <c r="AI393" s="8">
        <v>11.0</v>
      </c>
      <c r="AJ393" s="8">
        <v>0.0</v>
      </c>
      <c r="AK393" s="8">
        <v>106.0</v>
      </c>
      <c r="AL393" s="8" t="s">
        <v>3758</v>
      </c>
      <c r="AM393" s="8" t="s">
        <v>3893</v>
      </c>
      <c r="AN393" s="8" t="s">
        <v>3894</v>
      </c>
      <c r="AO393" s="8" t="s">
        <v>3761</v>
      </c>
      <c r="AP393" s="8" t="s">
        <v>3762</v>
      </c>
      <c r="AQ393" s="8" t="s">
        <v>2135</v>
      </c>
      <c r="AR393" s="8" t="s">
        <v>3763</v>
      </c>
      <c r="AS393" s="8" t="s">
        <v>3764</v>
      </c>
      <c r="AT393" s="8" t="s">
        <v>3440</v>
      </c>
      <c r="AU393" s="8">
        <v>2015.0</v>
      </c>
      <c r="AV393" s="8">
        <v>191.0</v>
      </c>
      <c r="AW393" s="8" t="s">
        <v>2135</v>
      </c>
      <c r="AX393" s="8" t="s">
        <v>2135</v>
      </c>
      <c r="AY393" s="8" t="s">
        <v>2135</v>
      </c>
      <c r="AZ393" s="8" t="s">
        <v>2135</v>
      </c>
      <c r="BA393" s="8" t="s">
        <v>2135</v>
      </c>
      <c r="BB393" s="8">
        <v>596.0</v>
      </c>
      <c r="BC393" s="8">
        <v>605.0</v>
      </c>
      <c r="BD393" s="8" t="s">
        <v>2135</v>
      </c>
      <c r="BE393" s="8" t="s">
        <v>9592</v>
      </c>
      <c r="BF393" s="13" t="str">
        <f>HYPERLINK("http://dx.doi.org/10.1016/j.biocon.2015.07.042","http://dx.doi.org/10.1016/j.biocon.2015.07.042")</f>
        <v>http://dx.doi.org/10.1016/j.biocon.2015.07.042</v>
      </c>
      <c r="BG393" s="8" t="s">
        <v>2135</v>
      </c>
      <c r="BH393" s="8" t="s">
        <v>2135</v>
      </c>
      <c r="BI393" s="8">
        <v>10.0</v>
      </c>
      <c r="BJ393" s="8" t="s">
        <v>3351</v>
      </c>
      <c r="BK393" s="8" t="s">
        <v>3352</v>
      </c>
      <c r="BL393" s="8" t="s">
        <v>3353</v>
      </c>
      <c r="BM393" s="8" t="s">
        <v>5916</v>
      </c>
      <c r="BN393" s="8" t="s">
        <v>2135</v>
      </c>
      <c r="BO393" s="8" t="s">
        <v>2135</v>
      </c>
      <c r="BP393" s="8" t="s">
        <v>2135</v>
      </c>
      <c r="BQ393" s="8" t="s">
        <v>2135</v>
      </c>
      <c r="BR393" s="8" t="s">
        <v>3355</v>
      </c>
      <c r="BS393" s="8" t="s">
        <v>9593</v>
      </c>
      <c r="BT393" s="8" t="s">
        <v>2600</v>
      </c>
      <c r="BU393" s="8" t="s">
        <v>2147</v>
      </c>
      <c r="BV393" s="8" t="s">
        <v>2217</v>
      </c>
      <c r="BW393" s="8" t="s">
        <v>2234</v>
      </c>
      <c r="BY393" s="8" t="s">
        <v>2955</v>
      </c>
      <c r="BZ393" s="8" t="str">
        <f>HYPERLINK("https%3A%2F%2Fwww.webofscience.com%2Fwos%2Fwoscc%2Ffull-record%2FWOS:000364257100067","View Full Record in Web of Science")</f>
        <v>View Full Record in Web of Science</v>
      </c>
    </row>
    <row r="394" ht="12.75" customHeight="1">
      <c r="A394" s="8" t="s">
        <v>3329</v>
      </c>
      <c r="B394" s="8" t="s">
        <v>9594</v>
      </c>
      <c r="C394" s="8" t="s">
        <v>2135</v>
      </c>
      <c r="D394" s="8" t="s">
        <v>2135</v>
      </c>
      <c r="E394" s="8" t="s">
        <v>2135</v>
      </c>
      <c r="F394" s="8" t="s">
        <v>9595</v>
      </c>
      <c r="G394" s="8" t="s">
        <v>2135</v>
      </c>
      <c r="H394" s="8" t="s">
        <v>2135</v>
      </c>
      <c r="I394" s="8" t="s">
        <v>1416</v>
      </c>
      <c r="J394" s="8" t="s">
        <v>3747</v>
      </c>
      <c r="K394" s="8" t="s">
        <v>2135</v>
      </c>
      <c r="L394" s="8" t="s">
        <v>2135</v>
      </c>
      <c r="M394" s="8" t="s">
        <v>3332</v>
      </c>
      <c r="N394" s="8" t="s">
        <v>3333</v>
      </c>
      <c r="O394" s="8" t="s">
        <v>2135</v>
      </c>
      <c r="P394" s="8" t="s">
        <v>2135</v>
      </c>
      <c r="Q394" s="8" t="s">
        <v>2135</v>
      </c>
      <c r="R394" s="8" t="s">
        <v>2135</v>
      </c>
      <c r="S394" s="8" t="s">
        <v>2135</v>
      </c>
      <c r="T394" s="8" t="s">
        <v>9596</v>
      </c>
      <c r="U394" s="8" t="s">
        <v>9597</v>
      </c>
      <c r="V394" s="8" t="s">
        <v>9598</v>
      </c>
      <c r="W394" s="8" t="s">
        <v>9599</v>
      </c>
      <c r="X394" s="8" t="s">
        <v>9600</v>
      </c>
      <c r="Y394" s="8" t="s">
        <v>9601</v>
      </c>
      <c r="Z394" s="8" t="s">
        <v>9602</v>
      </c>
      <c r="AA394" s="8" t="s">
        <v>9603</v>
      </c>
      <c r="AB394" s="8" t="s">
        <v>9604</v>
      </c>
      <c r="AC394" s="8" t="s">
        <v>9605</v>
      </c>
      <c r="AD394" s="8" t="s">
        <v>9606</v>
      </c>
      <c r="AE394" s="8" t="s">
        <v>9607</v>
      </c>
      <c r="AF394" s="8" t="s">
        <v>2135</v>
      </c>
      <c r="AG394" s="8">
        <v>62.0</v>
      </c>
      <c r="AH394" s="8">
        <v>46.0</v>
      </c>
      <c r="AI394" s="8">
        <v>52.0</v>
      </c>
      <c r="AJ394" s="8">
        <v>1.0</v>
      </c>
      <c r="AK394" s="8">
        <v>145.0</v>
      </c>
      <c r="AL394" s="8" t="s">
        <v>3758</v>
      </c>
      <c r="AM394" s="8" t="s">
        <v>3893</v>
      </c>
      <c r="AN394" s="8" t="s">
        <v>3894</v>
      </c>
      <c r="AO394" s="8" t="s">
        <v>3761</v>
      </c>
      <c r="AP394" s="8" t="s">
        <v>3762</v>
      </c>
      <c r="AQ394" s="8" t="s">
        <v>2135</v>
      </c>
      <c r="AR394" s="8" t="s">
        <v>3763</v>
      </c>
      <c r="AS394" s="8" t="s">
        <v>3764</v>
      </c>
      <c r="AT394" s="8" t="s">
        <v>3349</v>
      </c>
      <c r="AU394" s="8">
        <v>2014.0</v>
      </c>
      <c r="AV394" s="8">
        <v>174.0</v>
      </c>
      <c r="AW394" s="8" t="s">
        <v>2135</v>
      </c>
      <c r="AX394" s="8" t="s">
        <v>2135</v>
      </c>
      <c r="AY394" s="8" t="s">
        <v>2135</v>
      </c>
      <c r="AZ394" s="8" t="s">
        <v>2135</v>
      </c>
      <c r="BA394" s="8" t="s">
        <v>2135</v>
      </c>
      <c r="BB394" s="8">
        <v>30.0</v>
      </c>
      <c r="BC394" s="8">
        <v>38.0</v>
      </c>
      <c r="BD394" s="8" t="s">
        <v>2135</v>
      </c>
      <c r="BE394" s="8" t="s">
        <v>9608</v>
      </c>
      <c r="BF394" s="13" t="str">
        <f>HYPERLINK("http://dx.doi.org/10.1016/j.biocon.2014.03.015","http://dx.doi.org/10.1016/j.biocon.2014.03.015")</f>
        <v>http://dx.doi.org/10.1016/j.biocon.2014.03.015</v>
      </c>
      <c r="BG394" s="8" t="s">
        <v>2135</v>
      </c>
      <c r="BH394" s="8" t="s">
        <v>2135</v>
      </c>
      <c r="BI394" s="8">
        <v>9.0</v>
      </c>
      <c r="BJ394" s="8" t="s">
        <v>3351</v>
      </c>
      <c r="BK394" s="8" t="s">
        <v>3352</v>
      </c>
      <c r="BL394" s="8" t="s">
        <v>3353</v>
      </c>
      <c r="BM394" s="8" t="s">
        <v>9609</v>
      </c>
      <c r="BN394" s="8" t="s">
        <v>2135</v>
      </c>
      <c r="BO394" s="8" t="s">
        <v>2135</v>
      </c>
      <c r="BP394" s="8" t="s">
        <v>2135</v>
      </c>
      <c r="BQ394" s="8" t="s">
        <v>2135</v>
      </c>
      <c r="BR394" s="8" t="s">
        <v>3355</v>
      </c>
      <c r="BS394" s="8" t="s">
        <v>9610</v>
      </c>
      <c r="BT394" s="8" t="s">
        <v>2185</v>
      </c>
      <c r="BU394" s="8" t="s">
        <v>2147</v>
      </c>
      <c r="BW394" s="8" t="s">
        <v>2186</v>
      </c>
      <c r="BX394" s="8" t="s">
        <v>3038</v>
      </c>
      <c r="BY394" s="8" t="s">
        <v>2955</v>
      </c>
      <c r="BZ394" s="8" t="str">
        <f>HYPERLINK("https%3A%2F%2Fwww.webofscience.com%2Fwos%2Fwoscc%2Ffull-record%2FWOS:000337650800004","View Full Record in Web of Science")</f>
        <v>View Full Record in Web of Science</v>
      </c>
    </row>
    <row r="395" ht="12.75" customHeight="1">
      <c r="A395" s="8" t="s">
        <v>3329</v>
      </c>
      <c r="B395" s="8" t="s">
        <v>9611</v>
      </c>
      <c r="C395" s="8" t="s">
        <v>2135</v>
      </c>
      <c r="D395" s="8" t="s">
        <v>2135</v>
      </c>
      <c r="E395" s="8" t="s">
        <v>2135</v>
      </c>
      <c r="F395" s="8" t="s">
        <v>9612</v>
      </c>
      <c r="G395" s="8" t="s">
        <v>2135</v>
      </c>
      <c r="H395" s="8" t="s">
        <v>2135</v>
      </c>
      <c r="I395" s="8" t="s">
        <v>1418</v>
      </c>
      <c r="J395" s="8" t="s">
        <v>3989</v>
      </c>
      <c r="K395" s="8" t="s">
        <v>2135</v>
      </c>
      <c r="L395" s="8" t="s">
        <v>2135</v>
      </c>
      <c r="M395" s="8" t="s">
        <v>3332</v>
      </c>
      <c r="N395" s="8" t="s">
        <v>3333</v>
      </c>
      <c r="O395" s="8" t="s">
        <v>2135</v>
      </c>
      <c r="P395" s="8" t="s">
        <v>2135</v>
      </c>
      <c r="Q395" s="8" t="s">
        <v>2135</v>
      </c>
      <c r="R395" s="8" t="s">
        <v>2135</v>
      </c>
      <c r="S395" s="8" t="s">
        <v>2135</v>
      </c>
      <c r="T395" s="8" t="s">
        <v>9613</v>
      </c>
      <c r="U395" s="8" t="s">
        <v>9614</v>
      </c>
      <c r="V395" s="8" t="s">
        <v>9615</v>
      </c>
      <c r="W395" s="8" t="s">
        <v>9616</v>
      </c>
      <c r="X395" s="8" t="s">
        <v>9617</v>
      </c>
      <c r="Y395" s="8" t="s">
        <v>9618</v>
      </c>
      <c r="Z395" s="8" t="s">
        <v>9619</v>
      </c>
      <c r="AA395" s="8" t="s">
        <v>9620</v>
      </c>
      <c r="AB395" s="8" t="s">
        <v>9621</v>
      </c>
      <c r="AC395" s="8" t="s">
        <v>9622</v>
      </c>
      <c r="AD395" s="8" t="s">
        <v>9623</v>
      </c>
      <c r="AE395" s="8" t="s">
        <v>9624</v>
      </c>
      <c r="AF395" s="8" t="s">
        <v>2135</v>
      </c>
      <c r="AG395" s="8">
        <v>57.0</v>
      </c>
      <c r="AH395" s="8">
        <v>20.0</v>
      </c>
      <c r="AI395" s="8">
        <v>27.0</v>
      </c>
      <c r="AJ395" s="8">
        <v>0.0</v>
      </c>
      <c r="AK395" s="8">
        <v>59.0</v>
      </c>
      <c r="AL395" s="8" t="s">
        <v>3342</v>
      </c>
      <c r="AM395" s="8" t="s">
        <v>3343</v>
      </c>
      <c r="AN395" s="8" t="s">
        <v>3344</v>
      </c>
      <c r="AO395" s="8" t="s">
        <v>3999</v>
      </c>
      <c r="AP395" s="8" t="s">
        <v>4000</v>
      </c>
      <c r="AQ395" s="8" t="s">
        <v>2135</v>
      </c>
      <c r="AR395" s="8" t="s">
        <v>4001</v>
      </c>
      <c r="AS395" s="8" t="s">
        <v>4002</v>
      </c>
      <c r="AT395" s="8" t="s">
        <v>3485</v>
      </c>
      <c r="AU395" s="8">
        <v>2014.0</v>
      </c>
      <c r="AV395" s="8">
        <v>24.0</v>
      </c>
      <c r="AW395" s="8">
        <v>1.0</v>
      </c>
      <c r="AX395" s="8" t="s">
        <v>2135</v>
      </c>
      <c r="AY395" s="8" t="s">
        <v>2135</v>
      </c>
      <c r="AZ395" s="8" t="s">
        <v>2135</v>
      </c>
      <c r="BA395" s="8" t="s">
        <v>2135</v>
      </c>
      <c r="BB395" s="8">
        <v>66.0</v>
      </c>
      <c r="BC395" s="8">
        <v>80.0</v>
      </c>
      <c r="BD395" s="8" t="s">
        <v>2135</v>
      </c>
      <c r="BE395" s="8" t="s">
        <v>9625</v>
      </c>
      <c r="BF395" s="13" t="str">
        <f>HYPERLINK("http://dx.doi.org/10.1002/aqc.2379","http://dx.doi.org/10.1002/aqc.2379")</f>
        <v>http://dx.doi.org/10.1002/aqc.2379</v>
      </c>
      <c r="BG395" s="8" t="s">
        <v>2135</v>
      </c>
      <c r="BH395" s="8" t="s">
        <v>2135</v>
      </c>
      <c r="BI395" s="8">
        <v>15.0</v>
      </c>
      <c r="BJ395" s="8" t="s">
        <v>4004</v>
      </c>
      <c r="BK395" s="8" t="s">
        <v>3352</v>
      </c>
      <c r="BL395" s="8" t="s">
        <v>4005</v>
      </c>
      <c r="BM395" s="8" t="s">
        <v>9626</v>
      </c>
      <c r="BN395" s="8" t="s">
        <v>2135</v>
      </c>
      <c r="BO395" s="8" t="s">
        <v>2135</v>
      </c>
      <c r="BP395" s="8" t="s">
        <v>2135</v>
      </c>
      <c r="BQ395" s="8" t="s">
        <v>2135</v>
      </c>
      <c r="BR395" s="8" t="s">
        <v>3355</v>
      </c>
      <c r="BS395" s="8" t="s">
        <v>9627</v>
      </c>
      <c r="BT395" s="8" t="s">
        <v>2471</v>
      </c>
      <c r="BU395" s="8" t="s">
        <v>2142</v>
      </c>
      <c r="BW395" s="8" t="s">
        <v>2143</v>
      </c>
      <c r="BX395" s="8" t="s">
        <v>3038</v>
      </c>
      <c r="BY395" s="8" t="s">
        <v>2955</v>
      </c>
      <c r="BZ395" s="8" t="str">
        <f>HYPERLINK("https%3A%2F%2Fwww.webofscience.com%2Fwos%2Fwoscc%2Ffull-record%2FWOS:000330802700008","View Full Record in Web of Science")</f>
        <v>View Full Record in Web of Science</v>
      </c>
    </row>
    <row r="396" ht="12.75" customHeight="1">
      <c r="A396" s="8" t="s">
        <v>3329</v>
      </c>
      <c r="B396" s="8" t="s">
        <v>9628</v>
      </c>
      <c r="C396" s="8" t="s">
        <v>2135</v>
      </c>
      <c r="D396" s="8" t="s">
        <v>2135</v>
      </c>
      <c r="E396" s="8" t="s">
        <v>2135</v>
      </c>
      <c r="F396" s="8" t="s">
        <v>9629</v>
      </c>
      <c r="G396" s="8" t="s">
        <v>2135</v>
      </c>
      <c r="H396" s="8" t="s">
        <v>2135</v>
      </c>
      <c r="I396" s="8" t="s">
        <v>1414</v>
      </c>
      <c r="J396" s="8" t="s">
        <v>5135</v>
      </c>
      <c r="K396" s="8" t="s">
        <v>2135</v>
      </c>
      <c r="L396" s="8" t="s">
        <v>2135</v>
      </c>
      <c r="M396" s="8" t="s">
        <v>3332</v>
      </c>
      <c r="N396" s="8" t="s">
        <v>3333</v>
      </c>
      <c r="O396" s="8" t="s">
        <v>2135</v>
      </c>
      <c r="P396" s="8" t="s">
        <v>2135</v>
      </c>
      <c r="Q396" s="8" t="s">
        <v>2135</v>
      </c>
      <c r="R396" s="8" t="s">
        <v>2135</v>
      </c>
      <c r="S396" s="8" t="s">
        <v>2135</v>
      </c>
      <c r="T396" s="8" t="s">
        <v>9630</v>
      </c>
      <c r="U396" s="8" t="s">
        <v>9631</v>
      </c>
      <c r="V396" s="8" t="s">
        <v>9632</v>
      </c>
      <c r="W396" s="8" t="s">
        <v>9633</v>
      </c>
      <c r="X396" s="8" t="s">
        <v>9634</v>
      </c>
      <c r="Y396" s="8" t="s">
        <v>9635</v>
      </c>
      <c r="Z396" s="8" t="s">
        <v>9636</v>
      </c>
      <c r="AA396" s="8" t="s">
        <v>9637</v>
      </c>
      <c r="AB396" s="8" t="s">
        <v>9638</v>
      </c>
      <c r="AC396" s="8" t="s">
        <v>9639</v>
      </c>
      <c r="AD396" s="8" t="s">
        <v>9639</v>
      </c>
      <c r="AE396" s="8" t="s">
        <v>9640</v>
      </c>
      <c r="AF396" s="8" t="s">
        <v>2135</v>
      </c>
      <c r="AG396" s="8">
        <v>58.0</v>
      </c>
      <c r="AH396" s="8">
        <v>12.0</v>
      </c>
      <c r="AI396" s="8">
        <v>15.0</v>
      </c>
      <c r="AJ396" s="8">
        <v>0.0</v>
      </c>
      <c r="AK396" s="8">
        <v>126.0</v>
      </c>
      <c r="AL396" s="8" t="s">
        <v>3479</v>
      </c>
      <c r="AM396" s="8" t="s">
        <v>4500</v>
      </c>
      <c r="AN396" s="8" t="s">
        <v>4501</v>
      </c>
      <c r="AO396" s="8" t="s">
        <v>5148</v>
      </c>
      <c r="AP396" s="8" t="s">
        <v>5149</v>
      </c>
      <c r="AQ396" s="8" t="s">
        <v>2135</v>
      </c>
      <c r="AR396" s="8" t="s">
        <v>5150</v>
      </c>
      <c r="AS396" s="8" t="s">
        <v>5151</v>
      </c>
      <c r="AT396" s="8" t="s">
        <v>3629</v>
      </c>
      <c r="AU396" s="8">
        <v>2013.0</v>
      </c>
      <c r="AV396" s="8">
        <v>22.0</v>
      </c>
      <c r="AW396" s="8">
        <v>1.0</v>
      </c>
      <c r="AX396" s="8" t="s">
        <v>2135</v>
      </c>
      <c r="AY396" s="8" t="s">
        <v>2135</v>
      </c>
      <c r="AZ396" s="8" t="s">
        <v>2135</v>
      </c>
      <c r="BA396" s="8" t="s">
        <v>2135</v>
      </c>
      <c r="BB396" s="8">
        <v>169.0</v>
      </c>
      <c r="BC396" s="8">
        <v>186.0</v>
      </c>
      <c r="BD396" s="8" t="s">
        <v>2135</v>
      </c>
      <c r="BE396" s="8" t="s">
        <v>9641</v>
      </c>
      <c r="BF396" s="13" t="str">
        <f>HYPERLINK("http://dx.doi.org/10.1007/s10531-012-0410-3","http://dx.doi.org/10.1007/s10531-012-0410-3")</f>
        <v>http://dx.doi.org/10.1007/s10531-012-0410-3</v>
      </c>
      <c r="BG396" s="8" t="s">
        <v>2135</v>
      </c>
      <c r="BH396" s="8" t="s">
        <v>2135</v>
      </c>
      <c r="BI396" s="8">
        <v>18.0</v>
      </c>
      <c r="BJ396" s="8" t="s">
        <v>3351</v>
      </c>
      <c r="BK396" s="8" t="s">
        <v>3352</v>
      </c>
      <c r="BL396" s="8" t="s">
        <v>3353</v>
      </c>
      <c r="BM396" s="8" t="s">
        <v>9642</v>
      </c>
      <c r="BN396" s="8" t="s">
        <v>2135</v>
      </c>
      <c r="BO396" s="8" t="s">
        <v>4332</v>
      </c>
      <c r="BP396" s="8" t="s">
        <v>2135</v>
      </c>
      <c r="BQ396" s="8" t="s">
        <v>2135</v>
      </c>
      <c r="BR396" s="8" t="s">
        <v>3355</v>
      </c>
      <c r="BS396" s="8" t="s">
        <v>9643</v>
      </c>
      <c r="BT396" s="8" t="s">
        <v>2497</v>
      </c>
      <c r="BU396" s="8" t="s">
        <v>2142</v>
      </c>
      <c r="BW396" s="8" t="s">
        <v>2168</v>
      </c>
      <c r="BX396" s="8" t="s">
        <v>3038</v>
      </c>
      <c r="BY396" s="8" t="s">
        <v>2955</v>
      </c>
      <c r="BZ396" s="8" t="str">
        <f>HYPERLINK("https%3A%2F%2Fwww.webofscience.com%2Fwos%2Fwoscc%2Ffull-record%2FWOS:000312714300011","View Full Record in Web of Science")</f>
        <v>View Full Record in Web of Science</v>
      </c>
    </row>
    <row r="397" ht="12.75" customHeight="1">
      <c r="A397" s="8" t="s">
        <v>3329</v>
      </c>
      <c r="B397" s="8" t="s">
        <v>9644</v>
      </c>
      <c r="C397" s="8" t="s">
        <v>2135</v>
      </c>
      <c r="D397" s="8" t="s">
        <v>2135</v>
      </c>
      <c r="E397" s="8" t="s">
        <v>2135</v>
      </c>
      <c r="F397" s="8" t="s">
        <v>9645</v>
      </c>
      <c r="G397" s="8" t="s">
        <v>2135</v>
      </c>
      <c r="H397" s="8" t="s">
        <v>2135</v>
      </c>
      <c r="I397" s="8" t="s">
        <v>1410</v>
      </c>
      <c r="J397" s="8" t="s">
        <v>4488</v>
      </c>
      <c r="K397" s="8" t="s">
        <v>2135</v>
      </c>
      <c r="L397" s="8" t="s">
        <v>2135</v>
      </c>
      <c r="M397" s="8" t="s">
        <v>3332</v>
      </c>
      <c r="N397" s="8" t="s">
        <v>3333</v>
      </c>
      <c r="O397" s="8" t="s">
        <v>2135</v>
      </c>
      <c r="P397" s="8" t="s">
        <v>2135</v>
      </c>
      <c r="Q397" s="8" t="s">
        <v>2135</v>
      </c>
      <c r="R397" s="8" t="s">
        <v>2135</v>
      </c>
      <c r="S397" s="8" t="s">
        <v>2135</v>
      </c>
      <c r="T397" s="8" t="s">
        <v>9646</v>
      </c>
      <c r="U397" s="8" t="s">
        <v>9647</v>
      </c>
      <c r="V397" s="8" t="s">
        <v>9648</v>
      </c>
      <c r="W397" s="8" t="s">
        <v>9649</v>
      </c>
      <c r="X397" s="8" t="s">
        <v>9650</v>
      </c>
      <c r="Y397" s="8" t="s">
        <v>9651</v>
      </c>
      <c r="Z397" s="8" t="s">
        <v>9652</v>
      </c>
      <c r="AA397" s="8" t="s">
        <v>9653</v>
      </c>
      <c r="AB397" s="8" t="s">
        <v>9654</v>
      </c>
      <c r="AC397" s="8" t="s">
        <v>9655</v>
      </c>
      <c r="AD397" s="8" t="s">
        <v>9655</v>
      </c>
      <c r="AE397" s="8" t="s">
        <v>9656</v>
      </c>
      <c r="AF397" s="8" t="s">
        <v>2135</v>
      </c>
      <c r="AG397" s="8">
        <v>43.0</v>
      </c>
      <c r="AH397" s="8">
        <v>71.0</v>
      </c>
      <c r="AI397" s="8">
        <v>84.0</v>
      </c>
      <c r="AJ397" s="8">
        <v>2.0</v>
      </c>
      <c r="AK397" s="8">
        <v>73.0</v>
      </c>
      <c r="AL397" s="8" t="s">
        <v>3479</v>
      </c>
      <c r="AM397" s="8" t="s">
        <v>4500</v>
      </c>
      <c r="AN397" s="8" t="s">
        <v>4501</v>
      </c>
      <c r="AO397" s="8" t="s">
        <v>4502</v>
      </c>
      <c r="AP397" s="8" t="s">
        <v>2135</v>
      </c>
      <c r="AQ397" s="8" t="s">
        <v>2135</v>
      </c>
      <c r="AR397" s="8" t="s">
        <v>4504</v>
      </c>
      <c r="AS397" s="8" t="s">
        <v>4505</v>
      </c>
      <c r="AT397" s="8" t="s">
        <v>3741</v>
      </c>
      <c r="AU397" s="8">
        <v>2011.0</v>
      </c>
      <c r="AV397" s="8">
        <v>26.0</v>
      </c>
      <c r="AW397" s="8">
        <v>10.0</v>
      </c>
      <c r="AX397" s="8" t="s">
        <v>2135</v>
      </c>
      <c r="AY397" s="8" t="s">
        <v>2135</v>
      </c>
      <c r="AZ397" s="8" t="s">
        <v>2135</v>
      </c>
      <c r="BA397" s="8" t="s">
        <v>2135</v>
      </c>
      <c r="BB397" s="8">
        <v>1491.0</v>
      </c>
      <c r="BC397" s="8">
        <v>1504.0</v>
      </c>
      <c r="BD397" s="8" t="s">
        <v>2135</v>
      </c>
      <c r="BE397" s="8" t="s">
        <v>9657</v>
      </c>
      <c r="BF397" s="13" t="str">
        <f>HYPERLINK("http://dx.doi.org/10.1007/s10980-011-9663-6","http://dx.doi.org/10.1007/s10980-011-9663-6")</f>
        <v>http://dx.doi.org/10.1007/s10980-011-9663-6</v>
      </c>
      <c r="BG397" s="8" t="s">
        <v>2135</v>
      </c>
      <c r="BH397" s="8" t="s">
        <v>2135</v>
      </c>
      <c r="BI397" s="8">
        <v>14.0</v>
      </c>
      <c r="BJ397" s="8" t="s">
        <v>4507</v>
      </c>
      <c r="BK397" s="8" t="s">
        <v>3352</v>
      </c>
      <c r="BL397" s="8" t="s">
        <v>4508</v>
      </c>
      <c r="BM397" s="8" t="s">
        <v>9658</v>
      </c>
      <c r="BN397" s="8" t="s">
        <v>2135</v>
      </c>
      <c r="BO397" s="8" t="s">
        <v>2135</v>
      </c>
      <c r="BP397" s="8" t="s">
        <v>2135</v>
      </c>
      <c r="BQ397" s="8" t="s">
        <v>2135</v>
      </c>
      <c r="BR397" s="8" t="s">
        <v>3355</v>
      </c>
      <c r="BS397" s="8" t="s">
        <v>9659</v>
      </c>
      <c r="BT397" s="8" t="s">
        <v>2600</v>
      </c>
      <c r="BU397" s="8" t="s">
        <v>2147</v>
      </c>
      <c r="BV397" s="8" t="s">
        <v>2217</v>
      </c>
      <c r="BW397" s="8" t="s">
        <v>2224</v>
      </c>
      <c r="BX397" s="8" t="s">
        <v>3205</v>
      </c>
      <c r="BY397" s="8" t="s">
        <v>2955</v>
      </c>
      <c r="BZ397" s="8" t="str">
        <f>HYPERLINK("https%3A%2F%2Fwww.webofscience.com%2Fwos%2Fwoscc%2Ffull-record%2FWOS:000297136900015","View Full Record in Web of Science")</f>
        <v>View Full Record in Web of Science</v>
      </c>
    </row>
    <row r="398" ht="12.75" customHeight="1">
      <c r="A398" s="8" t="s">
        <v>3329</v>
      </c>
      <c r="B398" s="8" t="s">
        <v>9660</v>
      </c>
      <c r="C398" s="8" t="s">
        <v>2135</v>
      </c>
      <c r="D398" s="8" t="s">
        <v>2135</v>
      </c>
      <c r="E398" s="8" t="s">
        <v>2135</v>
      </c>
      <c r="F398" s="8" t="s">
        <v>9661</v>
      </c>
      <c r="G398" s="8" t="s">
        <v>2135</v>
      </c>
      <c r="H398" s="8" t="s">
        <v>2135</v>
      </c>
      <c r="I398" s="8" t="s">
        <v>1412</v>
      </c>
      <c r="J398" s="8" t="s">
        <v>9662</v>
      </c>
      <c r="K398" s="8" t="s">
        <v>2135</v>
      </c>
      <c r="L398" s="8" t="s">
        <v>2135</v>
      </c>
      <c r="M398" s="8" t="s">
        <v>3332</v>
      </c>
      <c r="N398" s="8" t="s">
        <v>3333</v>
      </c>
      <c r="O398" s="8" t="s">
        <v>2135</v>
      </c>
      <c r="P398" s="8" t="s">
        <v>2135</v>
      </c>
      <c r="Q398" s="8" t="s">
        <v>2135</v>
      </c>
      <c r="R398" s="8" t="s">
        <v>2135</v>
      </c>
      <c r="S398" s="8" t="s">
        <v>2135</v>
      </c>
      <c r="T398" s="8" t="s">
        <v>9663</v>
      </c>
      <c r="U398" s="8" t="s">
        <v>9664</v>
      </c>
      <c r="V398" s="8" t="s">
        <v>9665</v>
      </c>
      <c r="W398" s="8" t="s">
        <v>9666</v>
      </c>
      <c r="X398" s="8" t="s">
        <v>9667</v>
      </c>
      <c r="Y398" s="8" t="s">
        <v>9668</v>
      </c>
      <c r="Z398" s="8" t="s">
        <v>9669</v>
      </c>
      <c r="AA398" s="8" t="s">
        <v>9670</v>
      </c>
      <c r="AB398" s="8" t="s">
        <v>9671</v>
      </c>
      <c r="AC398" s="8" t="s">
        <v>9672</v>
      </c>
      <c r="AD398" s="8" t="s">
        <v>9673</v>
      </c>
      <c r="AE398" s="8" t="s">
        <v>9674</v>
      </c>
      <c r="AF398" s="8" t="s">
        <v>2135</v>
      </c>
      <c r="AG398" s="8">
        <v>60.0</v>
      </c>
      <c r="AH398" s="8">
        <v>58.0</v>
      </c>
      <c r="AI398" s="8">
        <v>60.0</v>
      </c>
      <c r="AJ398" s="8">
        <v>0.0</v>
      </c>
      <c r="AK398" s="8">
        <v>91.0</v>
      </c>
      <c r="AL398" s="8" t="s">
        <v>4838</v>
      </c>
      <c r="AM398" s="8" t="s">
        <v>4839</v>
      </c>
      <c r="AN398" s="8" t="s">
        <v>4840</v>
      </c>
      <c r="AO398" s="8" t="s">
        <v>9675</v>
      </c>
      <c r="AP398" s="8" t="s">
        <v>9676</v>
      </c>
      <c r="AQ398" s="8" t="s">
        <v>2135</v>
      </c>
      <c r="AR398" s="8" t="s">
        <v>9677</v>
      </c>
      <c r="AS398" s="8" t="s">
        <v>9678</v>
      </c>
      <c r="AT398" s="8" t="s">
        <v>2135</v>
      </c>
      <c r="AU398" s="8">
        <v>2011.0</v>
      </c>
      <c r="AV398" s="8">
        <v>12.0</v>
      </c>
      <c r="AW398" s="8">
        <v>2.0</v>
      </c>
      <c r="AX398" s="8" t="s">
        <v>2135</v>
      </c>
      <c r="AY398" s="8" t="s">
        <v>2135</v>
      </c>
      <c r="AZ398" s="8" t="s">
        <v>2135</v>
      </c>
      <c r="BA398" s="8" t="s">
        <v>2135</v>
      </c>
      <c r="BB398" s="8">
        <v>116.0</v>
      </c>
      <c r="BC398" s="8">
        <v>124.0</v>
      </c>
      <c r="BD398" s="8" t="s">
        <v>2135</v>
      </c>
      <c r="BE398" s="8" t="s">
        <v>9679</v>
      </c>
      <c r="BF398" s="13" t="str">
        <f>HYPERLINK("http://dx.doi.org/10.1016/j.baae.2011.01.005","http://dx.doi.org/10.1016/j.baae.2011.01.005")</f>
        <v>http://dx.doi.org/10.1016/j.baae.2011.01.005</v>
      </c>
      <c r="BG398" s="8" t="s">
        <v>2135</v>
      </c>
      <c r="BH398" s="8" t="s">
        <v>2135</v>
      </c>
      <c r="BI398" s="8">
        <v>9.0</v>
      </c>
      <c r="BJ398" s="8" t="s">
        <v>3681</v>
      </c>
      <c r="BK398" s="8" t="s">
        <v>3352</v>
      </c>
      <c r="BL398" s="8" t="s">
        <v>3632</v>
      </c>
      <c r="BM398" s="8" t="s">
        <v>9680</v>
      </c>
      <c r="BN398" s="8" t="s">
        <v>2135</v>
      </c>
      <c r="BO398" s="8" t="s">
        <v>3445</v>
      </c>
      <c r="BP398" s="8" t="s">
        <v>2135</v>
      </c>
      <c r="BQ398" s="8" t="s">
        <v>2135</v>
      </c>
      <c r="BR398" s="8" t="s">
        <v>3355</v>
      </c>
      <c r="BS398" s="8" t="s">
        <v>9681</v>
      </c>
      <c r="BT398" s="8" t="s">
        <v>2497</v>
      </c>
      <c r="BU398" s="8" t="s">
        <v>2142</v>
      </c>
      <c r="BW398" s="8" t="s">
        <v>2311</v>
      </c>
      <c r="BY398" s="8" t="s">
        <v>2955</v>
      </c>
      <c r="BZ398" s="8" t="str">
        <f>HYPERLINK("https%3A%2F%2Fwww.webofscience.com%2Fwos%2Fwoscc%2Ffull-record%2FWOS:000290502800003","View Full Record in Web of Science")</f>
        <v>View Full Record in Web of Science</v>
      </c>
    </row>
    <row r="399" ht="12.75" customHeight="1">
      <c r="A399" s="8" t="s">
        <v>3329</v>
      </c>
      <c r="B399" s="8" t="s">
        <v>9682</v>
      </c>
      <c r="C399" s="8" t="s">
        <v>2135</v>
      </c>
      <c r="D399" s="8" t="s">
        <v>2135</v>
      </c>
      <c r="E399" s="8" t="s">
        <v>2135</v>
      </c>
      <c r="F399" s="8" t="s">
        <v>9683</v>
      </c>
      <c r="G399" s="8" t="s">
        <v>2135</v>
      </c>
      <c r="H399" s="8" t="s">
        <v>2135</v>
      </c>
      <c r="I399" s="8" t="s">
        <v>1408</v>
      </c>
      <c r="J399" s="8" t="s">
        <v>6481</v>
      </c>
      <c r="K399" s="8" t="s">
        <v>2135</v>
      </c>
      <c r="L399" s="8" t="s">
        <v>2135</v>
      </c>
      <c r="M399" s="8" t="s">
        <v>3332</v>
      </c>
      <c r="N399" s="8" t="s">
        <v>3333</v>
      </c>
      <c r="O399" s="8" t="s">
        <v>2135</v>
      </c>
      <c r="P399" s="8" t="s">
        <v>2135</v>
      </c>
      <c r="Q399" s="8" t="s">
        <v>2135</v>
      </c>
      <c r="R399" s="8" t="s">
        <v>2135</v>
      </c>
      <c r="S399" s="8" t="s">
        <v>2135</v>
      </c>
      <c r="T399" s="8" t="s">
        <v>9684</v>
      </c>
      <c r="U399" s="8" t="s">
        <v>9685</v>
      </c>
      <c r="V399" s="8" t="s">
        <v>9686</v>
      </c>
      <c r="W399" s="8" t="s">
        <v>9687</v>
      </c>
      <c r="X399" s="8" t="s">
        <v>9688</v>
      </c>
      <c r="Y399" s="8" t="s">
        <v>9689</v>
      </c>
      <c r="Z399" s="8" t="s">
        <v>9690</v>
      </c>
      <c r="AA399" s="8" t="s">
        <v>2135</v>
      </c>
      <c r="AB399" s="8" t="s">
        <v>2135</v>
      </c>
      <c r="AC399" s="8" t="s">
        <v>9691</v>
      </c>
      <c r="AD399" s="8" t="s">
        <v>9692</v>
      </c>
      <c r="AE399" s="8" t="s">
        <v>9693</v>
      </c>
      <c r="AF399" s="8" t="s">
        <v>2135</v>
      </c>
      <c r="AG399" s="8">
        <v>23.0</v>
      </c>
      <c r="AH399" s="8">
        <v>7.0</v>
      </c>
      <c r="AI399" s="8">
        <v>9.0</v>
      </c>
      <c r="AJ399" s="8">
        <v>1.0</v>
      </c>
      <c r="AK399" s="8">
        <v>21.0</v>
      </c>
      <c r="AL399" s="8" t="s">
        <v>3479</v>
      </c>
      <c r="AM399" s="8" t="s">
        <v>4500</v>
      </c>
      <c r="AN399" s="8" t="s">
        <v>4501</v>
      </c>
      <c r="AO399" s="8" t="s">
        <v>6493</v>
      </c>
      <c r="AP399" s="8" t="s">
        <v>2135</v>
      </c>
      <c r="AQ399" s="8" t="s">
        <v>2135</v>
      </c>
      <c r="AR399" s="8" t="s">
        <v>6481</v>
      </c>
      <c r="AS399" s="8" t="s">
        <v>6495</v>
      </c>
      <c r="AT399" s="8" t="s">
        <v>3462</v>
      </c>
      <c r="AU399" s="8">
        <v>2010.0</v>
      </c>
      <c r="AV399" s="8">
        <v>652.0</v>
      </c>
      <c r="AW399" s="8">
        <v>1.0</v>
      </c>
      <c r="AX399" s="8" t="s">
        <v>2135</v>
      </c>
      <c r="AY399" s="8" t="s">
        <v>2135</v>
      </c>
      <c r="AZ399" s="8" t="s">
        <v>2135</v>
      </c>
      <c r="BA399" s="8" t="s">
        <v>2135</v>
      </c>
      <c r="BB399" s="8">
        <v>389.0</v>
      </c>
      <c r="BC399" s="8">
        <v>394.0</v>
      </c>
      <c r="BD399" s="8" t="s">
        <v>2135</v>
      </c>
      <c r="BE399" s="8" t="s">
        <v>9694</v>
      </c>
      <c r="BF399" s="13" t="str">
        <f>HYPERLINK("http://dx.doi.org/10.1007/s10750-010-0332-6","http://dx.doi.org/10.1007/s10750-010-0332-6")</f>
        <v>http://dx.doi.org/10.1007/s10750-010-0332-6</v>
      </c>
      <c r="BG399" s="8" t="s">
        <v>2135</v>
      </c>
      <c r="BH399" s="8" t="s">
        <v>2135</v>
      </c>
      <c r="BI399" s="8">
        <v>6.0</v>
      </c>
      <c r="BJ399" s="8" t="s">
        <v>6497</v>
      </c>
      <c r="BK399" s="8" t="s">
        <v>3352</v>
      </c>
      <c r="BL399" s="8" t="s">
        <v>6497</v>
      </c>
      <c r="BM399" s="8" t="s">
        <v>9695</v>
      </c>
      <c r="BN399" s="8" t="s">
        <v>2135</v>
      </c>
      <c r="BO399" s="8" t="s">
        <v>2135</v>
      </c>
      <c r="BP399" s="8" t="s">
        <v>2135</v>
      </c>
      <c r="BQ399" s="8" t="s">
        <v>2135</v>
      </c>
      <c r="BR399" s="8" t="s">
        <v>3355</v>
      </c>
      <c r="BS399" s="8" t="s">
        <v>9696</v>
      </c>
      <c r="BT399" s="8" t="s">
        <v>2146</v>
      </c>
      <c r="BU399" s="8" t="s">
        <v>2147</v>
      </c>
      <c r="BW399" s="8" t="s">
        <v>2148</v>
      </c>
      <c r="BY399" s="8" t="s">
        <v>2955</v>
      </c>
      <c r="BZ399" s="8" t="str">
        <f>HYPERLINK("https%3A%2F%2Fwww.webofscience.com%2Fwos%2Fwoscc%2Ffull-record%2FWOS:000280087900033","View Full Record in Web of Science")</f>
        <v>View Full Record in Web of Science</v>
      </c>
    </row>
    <row r="400" ht="12.75" customHeight="1">
      <c r="A400" s="8" t="s">
        <v>3329</v>
      </c>
      <c r="B400" s="8" t="s">
        <v>9697</v>
      </c>
      <c r="C400" s="8" t="s">
        <v>2135</v>
      </c>
      <c r="D400" s="8" t="s">
        <v>2135</v>
      </c>
      <c r="E400" s="8" t="s">
        <v>2135</v>
      </c>
      <c r="F400" s="8" t="s">
        <v>9698</v>
      </c>
      <c r="G400" s="8" t="s">
        <v>2135</v>
      </c>
      <c r="H400" s="8" t="s">
        <v>2135</v>
      </c>
      <c r="I400" s="8" t="s">
        <v>1403</v>
      </c>
      <c r="J400" s="8" t="s">
        <v>3491</v>
      </c>
      <c r="K400" s="8" t="s">
        <v>2135</v>
      </c>
      <c r="L400" s="8" t="s">
        <v>2135</v>
      </c>
      <c r="M400" s="8" t="s">
        <v>3332</v>
      </c>
      <c r="N400" s="8" t="s">
        <v>3333</v>
      </c>
      <c r="O400" s="8" t="s">
        <v>2135</v>
      </c>
      <c r="P400" s="8" t="s">
        <v>2135</v>
      </c>
      <c r="Q400" s="8" t="s">
        <v>2135</v>
      </c>
      <c r="R400" s="8" t="s">
        <v>2135</v>
      </c>
      <c r="S400" s="8" t="s">
        <v>2135</v>
      </c>
      <c r="T400" s="8" t="s">
        <v>9699</v>
      </c>
      <c r="U400" s="8" t="s">
        <v>9700</v>
      </c>
      <c r="V400" s="8" t="s">
        <v>9701</v>
      </c>
      <c r="W400" s="8" t="s">
        <v>9702</v>
      </c>
      <c r="X400" s="8" t="s">
        <v>2135</v>
      </c>
      <c r="Y400" s="8" t="s">
        <v>9703</v>
      </c>
      <c r="Z400" s="8" t="s">
        <v>9704</v>
      </c>
      <c r="AA400" s="8" t="s">
        <v>2135</v>
      </c>
      <c r="AB400" s="8" t="s">
        <v>2135</v>
      </c>
      <c r="AC400" s="8" t="s">
        <v>2135</v>
      </c>
      <c r="AD400" s="8" t="s">
        <v>2135</v>
      </c>
      <c r="AE400" s="8" t="s">
        <v>2135</v>
      </c>
      <c r="AF400" s="8" t="s">
        <v>2135</v>
      </c>
      <c r="AG400" s="8">
        <v>69.0</v>
      </c>
      <c r="AH400" s="8">
        <v>17.0</v>
      </c>
      <c r="AI400" s="8">
        <v>20.0</v>
      </c>
      <c r="AJ400" s="8">
        <v>0.0</v>
      </c>
      <c r="AK400" s="8">
        <v>52.0</v>
      </c>
      <c r="AL400" s="8" t="s">
        <v>3505</v>
      </c>
      <c r="AM400" s="8" t="s">
        <v>3506</v>
      </c>
      <c r="AN400" s="8" t="s">
        <v>3507</v>
      </c>
      <c r="AO400" s="8" t="s">
        <v>3508</v>
      </c>
      <c r="AP400" s="8" t="s">
        <v>3509</v>
      </c>
      <c r="AQ400" s="8" t="s">
        <v>2135</v>
      </c>
      <c r="AR400" s="8" t="s">
        <v>3510</v>
      </c>
      <c r="AS400" s="8" t="s">
        <v>3511</v>
      </c>
      <c r="AT400" s="8" t="s">
        <v>3629</v>
      </c>
      <c r="AU400" s="8">
        <v>2007.0</v>
      </c>
      <c r="AV400" s="8">
        <v>52.0</v>
      </c>
      <c r="AW400" s="8">
        <v>1.0</v>
      </c>
      <c r="AX400" s="8" t="s">
        <v>2135</v>
      </c>
      <c r="AY400" s="8" t="s">
        <v>2135</v>
      </c>
      <c r="AZ400" s="8" t="s">
        <v>2135</v>
      </c>
      <c r="BA400" s="8" t="s">
        <v>2135</v>
      </c>
      <c r="BB400" s="8">
        <v>1.0</v>
      </c>
      <c r="BC400" s="8">
        <v>12.0</v>
      </c>
      <c r="BD400" s="8" t="s">
        <v>2135</v>
      </c>
      <c r="BE400" s="8" t="s">
        <v>9705</v>
      </c>
      <c r="BF400" s="13" t="str">
        <f>HYPERLINK("http://dx.doi.org/10.1007/BF03194194","http://dx.doi.org/10.1007/BF03194194")</f>
        <v>http://dx.doi.org/10.1007/BF03194194</v>
      </c>
      <c r="BG400" s="8" t="s">
        <v>2135</v>
      </c>
      <c r="BH400" s="8" t="s">
        <v>2135</v>
      </c>
      <c r="BI400" s="8">
        <v>12.0</v>
      </c>
      <c r="BJ400" s="8" t="s">
        <v>3397</v>
      </c>
      <c r="BK400" s="8" t="s">
        <v>3352</v>
      </c>
      <c r="BL400" s="8" t="s">
        <v>3397</v>
      </c>
      <c r="BM400" s="8" t="s">
        <v>9706</v>
      </c>
      <c r="BN400" s="8" t="s">
        <v>2135</v>
      </c>
      <c r="BO400" s="8" t="s">
        <v>2135</v>
      </c>
      <c r="BP400" s="8" t="s">
        <v>2135</v>
      </c>
      <c r="BQ400" s="8" t="s">
        <v>2135</v>
      </c>
      <c r="BR400" s="8" t="s">
        <v>3355</v>
      </c>
      <c r="BS400" s="8" t="s">
        <v>9707</v>
      </c>
      <c r="BT400" s="8" t="s">
        <v>2325</v>
      </c>
      <c r="BU400" s="8" t="s">
        <v>2142</v>
      </c>
      <c r="BW400" s="8" t="s">
        <v>2334</v>
      </c>
      <c r="BX400" s="8" t="s">
        <v>3038</v>
      </c>
      <c r="BY400" s="8" t="s">
        <v>2955</v>
      </c>
      <c r="BZ400" s="8" t="str">
        <f>HYPERLINK("https%3A%2F%2Fwww.webofscience.com%2Fwos%2Fwoscc%2Ffull-record%2FWOS:000244216200001","View Full Record in Web of Science")</f>
        <v>View Full Record in Web of Science</v>
      </c>
    </row>
    <row r="401" ht="12.75" customHeight="1">
      <c r="A401" s="8" t="s">
        <v>3329</v>
      </c>
      <c r="B401" s="8" t="s">
        <v>9708</v>
      </c>
      <c r="C401" s="8" t="s">
        <v>2135</v>
      </c>
      <c r="D401" s="8" t="s">
        <v>2135</v>
      </c>
      <c r="E401" s="8" t="s">
        <v>2135</v>
      </c>
      <c r="F401" s="8" t="s">
        <v>9709</v>
      </c>
      <c r="G401" s="8" t="s">
        <v>2135</v>
      </c>
      <c r="H401" s="8" t="s">
        <v>2135</v>
      </c>
      <c r="I401" s="8" t="s">
        <v>1404</v>
      </c>
      <c r="J401" s="8" t="s">
        <v>4336</v>
      </c>
      <c r="K401" s="8" t="s">
        <v>2135</v>
      </c>
      <c r="L401" s="8" t="s">
        <v>2135</v>
      </c>
      <c r="M401" s="8" t="s">
        <v>3332</v>
      </c>
      <c r="N401" s="8" t="s">
        <v>3333</v>
      </c>
      <c r="O401" s="8" t="s">
        <v>2135</v>
      </c>
      <c r="P401" s="8" t="s">
        <v>2135</v>
      </c>
      <c r="Q401" s="8" t="s">
        <v>2135</v>
      </c>
      <c r="R401" s="8" t="s">
        <v>2135</v>
      </c>
      <c r="S401" s="8" t="s">
        <v>2135</v>
      </c>
      <c r="T401" s="8" t="s">
        <v>9710</v>
      </c>
      <c r="U401" s="8" t="s">
        <v>9711</v>
      </c>
      <c r="V401" s="8" t="s">
        <v>9712</v>
      </c>
      <c r="W401" s="8" t="s">
        <v>9713</v>
      </c>
      <c r="X401" s="8" t="s">
        <v>3821</v>
      </c>
      <c r="Y401" s="8" t="s">
        <v>9714</v>
      </c>
      <c r="Z401" s="8" t="s">
        <v>9619</v>
      </c>
      <c r="AA401" s="8" t="s">
        <v>9715</v>
      </c>
      <c r="AB401" s="8" t="s">
        <v>9716</v>
      </c>
      <c r="AC401" s="8" t="s">
        <v>2135</v>
      </c>
      <c r="AD401" s="8" t="s">
        <v>2135</v>
      </c>
      <c r="AE401" s="8" t="s">
        <v>2135</v>
      </c>
      <c r="AF401" s="8" t="s">
        <v>2135</v>
      </c>
      <c r="AG401" s="8">
        <v>51.0</v>
      </c>
      <c r="AH401" s="8">
        <v>15.0</v>
      </c>
      <c r="AI401" s="8">
        <v>24.0</v>
      </c>
      <c r="AJ401" s="8">
        <v>0.0</v>
      </c>
      <c r="AK401" s="8">
        <v>19.0</v>
      </c>
      <c r="AL401" s="8" t="s">
        <v>4346</v>
      </c>
      <c r="AM401" s="8" t="s">
        <v>4347</v>
      </c>
      <c r="AN401" s="8" t="s">
        <v>4348</v>
      </c>
      <c r="AO401" s="8" t="s">
        <v>4349</v>
      </c>
      <c r="AP401" s="8" t="s">
        <v>4350</v>
      </c>
      <c r="AQ401" s="8" t="s">
        <v>2135</v>
      </c>
      <c r="AR401" s="8" t="s">
        <v>4351</v>
      </c>
      <c r="AS401" s="8" t="s">
        <v>4352</v>
      </c>
      <c r="AT401" s="8" t="s">
        <v>2135</v>
      </c>
      <c r="AU401" s="8">
        <v>2007.0</v>
      </c>
      <c r="AV401" s="8">
        <v>56.0</v>
      </c>
      <c r="AW401" s="8">
        <v>4.0</v>
      </c>
      <c r="AX401" s="8" t="s">
        <v>2135</v>
      </c>
      <c r="AY401" s="8" t="s">
        <v>2135</v>
      </c>
      <c r="AZ401" s="8" t="s">
        <v>2135</v>
      </c>
      <c r="BA401" s="8" t="s">
        <v>2135</v>
      </c>
      <c r="BB401" s="8">
        <v>365.0</v>
      </c>
      <c r="BC401" s="8">
        <v>377.0</v>
      </c>
      <c r="BD401" s="8" t="s">
        <v>2135</v>
      </c>
      <c r="BE401" s="8" t="s">
        <v>2135</v>
      </c>
      <c r="BF401" s="8" t="s">
        <v>2135</v>
      </c>
      <c r="BG401" s="8" t="s">
        <v>2135</v>
      </c>
      <c r="BH401" s="8" t="s">
        <v>2135</v>
      </c>
      <c r="BI401" s="8">
        <v>13.0</v>
      </c>
      <c r="BJ401" s="8" t="s">
        <v>3397</v>
      </c>
      <c r="BK401" s="8" t="s">
        <v>3352</v>
      </c>
      <c r="BL401" s="8" t="s">
        <v>3397</v>
      </c>
      <c r="BM401" s="8" t="s">
        <v>9717</v>
      </c>
      <c r="BN401" s="8" t="s">
        <v>2135</v>
      </c>
      <c r="BO401" s="8" t="s">
        <v>2135</v>
      </c>
      <c r="BP401" s="8" t="s">
        <v>2135</v>
      </c>
      <c r="BQ401" s="8" t="s">
        <v>2135</v>
      </c>
      <c r="BR401" s="8" t="s">
        <v>3355</v>
      </c>
      <c r="BS401" s="8" t="s">
        <v>9718</v>
      </c>
      <c r="BT401" s="8" t="s">
        <v>2471</v>
      </c>
      <c r="BU401" s="8" t="s">
        <v>2142</v>
      </c>
      <c r="BW401" s="8" t="s">
        <v>2143</v>
      </c>
      <c r="BX401" s="8" t="s">
        <v>3038</v>
      </c>
      <c r="BY401" s="8" t="s">
        <v>2955</v>
      </c>
      <c r="BZ401" s="8" t="str">
        <f>HYPERLINK("https%3A%2F%2Fwww.webofscience.com%2Fwos%2Fwoscc%2Ffull-record%2FWOS:000253361500004","View Full Record in Web of Science")</f>
        <v>View Full Record in Web of Science</v>
      </c>
    </row>
    <row r="402" ht="12.75" customHeight="1">
      <c r="A402" s="8" t="s">
        <v>3329</v>
      </c>
      <c r="B402" s="8" t="s">
        <v>9719</v>
      </c>
      <c r="C402" s="8" t="s">
        <v>2135</v>
      </c>
      <c r="D402" s="8" t="s">
        <v>2135</v>
      </c>
      <c r="E402" s="8" t="s">
        <v>2135</v>
      </c>
      <c r="F402" s="8" t="s">
        <v>9719</v>
      </c>
      <c r="G402" s="8" t="s">
        <v>2135</v>
      </c>
      <c r="H402" s="8" t="s">
        <v>2135</v>
      </c>
      <c r="I402" s="8" t="s">
        <v>1401</v>
      </c>
      <c r="J402" s="8" t="s">
        <v>3537</v>
      </c>
      <c r="K402" s="8" t="s">
        <v>2135</v>
      </c>
      <c r="L402" s="8" t="s">
        <v>2135</v>
      </c>
      <c r="M402" s="8" t="s">
        <v>3332</v>
      </c>
      <c r="N402" s="8" t="s">
        <v>3333</v>
      </c>
      <c r="O402" s="8" t="s">
        <v>2135</v>
      </c>
      <c r="P402" s="8" t="s">
        <v>2135</v>
      </c>
      <c r="Q402" s="8" t="s">
        <v>2135</v>
      </c>
      <c r="R402" s="8" t="s">
        <v>2135</v>
      </c>
      <c r="S402" s="8" t="s">
        <v>2135</v>
      </c>
      <c r="T402" s="8" t="s">
        <v>9720</v>
      </c>
      <c r="U402" s="8" t="s">
        <v>9721</v>
      </c>
      <c r="V402" s="8" t="s">
        <v>9722</v>
      </c>
      <c r="W402" s="8" t="s">
        <v>9723</v>
      </c>
      <c r="X402" s="8" t="s">
        <v>9442</v>
      </c>
      <c r="Y402" s="8" t="s">
        <v>9724</v>
      </c>
      <c r="Z402" s="8" t="s">
        <v>9725</v>
      </c>
      <c r="AA402" s="8" t="s">
        <v>2135</v>
      </c>
      <c r="AB402" s="8" t="s">
        <v>9726</v>
      </c>
      <c r="AC402" s="8" t="s">
        <v>2135</v>
      </c>
      <c r="AD402" s="8" t="s">
        <v>2135</v>
      </c>
      <c r="AE402" s="8" t="s">
        <v>2135</v>
      </c>
      <c r="AF402" s="8" t="s">
        <v>2135</v>
      </c>
      <c r="AG402" s="8">
        <v>41.0</v>
      </c>
      <c r="AH402" s="8">
        <v>26.0</v>
      </c>
      <c r="AI402" s="8">
        <v>37.0</v>
      </c>
      <c r="AJ402" s="8">
        <v>4.0</v>
      </c>
      <c r="AK402" s="8">
        <v>40.0</v>
      </c>
      <c r="AL402" s="8" t="s">
        <v>3550</v>
      </c>
      <c r="AM402" s="8" t="s">
        <v>3551</v>
      </c>
      <c r="AN402" s="8" t="s">
        <v>3552</v>
      </c>
      <c r="AO402" s="8" t="s">
        <v>3553</v>
      </c>
      <c r="AP402" s="8" t="s">
        <v>3554</v>
      </c>
      <c r="AQ402" s="8" t="s">
        <v>2135</v>
      </c>
      <c r="AR402" s="8" t="s">
        <v>3537</v>
      </c>
      <c r="AS402" s="8" t="s">
        <v>3555</v>
      </c>
      <c r="AT402" s="8" t="s">
        <v>3580</v>
      </c>
      <c r="AU402" s="8">
        <v>2003.0</v>
      </c>
      <c r="AV402" s="8">
        <v>37.0</v>
      </c>
      <c r="AW402" s="8">
        <v>4.0</v>
      </c>
      <c r="AX402" s="8" t="s">
        <v>2135</v>
      </c>
      <c r="AY402" s="8" t="s">
        <v>2135</v>
      </c>
      <c r="AZ402" s="8" t="s">
        <v>2135</v>
      </c>
      <c r="BA402" s="8" t="s">
        <v>2135</v>
      </c>
      <c r="BB402" s="8">
        <v>422.0</v>
      </c>
      <c r="BC402" s="8">
        <v>430.0</v>
      </c>
      <c r="BD402" s="8" t="s">
        <v>2135</v>
      </c>
      <c r="BE402" s="8" t="s">
        <v>9727</v>
      </c>
      <c r="BF402" s="13" t="str">
        <f>HYPERLINK("http://dx.doi.org/10.1017/S0030605303000784","http://dx.doi.org/10.1017/S0030605303000784")</f>
        <v>http://dx.doi.org/10.1017/S0030605303000784</v>
      </c>
      <c r="BG402" s="8" t="s">
        <v>2135</v>
      </c>
      <c r="BH402" s="8" t="s">
        <v>2135</v>
      </c>
      <c r="BI402" s="8">
        <v>9.0</v>
      </c>
      <c r="BJ402" s="8" t="s">
        <v>3558</v>
      </c>
      <c r="BK402" s="8" t="s">
        <v>3352</v>
      </c>
      <c r="BL402" s="8" t="s">
        <v>3353</v>
      </c>
      <c r="BM402" s="8" t="s">
        <v>9728</v>
      </c>
      <c r="BN402" s="8" t="s">
        <v>2135</v>
      </c>
      <c r="BO402" s="8" t="s">
        <v>3445</v>
      </c>
      <c r="BP402" s="8" t="s">
        <v>2135</v>
      </c>
      <c r="BQ402" s="8" t="s">
        <v>2135</v>
      </c>
      <c r="BR402" s="8" t="s">
        <v>3355</v>
      </c>
      <c r="BS402" s="8" t="s">
        <v>9729</v>
      </c>
      <c r="BT402" s="8" t="s">
        <v>2272</v>
      </c>
      <c r="BU402" s="8" t="s">
        <v>2147</v>
      </c>
      <c r="BW402" s="8" t="s">
        <v>2148</v>
      </c>
      <c r="BY402" s="8" t="s">
        <v>2955</v>
      </c>
      <c r="BZ402" s="8" t="str">
        <f>HYPERLINK("https%3A%2F%2Fwww.webofscience.com%2Fwos%2Fwoscc%2Ffull-record%2FWOS:000186977300019","View Full Record in Web of Science")</f>
        <v>View Full Record in Web of Science</v>
      </c>
    </row>
    <row r="403" ht="12.75" customHeight="1">
      <c r="A403" s="8" t="s">
        <v>3329</v>
      </c>
      <c r="B403" s="8" t="s">
        <v>9730</v>
      </c>
      <c r="C403" s="8" t="s">
        <v>2135</v>
      </c>
      <c r="D403" s="8" t="s">
        <v>2135</v>
      </c>
      <c r="E403" s="8" t="s">
        <v>2135</v>
      </c>
      <c r="F403" s="8" t="s">
        <v>9730</v>
      </c>
      <c r="G403" s="8" t="s">
        <v>2135</v>
      </c>
      <c r="H403" s="8" t="s">
        <v>2135</v>
      </c>
      <c r="I403" s="8" t="s">
        <v>1399</v>
      </c>
      <c r="J403" s="8" t="s">
        <v>3989</v>
      </c>
      <c r="K403" s="8" t="s">
        <v>2135</v>
      </c>
      <c r="L403" s="8" t="s">
        <v>2135</v>
      </c>
      <c r="M403" s="8" t="s">
        <v>3332</v>
      </c>
      <c r="N403" s="8" t="s">
        <v>3333</v>
      </c>
      <c r="O403" s="8" t="s">
        <v>2135</v>
      </c>
      <c r="P403" s="8" t="s">
        <v>2135</v>
      </c>
      <c r="Q403" s="8" t="s">
        <v>2135</v>
      </c>
      <c r="R403" s="8" t="s">
        <v>2135</v>
      </c>
      <c r="S403" s="8" t="s">
        <v>2135</v>
      </c>
      <c r="T403" s="8" t="s">
        <v>9731</v>
      </c>
      <c r="U403" s="8" t="s">
        <v>9732</v>
      </c>
      <c r="V403" s="8" t="s">
        <v>9733</v>
      </c>
      <c r="W403" s="8" t="s">
        <v>9734</v>
      </c>
      <c r="X403" s="8" t="s">
        <v>9735</v>
      </c>
      <c r="Y403" s="8" t="s">
        <v>9736</v>
      </c>
      <c r="Z403" s="8" t="s">
        <v>9737</v>
      </c>
      <c r="AA403" s="8" t="s">
        <v>9738</v>
      </c>
      <c r="AB403" s="8" t="s">
        <v>9739</v>
      </c>
      <c r="AC403" s="8" t="s">
        <v>2135</v>
      </c>
      <c r="AD403" s="8" t="s">
        <v>2135</v>
      </c>
      <c r="AE403" s="8" t="s">
        <v>2135</v>
      </c>
      <c r="AF403" s="8" t="s">
        <v>2135</v>
      </c>
      <c r="AG403" s="8">
        <v>30.0</v>
      </c>
      <c r="AH403" s="8">
        <v>67.0</v>
      </c>
      <c r="AI403" s="8">
        <v>87.0</v>
      </c>
      <c r="AJ403" s="8">
        <v>0.0</v>
      </c>
      <c r="AK403" s="8">
        <v>38.0</v>
      </c>
      <c r="AL403" s="8" t="s">
        <v>3342</v>
      </c>
      <c r="AM403" s="8" t="s">
        <v>3343</v>
      </c>
      <c r="AN403" s="8" t="s">
        <v>3344</v>
      </c>
      <c r="AO403" s="8" t="s">
        <v>3999</v>
      </c>
      <c r="AP403" s="8" t="s">
        <v>4000</v>
      </c>
      <c r="AQ403" s="8" t="s">
        <v>2135</v>
      </c>
      <c r="AR403" s="8" t="s">
        <v>4001</v>
      </c>
      <c r="AS403" s="8" t="s">
        <v>4002</v>
      </c>
      <c r="AT403" s="8" t="s">
        <v>9740</v>
      </c>
      <c r="AU403" s="8">
        <v>2001.0</v>
      </c>
      <c r="AV403" s="8">
        <v>11.0</v>
      </c>
      <c r="AW403" s="8">
        <v>5.0</v>
      </c>
      <c r="AX403" s="8" t="s">
        <v>2135</v>
      </c>
      <c r="AY403" s="8" t="s">
        <v>2135</v>
      </c>
      <c r="AZ403" s="8" t="s">
        <v>2135</v>
      </c>
      <c r="BA403" s="8" t="s">
        <v>2135</v>
      </c>
      <c r="BB403" s="8">
        <v>343.0</v>
      </c>
      <c r="BC403" s="8">
        <v>355.0</v>
      </c>
      <c r="BD403" s="8" t="s">
        <v>2135</v>
      </c>
      <c r="BE403" s="8" t="s">
        <v>9741</v>
      </c>
      <c r="BF403" s="13" t="str">
        <f>HYPERLINK("http://dx.doi.org/10.1002/aqc.454","http://dx.doi.org/10.1002/aqc.454")</f>
        <v>http://dx.doi.org/10.1002/aqc.454</v>
      </c>
      <c r="BG403" s="8" t="s">
        <v>2135</v>
      </c>
      <c r="BH403" s="8" t="s">
        <v>2135</v>
      </c>
      <c r="BI403" s="8">
        <v>13.0</v>
      </c>
      <c r="BJ403" s="8" t="s">
        <v>4004</v>
      </c>
      <c r="BK403" s="8" t="s">
        <v>3352</v>
      </c>
      <c r="BL403" s="8" t="s">
        <v>4005</v>
      </c>
      <c r="BM403" s="8" t="s">
        <v>9742</v>
      </c>
      <c r="BN403" s="8" t="s">
        <v>2135</v>
      </c>
      <c r="BO403" s="8" t="s">
        <v>2135</v>
      </c>
      <c r="BP403" s="8" t="s">
        <v>2135</v>
      </c>
      <c r="BQ403" s="8" t="s">
        <v>2135</v>
      </c>
      <c r="BR403" s="8" t="s">
        <v>3355</v>
      </c>
      <c r="BS403" s="8" t="s">
        <v>9743</v>
      </c>
      <c r="BT403" s="8" t="s">
        <v>2497</v>
      </c>
      <c r="BU403" s="8" t="s">
        <v>2142</v>
      </c>
      <c r="BW403" s="8" t="s">
        <v>2143</v>
      </c>
      <c r="BY403" s="8" t="s">
        <v>2955</v>
      </c>
      <c r="BZ403" s="8" t="str">
        <f>HYPERLINK("https%3A%2F%2Fwww.webofscience.com%2Fwos%2Fwoscc%2Ffull-record%2FWOS:000171411700001","View Full Record in Web of Science")</f>
        <v>View Full Record in Web of Science</v>
      </c>
    </row>
    <row r="404" ht="12.75" customHeight="1">
      <c r="A404" s="8" t="s">
        <v>3329</v>
      </c>
      <c r="B404" s="8" t="s">
        <v>9744</v>
      </c>
      <c r="C404" s="8" t="s">
        <v>2135</v>
      </c>
      <c r="D404" s="8" t="s">
        <v>2135</v>
      </c>
      <c r="E404" s="8" t="s">
        <v>2135</v>
      </c>
      <c r="F404" s="8" t="s">
        <v>9744</v>
      </c>
      <c r="G404" s="8" t="s">
        <v>2135</v>
      </c>
      <c r="H404" s="8" t="s">
        <v>2135</v>
      </c>
      <c r="I404" s="8" t="s">
        <v>1397</v>
      </c>
      <c r="J404" s="8" t="s">
        <v>3448</v>
      </c>
      <c r="K404" s="8" t="s">
        <v>2135</v>
      </c>
      <c r="L404" s="8" t="s">
        <v>2135</v>
      </c>
      <c r="M404" s="8" t="s">
        <v>3332</v>
      </c>
      <c r="N404" s="8" t="s">
        <v>3333</v>
      </c>
      <c r="O404" s="8" t="s">
        <v>2135</v>
      </c>
      <c r="P404" s="8" t="s">
        <v>2135</v>
      </c>
      <c r="Q404" s="8" t="s">
        <v>2135</v>
      </c>
      <c r="R404" s="8" t="s">
        <v>2135</v>
      </c>
      <c r="S404" s="8" t="s">
        <v>2135</v>
      </c>
      <c r="T404" s="8" t="s">
        <v>9745</v>
      </c>
      <c r="U404" s="8" t="s">
        <v>9746</v>
      </c>
      <c r="V404" s="8" t="s">
        <v>9747</v>
      </c>
      <c r="W404" s="8" t="s">
        <v>9748</v>
      </c>
      <c r="X404" s="8" t="s">
        <v>9749</v>
      </c>
      <c r="Y404" s="8" t="s">
        <v>9750</v>
      </c>
      <c r="Z404" s="8" t="s">
        <v>9751</v>
      </c>
      <c r="AA404" s="8" t="s">
        <v>2135</v>
      </c>
      <c r="AB404" s="8" t="s">
        <v>2135</v>
      </c>
      <c r="AC404" s="8" t="s">
        <v>2135</v>
      </c>
      <c r="AD404" s="8" t="s">
        <v>2135</v>
      </c>
      <c r="AE404" s="8" t="s">
        <v>2135</v>
      </c>
      <c r="AF404" s="8" t="s">
        <v>2135</v>
      </c>
      <c r="AG404" s="8">
        <v>48.0</v>
      </c>
      <c r="AH404" s="8">
        <v>24.0</v>
      </c>
      <c r="AI404" s="8">
        <v>25.0</v>
      </c>
      <c r="AJ404" s="8">
        <v>1.0</v>
      </c>
      <c r="AK404" s="8">
        <v>16.0</v>
      </c>
      <c r="AL404" s="8" t="s">
        <v>3455</v>
      </c>
      <c r="AM404" s="8" t="s">
        <v>3456</v>
      </c>
      <c r="AN404" s="8" t="s">
        <v>3457</v>
      </c>
      <c r="AO404" s="8" t="s">
        <v>3458</v>
      </c>
      <c r="AP404" s="8" t="s">
        <v>3459</v>
      </c>
      <c r="AQ404" s="8" t="s">
        <v>2135</v>
      </c>
      <c r="AR404" s="8" t="s">
        <v>3460</v>
      </c>
      <c r="AS404" s="8" t="s">
        <v>3461</v>
      </c>
      <c r="AT404" s="8" t="s">
        <v>2135</v>
      </c>
      <c r="AU404" s="8">
        <v>2000.0</v>
      </c>
      <c r="AV404" s="8">
        <v>30.0</v>
      </c>
      <c r="AW404" s="8">
        <v>3.0</v>
      </c>
      <c r="AX404" s="8" t="s">
        <v>2135</v>
      </c>
      <c r="AY404" s="8" t="s">
        <v>2135</v>
      </c>
      <c r="AZ404" s="8" t="s">
        <v>2135</v>
      </c>
      <c r="BA404" s="8" t="s">
        <v>2135</v>
      </c>
      <c r="BB404" s="8">
        <v>103.0</v>
      </c>
      <c r="BC404" s="8">
        <v>113.0</v>
      </c>
      <c r="BD404" s="8" t="s">
        <v>2135</v>
      </c>
      <c r="BE404" s="8" t="s">
        <v>2135</v>
      </c>
      <c r="BF404" s="8" t="s">
        <v>2135</v>
      </c>
      <c r="BG404" s="8" t="s">
        <v>2135</v>
      </c>
      <c r="BH404" s="8" t="s">
        <v>2135</v>
      </c>
      <c r="BI404" s="8">
        <v>11.0</v>
      </c>
      <c r="BJ404" s="8" t="s">
        <v>3442</v>
      </c>
      <c r="BK404" s="8" t="s">
        <v>3352</v>
      </c>
      <c r="BL404" s="8" t="s">
        <v>3443</v>
      </c>
      <c r="BM404" s="8" t="s">
        <v>9752</v>
      </c>
      <c r="BN404" s="8" t="s">
        <v>2135</v>
      </c>
      <c r="BO404" s="8" t="s">
        <v>2135</v>
      </c>
      <c r="BP404" s="8" t="s">
        <v>2135</v>
      </c>
      <c r="BQ404" s="8" t="s">
        <v>2135</v>
      </c>
      <c r="BR404" s="8" t="s">
        <v>3355</v>
      </c>
      <c r="BS404" s="8" t="s">
        <v>9753</v>
      </c>
      <c r="BU404" s="8" t="s">
        <v>2136</v>
      </c>
      <c r="BW404" s="8" t="s">
        <v>2937</v>
      </c>
      <c r="BY404" s="8" t="s">
        <v>2955</v>
      </c>
      <c r="BZ404" s="8" t="str">
        <f>HYPERLINK("https%3A%2F%2Fwww.webofscience.com%2Fwos%2Fwoscc%2Ffull-record%2FWOS:000166589600001","View Full Record in Web of Science")</f>
        <v>View Full Record in Web of Science</v>
      </c>
    </row>
    <row r="405" ht="12.75" customHeight="1">
      <c r="A405" s="8" t="s">
        <v>3329</v>
      </c>
      <c r="B405" s="8" t="s">
        <v>9754</v>
      </c>
      <c r="C405" s="8" t="s">
        <v>2135</v>
      </c>
      <c r="D405" s="8" t="s">
        <v>2135</v>
      </c>
      <c r="E405" s="8" t="s">
        <v>2135</v>
      </c>
      <c r="F405" s="8" t="s">
        <v>9754</v>
      </c>
      <c r="G405" s="8" t="s">
        <v>2135</v>
      </c>
      <c r="H405" s="8" t="s">
        <v>2135</v>
      </c>
      <c r="I405" s="8" t="s">
        <v>1395</v>
      </c>
      <c r="J405" s="8" t="s">
        <v>3448</v>
      </c>
      <c r="K405" s="8" t="s">
        <v>2135</v>
      </c>
      <c r="L405" s="8" t="s">
        <v>2135</v>
      </c>
      <c r="M405" s="8" t="s">
        <v>3332</v>
      </c>
      <c r="N405" s="8" t="s">
        <v>3333</v>
      </c>
      <c r="O405" s="8" t="s">
        <v>2135</v>
      </c>
      <c r="P405" s="8" t="s">
        <v>2135</v>
      </c>
      <c r="Q405" s="8" t="s">
        <v>2135</v>
      </c>
      <c r="R405" s="8" t="s">
        <v>2135</v>
      </c>
      <c r="S405" s="8" t="s">
        <v>2135</v>
      </c>
      <c r="T405" s="8" t="s">
        <v>9755</v>
      </c>
      <c r="U405" s="8" t="s">
        <v>9756</v>
      </c>
      <c r="V405" s="8" t="s">
        <v>9757</v>
      </c>
      <c r="W405" s="8" t="s">
        <v>9758</v>
      </c>
      <c r="X405" s="8" t="s">
        <v>9759</v>
      </c>
      <c r="Y405" s="8" t="s">
        <v>9760</v>
      </c>
      <c r="Z405" s="8" t="s">
        <v>9761</v>
      </c>
      <c r="AA405" s="8" t="s">
        <v>9762</v>
      </c>
      <c r="AB405" s="8" t="s">
        <v>2135</v>
      </c>
      <c r="AC405" s="8" t="s">
        <v>2135</v>
      </c>
      <c r="AD405" s="8" t="s">
        <v>2135</v>
      </c>
      <c r="AE405" s="8" t="s">
        <v>2135</v>
      </c>
      <c r="AF405" s="8" t="s">
        <v>2135</v>
      </c>
      <c r="AG405" s="8">
        <v>25.0</v>
      </c>
      <c r="AH405" s="8">
        <v>15.0</v>
      </c>
      <c r="AI405" s="8">
        <v>15.0</v>
      </c>
      <c r="AJ405" s="8">
        <v>0.0</v>
      </c>
      <c r="AK405" s="8">
        <v>9.0</v>
      </c>
      <c r="AL405" s="8" t="s">
        <v>3455</v>
      </c>
      <c r="AM405" s="8" t="s">
        <v>3456</v>
      </c>
      <c r="AN405" s="8" t="s">
        <v>3457</v>
      </c>
      <c r="AO405" s="8" t="s">
        <v>3458</v>
      </c>
      <c r="AP405" s="8" t="s">
        <v>3459</v>
      </c>
      <c r="AQ405" s="8" t="s">
        <v>2135</v>
      </c>
      <c r="AR405" s="8" t="s">
        <v>3460</v>
      </c>
      <c r="AS405" s="8" t="s">
        <v>3461</v>
      </c>
      <c r="AT405" s="8" t="s">
        <v>3462</v>
      </c>
      <c r="AU405" s="8">
        <v>1998.0</v>
      </c>
      <c r="AV405" s="8">
        <v>28.0</v>
      </c>
      <c r="AW405" s="8">
        <v>3.0</v>
      </c>
      <c r="AX405" s="8" t="s">
        <v>2135</v>
      </c>
      <c r="AY405" s="8" t="s">
        <v>2135</v>
      </c>
      <c r="AZ405" s="8" t="s">
        <v>2135</v>
      </c>
      <c r="BA405" s="8" t="s">
        <v>2135</v>
      </c>
      <c r="BB405" s="8">
        <v>68.0</v>
      </c>
      <c r="BC405" s="8">
        <v>72.0</v>
      </c>
      <c r="BD405" s="8" t="s">
        <v>2135</v>
      </c>
      <c r="BE405" s="8" t="s">
        <v>2135</v>
      </c>
      <c r="BF405" s="8" t="s">
        <v>2135</v>
      </c>
      <c r="BG405" s="8" t="s">
        <v>2135</v>
      </c>
      <c r="BH405" s="8" t="s">
        <v>2135</v>
      </c>
      <c r="BI405" s="8">
        <v>5.0</v>
      </c>
      <c r="BJ405" s="8" t="s">
        <v>3442</v>
      </c>
      <c r="BK405" s="8" t="s">
        <v>3352</v>
      </c>
      <c r="BL405" s="8" t="s">
        <v>3443</v>
      </c>
      <c r="BM405" s="8" t="s">
        <v>9763</v>
      </c>
      <c r="BN405" s="8" t="s">
        <v>2135</v>
      </c>
      <c r="BO405" s="8" t="s">
        <v>2135</v>
      </c>
      <c r="BP405" s="8" t="s">
        <v>2135</v>
      </c>
      <c r="BQ405" s="8" t="s">
        <v>2135</v>
      </c>
      <c r="BR405" s="8" t="s">
        <v>3355</v>
      </c>
      <c r="BS405" s="8" t="s">
        <v>9764</v>
      </c>
      <c r="BU405" s="8" t="s">
        <v>2136</v>
      </c>
      <c r="BW405" s="8" t="s">
        <v>2836</v>
      </c>
      <c r="BY405" s="8" t="s">
        <v>2955</v>
      </c>
      <c r="BZ405" s="8" t="str">
        <f>HYPERLINK("https%3A%2F%2Fwww.webofscience.com%2Fwos%2Fwoscc%2Ffull-record%2FWOS:000076522300002","View Full Record in Web of Science")</f>
        <v>View Full Record in Web of Science</v>
      </c>
    </row>
    <row r="406" ht="12.75" customHeight="1">
      <c r="A406" s="8" t="s">
        <v>3329</v>
      </c>
      <c r="B406" s="8" t="s">
        <v>9765</v>
      </c>
      <c r="C406" s="8" t="s">
        <v>2135</v>
      </c>
      <c r="D406" s="8" t="s">
        <v>2135</v>
      </c>
      <c r="E406" s="8" t="s">
        <v>2135</v>
      </c>
      <c r="F406" s="8" t="s">
        <v>9766</v>
      </c>
      <c r="G406" s="8" t="s">
        <v>2135</v>
      </c>
      <c r="H406" s="8" t="s">
        <v>2135</v>
      </c>
      <c r="I406" s="8" t="s">
        <v>1542</v>
      </c>
      <c r="J406" s="8" t="s">
        <v>3704</v>
      </c>
      <c r="K406" s="8" t="s">
        <v>2135</v>
      </c>
      <c r="L406" s="8" t="s">
        <v>2135</v>
      </c>
      <c r="M406" s="8" t="s">
        <v>3332</v>
      </c>
      <c r="N406" s="8" t="s">
        <v>3333</v>
      </c>
      <c r="O406" s="8" t="s">
        <v>2135</v>
      </c>
      <c r="P406" s="8" t="s">
        <v>2135</v>
      </c>
      <c r="Q406" s="8" t="s">
        <v>2135</v>
      </c>
      <c r="R406" s="8" t="s">
        <v>2135</v>
      </c>
      <c r="S406" s="8" t="s">
        <v>2135</v>
      </c>
      <c r="T406" s="8" t="s">
        <v>9767</v>
      </c>
      <c r="U406" s="8" t="s">
        <v>9768</v>
      </c>
      <c r="V406" s="8" t="s">
        <v>9769</v>
      </c>
      <c r="W406" s="8" t="s">
        <v>9770</v>
      </c>
      <c r="X406" s="8" t="s">
        <v>9771</v>
      </c>
      <c r="Y406" s="8" t="s">
        <v>9772</v>
      </c>
      <c r="Z406" s="8" t="s">
        <v>9773</v>
      </c>
      <c r="AA406" s="8" t="s">
        <v>2135</v>
      </c>
      <c r="AB406" s="8" t="s">
        <v>9774</v>
      </c>
      <c r="AC406" s="8" t="s">
        <v>2135</v>
      </c>
      <c r="AD406" s="8" t="s">
        <v>2135</v>
      </c>
      <c r="AE406" s="8" t="s">
        <v>2135</v>
      </c>
      <c r="AF406" s="8" t="s">
        <v>2135</v>
      </c>
      <c r="AG406" s="8">
        <v>56.0</v>
      </c>
      <c r="AH406" s="8">
        <v>8.0</v>
      </c>
      <c r="AI406" s="8">
        <v>9.0</v>
      </c>
      <c r="AJ406" s="8">
        <v>1.0</v>
      </c>
      <c r="AK406" s="8">
        <v>73.0</v>
      </c>
      <c r="AL406" s="8" t="s">
        <v>4838</v>
      </c>
      <c r="AM406" s="8" t="s">
        <v>4839</v>
      </c>
      <c r="AN406" s="8" t="s">
        <v>4840</v>
      </c>
      <c r="AO406" s="8" t="s">
        <v>3717</v>
      </c>
      <c r="AP406" s="8" t="s">
        <v>3718</v>
      </c>
      <c r="AQ406" s="8" t="s">
        <v>2135</v>
      </c>
      <c r="AR406" s="8" t="s">
        <v>3719</v>
      </c>
      <c r="AS406" s="8" t="s">
        <v>3720</v>
      </c>
      <c r="AT406" s="8" t="s">
        <v>3629</v>
      </c>
      <c r="AU406" s="8">
        <v>2015.0</v>
      </c>
      <c r="AV406" s="8">
        <v>80.0</v>
      </c>
      <c r="AW406" s="8">
        <v>1.0</v>
      </c>
      <c r="AX406" s="8" t="s">
        <v>2135</v>
      </c>
      <c r="AY406" s="8" t="s">
        <v>2135</v>
      </c>
      <c r="AZ406" s="8" t="s">
        <v>2135</v>
      </c>
      <c r="BA406" s="8" t="s">
        <v>2135</v>
      </c>
      <c r="BB406" s="8">
        <v>47.0</v>
      </c>
      <c r="BC406" s="8">
        <v>53.0</v>
      </c>
      <c r="BD406" s="8" t="s">
        <v>2135</v>
      </c>
      <c r="BE406" s="8" t="s">
        <v>9775</v>
      </c>
      <c r="BF406" s="13" t="str">
        <f>HYPERLINK("http://dx.doi.org/10.1016/j.mambio.2014.09.005","http://dx.doi.org/10.1016/j.mambio.2014.09.005")</f>
        <v>http://dx.doi.org/10.1016/j.mambio.2014.09.005</v>
      </c>
      <c r="BG406" s="8" t="s">
        <v>2135</v>
      </c>
      <c r="BH406" s="8" t="s">
        <v>2135</v>
      </c>
      <c r="BI406" s="8">
        <v>7.0</v>
      </c>
      <c r="BJ406" s="8" t="s">
        <v>3397</v>
      </c>
      <c r="BK406" s="8" t="s">
        <v>3352</v>
      </c>
      <c r="BL406" s="8" t="s">
        <v>3397</v>
      </c>
      <c r="BM406" s="8" t="s">
        <v>7316</v>
      </c>
      <c r="BN406" s="8" t="s">
        <v>2135</v>
      </c>
      <c r="BO406" s="8" t="s">
        <v>2135</v>
      </c>
      <c r="BP406" s="8" t="s">
        <v>2135</v>
      </c>
      <c r="BQ406" s="8" t="s">
        <v>2135</v>
      </c>
      <c r="BR406" s="8" t="s">
        <v>3355</v>
      </c>
      <c r="BS406" s="8" t="s">
        <v>9776</v>
      </c>
      <c r="BU406" s="8" t="s">
        <v>2142</v>
      </c>
      <c r="BW406" s="8" t="s">
        <v>2143</v>
      </c>
      <c r="BX406" s="8" t="s">
        <v>3079</v>
      </c>
      <c r="BY406" s="8" t="s">
        <v>3080</v>
      </c>
      <c r="BZ406" s="8" t="str">
        <f>HYPERLINK("https%3A%2F%2Fwww.webofscience.com%2Fwos%2Fwoscc%2Ffull-record%2FWOS:000348892400007","View Full Record in Web of Science")</f>
        <v>View Full Record in Web of Science</v>
      </c>
    </row>
    <row r="407" ht="12.75" customHeight="1">
      <c r="A407" s="8" t="s">
        <v>3329</v>
      </c>
      <c r="B407" s="8" t="s">
        <v>9777</v>
      </c>
      <c r="C407" s="8" t="s">
        <v>2135</v>
      </c>
      <c r="D407" s="8" t="s">
        <v>2135</v>
      </c>
      <c r="E407" s="8" t="s">
        <v>2135</v>
      </c>
      <c r="F407" s="8" t="s">
        <v>9777</v>
      </c>
      <c r="G407" s="8" t="s">
        <v>2135</v>
      </c>
      <c r="H407" s="8" t="s">
        <v>2135</v>
      </c>
      <c r="I407" s="8" t="s">
        <v>1546</v>
      </c>
      <c r="J407" s="8" t="s">
        <v>3747</v>
      </c>
      <c r="K407" s="8" t="s">
        <v>2135</v>
      </c>
      <c r="L407" s="8" t="s">
        <v>2135</v>
      </c>
      <c r="M407" s="8" t="s">
        <v>3332</v>
      </c>
      <c r="N407" s="8" t="s">
        <v>3333</v>
      </c>
      <c r="O407" s="8" t="s">
        <v>2135</v>
      </c>
      <c r="P407" s="8" t="s">
        <v>2135</v>
      </c>
      <c r="Q407" s="8" t="s">
        <v>2135</v>
      </c>
      <c r="R407" s="8" t="s">
        <v>2135</v>
      </c>
      <c r="S407" s="8" t="s">
        <v>2135</v>
      </c>
      <c r="T407" s="8" t="s">
        <v>2135</v>
      </c>
      <c r="U407" s="8" t="s">
        <v>2135</v>
      </c>
      <c r="V407" s="8" t="s">
        <v>9778</v>
      </c>
      <c r="W407" s="8" t="s">
        <v>9779</v>
      </c>
      <c r="X407" s="8" t="s">
        <v>9780</v>
      </c>
      <c r="Y407" s="8" t="s">
        <v>9781</v>
      </c>
      <c r="Z407" s="8" t="s">
        <v>2135</v>
      </c>
      <c r="AA407" s="8" t="s">
        <v>2135</v>
      </c>
      <c r="AB407" s="8" t="s">
        <v>2135</v>
      </c>
      <c r="AC407" s="8" t="s">
        <v>2135</v>
      </c>
      <c r="AD407" s="8" t="s">
        <v>2135</v>
      </c>
      <c r="AE407" s="8" t="s">
        <v>2135</v>
      </c>
      <c r="AF407" s="8" t="s">
        <v>2135</v>
      </c>
      <c r="AG407" s="8">
        <v>14.0</v>
      </c>
      <c r="AH407" s="8">
        <v>35.0</v>
      </c>
      <c r="AI407" s="8">
        <v>36.0</v>
      </c>
      <c r="AJ407" s="8">
        <v>0.0</v>
      </c>
      <c r="AK407" s="8">
        <v>1.0</v>
      </c>
      <c r="AL407" s="8" t="s">
        <v>3758</v>
      </c>
      <c r="AM407" s="8" t="s">
        <v>3893</v>
      </c>
      <c r="AN407" s="8" t="s">
        <v>3894</v>
      </c>
      <c r="AO407" s="8" t="s">
        <v>3761</v>
      </c>
      <c r="AP407" s="8" t="s">
        <v>3762</v>
      </c>
      <c r="AQ407" s="8" t="s">
        <v>2135</v>
      </c>
      <c r="AR407" s="8" t="s">
        <v>3763</v>
      </c>
      <c r="AS407" s="8" t="s">
        <v>3764</v>
      </c>
      <c r="AT407" s="8" t="s">
        <v>2135</v>
      </c>
      <c r="AU407" s="8">
        <v>1983.0</v>
      </c>
      <c r="AV407" s="8">
        <v>25.0</v>
      </c>
      <c r="AW407" s="8">
        <v>2.0</v>
      </c>
      <c r="AX407" s="8" t="s">
        <v>2135</v>
      </c>
      <c r="AY407" s="8" t="s">
        <v>2135</v>
      </c>
      <c r="AZ407" s="8" t="s">
        <v>2135</v>
      </c>
      <c r="BA407" s="8" t="s">
        <v>2135</v>
      </c>
      <c r="BB407" s="8">
        <v>95.0</v>
      </c>
      <c r="BC407" s="8">
        <v>101.0</v>
      </c>
      <c r="BD407" s="8" t="s">
        <v>2135</v>
      </c>
      <c r="BE407" s="8" t="s">
        <v>9782</v>
      </c>
      <c r="BF407" s="13" t="str">
        <f>HYPERLINK("http://dx.doi.org/10.1016/0006-3207(83)90054-X","http://dx.doi.org/10.1016/0006-3207(83)90054-X")</f>
        <v>http://dx.doi.org/10.1016/0006-3207(83)90054-X</v>
      </c>
      <c r="BG407" s="8" t="s">
        <v>2135</v>
      </c>
      <c r="BH407" s="8" t="s">
        <v>2135</v>
      </c>
      <c r="BI407" s="8">
        <v>7.0</v>
      </c>
      <c r="BJ407" s="8" t="s">
        <v>3351</v>
      </c>
      <c r="BK407" s="8" t="s">
        <v>3352</v>
      </c>
      <c r="BL407" s="8" t="s">
        <v>3353</v>
      </c>
      <c r="BM407" s="8" t="s">
        <v>9783</v>
      </c>
      <c r="BN407" s="8" t="s">
        <v>2135</v>
      </c>
      <c r="BO407" s="8" t="s">
        <v>2135</v>
      </c>
      <c r="BP407" s="8" t="s">
        <v>2135</v>
      </c>
      <c r="BQ407" s="8" t="s">
        <v>2135</v>
      </c>
      <c r="BR407" s="8" t="s">
        <v>3355</v>
      </c>
      <c r="BS407" s="8" t="s">
        <v>9784</v>
      </c>
      <c r="BT407" s="8" t="s">
        <v>2379</v>
      </c>
      <c r="BU407" s="8" t="s">
        <v>2142</v>
      </c>
      <c r="BW407" s="8" t="s">
        <v>2143</v>
      </c>
      <c r="BX407" s="8" t="s">
        <v>3081</v>
      </c>
      <c r="BY407" s="8" t="s">
        <v>3082</v>
      </c>
      <c r="BZ407" s="8" t="str">
        <f>HYPERLINK("https%3A%2F%2Fwww.webofscience.com%2Fwos%2Fwoscc%2Ffull-record%2FWOS:A1983PY55800001","View Full Record in Web of Science")</f>
        <v>View Full Record in Web of Science</v>
      </c>
    </row>
    <row r="408" ht="12.75" customHeight="1">
      <c r="A408" s="8" t="s">
        <v>3329</v>
      </c>
      <c r="B408" s="8" t="s">
        <v>9785</v>
      </c>
      <c r="C408" s="8" t="s">
        <v>2135</v>
      </c>
      <c r="D408" s="8" t="s">
        <v>2135</v>
      </c>
      <c r="E408" s="8" t="s">
        <v>2135</v>
      </c>
      <c r="F408" s="8" t="s">
        <v>9786</v>
      </c>
      <c r="G408" s="8" t="s">
        <v>2135</v>
      </c>
      <c r="H408" s="8" t="s">
        <v>2135</v>
      </c>
      <c r="I408" s="8" t="s">
        <v>1552</v>
      </c>
      <c r="J408" s="8" t="s">
        <v>6972</v>
      </c>
      <c r="K408" s="8" t="s">
        <v>2135</v>
      </c>
      <c r="L408" s="8" t="s">
        <v>2135</v>
      </c>
      <c r="M408" s="8" t="s">
        <v>3332</v>
      </c>
      <c r="N408" s="8" t="s">
        <v>3333</v>
      </c>
      <c r="O408" s="8" t="s">
        <v>2135</v>
      </c>
      <c r="P408" s="8" t="s">
        <v>2135</v>
      </c>
      <c r="Q408" s="8" t="s">
        <v>2135</v>
      </c>
      <c r="R408" s="8" t="s">
        <v>2135</v>
      </c>
      <c r="S408" s="8" t="s">
        <v>2135</v>
      </c>
      <c r="T408" s="8" t="s">
        <v>9787</v>
      </c>
      <c r="U408" s="8" t="s">
        <v>9788</v>
      </c>
      <c r="V408" s="8" t="s">
        <v>9789</v>
      </c>
      <c r="W408" s="8" t="s">
        <v>9790</v>
      </c>
      <c r="X408" s="8" t="s">
        <v>9749</v>
      </c>
      <c r="Y408" s="8" t="s">
        <v>9791</v>
      </c>
      <c r="Z408" s="8" t="s">
        <v>9792</v>
      </c>
      <c r="AA408" s="8" t="s">
        <v>2135</v>
      </c>
      <c r="AB408" s="8" t="s">
        <v>2135</v>
      </c>
      <c r="AC408" s="8" t="s">
        <v>9793</v>
      </c>
      <c r="AD408" s="8" t="s">
        <v>9793</v>
      </c>
      <c r="AE408" s="8" t="s">
        <v>9794</v>
      </c>
      <c r="AF408" s="8" t="s">
        <v>2135</v>
      </c>
      <c r="AG408" s="8">
        <v>26.0</v>
      </c>
      <c r="AH408" s="8">
        <v>5.0</v>
      </c>
      <c r="AI408" s="8">
        <v>6.0</v>
      </c>
      <c r="AJ408" s="8">
        <v>2.0</v>
      </c>
      <c r="AK408" s="8">
        <v>59.0</v>
      </c>
      <c r="AL408" s="8" t="s">
        <v>3342</v>
      </c>
      <c r="AM408" s="8" t="s">
        <v>3343</v>
      </c>
      <c r="AN408" s="8" t="s">
        <v>3344</v>
      </c>
      <c r="AO408" s="8" t="s">
        <v>6978</v>
      </c>
      <c r="AP408" s="8" t="s">
        <v>9795</v>
      </c>
      <c r="AQ408" s="8" t="s">
        <v>2135</v>
      </c>
      <c r="AR408" s="8" t="s">
        <v>6979</v>
      </c>
      <c r="AS408" s="8" t="s">
        <v>6980</v>
      </c>
      <c r="AT408" s="8" t="s">
        <v>3349</v>
      </c>
      <c r="AU408" s="8">
        <v>2013.0</v>
      </c>
      <c r="AV408" s="8">
        <v>51.0</v>
      </c>
      <c r="AW408" s="8">
        <v>2.0</v>
      </c>
      <c r="AX408" s="8" t="s">
        <v>2135</v>
      </c>
      <c r="AY408" s="8" t="s">
        <v>2135</v>
      </c>
      <c r="AZ408" s="8" t="s">
        <v>2135</v>
      </c>
      <c r="BA408" s="8" t="s">
        <v>2135</v>
      </c>
      <c r="BB408" s="8">
        <v>288.0</v>
      </c>
      <c r="BC408" s="8">
        <v>294.0</v>
      </c>
      <c r="BD408" s="8" t="s">
        <v>2135</v>
      </c>
      <c r="BE408" s="8" t="s">
        <v>9796</v>
      </c>
      <c r="BF408" s="13" t="str">
        <f>HYPERLINK("http://dx.doi.org/10.1111/aje.12033","http://dx.doi.org/10.1111/aje.12033")</f>
        <v>http://dx.doi.org/10.1111/aje.12033</v>
      </c>
      <c r="BG408" s="8" t="s">
        <v>2135</v>
      </c>
      <c r="BH408" s="8" t="s">
        <v>2135</v>
      </c>
      <c r="BI408" s="8">
        <v>7.0</v>
      </c>
      <c r="BJ408" s="8" t="s">
        <v>3681</v>
      </c>
      <c r="BK408" s="8" t="s">
        <v>3352</v>
      </c>
      <c r="BL408" s="8" t="s">
        <v>3632</v>
      </c>
      <c r="BM408" s="8" t="s">
        <v>9797</v>
      </c>
      <c r="BN408" s="8" t="s">
        <v>2135</v>
      </c>
      <c r="BO408" s="8" t="s">
        <v>2135</v>
      </c>
      <c r="BP408" s="8" t="s">
        <v>2135</v>
      </c>
      <c r="BQ408" s="8" t="s">
        <v>2135</v>
      </c>
      <c r="BR408" s="8" t="s">
        <v>3355</v>
      </c>
      <c r="BS408" s="8" t="s">
        <v>9798</v>
      </c>
      <c r="BU408" s="8" t="s">
        <v>2136</v>
      </c>
      <c r="BW408" s="8" t="s">
        <v>2937</v>
      </c>
      <c r="BX408" s="8" t="s">
        <v>2956</v>
      </c>
      <c r="BY408" s="8" t="s">
        <v>2957</v>
      </c>
      <c r="BZ408" s="8" t="str">
        <f>HYPERLINK("https%3A%2F%2Fwww.webofscience.com%2Fwos%2Fwoscc%2Ffull-record%2FWOS:000317685500012","View Full Record in Web of Science")</f>
        <v>View Full Record in Web of Science</v>
      </c>
    </row>
    <row r="409" ht="12.75" customHeight="1">
      <c r="A409" s="8" t="s">
        <v>3329</v>
      </c>
      <c r="B409" s="8" t="s">
        <v>9799</v>
      </c>
      <c r="C409" s="8" t="s">
        <v>2135</v>
      </c>
      <c r="D409" s="8" t="s">
        <v>2135</v>
      </c>
      <c r="E409" s="8" t="s">
        <v>2135</v>
      </c>
      <c r="F409" s="8" t="s">
        <v>9799</v>
      </c>
      <c r="G409" s="8" t="s">
        <v>2135</v>
      </c>
      <c r="H409" s="8" t="s">
        <v>2135</v>
      </c>
      <c r="I409" s="8" t="s">
        <v>1549</v>
      </c>
      <c r="J409" s="8" t="s">
        <v>3747</v>
      </c>
      <c r="K409" s="8" t="s">
        <v>2135</v>
      </c>
      <c r="L409" s="8" t="s">
        <v>2135</v>
      </c>
      <c r="M409" s="8" t="s">
        <v>3332</v>
      </c>
      <c r="N409" s="8" t="s">
        <v>3333</v>
      </c>
      <c r="O409" s="8" t="s">
        <v>2135</v>
      </c>
      <c r="P409" s="8" t="s">
        <v>2135</v>
      </c>
      <c r="Q409" s="8" t="s">
        <v>2135</v>
      </c>
      <c r="R409" s="8" t="s">
        <v>2135</v>
      </c>
      <c r="S409" s="8" t="s">
        <v>2135</v>
      </c>
      <c r="T409" s="8" t="s">
        <v>2135</v>
      </c>
      <c r="U409" s="8" t="s">
        <v>2135</v>
      </c>
      <c r="V409" s="8" t="s">
        <v>9800</v>
      </c>
      <c r="W409" s="8" t="s">
        <v>2135</v>
      </c>
      <c r="X409" s="8" t="s">
        <v>2135</v>
      </c>
      <c r="Y409" s="8" t="s">
        <v>9801</v>
      </c>
      <c r="Z409" s="8" t="s">
        <v>2135</v>
      </c>
      <c r="AA409" s="8" t="s">
        <v>9802</v>
      </c>
      <c r="AB409" s="8" t="s">
        <v>9803</v>
      </c>
      <c r="AC409" s="8" t="s">
        <v>2135</v>
      </c>
      <c r="AD409" s="8" t="s">
        <v>2135</v>
      </c>
      <c r="AE409" s="8" t="s">
        <v>2135</v>
      </c>
      <c r="AF409" s="8" t="s">
        <v>2135</v>
      </c>
      <c r="AG409" s="8">
        <v>12.0</v>
      </c>
      <c r="AH409" s="8">
        <v>13.0</v>
      </c>
      <c r="AI409" s="8">
        <v>14.0</v>
      </c>
      <c r="AJ409" s="8">
        <v>0.0</v>
      </c>
      <c r="AK409" s="8">
        <v>1.0</v>
      </c>
      <c r="AL409" s="8" t="s">
        <v>3758</v>
      </c>
      <c r="AM409" s="8" t="s">
        <v>3893</v>
      </c>
      <c r="AN409" s="8" t="s">
        <v>3894</v>
      </c>
      <c r="AO409" s="8" t="s">
        <v>3761</v>
      </c>
      <c r="AP409" s="8" t="s">
        <v>3762</v>
      </c>
      <c r="AQ409" s="8" t="s">
        <v>2135</v>
      </c>
      <c r="AR409" s="8" t="s">
        <v>3763</v>
      </c>
      <c r="AS409" s="8" t="s">
        <v>3764</v>
      </c>
      <c r="AT409" s="8" t="s">
        <v>2135</v>
      </c>
      <c r="AU409" s="8">
        <v>1986.0</v>
      </c>
      <c r="AV409" s="8">
        <v>36.0</v>
      </c>
      <c r="AW409" s="8">
        <v>4.0</v>
      </c>
      <c r="AX409" s="8" t="s">
        <v>2135</v>
      </c>
      <c r="AY409" s="8" t="s">
        <v>2135</v>
      </c>
      <c r="AZ409" s="8" t="s">
        <v>2135</v>
      </c>
      <c r="BA409" s="8" t="s">
        <v>2135</v>
      </c>
      <c r="BB409" s="8">
        <v>375.0</v>
      </c>
      <c r="BC409" s="8">
        <v>383.0</v>
      </c>
      <c r="BD409" s="8" t="s">
        <v>2135</v>
      </c>
      <c r="BE409" s="8" t="s">
        <v>9804</v>
      </c>
      <c r="BF409" s="13" t="str">
        <f>HYPERLINK("http://dx.doi.org/10.1016/0006-3207(86)90011-X","http://dx.doi.org/10.1016/0006-3207(86)90011-X")</f>
        <v>http://dx.doi.org/10.1016/0006-3207(86)90011-X</v>
      </c>
      <c r="BG409" s="8" t="s">
        <v>2135</v>
      </c>
      <c r="BH409" s="8" t="s">
        <v>2135</v>
      </c>
      <c r="BI409" s="8">
        <v>9.0</v>
      </c>
      <c r="BJ409" s="8" t="s">
        <v>3351</v>
      </c>
      <c r="BK409" s="8" t="s">
        <v>3352</v>
      </c>
      <c r="BL409" s="8" t="s">
        <v>3353</v>
      </c>
      <c r="BM409" s="8" t="s">
        <v>9805</v>
      </c>
      <c r="BN409" s="8" t="s">
        <v>2135</v>
      </c>
      <c r="BO409" s="8" t="s">
        <v>2135</v>
      </c>
      <c r="BP409" s="8" t="s">
        <v>2135</v>
      </c>
      <c r="BQ409" s="8" t="s">
        <v>2135</v>
      </c>
      <c r="BR409" s="8" t="s">
        <v>3355</v>
      </c>
      <c r="BS409" s="8" t="s">
        <v>9806</v>
      </c>
      <c r="BT409" s="8" t="s">
        <v>2141</v>
      </c>
      <c r="BU409" s="8" t="s">
        <v>2142</v>
      </c>
      <c r="BW409" s="8" t="s">
        <v>2143</v>
      </c>
      <c r="BX409" s="8" t="s">
        <v>3083</v>
      </c>
      <c r="BY409" s="8" t="s">
        <v>2957</v>
      </c>
      <c r="BZ409" s="8" t="str">
        <f>HYPERLINK("https%3A%2F%2Fwww.webofscience.com%2Fwos%2Fwoscc%2Ffull-record%2FWOS:A1986C993000005","View Full Record in Web of Science")</f>
        <v>View Full Record in Web of Science</v>
      </c>
    </row>
    <row r="410" ht="12.75" customHeight="1">
      <c r="A410" s="8" t="s">
        <v>3329</v>
      </c>
      <c r="B410" s="8" t="s">
        <v>9807</v>
      </c>
      <c r="C410" s="8" t="s">
        <v>2135</v>
      </c>
      <c r="D410" s="8" t="s">
        <v>2135</v>
      </c>
      <c r="E410" s="8" t="s">
        <v>2135</v>
      </c>
      <c r="F410" s="8" t="s">
        <v>9807</v>
      </c>
      <c r="G410" s="8" t="s">
        <v>2135</v>
      </c>
      <c r="H410" s="8" t="s">
        <v>2135</v>
      </c>
      <c r="I410" s="8" t="s">
        <v>1554</v>
      </c>
      <c r="J410" s="8" t="s">
        <v>3747</v>
      </c>
      <c r="K410" s="8" t="s">
        <v>2135</v>
      </c>
      <c r="L410" s="8" t="s">
        <v>2135</v>
      </c>
      <c r="M410" s="8" t="s">
        <v>3332</v>
      </c>
      <c r="N410" s="8" t="s">
        <v>3333</v>
      </c>
      <c r="O410" s="8" t="s">
        <v>2135</v>
      </c>
      <c r="P410" s="8" t="s">
        <v>2135</v>
      </c>
      <c r="Q410" s="8" t="s">
        <v>2135</v>
      </c>
      <c r="R410" s="8" t="s">
        <v>2135</v>
      </c>
      <c r="S410" s="8" t="s">
        <v>2135</v>
      </c>
      <c r="T410" s="8" t="s">
        <v>9808</v>
      </c>
      <c r="U410" s="8" t="s">
        <v>9809</v>
      </c>
      <c r="V410" s="8" t="s">
        <v>9810</v>
      </c>
      <c r="W410" s="8" t="s">
        <v>9811</v>
      </c>
      <c r="X410" s="8" t="s">
        <v>9812</v>
      </c>
      <c r="Y410" s="8" t="s">
        <v>2135</v>
      </c>
      <c r="Z410" s="8" t="s">
        <v>2135</v>
      </c>
      <c r="AA410" s="8" t="s">
        <v>9813</v>
      </c>
      <c r="AB410" s="8" t="s">
        <v>9814</v>
      </c>
      <c r="AC410" s="8" t="s">
        <v>2135</v>
      </c>
      <c r="AD410" s="8" t="s">
        <v>2135</v>
      </c>
      <c r="AE410" s="8" t="s">
        <v>2135</v>
      </c>
      <c r="AF410" s="8" t="s">
        <v>2135</v>
      </c>
      <c r="AG410" s="8">
        <v>33.0</v>
      </c>
      <c r="AH410" s="8">
        <v>56.0</v>
      </c>
      <c r="AI410" s="8">
        <v>70.0</v>
      </c>
      <c r="AJ410" s="8">
        <v>0.0</v>
      </c>
      <c r="AK410" s="8">
        <v>24.0</v>
      </c>
      <c r="AL410" s="8" t="s">
        <v>3758</v>
      </c>
      <c r="AM410" s="8" t="s">
        <v>3759</v>
      </c>
      <c r="AN410" s="8" t="s">
        <v>3760</v>
      </c>
      <c r="AO410" s="8" t="s">
        <v>3761</v>
      </c>
      <c r="AP410" s="8" t="s">
        <v>3762</v>
      </c>
      <c r="AQ410" s="8" t="s">
        <v>2135</v>
      </c>
      <c r="AR410" s="8" t="s">
        <v>3763</v>
      </c>
      <c r="AS410" s="8" t="s">
        <v>3764</v>
      </c>
      <c r="AT410" s="8" t="s">
        <v>2135</v>
      </c>
      <c r="AU410" s="8">
        <v>1996.0</v>
      </c>
      <c r="AV410" s="8">
        <v>76.0</v>
      </c>
      <c r="AW410" s="8">
        <v>1.0</v>
      </c>
      <c r="AX410" s="8" t="s">
        <v>2135</v>
      </c>
      <c r="AY410" s="8" t="s">
        <v>2135</v>
      </c>
      <c r="AZ410" s="8" t="s">
        <v>2135</v>
      </c>
      <c r="BA410" s="8" t="s">
        <v>2135</v>
      </c>
      <c r="BB410" s="8">
        <v>9.0</v>
      </c>
      <c r="BC410" s="8">
        <v>15.0</v>
      </c>
      <c r="BD410" s="8" t="s">
        <v>2135</v>
      </c>
      <c r="BE410" s="8" t="s">
        <v>9815</v>
      </c>
      <c r="BF410" s="13" t="str">
        <f>HYPERLINK("http://dx.doi.org/10.1016/0006-3207(95)00080-1","http://dx.doi.org/10.1016/0006-3207(95)00080-1")</f>
        <v>http://dx.doi.org/10.1016/0006-3207(95)00080-1</v>
      </c>
      <c r="BG410" s="8" t="s">
        <v>2135</v>
      </c>
      <c r="BH410" s="8" t="s">
        <v>2135</v>
      </c>
      <c r="BI410" s="8">
        <v>7.0</v>
      </c>
      <c r="BJ410" s="8" t="s">
        <v>3351</v>
      </c>
      <c r="BK410" s="8" t="s">
        <v>3352</v>
      </c>
      <c r="BL410" s="8" t="s">
        <v>3353</v>
      </c>
      <c r="BM410" s="8" t="s">
        <v>9816</v>
      </c>
      <c r="BN410" s="8" t="s">
        <v>2135</v>
      </c>
      <c r="BO410" s="8" t="s">
        <v>2135</v>
      </c>
      <c r="BP410" s="8" t="s">
        <v>2135</v>
      </c>
      <c r="BQ410" s="8" t="s">
        <v>2135</v>
      </c>
      <c r="BR410" s="8" t="s">
        <v>3355</v>
      </c>
      <c r="BS410" s="8" t="s">
        <v>9817</v>
      </c>
      <c r="BT410" s="8" t="s">
        <v>2497</v>
      </c>
      <c r="BU410" s="8" t="s">
        <v>2142</v>
      </c>
      <c r="BW410" s="8" t="s">
        <v>2143</v>
      </c>
      <c r="BY410" s="8" t="s">
        <v>3084</v>
      </c>
      <c r="BZ410" s="8" t="str">
        <f>HYPERLINK("https%3A%2F%2Fwww.webofscience.com%2Fwos%2Fwoscc%2Ffull-record%2FWOS:A1996UB26300002","View Full Record in Web of Science")</f>
        <v>View Full Record in Web of Science</v>
      </c>
    </row>
    <row r="411" ht="12.75" customHeight="1">
      <c r="A411" s="8" t="s">
        <v>3329</v>
      </c>
      <c r="B411" s="8" t="s">
        <v>9818</v>
      </c>
      <c r="C411" s="8" t="s">
        <v>2135</v>
      </c>
      <c r="D411" s="8" t="s">
        <v>2135</v>
      </c>
      <c r="E411" s="8" t="s">
        <v>2135</v>
      </c>
      <c r="F411" s="8" t="s">
        <v>9819</v>
      </c>
      <c r="G411" s="8" t="s">
        <v>2135</v>
      </c>
      <c r="H411" s="8" t="s">
        <v>2135</v>
      </c>
      <c r="I411" s="8" t="s">
        <v>1558</v>
      </c>
      <c r="J411" s="8" t="s">
        <v>9820</v>
      </c>
      <c r="K411" s="8" t="s">
        <v>2135</v>
      </c>
      <c r="L411" s="8" t="s">
        <v>2135</v>
      </c>
      <c r="M411" s="8" t="s">
        <v>3332</v>
      </c>
      <c r="N411" s="8" t="s">
        <v>3333</v>
      </c>
      <c r="O411" s="8" t="s">
        <v>2135</v>
      </c>
      <c r="P411" s="8" t="s">
        <v>2135</v>
      </c>
      <c r="Q411" s="8" t="s">
        <v>2135</v>
      </c>
      <c r="R411" s="8" t="s">
        <v>2135</v>
      </c>
      <c r="S411" s="8" t="s">
        <v>2135</v>
      </c>
      <c r="T411" s="8" t="s">
        <v>9821</v>
      </c>
      <c r="U411" s="8" t="s">
        <v>9822</v>
      </c>
      <c r="V411" s="8" t="s">
        <v>9823</v>
      </c>
      <c r="W411" s="8" t="s">
        <v>9824</v>
      </c>
      <c r="X411" s="8" t="s">
        <v>9825</v>
      </c>
      <c r="Y411" s="8" t="s">
        <v>9826</v>
      </c>
      <c r="Z411" s="8" t="s">
        <v>9827</v>
      </c>
      <c r="AA411" s="8" t="s">
        <v>2135</v>
      </c>
      <c r="AB411" s="8" t="s">
        <v>2135</v>
      </c>
      <c r="AC411" s="8" t="s">
        <v>2135</v>
      </c>
      <c r="AD411" s="8" t="s">
        <v>2135</v>
      </c>
      <c r="AE411" s="8" t="s">
        <v>2135</v>
      </c>
      <c r="AF411" s="8" t="s">
        <v>2135</v>
      </c>
      <c r="AG411" s="8">
        <v>72.0</v>
      </c>
      <c r="AH411" s="8">
        <v>3.0</v>
      </c>
      <c r="AI411" s="8">
        <v>4.0</v>
      </c>
      <c r="AJ411" s="8">
        <v>1.0</v>
      </c>
      <c r="AK411" s="8">
        <v>20.0</v>
      </c>
      <c r="AL411" s="8" t="s">
        <v>9828</v>
      </c>
      <c r="AM411" s="8" t="s">
        <v>6200</v>
      </c>
      <c r="AN411" s="8" t="s">
        <v>9829</v>
      </c>
      <c r="AO411" s="8" t="s">
        <v>9830</v>
      </c>
      <c r="AP411" s="8" t="s">
        <v>9831</v>
      </c>
      <c r="AQ411" s="8" t="s">
        <v>2135</v>
      </c>
      <c r="AR411" s="8" t="s">
        <v>9832</v>
      </c>
      <c r="AS411" s="8" t="s">
        <v>9833</v>
      </c>
      <c r="AT411" s="8" t="s">
        <v>3440</v>
      </c>
      <c r="AU411" s="8">
        <v>2018.0</v>
      </c>
      <c r="AV411" s="8">
        <v>80.0</v>
      </c>
      <c r="AW411" s="8">
        <v>11.0</v>
      </c>
      <c r="AX411" s="8" t="s">
        <v>2135</v>
      </c>
      <c r="AY411" s="8" t="s">
        <v>2135</v>
      </c>
      <c r="AZ411" s="8" t="s">
        <v>2135</v>
      </c>
      <c r="BA411" s="8" t="s">
        <v>2135</v>
      </c>
      <c r="BB411" s="8">
        <v>1791.0</v>
      </c>
      <c r="BC411" s="8">
        <v>1800.0</v>
      </c>
      <c r="BD411" s="8" t="s">
        <v>2135</v>
      </c>
      <c r="BE411" s="8" t="s">
        <v>9834</v>
      </c>
      <c r="BF411" s="13" t="str">
        <f>HYPERLINK("http://dx.doi.org/10.1292/jvms.17-0678","http://dx.doi.org/10.1292/jvms.17-0678")</f>
        <v>http://dx.doi.org/10.1292/jvms.17-0678</v>
      </c>
      <c r="BG411" s="8" t="s">
        <v>2135</v>
      </c>
      <c r="BH411" s="8" t="s">
        <v>2135</v>
      </c>
      <c r="BI411" s="8">
        <v>10.0</v>
      </c>
      <c r="BJ411" s="8" t="s">
        <v>6958</v>
      </c>
      <c r="BK411" s="8" t="s">
        <v>3352</v>
      </c>
      <c r="BL411" s="8" t="s">
        <v>6958</v>
      </c>
      <c r="BM411" s="8" t="s">
        <v>9835</v>
      </c>
      <c r="BN411" s="8">
        <v>3.0224573E7</v>
      </c>
      <c r="BO411" s="8" t="s">
        <v>3659</v>
      </c>
      <c r="BP411" s="8" t="s">
        <v>2135</v>
      </c>
      <c r="BQ411" s="8" t="s">
        <v>2135</v>
      </c>
      <c r="BR411" s="8" t="s">
        <v>3355</v>
      </c>
      <c r="BS411" s="8" t="s">
        <v>9836</v>
      </c>
      <c r="BU411" s="8" t="s">
        <v>2142</v>
      </c>
      <c r="BW411" s="8" t="s">
        <v>2143</v>
      </c>
      <c r="BX411" s="8" t="s">
        <v>3085</v>
      </c>
      <c r="BY411" s="8" t="s">
        <v>3086</v>
      </c>
      <c r="BZ411" s="8" t="str">
        <f>HYPERLINK("https%3A%2F%2Fwww.webofscience.com%2Fwos%2Fwoscc%2Ffull-record%2FWOS:000455578200028","View Full Record in Web of Science")</f>
        <v>View Full Record in Web of Science</v>
      </c>
    </row>
    <row r="412" ht="12.75" customHeight="1">
      <c r="A412" s="8" t="s">
        <v>3329</v>
      </c>
      <c r="B412" s="8" t="s">
        <v>9837</v>
      </c>
      <c r="C412" s="8" t="s">
        <v>2135</v>
      </c>
      <c r="D412" s="8" t="s">
        <v>2135</v>
      </c>
      <c r="E412" s="8" t="s">
        <v>2135</v>
      </c>
      <c r="F412" s="8" t="s">
        <v>9837</v>
      </c>
      <c r="G412" s="8" t="s">
        <v>2135</v>
      </c>
      <c r="H412" s="8" t="s">
        <v>2135</v>
      </c>
      <c r="I412" s="8" t="s">
        <v>1560</v>
      </c>
      <c r="J412" s="8" t="s">
        <v>3747</v>
      </c>
      <c r="K412" s="8" t="s">
        <v>2135</v>
      </c>
      <c r="L412" s="8" t="s">
        <v>2135</v>
      </c>
      <c r="M412" s="8" t="s">
        <v>3332</v>
      </c>
      <c r="N412" s="8" t="s">
        <v>3333</v>
      </c>
      <c r="O412" s="8" t="s">
        <v>2135</v>
      </c>
      <c r="P412" s="8" t="s">
        <v>2135</v>
      </c>
      <c r="Q412" s="8" t="s">
        <v>2135</v>
      </c>
      <c r="R412" s="8" t="s">
        <v>2135</v>
      </c>
      <c r="S412" s="8" t="s">
        <v>2135</v>
      </c>
      <c r="T412" s="8" t="s">
        <v>9838</v>
      </c>
      <c r="U412" s="8" t="s">
        <v>9839</v>
      </c>
      <c r="V412" s="8" t="s">
        <v>9840</v>
      </c>
      <c r="W412" s="8" t="s">
        <v>9841</v>
      </c>
      <c r="X412" s="8" t="s">
        <v>9842</v>
      </c>
      <c r="Y412" s="8" t="s">
        <v>9843</v>
      </c>
      <c r="Z412" s="8" t="s">
        <v>9844</v>
      </c>
      <c r="AA412" s="8" t="s">
        <v>2135</v>
      </c>
      <c r="AB412" s="8" t="s">
        <v>2135</v>
      </c>
      <c r="AC412" s="8" t="s">
        <v>2135</v>
      </c>
      <c r="AD412" s="8" t="s">
        <v>2135</v>
      </c>
      <c r="AE412" s="8" t="s">
        <v>2135</v>
      </c>
      <c r="AF412" s="8" t="s">
        <v>2135</v>
      </c>
      <c r="AG412" s="8">
        <v>39.0</v>
      </c>
      <c r="AH412" s="8">
        <v>27.0</v>
      </c>
      <c r="AI412" s="8">
        <v>36.0</v>
      </c>
      <c r="AJ412" s="8">
        <v>0.0</v>
      </c>
      <c r="AK412" s="8">
        <v>16.0</v>
      </c>
      <c r="AL412" s="8" t="s">
        <v>3758</v>
      </c>
      <c r="AM412" s="8" t="s">
        <v>3893</v>
      </c>
      <c r="AN412" s="8" t="s">
        <v>3894</v>
      </c>
      <c r="AO412" s="8" t="s">
        <v>3761</v>
      </c>
      <c r="AP412" s="8" t="s">
        <v>3762</v>
      </c>
      <c r="AQ412" s="8" t="s">
        <v>2135</v>
      </c>
      <c r="AR412" s="8" t="s">
        <v>3763</v>
      </c>
      <c r="AS412" s="8" t="s">
        <v>3764</v>
      </c>
      <c r="AT412" s="8" t="s">
        <v>3440</v>
      </c>
      <c r="AU412" s="8">
        <v>1998.0</v>
      </c>
      <c r="AV412" s="8">
        <v>86.0</v>
      </c>
      <c r="AW412" s="8">
        <v>2.0</v>
      </c>
      <c r="AX412" s="8" t="s">
        <v>2135</v>
      </c>
      <c r="AY412" s="8" t="s">
        <v>2135</v>
      </c>
      <c r="AZ412" s="8" t="s">
        <v>2135</v>
      </c>
      <c r="BA412" s="8" t="s">
        <v>2135</v>
      </c>
      <c r="BB412" s="8">
        <v>179.0</v>
      </c>
      <c r="BC412" s="8">
        <v>183.0</v>
      </c>
      <c r="BD412" s="8" t="s">
        <v>2135</v>
      </c>
      <c r="BE412" s="8" t="s">
        <v>9845</v>
      </c>
      <c r="BF412" s="13" t="str">
        <f>HYPERLINK("http://dx.doi.org/10.1016/S0006-3207(98)00009-3","http://dx.doi.org/10.1016/S0006-3207(98)00009-3")</f>
        <v>http://dx.doi.org/10.1016/S0006-3207(98)00009-3</v>
      </c>
      <c r="BG412" s="8" t="s">
        <v>2135</v>
      </c>
      <c r="BH412" s="8" t="s">
        <v>2135</v>
      </c>
      <c r="BI412" s="8">
        <v>5.0</v>
      </c>
      <c r="BJ412" s="8" t="s">
        <v>3351</v>
      </c>
      <c r="BK412" s="8" t="s">
        <v>3352</v>
      </c>
      <c r="BL412" s="8" t="s">
        <v>3353</v>
      </c>
      <c r="BM412" s="8" t="s">
        <v>9846</v>
      </c>
      <c r="BN412" s="8" t="s">
        <v>2135</v>
      </c>
      <c r="BO412" s="8" t="s">
        <v>2135</v>
      </c>
      <c r="BP412" s="8" t="s">
        <v>2135</v>
      </c>
      <c r="BQ412" s="8" t="s">
        <v>2135</v>
      </c>
      <c r="BR412" s="8" t="s">
        <v>3355</v>
      </c>
      <c r="BS412" s="8" t="s">
        <v>9847</v>
      </c>
      <c r="BT412" s="8" t="s">
        <v>2497</v>
      </c>
      <c r="BU412" s="8" t="s">
        <v>2142</v>
      </c>
      <c r="BW412" s="8" t="s">
        <v>2143</v>
      </c>
      <c r="BX412" s="8" t="s">
        <v>3044</v>
      </c>
      <c r="BY412" s="8" t="s">
        <v>3087</v>
      </c>
      <c r="BZ412" s="8" t="str">
        <f>HYPERLINK("https%3A%2F%2Fwww.webofscience.com%2Fwos%2Fwoscc%2Ffull-record%2FWOS:000076273000007","View Full Record in Web of Science")</f>
        <v>View Full Record in Web of Science</v>
      </c>
    </row>
    <row r="413" ht="12.75" customHeight="1">
      <c r="A413" s="8" t="s">
        <v>3329</v>
      </c>
      <c r="B413" s="8" t="s">
        <v>9848</v>
      </c>
      <c r="C413" s="8" t="s">
        <v>2135</v>
      </c>
      <c r="D413" s="8" t="s">
        <v>2135</v>
      </c>
      <c r="E413" s="8" t="s">
        <v>2135</v>
      </c>
      <c r="F413" s="8" t="s">
        <v>9849</v>
      </c>
      <c r="G413" s="8" t="s">
        <v>2135</v>
      </c>
      <c r="H413" s="8" t="s">
        <v>2135</v>
      </c>
      <c r="I413" s="8" t="s">
        <v>1579</v>
      </c>
      <c r="J413" s="8" t="s">
        <v>3747</v>
      </c>
      <c r="K413" s="8" t="s">
        <v>2135</v>
      </c>
      <c r="L413" s="8" t="s">
        <v>2135</v>
      </c>
      <c r="M413" s="8" t="s">
        <v>3332</v>
      </c>
      <c r="N413" s="8" t="s">
        <v>3333</v>
      </c>
      <c r="O413" s="8" t="s">
        <v>2135</v>
      </c>
      <c r="P413" s="8" t="s">
        <v>2135</v>
      </c>
      <c r="Q413" s="8" t="s">
        <v>2135</v>
      </c>
      <c r="R413" s="8" t="s">
        <v>2135</v>
      </c>
      <c r="S413" s="8" t="s">
        <v>2135</v>
      </c>
      <c r="T413" s="8" t="s">
        <v>9850</v>
      </c>
      <c r="U413" s="8" t="s">
        <v>9851</v>
      </c>
      <c r="V413" s="8" t="s">
        <v>9852</v>
      </c>
      <c r="W413" s="8" t="s">
        <v>9853</v>
      </c>
      <c r="X413" s="8" t="s">
        <v>9854</v>
      </c>
      <c r="Y413" s="8" t="s">
        <v>9855</v>
      </c>
      <c r="Z413" s="8" t="s">
        <v>7359</v>
      </c>
      <c r="AA413" s="8" t="s">
        <v>2135</v>
      </c>
      <c r="AB413" s="8" t="s">
        <v>9856</v>
      </c>
      <c r="AC413" s="8" t="s">
        <v>9857</v>
      </c>
      <c r="AD413" s="8" t="s">
        <v>9857</v>
      </c>
      <c r="AE413" s="8" t="s">
        <v>9858</v>
      </c>
      <c r="AF413" s="8" t="s">
        <v>2135</v>
      </c>
      <c r="AG413" s="8">
        <v>69.0</v>
      </c>
      <c r="AH413" s="8">
        <v>28.0</v>
      </c>
      <c r="AI413" s="8">
        <v>34.0</v>
      </c>
      <c r="AJ413" s="8">
        <v>0.0</v>
      </c>
      <c r="AK413" s="8">
        <v>91.0</v>
      </c>
      <c r="AL413" s="8" t="s">
        <v>3758</v>
      </c>
      <c r="AM413" s="8" t="s">
        <v>3759</v>
      </c>
      <c r="AN413" s="8" t="s">
        <v>3760</v>
      </c>
      <c r="AO413" s="8" t="s">
        <v>3761</v>
      </c>
      <c r="AP413" s="8" t="s">
        <v>3762</v>
      </c>
      <c r="AQ413" s="8" t="s">
        <v>2135</v>
      </c>
      <c r="AR413" s="8" t="s">
        <v>3763</v>
      </c>
      <c r="AS413" s="8" t="s">
        <v>3764</v>
      </c>
      <c r="AT413" s="8" t="s">
        <v>3512</v>
      </c>
      <c r="AU413" s="8">
        <v>2016.0</v>
      </c>
      <c r="AV413" s="8">
        <v>199.0</v>
      </c>
      <c r="AW413" s="8" t="s">
        <v>2135</v>
      </c>
      <c r="AX413" s="8" t="s">
        <v>2135</v>
      </c>
      <c r="AY413" s="8" t="s">
        <v>2135</v>
      </c>
      <c r="AZ413" s="8" t="s">
        <v>2135</v>
      </c>
      <c r="BA413" s="8" t="s">
        <v>2135</v>
      </c>
      <c r="BB413" s="8">
        <v>88.0</v>
      </c>
      <c r="BC413" s="8">
        <v>95.0</v>
      </c>
      <c r="BD413" s="8" t="s">
        <v>2135</v>
      </c>
      <c r="BE413" s="8" t="s">
        <v>9859</v>
      </c>
      <c r="BF413" s="13" t="str">
        <f>HYPERLINK("http://dx.doi.org/10.1016/j.biocon.2016.04.017","http://dx.doi.org/10.1016/j.biocon.2016.04.017")</f>
        <v>http://dx.doi.org/10.1016/j.biocon.2016.04.017</v>
      </c>
      <c r="BG413" s="8" t="s">
        <v>2135</v>
      </c>
      <c r="BH413" s="8" t="s">
        <v>2135</v>
      </c>
      <c r="BI413" s="8">
        <v>8.0</v>
      </c>
      <c r="BJ413" s="8" t="s">
        <v>3351</v>
      </c>
      <c r="BK413" s="8" t="s">
        <v>3352</v>
      </c>
      <c r="BL413" s="8" t="s">
        <v>3353</v>
      </c>
      <c r="BM413" s="8" t="s">
        <v>9860</v>
      </c>
      <c r="BN413" s="8" t="s">
        <v>2135</v>
      </c>
      <c r="BO413" s="8" t="s">
        <v>2135</v>
      </c>
      <c r="BP413" s="8" t="s">
        <v>2135</v>
      </c>
      <c r="BQ413" s="8" t="s">
        <v>2135</v>
      </c>
      <c r="BR413" s="8" t="s">
        <v>3355</v>
      </c>
      <c r="BS413" s="8" t="s">
        <v>9861</v>
      </c>
      <c r="BU413" s="8" t="s">
        <v>2142</v>
      </c>
      <c r="BW413" s="8" t="s">
        <v>2143</v>
      </c>
      <c r="BX413" s="8" t="s">
        <v>3089</v>
      </c>
      <c r="BY413" s="8" t="s">
        <v>3088</v>
      </c>
      <c r="BZ413" s="8" t="str">
        <f>HYPERLINK("https%3A%2F%2Fwww.webofscience.com%2Fwos%2Fwoscc%2Ffull-record%2FWOS:000379559600013","View Full Record in Web of Science")</f>
        <v>View Full Record in Web of Science</v>
      </c>
    </row>
    <row r="414" ht="12.75" customHeight="1">
      <c r="A414" s="8" t="s">
        <v>3329</v>
      </c>
      <c r="B414" s="8" t="s">
        <v>9862</v>
      </c>
      <c r="C414" s="8" t="s">
        <v>2135</v>
      </c>
      <c r="D414" s="8" t="s">
        <v>2135</v>
      </c>
      <c r="E414" s="8" t="s">
        <v>2135</v>
      </c>
      <c r="F414" s="8" t="s">
        <v>9863</v>
      </c>
      <c r="G414" s="8" t="s">
        <v>2135</v>
      </c>
      <c r="H414" s="8" t="s">
        <v>2135</v>
      </c>
      <c r="I414" s="8" t="s">
        <v>1577</v>
      </c>
      <c r="J414" s="8" t="s">
        <v>5083</v>
      </c>
      <c r="K414" s="8" t="s">
        <v>2135</v>
      </c>
      <c r="L414" s="8" t="s">
        <v>2135</v>
      </c>
      <c r="M414" s="8" t="s">
        <v>3332</v>
      </c>
      <c r="N414" s="8" t="s">
        <v>3333</v>
      </c>
      <c r="O414" s="8" t="s">
        <v>2135</v>
      </c>
      <c r="P414" s="8" t="s">
        <v>2135</v>
      </c>
      <c r="Q414" s="8" t="s">
        <v>2135</v>
      </c>
      <c r="R414" s="8" t="s">
        <v>2135</v>
      </c>
      <c r="S414" s="8" t="s">
        <v>2135</v>
      </c>
      <c r="T414" s="8" t="s">
        <v>9864</v>
      </c>
      <c r="U414" s="8" t="s">
        <v>9865</v>
      </c>
      <c r="V414" s="8" t="s">
        <v>9866</v>
      </c>
      <c r="W414" s="8" t="s">
        <v>9867</v>
      </c>
      <c r="X414" s="8" t="s">
        <v>9868</v>
      </c>
      <c r="Y414" s="8" t="s">
        <v>9869</v>
      </c>
      <c r="Z414" s="8" t="s">
        <v>9870</v>
      </c>
      <c r="AA414" s="8" t="s">
        <v>9871</v>
      </c>
      <c r="AB414" s="8" t="s">
        <v>9872</v>
      </c>
      <c r="AC414" s="8" t="s">
        <v>9873</v>
      </c>
      <c r="AD414" s="8" t="s">
        <v>9874</v>
      </c>
      <c r="AE414" s="8" t="s">
        <v>9875</v>
      </c>
      <c r="AF414" s="8" t="s">
        <v>2135</v>
      </c>
      <c r="AG414" s="8">
        <v>66.0</v>
      </c>
      <c r="AH414" s="8">
        <v>35.0</v>
      </c>
      <c r="AI414" s="8">
        <v>35.0</v>
      </c>
      <c r="AJ414" s="8">
        <v>0.0</v>
      </c>
      <c r="AK414" s="8">
        <v>50.0</v>
      </c>
      <c r="AL414" s="8" t="s">
        <v>3342</v>
      </c>
      <c r="AM414" s="8" t="s">
        <v>3343</v>
      </c>
      <c r="AN414" s="8" t="s">
        <v>3344</v>
      </c>
      <c r="AO414" s="8" t="s">
        <v>5091</v>
      </c>
      <c r="AP414" s="8" t="s">
        <v>5092</v>
      </c>
      <c r="AQ414" s="8" t="s">
        <v>2135</v>
      </c>
      <c r="AR414" s="8" t="s">
        <v>5093</v>
      </c>
      <c r="AS414" s="8" t="s">
        <v>5094</v>
      </c>
      <c r="AT414" s="8" t="s">
        <v>3741</v>
      </c>
      <c r="AU414" s="8">
        <v>2010.0</v>
      </c>
      <c r="AV414" s="8">
        <v>37.0</v>
      </c>
      <c r="AW414" s="8">
        <v>12.0</v>
      </c>
      <c r="AX414" s="8" t="s">
        <v>2135</v>
      </c>
      <c r="AY414" s="8" t="s">
        <v>2135</v>
      </c>
      <c r="AZ414" s="8" t="s">
        <v>2135</v>
      </c>
      <c r="BA414" s="8" t="s">
        <v>2135</v>
      </c>
      <c r="BB414" s="8">
        <v>2345.0</v>
      </c>
      <c r="BC414" s="8">
        <v>2357.0</v>
      </c>
      <c r="BD414" s="8" t="s">
        <v>2135</v>
      </c>
      <c r="BE414" s="8" t="s">
        <v>9876</v>
      </c>
      <c r="BF414" s="13" t="str">
        <f>HYPERLINK("http://dx.doi.org/10.1111/j.1365-2699.2010.02377.x","http://dx.doi.org/10.1111/j.1365-2699.2010.02377.x")</f>
        <v>http://dx.doi.org/10.1111/j.1365-2699.2010.02377.x</v>
      </c>
      <c r="BG414" s="8" t="s">
        <v>2135</v>
      </c>
      <c r="BH414" s="8" t="s">
        <v>2135</v>
      </c>
      <c r="BI414" s="8">
        <v>13.0</v>
      </c>
      <c r="BJ414" s="8" t="s">
        <v>5096</v>
      </c>
      <c r="BK414" s="8" t="s">
        <v>3352</v>
      </c>
      <c r="BL414" s="8" t="s">
        <v>5097</v>
      </c>
      <c r="BM414" s="8" t="s">
        <v>9877</v>
      </c>
      <c r="BN414" s="8" t="s">
        <v>2135</v>
      </c>
      <c r="BO414" s="8" t="s">
        <v>3425</v>
      </c>
      <c r="BP414" s="8" t="s">
        <v>2135</v>
      </c>
      <c r="BQ414" s="8" t="s">
        <v>2135</v>
      </c>
      <c r="BR414" s="8" t="s">
        <v>3355</v>
      </c>
      <c r="BS414" s="8" t="s">
        <v>9878</v>
      </c>
      <c r="BT414" s="8" t="s">
        <v>2497</v>
      </c>
      <c r="BU414" s="8" t="s">
        <v>2142</v>
      </c>
      <c r="BW414" s="8" t="s">
        <v>2143</v>
      </c>
      <c r="BX414" s="8" t="s">
        <v>3090</v>
      </c>
      <c r="BY414" s="8" t="s">
        <v>3088</v>
      </c>
      <c r="BZ414" s="8" t="str">
        <f>HYPERLINK("https%3A%2F%2Fwww.webofscience.com%2Fwos%2Fwoscc%2Ffull-record%2FWOS:000284368700010","View Full Record in Web of Science")</f>
        <v>View Full Record in Web of Science</v>
      </c>
    </row>
    <row r="415" ht="12.75" customHeight="1">
      <c r="A415" s="8" t="s">
        <v>3329</v>
      </c>
      <c r="B415" s="8" t="s">
        <v>9879</v>
      </c>
      <c r="C415" s="8" t="s">
        <v>2135</v>
      </c>
      <c r="D415" s="8" t="s">
        <v>2135</v>
      </c>
      <c r="E415" s="8" t="s">
        <v>2135</v>
      </c>
      <c r="F415" s="8" t="s">
        <v>9880</v>
      </c>
      <c r="G415" s="8" t="s">
        <v>2135</v>
      </c>
      <c r="H415" s="8" t="s">
        <v>2135</v>
      </c>
      <c r="I415" s="8" t="s">
        <v>1575</v>
      </c>
      <c r="J415" s="8" t="s">
        <v>3518</v>
      </c>
      <c r="K415" s="8" t="s">
        <v>2135</v>
      </c>
      <c r="L415" s="8" t="s">
        <v>2135</v>
      </c>
      <c r="M415" s="8" t="s">
        <v>3332</v>
      </c>
      <c r="N415" s="8" t="s">
        <v>3333</v>
      </c>
      <c r="O415" s="8" t="s">
        <v>2135</v>
      </c>
      <c r="P415" s="8" t="s">
        <v>2135</v>
      </c>
      <c r="Q415" s="8" t="s">
        <v>2135</v>
      </c>
      <c r="R415" s="8" t="s">
        <v>2135</v>
      </c>
      <c r="S415" s="8" t="s">
        <v>2135</v>
      </c>
      <c r="T415" s="8" t="s">
        <v>9881</v>
      </c>
      <c r="U415" s="8" t="s">
        <v>9882</v>
      </c>
      <c r="V415" s="8" t="s">
        <v>9883</v>
      </c>
      <c r="W415" s="8" t="s">
        <v>9884</v>
      </c>
      <c r="X415" s="8" t="s">
        <v>9885</v>
      </c>
      <c r="Y415" s="8" t="s">
        <v>9886</v>
      </c>
      <c r="Z415" s="8" t="s">
        <v>4415</v>
      </c>
      <c r="AA415" s="8" t="s">
        <v>9887</v>
      </c>
      <c r="AB415" s="8" t="s">
        <v>9888</v>
      </c>
      <c r="AC415" s="8" t="s">
        <v>2135</v>
      </c>
      <c r="AD415" s="8" t="s">
        <v>2135</v>
      </c>
      <c r="AE415" s="8" t="s">
        <v>2135</v>
      </c>
      <c r="AF415" s="8" t="s">
        <v>2135</v>
      </c>
      <c r="AG415" s="8">
        <v>40.0</v>
      </c>
      <c r="AH415" s="8">
        <v>20.0</v>
      </c>
      <c r="AI415" s="8">
        <v>22.0</v>
      </c>
      <c r="AJ415" s="8">
        <v>1.0</v>
      </c>
      <c r="AK415" s="8">
        <v>25.0</v>
      </c>
      <c r="AL415" s="8" t="s">
        <v>3695</v>
      </c>
      <c r="AM415" s="8" t="s">
        <v>3696</v>
      </c>
      <c r="AN415" s="8" t="s">
        <v>3697</v>
      </c>
      <c r="AO415" s="8" t="s">
        <v>3530</v>
      </c>
      <c r="AP415" s="8" t="s">
        <v>3698</v>
      </c>
      <c r="AQ415" s="8" t="s">
        <v>2135</v>
      </c>
      <c r="AR415" s="8" t="s">
        <v>3531</v>
      </c>
      <c r="AS415" s="8" t="s">
        <v>3532</v>
      </c>
      <c r="AT415" s="8" t="s">
        <v>2135</v>
      </c>
      <c r="AU415" s="8">
        <v>2010.0</v>
      </c>
      <c r="AV415" s="8">
        <v>21.0</v>
      </c>
      <c r="AW415" s="8">
        <v>1.0</v>
      </c>
      <c r="AX415" s="8" t="s">
        <v>2135</v>
      </c>
      <c r="AY415" s="8" t="s">
        <v>2135</v>
      </c>
      <c r="AZ415" s="8" t="s">
        <v>2135</v>
      </c>
      <c r="BA415" s="8" t="s">
        <v>2135</v>
      </c>
      <c r="BB415" s="8">
        <v>19.0</v>
      </c>
      <c r="BC415" s="8">
        <v>33.0</v>
      </c>
      <c r="BD415" s="8" t="s">
        <v>2135</v>
      </c>
      <c r="BE415" s="8" t="s">
        <v>2135</v>
      </c>
      <c r="BF415" s="8" t="s">
        <v>2135</v>
      </c>
      <c r="BG415" s="8" t="s">
        <v>2135</v>
      </c>
      <c r="BH415" s="8" t="s">
        <v>2135</v>
      </c>
      <c r="BI415" s="8">
        <v>15.0</v>
      </c>
      <c r="BJ415" s="8" t="s">
        <v>3397</v>
      </c>
      <c r="BK415" s="8" t="s">
        <v>3352</v>
      </c>
      <c r="BL415" s="8" t="s">
        <v>3397</v>
      </c>
      <c r="BM415" s="8" t="s">
        <v>9404</v>
      </c>
      <c r="BN415" s="8" t="s">
        <v>2135</v>
      </c>
      <c r="BO415" s="8" t="s">
        <v>2135</v>
      </c>
      <c r="BP415" s="8" t="s">
        <v>2135</v>
      </c>
      <c r="BQ415" s="8" t="s">
        <v>2135</v>
      </c>
      <c r="BR415" s="8" t="s">
        <v>3355</v>
      </c>
      <c r="BS415" s="8" t="s">
        <v>9889</v>
      </c>
      <c r="BT415" s="8" t="s">
        <v>2379</v>
      </c>
      <c r="BU415" s="8" t="s">
        <v>2142</v>
      </c>
      <c r="BW415" s="8" t="s">
        <v>2143</v>
      </c>
      <c r="BX415" s="8" t="s">
        <v>3044</v>
      </c>
      <c r="BY415" s="8" t="s">
        <v>3088</v>
      </c>
      <c r="BZ415" s="8" t="str">
        <f>HYPERLINK("https%3A%2F%2Fwww.webofscience.com%2Fwos%2Fwoscc%2Ffull-record%2FWOS:000280348900002","View Full Record in Web of Science")</f>
        <v>View Full Record in Web of Science</v>
      </c>
    </row>
    <row r="416" ht="12.75" customHeight="1">
      <c r="A416" s="8" t="s">
        <v>3329</v>
      </c>
      <c r="B416" s="8" t="s">
        <v>9890</v>
      </c>
      <c r="C416" s="8" t="s">
        <v>2135</v>
      </c>
      <c r="D416" s="8" t="s">
        <v>2135</v>
      </c>
      <c r="E416" s="8" t="s">
        <v>2135</v>
      </c>
      <c r="F416" s="8" t="s">
        <v>9891</v>
      </c>
      <c r="G416" s="8" t="s">
        <v>2135</v>
      </c>
      <c r="H416" s="8" t="s">
        <v>2135</v>
      </c>
      <c r="I416" s="8" t="s">
        <v>1572</v>
      </c>
      <c r="J416" s="8" t="s">
        <v>4612</v>
      </c>
      <c r="K416" s="8" t="s">
        <v>2135</v>
      </c>
      <c r="L416" s="8" t="s">
        <v>2135</v>
      </c>
      <c r="M416" s="8" t="s">
        <v>3332</v>
      </c>
      <c r="N416" s="8" t="s">
        <v>3333</v>
      </c>
      <c r="O416" s="8" t="s">
        <v>2135</v>
      </c>
      <c r="P416" s="8" t="s">
        <v>2135</v>
      </c>
      <c r="Q416" s="8" t="s">
        <v>2135</v>
      </c>
      <c r="R416" s="8" t="s">
        <v>2135</v>
      </c>
      <c r="S416" s="8" t="s">
        <v>2135</v>
      </c>
      <c r="T416" s="8" t="s">
        <v>9892</v>
      </c>
      <c r="U416" s="8" t="s">
        <v>9893</v>
      </c>
      <c r="V416" s="8" t="s">
        <v>9894</v>
      </c>
      <c r="W416" s="8" t="s">
        <v>9895</v>
      </c>
      <c r="X416" s="8" t="s">
        <v>9896</v>
      </c>
      <c r="Y416" s="8" t="s">
        <v>9897</v>
      </c>
      <c r="Z416" s="8" t="s">
        <v>9898</v>
      </c>
      <c r="AA416" s="8" t="s">
        <v>9899</v>
      </c>
      <c r="AB416" s="8" t="s">
        <v>9900</v>
      </c>
      <c r="AC416" s="8" t="s">
        <v>2135</v>
      </c>
      <c r="AD416" s="8" t="s">
        <v>2135</v>
      </c>
      <c r="AE416" s="8" t="s">
        <v>2135</v>
      </c>
      <c r="AF416" s="8" t="s">
        <v>2135</v>
      </c>
      <c r="AG416" s="8">
        <v>63.0</v>
      </c>
      <c r="AH416" s="8">
        <v>35.0</v>
      </c>
      <c r="AI416" s="8">
        <v>37.0</v>
      </c>
      <c r="AJ416" s="8">
        <v>1.0</v>
      </c>
      <c r="AK416" s="8">
        <v>42.0</v>
      </c>
      <c r="AL416" s="8" t="s">
        <v>3479</v>
      </c>
      <c r="AM416" s="8" t="s">
        <v>4500</v>
      </c>
      <c r="AN416" s="8" t="s">
        <v>4501</v>
      </c>
      <c r="AO416" s="8" t="s">
        <v>4626</v>
      </c>
      <c r="AP416" s="8" t="s">
        <v>2135</v>
      </c>
      <c r="AQ416" s="8" t="s">
        <v>2135</v>
      </c>
      <c r="AR416" s="8" t="s">
        <v>4628</v>
      </c>
      <c r="AS416" s="8" t="s">
        <v>4629</v>
      </c>
      <c r="AT416" s="8" t="s">
        <v>3485</v>
      </c>
      <c r="AU416" s="8">
        <v>2008.0</v>
      </c>
      <c r="AV416" s="8">
        <v>9.0</v>
      </c>
      <c r="AW416" s="8">
        <v>1.0</v>
      </c>
      <c r="AX416" s="8" t="s">
        <v>2135</v>
      </c>
      <c r="AY416" s="8" t="s">
        <v>2135</v>
      </c>
      <c r="AZ416" s="8" t="s">
        <v>2135</v>
      </c>
      <c r="BA416" s="8" t="s">
        <v>2135</v>
      </c>
      <c r="BB416" s="8">
        <v>129.0</v>
      </c>
      <c r="BC416" s="8">
        <v>139.0</v>
      </c>
      <c r="BD416" s="8" t="s">
        <v>2135</v>
      </c>
      <c r="BE416" s="8" t="s">
        <v>9901</v>
      </c>
      <c r="BF416" s="13" t="str">
        <f>HYPERLINK("http://dx.doi.org/10.1007/s10592-007-9315-1","http://dx.doi.org/10.1007/s10592-007-9315-1")</f>
        <v>http://dx.doi.org/10.1007/s10592-007-9315-1</v>
      </c>
      <c r="BG416" s="8" t="s">
        <v>2135</v>
      </c>
      <c r="BH416" s="8" t="s">
        <v>2135</v>
      </c>
      <c r="BI416" s="8">
        <v>11.0</v>
      </c>
      <c r="BJ416" s="8" t="s">
        <v>4631</v>
      </c>
      <c r="BK416" s="8" t="s">
        <v>3352</v>
      </c>
      <c r="BL416" s="8" t="s">
        <v>4632</v>
      </c>
      <c r="BM416" s="8" t="s">
        <v>9902</v>
      </c>
      <c r="BN416" s="8" t="s">
        <v>2135</v>
      </c>
      <c r="BO416" s="8" t="s">
        <v>2135</v>
      </c>
      <c r="BP416" s="8" t="s">
        <v>2135</v>
      </c>
      <c r="BQ416" s="8" t="s">
        <v>2135</v>
      </c>
      <c r="BR416" s="8" t="s">
        <v>3355</v>
      </c>
      <c r="BS416" s="8" t="s">
        <v>9903</v>
      </c>
      <c r="BT416" s="8" t="s">
        <v>2497</v>
      </c>
      <c r="BU416" s="8" t="s">
        <v>2142</v>
      </c>
      <c r="BW416" s="8" t="s">
        <v>2143</v>
      </c>
      <c r="BX416" s="8" t="s">
        <v>3044</v>
      </c>
      <c r="BY416" s="8" t="s">
        <v>3088</v>
      </c>
      <c r="BZ416" s="8" t="str">
        <f>HYPERLINK("https%3A%2F%2Fwww.webofscience.com%2Fwos%2Fwoscc%2Ffull-record%2FWOS:000252223100012","View Full Record in Web of Science")</f>
        <v>View Full Record in Web of Science</v>
      </c>
    </row>
    <row r="417" ht="12.75" customHeight="1">
      <c r="A417" s="8" t="s">
        <v>3329</v>
      </c>
      <c r="B417" s="8" t="s">
        <v>9904</v>
      </c>
      <c r="C417" s="8" t="s">
        <v>2135</v>
      </c>
      <c r="D417" s="8" t="s">
        <v>2135</v>
      </c>
      <c r="E417" s="8" t="s">
        <v>2135</v>
      </c>
      <c r="F417" s="8" t="s">
        <v>9904</v>
      </c>
      <c r="G417" s="8" t="s">
        <v>2135</v>
      </c>
      <c r="H417" s="8" t="s">
        <v>2135</v>
      </c>
      <c r="I417" s="8" t="s">
        <v>1569</v>
      </c>
      <c r="J417" s="8" t="s">
        <v>3747</v>
      </c>
      <c r="K417" s="8" t="s">
        <v>2135</v>
      </c>
      <c r="L417" s="8" t="s">
        <v>2135</v>
      </c>
      <c r="M417" s="8" t="s">
        <v>3332</v>
      </c>
      <c r="N417" s="8" t="s">
        <v>3333</v>
      </c>
      <c r="O417" s="8" t="s">
        <v>2135</v>
      </c>
      <c r="P417" s="8" t="s">
        <v>2135</v>
      </c>
      <c r="Q417" s="8" t="s">
        <v>2135</v>
      </c>
      <c r="R417" s="8" t="s">
        <v>2135</v>
      </c>
      <c r="S417" s="8" t="s">
        <v>2135</v>
      </c>
      <c r="T417" s="8" t="s">
        <v>9905</v>
      </c>
      <c r="U417" s="8" t="s">
        <v>9906</v>
      </c>
      <c r="V417" s="8" t="s">
        <v>9907</v>
      </c>
      <c r="W417" s="8" t="s">
        <v>2135</v>
      </c>
      <c r="X417" s="8" t="s">
        <v>2135</v>
      </c>
      <c r="Y417" s="8" t="s">
        <v>9908</v>
      </c>
      <c r="Z417" s="8" t="s">
        <v>2135</v>
      </c>
      <c r="AA417" s="8" t="s">
        <v>9909</v>
      </c>
      <c r="AB417" s="8" t="s">
        <v>6416</v>
      </c>
      <c r="AC417" s="8" t="s">
        <v>2135</v>
      </c>
      <c r="AD417" s="8" t="s">
        <v>2135</v>
      </c>
      <c r="AE417" s="8" t="s">
        <v>2135</v>
      </c>
      <c r="AF417" s="8" t="s">
        <v>2135</v>
      </c>
      <c r="AG417" s="8">
        <v>45.0</v>
      </c>
      <c r="AH417" s="8">
        <v>99.0</v>
      </c>
      <c r="AI417" s="8">
        <v>113.0</v>
      </c>
      <c r="AJ417" s="8">
        <v>0.0</v>
      </c>
      <c r="AK417" s="8">
        <v>87.0</v>
      </c>
      <c r="AL417" s="8" t="s">
        <v>3758</v>
      </c>
      <c r="AM417" s="8" t="s">
        <v>3759</v>
      </c>
      <c r="AN417" s="8" t="s">
        <v>9910</v>
      </c>
      <c r="AO417" s="8" t="s">
        <v>3761</v>
      </c>
      <c r="AP417" s="8" t="s">
        <v>2135</v>
      </c>
      <c r="AQ417" s="8" t="s">
        <v>2135</v>
      </c>
      <c r="AR417" s="8" t="s">
        <v>3763</v>
      </c>
      <c r="AS417" s="8" t="s">
        <v>3764</v>
      </c>
      <c r="AT417" s="8" t="s">
        <v>3741</v>
      </c>
      <c r="AU417" s="8">
        <v>1997.0</v>
      </c>
      <c r="AV417" s="8">
        <v>82.0</v>
      </c>
      <c r="AW417" s="8">
        <v>3.0</v>
      </c>
      <c r="AX417" s="8" t="s">
        <v>2135</v>
      </c>
      <c r="AY417" s="8" t="s">
        <v>2135</v>
      </c>
      <c r="AZ417" s="8" t="s">
        <v>2135</v>
      </c>
      <c r="BA417" s="8" t="s">
        <v>2135</v>
      </c>
      <c r="BB417" s="8">
        <v>345.0</v>
      </c>
      <c r="BC417" s="8">
        <v>354.0</v>
      </c>
      <c r="BD417" s="8" t="s">
        <v>2135</v>
      </c>
      <c r="BE417" s="8" t="s">
        <v>9911</v>
      </c>
      <c r="BF417" s="13" t="str">
        <f>HYPERLINK("http://dx.doi.org/10.1016/S0006-3207(97)00036-0","http://dx.doi.org/10.1016/S0006-3207(97)00036-0")</f>
        <v>http://dx.doi.org/10.1016/S0006-3207(97)00036-0</v>
      </c>
      <c r="BG417" s="8" t="s">
        <v>2135</v>
      </c>
      <c r="BH417" s="8" t="s">
        <v>2135</v>
      </c>
      <c r="BI417" s="8">
        <v>10.0</v>
      </c>
      <c r="BJ417" s="8" t="s">
        <v>3351</v>
      </c>
      <c r="BK417" s="8" t="s">
        <v>4060</v>
      </c>
      <c r="BL417" s="8" t="s">
        <v>3353</v>
      </c>
      <c r="BM417" s="8" t="s">
        <v>9912</v>
      </c>
      <c r="BN417" s="8" t="s">
        <v>2135</v>
      </c>
      <c r="BO417" s="8" t="s">
        <v>2135</v>
      </c>
      <c r="BP417" s="8" t="s">
        <v>2135</v>
      </c>
      <c r="BQ417" s="8" t="s">
        <v>2135</v>
      </c>
      <c r="BR417" s="8" t="s">
        <v>3355</v>
      </c>
      <c r="BS417" s="8" t="s">
        <v>9913</v>
      </c>
      <c r="BT417" s="8" t="s">
        <v>2553</v>
      </c>
      <c r="BU417" s="8" t="s">
        <v>2142</v>
      </c>
      <c r="BW417" s="8" t="s">
        <v>2143</v>
      </c>
      <c r="BX417" s="8" t="s">
        <v>3044</v>
      </c>
      <c r="BY417" s="8" t="s">
        <v>3088</v>
      </c>
      <c r="BZ417" s="8" t="str">
        <f>HYPERLINK("https%3A%2F%2Fwww.webofscience.com%2Fwos%2Fwoscc%2Ffull-record%2FWOS:A1997XW04000011","View Full Record in Web of Science")</f>
        <v>View Full Record in Web of Science</v>
      </c>
    </row>
    <row r="418" ht="12.75" customHeight="1">
      <c r="A418" s="8" t="s">
        <v>3329</v>
      </c>
      <c r="B418" s="8" t="s">
        <v>9914</v>
      </c>
      <c r="C418" s="8" t="s">
        <v>2135</v>
      </c>
      <c r="D418" s="8" t="s">
        <v>2135</v>
      </c>
      <c r="E418" s="8" t="s">
        <v>2135</v>
      </c>
      <c r="F418" s="8" t="s">
        <v>9915</v>
      </c>
      <c r="G418" s="8" t="s">
        <v>2135</v>
      </c>
      <c r="H418" s="8" t="s">
        <v>2135</v>
      </c>
      <c r="I418" s="8" t="s">
        <v>1583</v>
      </c>
      <c r="J418" s="8" t="s">
        <v>3796</v>
      </c>
      <c r="K418" s="8" t="s">
        <v>2135</v>
      </c>
      <c r="L418" s="8" t="s">
        <v>2135</v>
      </c>
      <c r="M418" s="8" t="s">
        <v>3332</v>
      </c>
      <c r="N418" s="8" t="s">
        <v>3492</v>
      </c>
      <c r="O418" s="8" t="s">
        <v>2135</v>
      </c>
      <c r="P418" s="8" t="s">
        <v>2135</v>
      </c>
      <c r="Q418" s="8" t="s">
        <v>2135</v>
      </c>
      <c r="R418" s="8" t="s">
        <v>2135</v>
      </c>
      <c r="S418" s="8" t="s">
        <v>2135</v>
      </c>
      <c r="T418" s="8" t="s">
        <v>9916</v>
      </c>
      <c r="U418" s="8" t="s">
        <v>9917</v>
      </c>
      <c r="V418" s="8" t="s">
        <v>9918</v>
      </c>
      <c r="W418" s="8" t="s">
        <v>9919</v>
      </c>
      <c r="X418" s="8" t="s">
        <v>9920</v>
      </c>
      <c r="Y418" s="8" t="s">
        <v>9921</v>
      </c>
      <c r="Z418" s="8" t="s">
        <v>9922</v>
      </c>
      <c r="AA418" s="8" t="s">
        <v>9923</v>
      </c>
      <c r="AB418" s="8" t="s">
        <v>9924</v>
      </c>
      <c r="AC418" s="8" t="s">
        <v>2135</v>
      </c>
      <c r="AD418" s="8" t="s">
        <v>2135</v>
      </c>
      <c r="AE418" s="8" t="s">
        <v>2135</v>
      </c>
      <c r="AF418" s="8" t="s">
        <v>2135</v>
      </c>
      <c r="AG418" s="8">
        <v>129.0</v>
      </c>
      <c r="AH418" s="8">
        <v>31.0</v>
      </c>
      <c r="AI418" s="8">
        <v>34.0</v>
      </c>
      <c r="AJ418" s="8">
        <v>1.0</v>
      </c>
      <c r="AK418" s="8">
        <v>56.0</v>
      </c>
      <c r="AL418" s="8" t="s">
        <v>3342</v>
      </c>
      <c r="AM418" s="8" t="s">
        <v>3343</v>
      </c>
      <c r="AN418" s="8" t="s">
        <v>3344</v>
      </c>
      <c r="AO418" s="8" t="s">
        <v>3808</v>
      </c>
      <c r="AP418" s="8" t="s">
        <v>3809</v>
      </c>
      <c r="AQ418" s="8" t="s">
        <v>2135</v>
      </c>
      <c r="AR418" s="8" t="s">
        <v>3810</v>
      </c>
      <c r="AS418" s="8" t="s">
        <v>3811</v>
      </c>
      <c r="AT418" s="8" t="s">
        <v>3580</v>
      </c>
      <c r="AU418" s="8">
        <v>2017.0</v>
      </c>
      <c r="AV418" s="8">
        <v>47.0</v>
      </c>
      <c r="AW418" s="8">
        <v>4.0</v>
      </c>
      <c r="AX418" s="8" t="s">
        <v>2135</v>
      </c>
      <c r="AY418" s="8" t="s">
        <v>2135</v>
      </c>
      <c r="AZ418" s="8" t="s">
        <v>2135</v>
      </c>
      <c r="BA418" s="8" t="s">
        <v>2135</v>
      </c>
      <c r="BB418" s="8">
        <v>291.0</v>
      </c>
      <c r="BC418" s="8">
        <v>305.0</v>
      </c>
      <c r="BD418" s="8" t="s">
        <v>2135</v>
      </c>
      <c r="BE418" s="8" t="s">
        <v>9925</v>
      </c>
      <c r="BF418" s="13" t="str">
        <f>HYPERLINK("http://dx.doi.org/10.1111/mam.12098","http://dx.doi.org/10.1111/mam.12098")</f>
        <v>http://dx.doi.org/10.1111/mam.12098</v>
      </c>
      <c r="BG418" s="8" t="s">
        <v>2135</v>
      </c>
      <c r="BH418" s="8" t="s">
        <v>2135</v>
      </c>
      <c r="BI418" s="8">
        <v>15.0</v>
      </c>
      <c r="BJ418" s="8" t="s">
        <v>3442</v>
      </c>
      <c r="BK418" s="8" t="s">
        <v>3352</v>
      </c>
      <c r="BL418" s="8" t="s">
        <v>3443</v>
      </c>
      <c r="BM418" s="8" t="s">
        <v>9926</v>
      </c>
      <c r="BN418" s="8" t="s">
        <v>2135</v>
      </c>
      <c r="BO418" s="8" t="s">
        <v>2135</v>
      </c>
      <c r="BP418" s="8" t="s">
        <v>2135</v>
      </c>
      <c r="BQ418" s="8" t="s">
        <v>2135</v>
      </c>
      <c r="BR418" s="8" t="s">
        <v>3355</v>
      </c>
      <c r="BS418" s="8" t="s">
        <v>9927</v>
      </c>
      <c r="BU418" s="8" t="s">
        <v>2147</v>
      </c>
      <c r="BW418" s="8" t="s">
        <v>2157</v>
      </c>
      <c r="BX418" s="8" t="s">
        <v>3039</v>
      </c>
      <c r="BY418" s="8" t="s">
        <v>3040</v>
      </c>
      <c r="BZ418" s="8" t="str">
        <f>HYPERLINK("https%3A%2F%2Fwww.webofscience.com%2Fwos%2Fwoscc%2Ffull-record%2FWOS:000409144000007","View Full Record in Web of Science")</f>
        <v>View Full Record in Web of Science</v>
      </c>
    </row>
    <row r="419" ht="12.75" customHeight="1">
      <c r="A419" s="8" t="s">
        <v>3329</v>
      </c>
      <c r="B419" s="8" t="s">
        <v>9928</v>
      </c>
      <c r="C419" s="8" t="s">
        <v>2135</v>
      </c>
      <c r="D419" s="8" t="s">
        <v>2135</v>
      </c>
      <c r="E419" s="8" t="s">
        <v>2135</v>
      </c>
      <c r="F419" s="8" t="s">
        <v>9929</v>
      </c>
      <c r="G419" s="8" t="s">
        <v>2135</v>
      </c>
      <c r="H419" s="8" t="s">
        <v>2135</v>
      </c>
      <c r="I419" s="8" t="s">
        <v>1593</v>
      </c>
      <c r="J419" s="8" t="s">
        <v>3491</v>
      </c>
      <c r="K419" s="8" t="s">
        <v>2135</v>
      </c>
      <c r="L419" s="8" t="s">
        <v>2135</v>
      </c>
      <c r="M419" s="8" t="s">
        <v>3332</v>
      </c>
      <c r="N419" s="8" t="s">
        <v>3333</v>
      </c>
      <c r="O419" s="8" t="s">
        <v>2135</v>
      </c>
      <c r="P419" s="8" t="s">
        <v>2135</v>
      </c>
      <c r="Q419" s="8" t="s">
        <v>2135</v>
      </c>
      <c r="R419" s="8" t="s">
        <v>2135</v>
      </c>
      <c r="S419" s="8" t="s">
        <v>2135</v>
      </c>
      <c r="T419" s="8" t="s">
        <v>9930</v>
      </c>
      <c r="U419" s="8" t="s">
        <v>9931</v>
      </c>
      <c r="V419" s="8" t="s">
        <v>9932</v>
      </c>
      <c r="W419" s="8" t="s">
        <v>9933</v>
      </c>
      <c r="X419" s="8" t="s">
        <v>9934</v>
      </c>
      <c r="Y419" s="8" t="s">
        <v>9935</v>
      </c>
      <c r="Z419" s="8" t="s">
        <v>9936</v>
      </c>
      <c r="AA419" s="8" t="s">
        <v>9937</v>
      </c>
      <c r="AB419" s="8" t="s">
        <v>9938</v>
      </c>
      <c r="AC419" s="8" t="s">
        <v>2135</v>
      </c>
      <c r="AD419" s="8" t="s">
        <v>2135</v>
      </c>
      <c r="AE419" s="8" t="s">
        <v>2135</v>
      </c>
      <c r="AF419" s="8" t="s">
        <v>2135</v>
      </c>
      <c r="AG419" s="8">
        <v>40.0</v>
      </c>
      <c r="AH419" s="8">
        <v>30.0</v>
      </c>
      <c r="AI419" s="8">
        <v>36.0</v>
      </c>
      <c r="AJ419" s="8">
        <v>0.0</v>
      </c>
      <c r="AK419" s="8">
        <v>58.0</v>
      </c>
      <c r="AL419" s="8" t="s">
        <v>3505</v>
      </c>
      <c r="AM419" s="8" t="s">
        <v>3506</v>
      </c>
      <c r="AN419" s="8" t="s">
        <v>3507</v>
      </c>
      <c r="AO419" s="8" t="s">
        <v>3508</v>
      </c>
      <c r="AP419" s="8" t="s">
        <v>2135</v>
      </c>
      <c r="AQ419" s="8" t="s">
        <v>2135</v>
      </c>
      <c r="AR419" s="8" t="s">
        <v>3510</v>
      </c>
      <c r="AS419" s="8" t="s">
        <v>3511</v>
      </c>
      <c r="AT419" s="8" t="s">
        <v>3556</v>
      </c>
      <c r="AU419" s="8">
        <v>2013.0</v>
      </c>
      <c r="AV419" s="8">
        <v>58.0</v>
      </c>
      <c r="AW419" s="8">
        <v>2.0</v>
      </c>
      <c r="AX419" s="8" t="s">
        <v>2135</v>
      </c>
      <c r="AY419" s="8" t="s">
        <v>2135</v>
      </c>
      <c r="AZ419" s="8" t="s">
        <v>2135</v>
      </c>
      <c r="BA419" s="8" t="s">
        <v>2135</v>
      </c>
      <c r="BB419" s="8">
        <v>149.0</v>
      </c>
      <c r="BC419" s="8">
        <v>155.0</v>
      </c>
      <c r="BD419" s="8" t="s">
        <v>2135</v>
      </c>
      <c r="BE419" s="8" t="s">
        <v>9939</v>
      </c>
      <c r="BF419" s="13" t="str">
        <f>HYPERLINK("http://dx.doi.org/10.1007/s13364-012-0107-8","http://dx.doi.org/10.1007/s13364-012-0107-8")</f>
        <v>http://dx.doi.org/10.1007/s13364-012-0107-8</v>
      </c>
      <c r="BG419" s="8" t="s">
        <v>2135</v>
      </c>
      <c r="BH419" s="8" t="s">
        <v>2135</v>
      </c>
      <c r="BI419" s="8">
        <v>7.0</v>
      </c>
      <c r="BJ419" s="8" t="s">
        <v>3397</v>
      </c>
      <c r="BK419" s="8" t="s">
        <v>3352</v>
      </c>
      <c r="BL419" s="8" t="s">
        <v>3397</v>
      </c>
      <c r="BM419" s="8" t="s">
        <v>9940</v>
      </c>
      <c r="BN419" s="8">
        <v>2.3538688E7</v>
      </c>
      <c r="BO419" s="8" t="s">
        <v>3583</v>
      </c>
      <c r="BP419" s="8" t="s">
        <v>2135</v>
      </c>
      <c r="BQ419" s="8" t="s">
        <v>2135</v>
      </c>
      <c r="BR419" s="8" t="s">
        <v>3355</v>
      </c>
      <c r="BS419" s="8" t="s">
        <v>9941</v>
      </c>
      <c r="BT419" s="8" t="s">
        <v>2467</v>
      </c>
      <c r="BU419" s="8" t="s">
        <v>2142</v>
      </c>
      <c r="BW419" s="8" t="s">
        <v>2143</v>
      </c>
      <c r="BX419" s="8" t="s">
        <v>3095</v>
      </c>
      <c r="BY419" s="8" t="s">
        <v>3092</v>
      </c>
      <c r="BZ419" s="8" t="str">
        <f>HYPERLINK("https%3A%2F%2Fwww.webofscience.com%2Fwos%2Fwoscc%2Ffull-record%2FWOS:000316678900007","View Full Record in Web of Science")</f>
        <v>View Full Record in Web of Science</v>
      </c>
    </row>
    <row r="420" ht="12.75" customHeight="1">
      <c r="A420" s="8" t="s">
        <v>3329</v>
      </c>
      <c r="B420" s="8" t="s">
        <v>9942</v>
      </c>
      <c r="C420" s="8" t="s">
        <v>2135</v>
      </c>
      <c r="D420" s="8" t="s">
        <v>2135</v>
      </c>
      <c r="E420" s="8" t="s">
        <v>2135</v>
      </c>
      <c r="F420" s="8" t="s">
        <v>9943</v>
      </c>
      <c r="G420" s="8" t="s">
        <v>2135</v>
      </c>
      <c r="H420" s="8" t="s">
        <v>2135</v>
      </c>
      <c r="I420" s="8" t="s">
        <v>1591</v>
      </c>
      <c r="J420" s="8" t="s">
        <v>4846</v>
      </c>
      <c r="K420" s="8" t="s">
        <v>2135</v>
      </c>
      <c r="L420" s="8" t="s">
        <v>2135</v>
      </c>
      <c r="M420" s="8" t="s">
        <v>3332</v>
      </c>
      <c r="N420" s="8" t="s">
        <v>3333</v>
      </c>
      <c r="O420" s="8" t="s">
        <v>2135</v>
      </c>
      <c r="P420" s="8" t="s">
        <v>2135</v>
      </c>
      <c r="Q420" s="8" t="s">
        <v>2135</v>
      </c>
      <c r="R420" s="8" t="s">
        <v>2135</v>
      </c>
      <c r="S420" s="8" t="s">
        <v>2135</v>
      </c>
      <c r="T420" s="8" t="s">
        <v>9944</v>
      </c>
      <c r="U420" s="8" t="s">
        <v>9945</v>
      </c>
      <c r="V420" s="8" t="s">
        <v>9946</v>
      </c>
      <c r="W420" s="8" t="s">
        <v>9947</v>
      </c>
      <c r="X420" s="8" t="s">
        <v>9948</v>
      </c>
      <c r="Y420" s="8" t="s">
        <v>9949</v>
      </c>
      <c r="Z420" s="8" t="s">
        <v>9950</v>
      </c>
      <c r="AA420" s="8" t="s">
        <v>9951</v>
      </c>
      <c r="AB420" s="8" t="s">
        <v>9952</v>
      </c>
      <c r="AC420" s="8" t="s">
        <v>2135</v>
      </c>
      <c r="AD420" s="8" t="s">
        <v>2135</v>
      </c>
      <c r="AE420" s="8" t="s">
        <v>2135</v>
      </c>
      <c r="AF420" s="8" t="s">
        <v>2135</v>
      </c>
      <c r="AG420" s="8">
        <v>48.0</v>
      </c>
      <c r="AH420" s="8">
        <v>19.0</v>
      </c>
      <c r="AI420" s="8">
        <v>22.0</v>
      </c>
      <c r="AJ420" s="8">
        <v>1.0</v>
      </c>
      <c r="AK420" s="8">
        <v>26.0</v>
      </c>
      <c r="AL420" s="8" t="s">
        <v>4394</v>
      </c>
      <c r="AM420" s="8" t="s">
        <v>3367</v>
      </c>
      <c r="AN420" s="8" t="s">
        <v>4395</v>
      </c>
      <c r="AO420" s="8" t="s">
        <v>4855</v>
      </c>
      <c r="AP420" s="8" t="s">
        <v>4856</v>
      </c>
      <c r="AQ420" s="8" t="s">
        <v>2135</v>
      </c>
      <c r="AR420" s="8" t="s">
        <v>4857</v>
      </c>
      <c r="AS420" s="8" t="s">
        <v>4858</v>
      </c>
      <c r="AT420" s="8" t="s">
        <v>9953</v>
      </c>
      <c r="AU420" s="8">
        <v>2009.0</v>
      </c>
      <c r="AV420" s="8">
        <v>220.0</v>
      </c>
      <c r="AW420" s="8">
        <v>2.0</v>
      </c>
      <c r="AX420" s="8" t="s">
        <v>2135</v>
      </c>
      <c r="AY420" s="8" t="s">
        <v>2135</v>
      </c>
      <c r="AZ420" s="8" t="s">
        <v>2135</v>
      </c>
      <c r="BA420" s="8" t="s">
        <v>2135</v>
      </c>
      <c r="BB420" s="8">
        <v>111.0</v>
      </c>
      <c r="BC420" s="8">
        <v>121.0</v>
      </c>
      <c r="BD420" s="8" t="s">
        <v>2135</v>
      </c>
      <c r="BE420" s="8" t="s">
        <v>9954</v>
      </c>
      <c r="BF420" s="13" t="str">
        <f>HYPERLINK("http://dx.doi.org/10.1016/j.ecolmodel.2008.09.014","http://dx.doi.org/10.1016/j.ecolmodel.2008.09.014")</f>
        <v>http://dx.doi.org/10.1016/j.ecolmodel.2008.09.014</v>
      </c>
      <c r="BG420" s="8" t="s">
        <v>2135</v>
      </c>
      <c r="BH420" s="8" t="s">
        <v>2135</v>
      </c>
      <c r="BI420" s="8">
        <v>11.0</v>
      </c>
      <c r="BJ420" s="8" t="s">
        <v>3681</v>
      </c>
      <c r="BK420" s="8" t="s">
        <v>3352</v>
      </c>
      <c r="BL420" s="8" t="s">
        <v>3632</v>
      </c>
      <c r="BM420" s="8" t="s">
        <v>9955</v>
      </c>
      <c r="BN420" s="8" t="s">
        <v>2135</v>
      </c>
      <c r="BO420" s="8" t="s">
        <v>2135</v>
      </c>
      <c r="BP420" s="8" t="s">
        <v>2135</v>
      </c>
      <c r="BQ420" s="8" t="s">
        <v>2135</v>
      </c>
      <c r="BR420" s="8" t="s">
        <v>3355</v>
      </c>
      <c r="BS420" s="8" t="s">
        <v>9956</v>
      </c>
      <c r="BT420" s="8" t="s">
        <v>2379</v>
      </c>
      <c r="BU420" s="8" t="s">
        <v>2142</v>
      </c>
      <c r="BW420" s="8" t="s">
        <v>2143</v>
      </c>
      <c r="BX420" s="8" t="s">
        <v>3091</v>
      </c>
      <c r="BY420" s="8" t="s">
        <v>3092</v>
      </c>
      <c r="BZ420" s="8" t="str">
        <f>HYPERLINK("https%3A%2F%2Fwww.webofscience.com%2Fwos%2Fwoscc%2Ffull-record%2FWOS:000262122800003","View Full Record in Web of Science")</f>
        <v>View Full Record in Web of Science</v>
      </c>
    </row>
    <row r="421" ht="12.75" customHeight="1">
      <c r="A421" s="8" t="s">
        <v>3329</v>
      </c>
      <c r="B421" s="8" t="s">
        <v>9957</v>
      </c>
      <c r="C421" s="8" t="s">
        <v>2135</v>
      </c>
      <c r="D421" s="8" t="s">
        <v>2135</v>
      </c>
      <c r="E421" s="8" t="s">
        <v>2135</v>
      </c>
      <c r="F421" s="8" t="s">
        <v>9958</v>
      </c>
      <c r="G421" s="8" t="s">
        <v>2135</v>
      </c>
      <c r="H421" s="8" t="s">
        <v>2135</v>
      </c>
      <c r="I421" s="8" t="s">
        <v>1589</v>
      </c>
      <c r="J421" s="8" t="s">
        <v>5790</v>
      </c>
      <c r="K421" s="8" t="s">
        <v>2135</v>
      </c>
      <c r="L421" s="8" t="s">
        <v>2135</v>
      </c>
      <c r="M421" s="8" t="s">
        <v>3332</v>
      </c>
      <c r="N421" s="8" t="s">
        <v>3333</v>
      </c>
      <c r="O421" s="8" t="s">
        <v>2135</v>
      </c>
      <c r="P421" s="8" t="s">
        <v>2135</v>
      </c>
      <c r="Q421" s="8" t="s">
        <v>2135</v>
      </c>
      <c r="R421" s="8" t="s">
        <v>2135</v>
      </c>
      <c r="S421" s="8" t="s">
        <v>2135</v>
      </c>
      <c r="T421" s="8" t="s">
        <v>2135</v>
      </c>
      <c r="U421" s="8" t="s">
        <v>9959</v>
      </c>
      <c r="V421" s="8" t="s">
        <v>9960</v>
      </c>
      <c r="W421" s="8" t="s">
        <v>9961</v>
      </c>
      <c r="X421" s="8" t="s">
        <v>5069</v>
      </c>
      <c r="Y421" s="8" t="s">
        <v>9962</v>
      </c>
      <c r="Z421" s="8" t="s">
        <v>5071</v>
      </c>
      <c r="AA421" s="8" t="s">
        <v>5072</v>
      </c>
      <c r="AB421" s="8" t="s">
        <v>2135</v>
      </c>
      <c r="AC421" s="8" t="s">
        <v>9963</v>
      </c>
      <c r="AD421" s="8" t="s">
        <v>9963</v>
      </c>
      <c r="AE421" s="8" t="s">
        <v>9964</v>
      </c>
      <c r="AF421" s="8" t="s">
        <v>2135</v>
      </c>
      <c r="AG421" s="8">
        <v>64.0</v>
      </c>
      <c r="AH421" s="8">
        <v>13.0</v>
      </c>
      <c r="AI421" s="8">
        <v>14.0</v>
      </c>
      <c r="AJ421" s="8">
        <v>1.0</v>
      </c>
      <c r="AK421" s="8">
        <v>24.0</v>
      </c>
      <c r="AL421" s="8" t="s">
        <v>5802</v>
      </c>
      <c r="AM421" s="8" t="s">
        <v>5803</v>
      </c>
      <c r="AN421" s="8" t="s">
        <v>5804</v>
      </c>
      <c r="AO421" s="8" t="s">
        <v>5805</v>
      </c>
      <c r="AP421" s="8" t="s">
        <v>5806</v>
      </c>
      <c r="AQ421" s="8" t="s">
        <v>2135</v>
      </c>
      <c r="AR421" s="8" t="s">
        <v>5807</v>
      </c>
      <c r="AS421" s="8" t="s">
        <v>5808</v>
      </c>
      <c r="AT421" s="8" t="s">
        <v>2135</v>
      </c>
      <c r="AU421" s="8">
        <v>2008.0</v>
      </c>
      <c r="AV421" s="8">
        <v>35.0</v>
      </c>
      <c r="AW421" s="8">
        <v>8.0</v>
      </c>
      <c r="AX421" s="8" t="s">
        <v>2135</v>
      </c>
      <c r="AY421" s="8" t="s">
        <v>2135</v>
      </c>
      <c r="AZ421" s="8" t="s">
        <v>2135</v>
      </c>
      <c r="BA421" s="8" t="s">
        <v>2135</v>
      </c>
      <c r="BB421" s="8">
        <v>798.0</v>
      </c>
      <c r="BC421" s="8">
        <v>805.0</v>
      </c>
      <c r="BD421" s="8" t="s">
        <v>2135</v>
      </c>
      <c r="BE421" s="8" t="s">
        <v>9965</v>
      </c>
      <c r="BF421" s="13" t="str">
        <f>HYPERLINK("http://dx.doi.org/10.1071/WR08012","http://dx.doi.org/10.1071/WR08012")</f>
        <v>http://dx.doi.org/10.1071/WR08012</v>
      </c>
      <c r="BG421" s="8" t="s">
        <v>2135</v>
      </c>
      <c r="BH421" s="8" t="s">
        <v>2135</v>
      </c>
      <c r="BI421" s="8">
        <v>8.0</v>
      </c>
      <c r="BJ421" s="8" t="s">
        <v>3442</v>
      </c>
      <c r="BK421" s="8" t="s">
        <v>3352</v>
      </c>
      <c r="BL421" s="8" t="s">
        <v>3443</v>
      </c>
      <c r="BM421" s="8" t="s">
        <v>9966</v>
      </c>
      <c r="BN421" s="8" t="s">
        <v>2135</v>
      </c>
      <c r="BO421" s="8" t="s">
        <v>2135</v>
      </c>
      <c r="BP421" s="8" t="s">
        <v>2135</v>
      </c>
      <c r="BQ421" s="8" t="s">
        <v>2135</v>
      </c>
      <c r="BR421" s="8" t="s">
        <v>3355</v>
      </c>
      <c r="BS421" s="8" t="s">
        <v>9967</v>
      </c>
      <c r="BT421" s="8" t="s">
        <v>2379</v>
      </c>
      <c r="BU421" s="8" t="s">
        <v>2142</v>
      </c>
      <c r="BW421" s="8" t="s">
        <v>2143</v>
      </c>
      <c r="BX421" s="8" t="s">
        <v>3093</v>
      </c>
      <c r="BY421" s="8" t="s">
        <v>3092</v>
      </c>
      <c r="BZ421" s="8" t="str">
        <f>HYPERLINK("https%3A%2F%2Fwww.webofscience.com%2Fwos%2Fwoscc%2Ffull-record%2FWOS:000261768000008","View Full Record in Web of Science")</f>
        <v>View Full Record in Web of Science</v>
      </c>
    </row>
    <row r="422" ht="12.75" customHeight="1">
      <c r="A422" s="8" t="s">
        <v>3329</v>
      </c>
      <c r="B422" s="8" t="s">
        <v>9968</v>
      </c>
      <c r="C422" s="8" t="s">
        <v>2135</v>
      </c>
      <c r="D422" s="8" t="s">
        <v>2135</v>
      </c>
      <c r="E422" s="8" t="s">
        <v>2135</v>
      </c>
      <c r="F422" s="8" t="s">
        <v>9969</v>
      </c>
      <c r="G422" s="8" t="s">
        <v>2135</v>
      </c>
      <c r="H422" s="8" t="s">
        <v>2135</v>
      </c>
      <c r="I422" s="8" t="s">
        <v>1587</v>
      </c>
      <c r="J422" s="8" t="s">
        <v>3796</v>
      </c>
      <c r="K422" s="8" t="s">
        <v>2135</v>
      </c>
      <c r="L422" s="8" t="s">
        <v>2135</v>
      </c>
      <c r="M422" s="8" t="s">
        <v>3332</v>
      </c>
      <c r="N422" s="8" t="s">
        <v>3492</v>
      </c>
      <c r="O422" s="8" t="s">
        <v>2135</v>
      </c>
      <c r="P422" s="8" t="s">
        <v>2135</v>
      </c>
      <c r="Q422" s="8" t="s">
        <v>2135</v>
      </c>
      <c r="R422" s="8" t="s">
        <v>2135</v>
      </c>
      <c r="S422" s="8" t="s">
        <v>2135</v>
      </c>
      <c r="T422" s="8" t="s">
        <v>9970</v>
      </c>
      <c r="U422" s="8" t="s">
        <v>9971</v>
      </c>
      <c r="V422" s="8" t="s">
        <v>9972</v>
      </c>
      <c r="W422" s="8" t="s">
        <v>9973</v>
      </c>
      <c r="X422" s="8" t="s">
        <v>5069</v>
      </c>
      <c r="Y422" s="8" t="s">
        <v>9974</v>
      </c>
      <c r="Z422" s="8" t="s">
        <v>5071</v>
      </c>
      <c r="AA422" s="8" t="s">
        <v>5072</v>
      </c>
      <c r="AB422" s="8" t="s">
        <v>2135</v>
      </c>
      <c r="AC422" s="8" t="s">
        <v>2135</v>
      </c>
      <c r="AD422" s="8" t="s">
        <v>2135</v>
      </c>
      <c r="AE422" s="8" t="s">
        <v>2135</v>
      </c>
      <c r="AF422" s="8" t="s">
        <v>2135</v>
      </c>
      <c r="AG422" s="8">
        <v>53.0</v>
      </c>
      <c r="AH422" s="8">
        <v>48.0</v>
      </c>
      <c r="AI422" s="8">
        <v>54.0</v>
      </c>
      <c r="AJ422" s="8">
        <v>0.0</v>
      </c>
      <c r="AK422" s="8">
        <v>36.0</v>
      </c>
      <c r="AL422" s="8" t="s">
        <v>3342</v>
      </c>
      <c r="AM422" s="8" t="s">
        <v>3343</v>
      </c>
      <c r="AN422" s="8" t="s">
        <v>3344</v>
      </c>
      <c r="AO422" s="8" t="s">
        <v>3808</v>
      </c>
      <c r="AP422" s="8" t="s">
        <v>3809</v>
      </c>
      <c r="AQ422" s="8" t="s">
        <v>2135</v>
      </c>
      <c r="AR422" s="8" t="s">
        <v>3810</v>
      </c>
      <c r="AS422" s="8" t="s">
        <v>3811</v>
      </c>
      <c r="AT422" s="8" t="s">
        <v>3629</v>
      </c>
      <c r="AU422" s="8">
        <v>2007.0</v>
      </c>
      <c r="AV422" s="8">
        <v>37.0</v>
      </c>
      <c r="AW422" s="8">
        <v>1.0</v>
      </c>
      <c r="AX422" s="8" t="s">
        <v>2135</v>
      </c>
      <c r="AY422" s="8" t="s">
        <v>2135</v>
      </c>
      <c r="AZ422" s="8" t="s">
        <v>2135</v>
      </c>
      <c r="BA422" s="8" t="s">
        <v>2135</v>
      </c>
      <c r="BB422" s="8">
        <v>71.0</v>
      </c>
      <c r="BC422" s="8">
        <v>79.0</v>
      </c>
      <c r="BD422" s="8" t="s">
        <v>2135</v>
      </c>
      <c r="BE422" s="8" t="s">
        <v>9975</v>
      </c>
      <c r="BF422" s="13" t="str">
        <f>HYPERLINK("http://dx.doi.org/10.1111/j.1365-2907.2007.00105.x","http://dx.doi.org/10.1111/j.1365-2907.2007.00105.x")</f>
        <v>http://dx.doi.org/10.1111/j.1365-2907.2007.00105.x</v>
      </c>
      <c r="BG422" s="8" t="s">
        <v>2135</v>
      </c>
      <c r="BH422" s="8" t="s">
        <v>2135</v>
      </c>
      <c r="BI422" s="8">
        <v>9.0</v>
      </c>
      <c r="BJ422" s="8" t="s">
        <v>3442</v>
      </c>
      <c r="BK422" s="8" t="s">
        <v>3352</v>
      </c>
      <c r="BL422" s="8" t="s">
        <v>3443</v>
      </c>
      <c r="BM422" s="8" t="s">
        <v>9976</v>
      </c>
      <c r="BN422" s="8" t="s">
        <v>2135</v>
      </c>
      <c r="BO422" s="8" t="s">
        <v>2135</v>
      </c>
      <c r="BP422" s="8" t="s">
        <v>2135</v>
      </c>
      <c r="BQ422" s="8" t="s">
        <v>2135</v>
      </c>
      <c r="BR422" s="8" t="s">
        <v>3355</v>
      </c>
      <c r="BS422" s="8" t="s">
        <v>9977</v>
      </c>
      <c r="BT422" s="8" t="s">
        <v>2379</v>
      </c>
      <c r="BU422" s="8" t="s">
        <v>2142</v>
      </c>
      <c r="BW422" s="8" t="s">
        <v>2143</v>
      </c>
      <c r="BX422" s="8" t="s">
        <v>3091</v>
      </c>
      <c r="BY422" s="8" t="s">
        <v>3092</v>
      </c>
      <c r="BZ422" s="8" t="str">
        <f>HYPERLINK("https%3A%2F%2Fwww.webofscience.com%2Fwos%2Fwoscc%2Ffull-record%2FWOS:000245986700004","View Full Record in Web of Science")</f>
        <v>View Full Record in Web of Science</v>
      </c>
    </row>
    <row r="423" ht="12.75" customHeight="1">
      <c r="A423" s="8" t="s">
        <v>3329</v>
      </c>
      <c r="B423" s="8" t="s">
        <v>9978</v>
      </c>
      <c r="C423" s="8" t="s">
        <v>2135</v>
      </c>
      <c r="D423" s="8" t="s">
        <v>2135</v>
      </c>
      <c r="E423" s="8" t="s">
        <v>2135</v>
      </c>
      <c r="F423" s="8" t="s">
        <v>9978</v>
      </c>
      <c r="G423" s="8" t="s">
        <v>2135</v>
      </c>
      <c r="H423" s="8" t="s">
        <v>2135</v>
      </c>
      <c r="I423" s="8" t="s">
        <v>1585</v>
      </c>
      <c r="J423" s="8" t="s">
        <v>5746</v>
      </c>
      <c r="K423" s="8" t="s">
        <v>2135</v>
      </c>
      <c r="L423" s="8" t="s">
        <v>2135</v>
      </c>
      <c r="M423" s="8" t="s">
        <v>3332</v>
      </c>
      <c r="N423" s="8" t="s">
        <v>3333</v>
      </c>
      <c r="O423" s="8" t="s">
        <v>2135</v>
      </c>
      <c r="P423" s="8" t="s">
        <v>2135</v>
      </c>
      <c r="Q423" s="8" t="s">
        <v>2135</v>
      </c>
      <c r="R423" s="8" t="s">
        <v>2135</v>
      </c>
      <c r="S423" s="8" t="s">
        <v>2135</v>
      </c>
      <c r="T423" s="8" t="s">
        <v>2135</v>
      </c>
      <c r="U423" s="8" t="s">
        <v>9979</v>
      </c>
      <c r="V423" s="8" t="s">
        <v>9980</v>
      </c>
      <c r="W423" s="8" t="s">
        <v>9981</v>
      </c>
      <c r="X423" s="8" t="s">
        <v>9780</v>
      </c>
      <c r="Y423" s="8" t="s">
        <v>9982</v>
      </c>
      <c r="Z423" s="8" t="s">
        <v>9983</v>
      </c>
      <c r="AA423" s="8" t="s">
        <v>2135</v>
      </c>
      <c r="AB423" s="8" t="s">
        <v>2135</v>
      </c>
      <c r="AC423" s="8" t="s">
        <v>2135</v>
      </c>
      <c r="AD423" s="8" t="s">
        <v>2135</v>
      </c>
      <c r="AE423" s="8" t="s">
        <v>2135</v>
      </c>
      <c r="AF423" s="8" t="s">
        <v>2135</v>
      </c>
      <c r="AG423" s="8">
        <v>32.0</v>
      </c>
      <c r="AH423" s="8">
        <v>38.0</v>
      </c>
      <c r="AI423" s="8">
        <v>47.0</v>
      </c>
      <c r="AJ423" s="8">
        <v>0.0</v>
      </c>
      <c r="AK423" s="8">
        <v>88.0</v>
      </c>
      <c r="AL423" s="8" t="s">
        <v>3479</v>
      </c>
      <c r="AM423" s="8" t="s">
        <v>4500</v>
      </c>
      <c r="AN423" s="8" t="s">
        <v>4501</v>
      </c>
      <c r="AO423" s="8" t="s">
        <v>5759</v>
      </c>
      <c r="AP423" s="8" t="s">
        <v>5760</v>
      </c>
      <c r="AQ423" s="8" t="s">
        <v>2135</v>
      </c>
      <c r="AR423" s="8" t="s">
        <v>5746</v>
      </c>
      <c r="AS423" s="8" t="s">
        <v>5761</v>
      </c>
      <c r="AT423" s="8" t="s">
        <v>3765</v>
      </c>
      <c r="AU423" s="8">
        <v>2004.0</v>
      </c>
      <c r="AV423" s="8">
        <v>33.0</v>
      </c>
      <c r="AW423" s="8">
        <v>3.0</v>
      </c>
      <c r="AX423" s="8" t="s">
        <v>2135</v>
      </c>
      <c r="AY423" s="8" t="s">
        <v>2135</v>
      </c>
      <c r="AZ423" s="8" t="s">
        <v>2135</v>
      </c>
      <c r="BA423" s="8" t="s">
        <v>2135</v>
      </c>
      <c r="BB423" s="8">
        <v>148.0</v>
      </c>
      <c r="BC423" s="8">
        <v>152.0</v>
      </c>
      <c r="BD423" s="8" t="s">
        <v>2135</v>
      </c>
      <c r="BE423" s="8" t="s">
        <v>9984</v>
      </c>
      <c r="BF423" s="13" t="str">
        <f>HYPERLINK("http://dx.doi.org/10.1639/0044-7447(2004)033[0148:GIOLLP]2.0.CO;2","http://dx.doi.org/10.1639/0044-7447(2004)033[0148:GIOLLP]2.0.CO;2")</f>
        <v>http://dx.doi.org/10.1639/0044-7447(2004)033[0148:GIOLLP]2.0.CO;2</v>
      </c>
      <c r="BG423" s="8" t="s">
        <v>2135</v>
      </c>
      <c r="BH423" s="8" t="s">
        <v>2135</v>
      </c>
      <c r="BI423" s="8">
        <v>5.0</v>
      </c>
      <c r="BJ423" s="8" t="s">
        <v>5763</v>
      </c>
      <c r="BK423" s="8" t="s">
        <v>3352</v>
      </c>
      <c r="BL423" s="8" t="s">
        <v>5764</v>
      </c>
      <c r="BM423" s="8" t="s">
        <v>9985</v>
      </c>
      <c r="BN423" s="8">
        <v>1.5151385E7</v>
      </c>
      <c r="BO423" s="8" t="s">
        <v>2135</v>
      </c>
      <c r="BP423" s="8" t="s">
        <v>2135</v>
      </c>
      <c r="BQ423" s="8" t="s">
        <v>2135</v>
      </c>
      <c r="BR423" s="8" t="s">
        <v>3355</v>
      </c>
      <c r="BS423" s="8" t="s">
        <v>9986</v>
      </c>
      <c r="BT423" s="8" t="s">
        <v>2553</v>
      </c>
      <c r="BU423" s="8" t="s">
        <v>2142</v>
      </c>
      <c r="BW423" s="8" t="s">
        <v>2143</v>
      </c>
      <c r="BX423" s="8" t="s">
        <v>3094</v>
      </c>
      <c r="BY423" s="8" t="s">
        <v>3092</v>
      </c>
      <c r="BZ423" s="8" t="str">
        <f>HYPERLINK("https%3A%2F%2Fwww.webofscience.com%2Fwos%2Fwoscc%2Ffull-record%2FWOS:000221132300006","View Full Record in Web of Science")</f>
        <v>View Full Record in Web of Science</v>
      </c>
    </row>
    <row r="424" ht="12.75" customHeight="1">
      <c r="A424" s="8" t="s">
        <v>3329</v>
      </c>
      <c r="B424" s="8" t="s">
        <v>9987</v>
      </c>
      <c r="C424" s="8" t="s">
        <v>2135</v>
      </c>
      <c r="D424" s="8" t="s">
        <v>2135</v>
      </c>
      <c r="E424" s="8" t="s">
        <v>2135</v>
      </c>
      <c r="F424" s="8" t="s">
        <v>9988</v>
      </c>
      <c r="G424" s="8" t="s">
        <v>2135</v>
      </c>
      <c r="H424" s="8" t="s">
        <v>2135</v>
      </c>
      <c r="I424" s="8" t="s">
        <v>1603</v>
      </c>
      <c r="J424" s="8" t="s">
        <v>9989</v>
      </c>
      <c r="K424" s="8" t="s">
        <v>2135</v>
      </c>
      <c r="L424" s="8" t="s">
        <v>2135</v>
      </c>
      <c r="M424" s="8" t="s">
        <v>9990</v>
      </c>
      <c r="N424" s="8" t="s">
        <v>3333</v>
      </c>
      <c r="O424" s="8" t="s">
        <v>2135</v>
      </c>
      <c r="P424" s="8" t="s">
        <v>2135</v>
      </c>
      <c r="Q424" s="8" t="s">
        <v>2135</v>
      </c>
      <c r="R424" s="8" t="s">
        <v>2135</v>
      </c>
      <c r="S424" s="8" t="s">
        <v>2135</v>
      </c>
      <c r="T424" s="8" t="s">
        <v>9991</v>
      </c>
      <c r="U424" s="8" t="s">
        <v>9992</v>
      </c>
      <c r="V424" s="8" t="s">
        <v>9993</v>
      </c>
      <c r="W424" s="8" t="s">
        <v>9994</v>
      </c>
      <c r="X424" s="8" t="s">
        <v>9995</v>
      </c>
      <c r="Y424" s="8" t="s">
        <v>9996</v>
      </c>
      <c r="Z424" s="8" t="s">
        <v>9997</v>
      </c>
      <c r="AA424" s="8" t="s">
        <v>9998</v>
      </c>
      <c r="AB424" s="8" t="s">
        <v>9999</v>
      </c>
      <c r="AC424" s="8" t="s">
        <v>2135</v>
      </c>
      <c r="AD424" s="8" t="s">
        <v>2135</v>
      </c>
      <c r="AE424" s="8" t="s">
        <v>2135</v>
      </c>
      <c r="AF424" s="8" t="s">
        <v>2135</v>
      </c>
      <c r="AG424" s="8">
        <v>88.0</v>
      </c>
      <c r="AH424" s="8">
        <v>0.0</v>
      </c>
      <c r="AI424" s="8">
        <v>0.0</v>
      </c>
      <c r="AJ424" s="8">
        <v>0.0</v>
      </c>
      <c r="AK424" s="8">
        <v>20.0</v>
      </c>
      <c r="AL424" s="8" t="s">
        <v>10000</v>
      </c>
      <c r="AM424" s="8" t="s">
        <v>10001</v>
      </c>
      <c r="AN424" s="8" t="s">
        <v>10002</v>
      </c>
      <c r="AO424" s="8" t="s">
        <v>10003</v>
      </c>
      <c r="AP424" s="8" t="s">
        <v>10004</v>
      </c>
      <c r="AQ424" s="8" t="s">
        <v>2135</v>
      </c>
      <c r="AR424" s="8" t="s">
        <v>9989</v>
      </c>
      <c r="AS424" s="8" t="s">
        <v>10005</v>
      </c>
      <c r="AT424" s="8" t="s">
        <v>3741</v>
      </c>
      <c r="AU424" s="8">
        <v>2017.0</v>
      </c>
      <c r="AV424" s="8">
        <v>52.0</v>
      </c>
      <c r="AW424" s="8">
        <v>2.0</v>
      </c>
      <c r="AX424" s="8" t="s">
        <v>2135</v>
      </c>
      <c r="AY424" s="8" t="s">
        <v>2135</v>
      </c>
      <c r="AZ424" s="8" t="s">
        <v>2135</v>
      </c>
      <c r="BA424" s="8" t="s">
        <v>2135</v>
      </c>
      <c r="BB424" s="8">
        <v>155.0</v>
      </c>
      <c r="BC424" s="8">
        <v>170.0</v>
      </c>
      <c r="BD424" s="8" t="s">
        <v>2135</v>
      </c>
      <c r="BE424" s="8" t="s">
        <v>10006</v>
      </c>
      <c r="BF424" s="13" t="str">
        <f>HYPERLINK("http://dx.doi.org/10.5252/az2017n2a2","http://dx.doi.org/10.5252/az2017n2a2")</f>
        <v>http://dx.doi.org/10.5252/az2017n2a2</v>
      </c>
      <c r="BG424" s="8" t="s">
        <v>2135</v>
      </c>
      <c r="BH424" s="8" t="s">
        <v>2135</v>
      </c>
      <c r="BI424" s="8">
        <v>16.0</v>
      </c>
      <c r="BJ424" s="8" t="s">
        <v>10007</v>
      </c>
      <c r="BK424" s="8" t="s">
        <v>10008</v>
      </c>
      <c r="BL424" s="8" t="s">
        <v>10007</v>
      </c>
      <c r="BM424" s="8" t="s">
        <v>10009</v>
      </c>
      <c r="BN424" s="8" t="s">
        <v>2135</v>
      </c>
      <c r="BO424" s="8" t="s">
        <v>3425</v>
      </c>
      <c r="BP424" s="8" t="s">
        <v>2135</v>
      </c>
      <c r="BQ424" s="8" t="s">
        <v>2135</v>
      </c>
      <c r="BR424" s="8" t="s">
        <v>3355</v>
      </c>
      <c r="BS424" s="8" t="s">
        <v>10010</v>
      </c>
      <c r="BT424" s="8" t="s">
        <v>2177</v>
      </c>
      <c r="BU424" s="8" t="s">
        <v>2142</v>
      </c>
      <c r="BW424" s="8" t="s">
        <v>2143</v>
      </c>
      <c r="BX424" s="8" t="s">
        <v>3044</v>
      </c>
      <c r="BY424" s="8" t="s">
        <v>2995</v>
      </c>
      <c r="BZ424" s="8" t="str">
        <f>HYPERLINK("https%3A%2F%2Fwww.webofscience.com%2Fwos%2Fwoscc%2Ffull-record%2FWOS:000419168600002","View Full Record in Web of Science")</f>
        <v>View Full Record in Web of Science</v>
      </c>
    </row>
    <row r="425" ht="12.75" customHeight="1">
      <c r="A425" s="8" t="s">
        <v>3329</v>
      </c>
      <c r="B425" s="8" t="s">
        <v>10011</v>
      </c>
      <c r="C425" s="8" t="s">
        <v>2135</v>
      </c>
      <c r="D425" s="8" t="s">
        <v>2135</v>
      </c>
      <c r="E425" s="8" t="s">
        <v>2135</v>
      </c>
      <c r="F425" s="8" t="s">
        <v>10012</v>
      </c>
      <c r="G425" s="8" t="s">
        <v>2135</v>
      </c>
      <c r="H425" s="8" t="s">
        <v>2135</v>
      </c>
      <c r="I425" s="8" t="s">
        <v>1605</v>
      </c>
      <c r="J425" s="8" t="s">
        <v>3747</v>
      </c>
      <c r="K425" s="8" t="s">
        <v>2135</v>
      </c>
      <c r="L425" s="8" t="s">
        <v>2135</v>
      </c>
      <c r="M425" s="8" t="s">
        <v>3332</v>
      </c>
      <c r="N425" s="8" t="s">
        <v>3333</v>
      </c>
      <c r="O425" s="8" t="s">
        <v>2135</v>
      </c>
      <c r="P425" s="8" t="s">
        <v>2135</v>
      </c>
      <c r="Q425" s="8" t="s">
        <v>2135</v>
      </c>
      <c r="R425" s="8" t="s">
        <v>2135</v>
      </c>
      <c r="S425" s="8" t="s">
        <v>2135</v>
      </c>
      <c r="T425" s="8" t="s">
        <v>10013</v>
      </c>
      <c r="U425" s="8" t="s">
        <v>10014</v>
      </c>
      <c r="V425" s="8" t="s">
        <v>10015</v>
      </c>
      <c r="W425" s="8" t="s">
        <v>10016</v>
      </c>
      <c r="X425" s="8" t="s">
        <v>10017</v>
      </c>
      <c r="Y425" s="8" t="s">
        <v>4387</v>
      </c>
      <c r="Z425" s="8" t="s">
        <v>7343</v>
      </c>
      <c r="AA425" s="8" t="s">
        <v>10018</v>
      </c>
      <c r="AB425" s="8" t="s">
        <v>10019</v>
      </c>
      <c r="AC425" s="8" t="s">
        <v>10020</v>
      </c>
      <c r="AD425" s="8" t="s">
        <v>10020</v>
      </c>
      <c r="AE425" s="8" t="s">
        <v>10021</v>
      </c>
      <c r="AF425" s="8" t="s">
        <v>2135</v>
      </c>
      <c r="AG425" s="8">
        <v>41.0</v>
      </c>
      <c r="AH425" s="8">
        <v>19.0</v>
      </c>
      <c r="AI425" s="8">
        <v>25.0</v>
      </c>
      <c r="AJ425" s="8">
        <v>2.0</v>
      </c>
      <c r="AK425" s="8">
        <v>37.0</v>
      </c>
      <c r="AL425" s="8" t="s">
        <v>3758</v>
      </c>
      <c r="AM425" s="8" t="s">
        <v>3759</v>
      </c>
      <c r="AN425" s="8" t="s">
        <v>3760</v>
      </c>
      <c r="AO425" s="8" t="s">
        <v>3761</v>
      </c>
      <c r="AP425" s="8" t="s">
        <v>3762</v>
      </c>
      <c r="AQ425" s="8" t="s">
        <v>2135</v>
      </c>
      <c r="AR425" s="8" t="s">
        <v>3763</v>
      </c>
      <c r="AS425" s="8" t="s">
        <v>3764</v>
      </c>
      <c r="AT425" s="8" t="s">
        <v>3349</v>
      </c>
      <c r="AU425" s="8">
        <v>2017.0</v>
      </c>
      <c r="AV425" s="8">
        <v>210.0</v>
      </c>
      <c r="AW425" s="8" t="s">
        <v>2135</v>
      </c>
      <c r="AX425" s="8" t="s">
        <v>10022</v>
      </c>
      <c r="AY425" s="8" t="s">
        <v>2135</v>
      </c>
      <c r="AZ425" s="8" t="s">
        <v>2135</v>
      </c>
      <c r="BA425" s="8" t="s">
        <v>2135</v>
      </c>
      <c r="BB425" s="8">
        <v>157.0</v>
      </c>
      <c r="BC425" s="8">
        <v>162.0</v>
      </c>
      <c r="BD425" s="8" t="s">
        <v>2135</v>
      </c>
      <c r="BE425" s="8" t="s">
        <v>10023</v>
      </c>
      <c r="BF425" s="13" t="str">
        <f>HYPERLINK("http://dx.doi.org/10.1016/j.biocon.2017.03.010","http://dx.doi.org/10.1016/j.biocon.2017.03.010")</f>
        <v>http://dx.doi.org/10.1016/j.biocon.2017.03.010</v>
      </c>
      <c r="BG425" s="8" t="s">
        <v>2135</v>
      </c>
      <c r="BH425" s="8" t="s">
        <v>2135</v>
      </c>
      <c r="BI425" s="8">
        <v>6.0</v>
      </c>
      <c r="BJ425" s="8" t="s">
        <v>3351</v>
      </c>
      <c r="BK425" s="8" t="s">
        <v>3352</v>
      </c>
      <c r="BL425" s="8" t="s">
        <v>3353</v>
      </c>
      <c r="BM425" s="8" t="s">
        <v>10024</v>
      </c>
      <c r="BN425" s="8" t="s">
        <v>2135</v>
      </c>
      <c r="BO425" s="8" t="s">
        <v>2135</v>
      </c>
      <c r="BP425" s="8" t="s">
        <v>2135</v>
      </c>
      <c r="BQ425" s="8" t="s">
        <v>2135</v>
      </c>
      <c r="BR425" s="8" t="s">
        <v>3355</v>
      </c>
      <c r="BS425" s="8" t="s">
        <v>10025</v>
      </c>
      <c r="BT425" s="8" t="s">
        <v>2396</v>
      </c>
      <c r="BU425" s="8" t="s">
        <v>2283</v>
      </c>
      <c r="BW425" s="8" t="s">
        <v>2143</v>
      </c>
      <c r="BX425" s="8" t="s">
        <v>3090</v>
      </c>
      <c r="BY425" s="8" t="s">
        <v>2995</v>
      </c>
      <c r="BZ425" s="8" t="str">
        <f>HYPERLINK("https%3A%2F%2Fwww.webofscience.com%2Fwos%2Fwoscc%2Ffull-record%2FWOS:000405881600018","View Full Record in Web of Science")</f>
        <v>View Full Record in Web of Science</v>
      </c>
    </row>
    <row r="426" ht="12.75" customHeight="1">
      <c r="A426" s="8" t="s">
        <v>3329</v>
      </c>
      <c r="B426" s="8" t="s">
        <v>10026</v>
      </c>
      <c r="C426" s="8" t="s">
        <v>2135</v>
      </c>
      <c r="D426" s="8" t="s">
        <v>2135</v>
      </c>
      <c r="E426" s="8" t="s">
        <v>2135</v>
      </c>
      <c r="F426" s="8" t="s">
        <v>10027</v>
      </c>
      <c r="G426" s="8" t="s">
        <v>2135</v>
      </c>
      <c r="H426" s="8" t="s">
        <v>2135</v>
      </c>
      <c r="I426" s="8" t="s">
        <v>1601</v>
      </c>
      <c r="J426" s="8" t="s">
        <v>6172</v>
      </c>
      <c r="K426" s="8" t="s">
        <v>2135</v>
      </c>
      <c r="L426" s="8" t="s">
        <v>2135</v>
      </c>
      <c r="M426" s="8" t="s">
        <v>3332</v>
      </c>
      <c r="N426" s="8" t="s">
        <v>3333</v>
      </c>
      <c r="O426" s="8" t="s">
        <v>2135</v>
      </c>
      <c r="P426" s="8" t="s">
        <v>2135</v>
      </c>
      <c r="Q426" s="8" t="s">
        <v>2135</v>
      </c>
      <c r="R426" s="8" t="s">
        <v>2135</v>
      </c>
      <c r="S426" s="8" t="s">
        <v>2135</v>
      </c>
      <c r="T426" s="8" t="s">
        <v>10028</v>
      </c>
      <c r="U426" s="8" t="s">
        <v>10029</v>
      </c>
      <c r="V426" s="8" t="s">
        <v>10030</v>
      </c>
      <c r="W426" s="8" t="s">
        <v>10031</v>
      </c>
      <c r="X426" s="8" t="s">
        <v>10032</v>
      </c>
      <c r="Y426" s="8" t="s">
        <v>10033</v>
      </c>
      <c r="Z426" s="8" t="s">
        <v>10034</v>
      </c>
      <c r="AA426" s="8" t="s">
        <v>10035</v>
      </c>
      <c r="AB426" s="8" t="s">
        <v>2135</v>
      </c>
      <c r="AC426" s="8" t="s">
        <v>10036</v>
      </c>
      <c r="AD426" s="8" t="s">
        <v>10037</v>
      </c>
      <c r="AE426" s="8" t="s">
        <v>10038</v>
      </c>
      <c r="AF426" s="8" t="s">
        <v>2135</v>
      </c>
      <c r="AG426" s="8">
        <v>135.0</v>
      </c>
      <c r="AH426" s="8">
        <v>6.0</v>
      </c>
      <c r="AI426" s="8">
        <v>8.0</v>
      </c>
      <c r="AJ426" s="8">
        <v>0.0</v>
      </c>
      <c r="AK426" s="8">
        <v>113.0</v>
      </c>
      <c r="AL426" s="8" t="s">
        <v>3758</v>
      </c>
      <c r="AM426" s="8" t="s">
        <v>3893</v>
      </c>
      <c r="AN426" s="8" t="s">
        <v>3894</v>
      </c>
      <c r="AO426" s="8" t="s">
        <v>6183</v>
      </c>
      <c r="AP426" s="8" t="s">
        <v>6184</v>
      </c>
      <c r="AQ426" s="8" t="s">
        <v>2135</v>
      </c>
      <c r="AR426" s="8" t="s">
        <v>6185</v>
      </c>
      <c r="AS426" s="8" t="s">
        <v>6186</v>
      </c>
      <c r="AT426" s="8" t="s">
        <v>3485</v>
      </c>
      <c r="AU426" s="8">
        <v>2015.0</v>
      </c>
      <c r="AV426" s="8">
        <v>104.0</v>
      </c>
      <c r="AW426" s="8" t="s">
        <v>2135</v>
      </c>
      <c r="AX426" s="8" t="s">
        <v>2135</v>
      </c>
      <c r="AY426" s="8" t="s">
        <v>2135</v>
      </c>
      <c r="AZ426" s="8" t="s">
        <v>2135</v>
      </c>
      <c r="BA426" s="8" t="s">
        <v>2135</v>
      </c>
      <c r="BB426" s="8">
        <v>90.0</v>
      </c>
      <c r="BC426" s="8">
        <v>105.0</v>
      </c>
      <c r="BD426" s="8" t="s">
        <v>2135</v>
      </c>
      <c r="BE426" s="8" t="s">
        <v>10039</v>
      </c>
      <c r="BF426" s="13" t="str">
        <f>HYPERLINK("http://dx.doi.org/10.1016/j.ocecoaman.2014.12.004","http://dx.doi.org/10.1016/j.ocecoaman.2014.12.004")</f>
        <v>http://dx.doi.org/10.1016/j.ocecoaman.2014.12.004</v>
      </c>
      <c r="BG426" s="8" t="s">
        <v>2135</v>
      </c>
      <c r="BH426" s="8" t="s">
        <v>2135</v>
      </c>
      <c r="BI426" s="8">
        <v>16.0</v>
      </c>
      <c r="BJ426" s="8" t="s">
        <v>6188</v>
      </c>
      <c r="BK426" s="8" t="s">
        <v>3352</v>
      </c>
      <c r="BL426" s="8" t="s">
        <v>6188</v>
      </c>
      <c r="BM426" s="8" t="s">
        <v>10040</v>
      </c>
      <c r="BN426" s="8" t="s">
        <v>2135</v>
      </c>
      <c r="BO426" s="8" t="s">
        <v>2135</v>
      </c>
      <c r="BP426" s="8" t="s">
        <v>2135</v>
      </c>
      <c r="BQ426" s="8" t="s">
        <v>2135</v>
      </c>
      <c r="BR426" s="8" t="s">
        <v>3355</v>
      </c>
      <c r="BS426" s="8" t="s">
        <v>10041</v>
      </c>
      <c r="BT426" s="8" t="s">
        <v>2600</v>
      </c>
      <c r="BU426" s="8" t="s">
        <v>2147</v>
      </c>
      <c r="BV426" s="8" t="s">
        <v>2217</v>
      </c>
      <c r="BW426" s="8" t="s">
        <v>2237</v>
      </c>
      <c r="BX426" s="8" t="s">
        <v>2994</v>
      </c>
      <c r="BY426" s="8" t="s">
        <v>2995</v>
      </c>
      <c r="BZ426" s="8" t="str">
        <f>HYPERLINK("https%3A%2F%2Fwww.webofscience.com%2Fwos%2Fwoscc%2Ffull-record%2FWOS:000348083600009","View Full Record in Web of Science")</f>
        <v>View Full Record in Web of Science</v>
      </c>
    </row>
    <row r="427" ht="12.75" customHeight="1">
      <c r="A427" s="8" t="s">
        <v>3329</v>
      </c>
      <c r="B427" s="8" t="s">
        <v>10042</v>
      </c>
      <c r="C427" s="8" t="s">
        <v>2135</v>
      </c>
      <c r="D427" s="8" t="s">
        <v>2135</v>
      </c>
      <c r="E427" s="8" t="s">
        <v>2135</v>
      </c>
      <c r="F427" s="8" t="s">
        <v>10043</v>
      </c>
      <c r="G427" s="8" t="s">
        <v>2135</v>
      </c>
      <c r="H427" s="8" t="s">
        <v>2135</v>
      </c>
      <c r="I427" s="8" t="s">
        <v>1599</v>
      </c>
      <c r="J427" s="8" t="s">
        <v>4864</v>
      </c>
      <c r="K427" s="8" t="s">
        <v>2135</v>
      </c>
      <c r="L427" s="8" t="s">
        <v>2135</v>
      </c>
      <c r="M427" s="8" t="s">
        <v>3332</v>
      </c>
      <c r="N427" s="8" t="s">
        <v>3333</v>
      </c>
      <c r="O427" s="8" t="s">
        <v>2135</v>
      </c>
      <c r="P427" s="8" t="s">
        <v>2135</v>
      </c>
      <c r="Q427" s="8" t="s">
        <v>2135</v>
      </c>
      <c r="R427" s="8" t="s">
        <v>2135</v>
      </c>
      <c r="S427" s="8" t="s">
        <v>2135</v>
      </c>
      <c r="T427" s="8" t="s">
        <v>10044</v>
      </c>
      <c r="U427" s="8" t="s">
        <v>10045</v>
      </c>
      <c r="V427" s="8" t="s">
        <v>10046</v>
      </c>
      <c r="W427" s="8" t="s">
        <v>10047</v>
      </c>
      <c r="X427" s="8" t="s">
        <v>10048</v>
      </c>
      <c r="Y427" s="8" t="s">
        <v>2135</v>
      </c>
      <c r="Z427" s="8" t="s">
        <v>10049</v>
      </c>
      <c r="AA427" s="8" t="s">
        <v>10050</v>
      </c>
      <c r="AB427" s="8" t="s">
        <v>10051</v>
      </c>
      <c r="AC427" s="8" t="s">
        <v>10052</v>
      </c>
      <c r="AD427" s="8" t="s">
        <v>10053</v>
      </c>
      <c r="AE427" s="8" t="s">
        <v>10054</v>
      </c>
      <c r="AF427" s="8" t="s">
        <v>2135</v>
      </c>
      <c r="AG427" s="8">
        <v>83.0</v>
      </c>
      <c r="AH427" s="8">
        <v>20.0</v>
      </c>
      <c r="AI427" s="8">
        <v>22.0</v>
      </c>
      <c r="AJ427" s="8">
        <v>1.0</v>
      </c>
      <c r="AK427" s="8">
        <v>100.0</v>
      </c>
      <c r="AL427" s="8" t="s">
        <v>3342</v>
      </c>
      <c r="AM427" s="8" t="s">
        <v>3343</v>
      </c>
      <c r="AN427" s="8" t="s">
        <v>3344</v>
      </c>
      <c r="AO427" s="8" t="s">
        <v>4873</v>
      </c>
      <c r="AP427" s="8" t="s">
        <v>4874</v>
      </c>
      <c r="AQ427" s="8" t="s">
        <v>2135</v>
      </c>
      <c r="AR427" s="8" t="s">
        <v>4875</v>
      </c>
      <c r="AS427" s="8" t="s">
        <v>4876</v>
      </c>
      <c r="AT427" s="8" t="s">
        <v>3485</v>
      </c>
      <c r="AU427" s="8">
        <v>2013.0</v>
      </c>
      <c r="AV427" s="8">
        <v>16.0</v>
      </c>
      <c r="AW427" s="8">
        <v>1.0</v>
      </c>
      <c r="AX427" s="8" t="s">
        <v>2135</v>
      </c>
      <c r="AY427" s="8" t="s">
        <v>2135</v>
      </c>
      <c r="AZ427" s="8" t="s">
        <v>2135</v>
      </c>
      <c r="BA427" s="8" t="s">
        <v>2135</v>
      </c>
      <c r="BB427" s="8">
        <v>118.0</v>
      </c>
      <c r="BC427" s="8">
        <v>129.0</v>
      </c>
      <c r="BD427" s="8" t="s">
        <v>2135</v>
      </c>
      <c r="BE427" s="8" t="s">
        <v>10055</v>
      </c>
      <c r="BF427" s="13" t="str">
        <f>HYPERLINK("http://dx.doi.org/10.1111/j.1469-1795.2012.00581.x","http://dx.doi.org/10.1111/j.1469-1795.2012.00581.x")</f>
        <v>http://dx.doi.org/10.1111/j.1469-1795.2012.00581.x</v>
      </c>
      <c r="BG427" s="8" t="s">
        <v>2135</v>
      </c>
      <c r="BH427" s="8" t="s">
        <v>2135</v>
      </c>
      <c r="BI427" s="8">
        <v>12.0</v>
      </c>
      <c r="BJ427" s="8" t="s">
        <v>3558</v>
      </c>
      <c r="BK427" s="8" t="s">
        <v>3352</v>
      </c>
      <c r="BL427" s="8" t="s">
        <v>3353</v>
      </c>
      <c r="BM427" s="8" t="s">
        <v>10056</v>
      </c>
      <c r="BN427" s="8" t="s">
        <v>2135</v>
      </c>
      <c r="BO427" s="8" t="s">
        <v>2135</v>
      </c>
      <c r="BP427" s="8" t="s">
        <v>2135</v>
      </c>
      <c r="BQ427" s="8" t="s">
        <v>2135</v>
      </c>
      <c r="BR427" s="8" t="s">
        <v>3355</v>
      </c>
      <c r="BS427" s="8" t="s">
        <v>10057</v>
      </c>
      <c r="BT427" s="8" t="s">
        <v>2497</v>
      </c>
      <c r="BU427" s="8" t="s">
        <v>2142</v>
      </c>
      <c r="BW427" s="8" t="s">
        <v>2311</v>
      </c>
      <c r="BX427" s="8" t="s">
        <v>2996</v>
      </c>
      <c r="BY427" s="8" t="s">
        <v>2995</v>
      </c>
      <c r="BZ427" s="8" t="str">
        <f>HYPERLINK("https%3A%2F%2Fwww.webofscience.com%2Fwos%2Fwoscc%2Ffull-record%2FWOS:000314171600015","View Full Record in Web of Science")</f>
        <v>View Full Record in Web of Science</v>
      </c>
    </row>
    <row r="428" ht="12.75" customHeight="1">
      <c r="A428" s="8" t="s">
        <v>3329</v>
      </c>
      <c r="B428" s="8" t="s">
        <v>10058</v>
      </c>
      <c r="C428" s="8" t="s">
        <v>2135</v>
      </c>
      <c r="D428" s="8" t="s">
        <v>2135</v>
      </c>
      <c r="E428" s="8" t="s">
        <v>2135</v>
      </c>
      <c r="F428" s="8" t="s">
        <v>10059</v>
      </c>
      <c r="G428" s="8" t="s">
        <v>2135</v>
      </c>
      <c r="H428" s="8" t="s">
        <v>2135</v>
      </c>
      <c r="I428" s="8" t="s">
        <v>1595</v>
      </c>
      <c r="J428" s="8" t="s">
        <v>3331</v>
      </c>
      <c r="K428" s="8" t="s">
        <v>2135</v>
      </c>
      <c r="L428" s="8" t="s">
        <v>2135</v>
      </c>
      <c r="M428" s="8" t="s">
        <v>3332</v>
      </c>
      <c r="N428" s="8" t="s">
        <v>3333</v>
      </c>
      <c r="O428" s="8" t="s">
        <v>2135</v>
      </c>
      <c r="P428" s="8" t="s">
        <v>2135</v>
      </c>
      <c r="Q428" s="8" t="s">
        <v>2135</v>
      </c>
      <c r="R428" s="8" t="s">
        <v>2135</v>
      </c>
      <c r="S428" s="8" t="s">
        <v>2135</v>
      </c>
      <c r="T428" s="8" t="s">
        <v>10060</v>
      </c>
      <c r="U428" s="8" t="s">
        <v>10061</v>
      </c>
      <c r="V428" s="8" t="s">
        <v>10062</v>
      </c>
      <c r="W428" s="8" t="s">
        <v>10063</v>
      </c>
      <c r="X428" s="8" t="s">
        <v>10064</v>
      </c>
      <c r="Y428" s="8" t="s">
        <v>10065</v>
      </c>
      <c r="Z428" s="8" t="s">
        <v>10066</v>
      </c>
      <c r="AA428" s="8" t="s">
        <v>10067</v>
      </c>
      <c r="AB428" s="8" t="s">
        <v>10068</v>
      </c>
      <c r="AC428" s="8" t="s">
        <v>10069</v>
      </c>
      <c r="AD428" s="8" t="s">
        <v>10070</v>
      </c>
      <c r="AE428" s="8" t="s">
        <v>10071</v>
      </c>
      <c r="AF428" s="8" t="s">
        <v>2135</v>
      </c>
      <c r="AG428" s="8">
        <v>50.0</v>
      </c>
      <c r="AH428" s="8">
        <v>46.0</v>
      </c>
      <c r="AI428" s="8">
        <v>51.0</v>
      </c>
      <c r="AJ428" s="8">
        <v>1.0</v>
      </c>
      <c r="AK428" s="8">
        <v>187.0</v>
      </c>
      <c r="AL428" s="8" t="s">
        <v>3342</v>
      </c>
      <c r="AM428" s="8" t="s">
        <v>3343</v>
      </c>
      <c r="AN428" s="8" t="s">
        <v>3344</v>
      </c>
      <c r="AO428" s="8" t="s">
        <v>3345</v>
      </c>
      <c r="AP428" s="8" t="s">
        <v>3346</v>
      </c>
      <c r="AQ428" s="8" t="s">
        <v>2135</v>
      </c>
      <c r="AR428" s="8" t="s">
        <v>3347</v>
      </c>
      <c r="AS428" s="8" t="s">
        <v>3348</v>
      </c>
      <c r="AT428" s="8" t="s">
        <v>3741</v>
      </c>
      <c r="AU428" s="8">
        <v>2012.0</v>
      </c>
      <c r="AV428" s="8">
        <v>26.0</v>
      </c>
      <c r="AW428" s="8">
        <v>6.0</v>
      </c>
      <c r="AX428" s="8" t="s">
        <v>2135</v>
      </c>
      <c r="AY428" s="8" t="s">
        <v>2135</v>
      </c>
      <c r="AZ428" s="8" t="s">
        <v>2135</v>
      </c>
      <c r="BA428" s="8" t="s">
        <v>2135</v>
      </c>
      <c r="BB428" s="8">
        <v>1016.0</v>
      </c>
      <c r="BC428" s="8">
        <v>1025.0</v>
      </c>
      <c r="BD428" s="8" t="s">
        <v>2135</v>
      </c>
      <c r="BE428" s="8" t="s">
        <v>10072</v>
      </c>
      <c r="BF428" s="13" t="str">
        <f>HYPERLINK("http://dx.doi.org/10.1111/j.1523-1739.2012.01951.x","http://dx.doi.org/10.1111/j.1523-1739.2012.01951.x")</f>
        <v>http://dx.doi.org/10.1111/j.1523-1739.2012.01951.x</v>
      </c>
      <c r="BG428" s="8" t="s">
        <v>2135</v>
      </c>
      <c r="BH428" s="8" t="s">
        <v>2135</v>
      </c>
      <c r="BI428" s="8">
        <v>10.0</v>
      </c>
      <c r="BJ428" s="8" t="s">
        <v>3351</v>
      </c>
      <c r="BK428" s="8" t="s">
        <v>3352</v>
      </c>
      <c r="BL428" s="8" t="s">
        <v>3353</v>
      </c>
      <c r="BM428" s="8" t="s">
        <v>10073</v>
      </c>
      <c r="BN428" s="8">
        <v>2.3083059E7</v>
      </c>
      <c r="BO428" s="8" t="s">
        <v>2135</v>
      </c>
      <c r="BP428" s="8" t="s">
        <v>2135</v>
      </c>
      <c r="BQ428" s="8" t="s">
        <v>2135</v>
      </c>
      <c r="BR428" s="8" t="s">
        <v>3355</v>
      </c>
      <c r="BS428" s="8" t="s">
        <v>10074</v>
      </c>
      <c r="BT428" s="8" t="s">
        <v>2600</v>
      </c>
      <c r="BU428" s="8" t="s">
        <v>2147</v>
      </c>
      <c r="BV428" s="8" t="s">
        <v>2217</v>
      </c>
      <c r="BW428" s="8" t="s">
        <v>2237</v>
      </c>
      <c r="BX428" s="8" t="s">
        <v>2996</v>
      </c>
      <c r="BY428" s="8" t="s">
        <v>2995</v>
      </c>
      <c r="BZ428" s="8" t="str">
        <f>HYPERLINK("https%3A%2F%2Fwww.webofscience.com%2Fwos%2Fwoscc%2Ffull-record%2FWOS:000310798400009","View Full Record in Web of Science")</f>
        <v>View Full Record in Web of Science</v>
      </c>
    </row>
    <row r="429" ht="12.75" customHeight="1">
      <c r="A429" s="8" t="s">
        <v>3329</v>
      </c>
      <c r="B429" s="8" t="s">
        <v>10075</v>
      </c>
      <c r="C429" s="8" t="s">
        <v>2135</v>
      </c>
      <c r="D429" s="8" t="s">
        <v>2135</v>
      </c>
      <c r="E429" s="8" t="s">
        <v>2135</v>
      </c>
      <c r="F429" s="8" t="s">
        <v>10076</v>
      </c>
      <c r="G429" s="8" t="s">
        <v>2135</v>
      </c>
      <c r="H429" s="8" t="s">
        <v>2135</v>
      </c>
      <c r="I429" s="8" t="s">
        <v>1597</v>
      </c>
      <c r="J429" s="8" t="s">
        <v>4958</v>
      </c>
      <c r="K429" s="8" t="s">
        <v>2135</v>
      </c>
      <c r="L429" s="8" t="s">
        <v>2135</v>
      </c>
      <c r="M429" s="8" t="s">
        <v>3332</v>
      </c>
      <c r="N429" s="8" t="s">
        <v>3333</v>
      </c>
      <c r="O429" s="8" t="s">
        <v>2135</v>
      </c>
      <c r="P429" s="8" t="s">
        <v>2135</v>
      </c>
      <c r="Q429" s="8" t="s">
        <v>2135</v>
      </c>
      <c r="R429" s="8" t="s">
        <v>2135</v>
      </c>
      <c r="S429" s="8" t="s">
        <v>2135</v>
      </c>
      <c r="T429" s="8" t="s">
        <v>10077</v>
      </c>
      <c r="U429" s="8" t="s">
        <v>10078</v>
      </c>
      <c r="V429" s="8" t="s">
        <v>10079</v>
      </c>
      <c r="W429" s="8" t="s">
        <v>10080</v>
      </c>
      <c r="X429" s="8" t="s">
        <v>10081</v>
      </c>
      <c r="Y429" s="8" t="s">
        <v>10082</v>
      </c>
      <c r="Z429" s="8" t="s">
        <v>10083</v>
      </c>
      <c r="AA429" s="8" t="s">
        <v>2135</v>
      </c>
      <c r="AB429" s="8" t="s">
        <v>10084</v>
      </c>
      <c r="AC429" s="8" t="s">
        <v>10085</v>
      </c>
      <c r="AD429" s="8" t="s">
        <v>10085</v>
      </c>
      <c r="AE429" s="8" t="s">
        <v>10086</v>
      </c>
      <c r="AF429" s="8" t="s">
        <v>2135</v>
      </c>
      <c r="AG429" s="8">
        <v>26.0</v>
      </c>
      <c r="AH429" s="8">
        <v>11.0</v>
      </c>
      <c r="AI429" s="8">
        <v>14.0</v>
      </c>
      <c r="AJ429" s="8">
        <v>0.0</v>
      </c>
      <c r="AK429" s="8">
        <v>68.0</v>
      </c>
      <c r="AL429" s="8" t="s">
        <v>3342</v>
      </c>
      <c r="AM429" s="8" t="s">
        <v>3343</v>
      </c>
      <c r="AN429" s="8" t="s">
        <v>3344</v>
      </c>
      <c r="AO429" s="8" t="s">
        <v>5660</v>
      </c>
      <c r="AP429" s="8" t="s">
        <v>2135</v>
      </c>
      <c r="AQ429" s="8" t="s">
        <v>2135</v>
      </c>
      <c r="AR429" s="8" t="s">
        <v>4966</v>
      </c>
      <c r="AS429" s="8" t="s">
        <v>4967</v>
      </c>
      <c r="AT429" s="8" t="s">
        <v>3721</v>
      </c>
      <c r="AU429" s="8">
        <v>2012.0</v>
      </c>
      <c r="AV429" s="8">
        <v>36.0</v>
      </c>
      <c r="AW429" s="8">
        <v>1.0</v>
      </c>
      <c r="AX429" s="8" t="s">
        <v>2135</v>
      </c>
      <c r="AY429" s="8" t="s">
        <v>2135</v>
      </c>
      <c r="AZ429" s="8" t="s">
        <v>2135</v>
      </c>
      <c r="BA429" s="8" t="s">
        <v>2135</v>
      </c>
      <c r="BB429" s="8">
        <v>6.0</v>
      </c>
      <c r="BC429" s="8">
        <v>15.0</v>
      </c>
      <c r="BD429" s="8" t="s">
        <v>2135</v>
      </c>
      <c r="BE429" s="8" t="s">
        <v>10087</v>
      </c>
      <c r="BF429" s="13" t="str">
        <f>HYPERLINK("http://dx.doi.org/10.1002/wsb.113","http://dx.doi.org/10.1002/wsb.113")</f>
        <v>http://dx.doi.org/10.1002/wsb.113</v>
      </c>
      <c r="BG429" s="8" t="s">
        <v>2135</v>
      </c>
      <c r="BH429" s="8" t="s">
        <v>2135</v>
      </c>
      <c r="BI429" s="8">
        <v>10.0</v>
      </c>
      <c r="BJ429" s="8" t="s">
        <v>3604</v>
      </c>
      <c r="BK429" s="8" t="s">
        <v>3352</v>
      </c>
      <c r="BL429" s="8" t="s">
        <v>3605</v>
      </c>
      <c r="BM429" s="8" t="s">
        <v>10088</v>
      </c>
      <c r="BN429" s="8" t="s">
        <v>2135</v>
      </c>
      <c r="BO429" s="8" t="s">
        <v>2135</v>
      </c>
      <c r="BP429" s="8" t="s">
        <v>2135</v>
      </c>
      <c r="BQ429" s="8" t="s">
        <v>2135</v>
      </c>
      <c r="BR429" s="8" t="s">
        <v>3355</v>
      </c>
      <c r="BS429" s="8" t="s">
        <v>10089</v>
      </c>
      <c r="BT429" s="8" t="s">
        <v>2600</v>
      </c>
      <c r="BU429" s="8" t="s">
        <v>2147</v>
      </c>
      <c r="BV429" s="8" t="s">
        <v>2217</v>
      </c>
      <c r="BW429" s="8" t="s">
        <v>2237</v>
      </c>
      <c r="BX429" s="8" t="s">
        <v>2996</v>
      </c>
      <c r="BY429" s="8" t="s">
        <v>2995</v>
      </c>
      <c r="BZ429" s="8" t="str">
        <f>HYPERLINK("https%3A%2F%2Fwww.webofscience.com%2Fwos%2Fwoscc%2Ffull-record%2FWOS:000209333000003","View Full Record in Web of Science")</f>
        <v>View Full Record in Web of Science</v>
      </c>
    </row>
    <row r="430" ht="12.75" customHeight="1">
      <c r="A430" s="8" t="s">
        <v>3329</v>
      </c>
      <c r="B430" s="8" t="s">
        <v>10090</v>
      </c>
      <c r="C430" s="8" t="s">
        <v>2135</v>
      </c>
      <c r="D430" s="8" t="s">
        <v>2135</v>
      </c>
      <c r="E430" s="8" t="s">
        <v>2135</v>
      </c>
      <c r="F430" s="8" t="s">
        <v>10091</v>
      </c>
      <c r="G430" s="8" t="s">
        <v>2135</v>
      </c>
      <c r="H430" s="8" t="s">
        <v>2135</v>
      </c>
      <c r="I430" s="8" t="s">
        <v>1610</v>
      </c>
      <c r="J430" s="8" t="s">
        <v>10092</v>
      </c>
      <c r="K430" s="8" t="s">
        <v>2135</v>
      </c>
      <c r="L430" s="8" t="s">
        <v>2135</v>
      </c>
      <c r="M430" s="8" t="s">
        <v>3332</v>
      </c>
      <c r="N430" s="8" t="s">
        <v>3333</v>
      </c>
      <c r="O430" s="8" t="s">
        <v>2135</v>
      </c>
      <c r="P430" s="8" t="s">
        <v>2135</v>
      </c>
      <c r="Q430" s="8" t="s">
        <v>2135</v>
      </c>
      <c r="R430" s="8" t="s">
        <v>2135</v>
      </c>
      <c r="S430" s="8" t="s">
        <v>2135</v>
      </c>
      <c r="T430" s="8" t="s">
        <v>10093</v>
      </c>
      <c r="U430" s="8" t="s">
        <v>2135</v>
      </c>
      <c r="V430" s="8" t="s">
        <v>10094</v>
      </c>
      <c r="W430" s="8" t="s">
        <v>10095</v>
      </c>
      <c r="X430" s="8" t="s">
        <v>10096</v>
      </c>
      <c r="Y430" s="8" t="s">
        <v>10097</v>
      </c>
      <c r="Z430" s="8" t="s">
        <v>10098</v>
      </c>
      <c r="AA430" s="8" t="s">
        <v>10099</v>
      </c>
      <c r="AB430" s="8" t="s">
        <v>10100</v>
      </c>
      <c r="AC430" s="8" t="s">
        <v>2135</v>
      </c>
      <c r="AD430" s="8" t="s">
        <v>2135</v>
      </c>
      <c r="AE430" s="8" t="s">
        <v>2135</v>
      </c>
      <c r="AF430" s="8" t="s">
        <v>2135</v>
      </c>
      <c r="AG430" s="8">
        <v>21.0</v>
      </c>
      <c r="AH430" s="8">
        <v>10.0</v>
      </c>
      <c r="AI430" s="8">
        <v>17.0</v>
      </c>
      <c r="AJ430" s="8">
        <v>1.0</v>
      </c>
      <c r="AK430" s="8">
        <v>17.0</v>
      </c>
      <c r="AL430" s="8" t="s">
        <v>3479</v>
      </c>
      <c r="AM430" s="8" t="s">
        <v>4500</v>
      </c>
      <c r="AN430" s="8" t="s">
        <v>4501</v>
      </c>
      <c r="AO430" s="8" t="s">
        <v>10101</v>
      </c>
      <c r="AP430" s="8" t="s">
        <v>10102</v>
      </c>
      <c r="AQ430" s="8" t="s">
        <v>2135</v>
      </c>
      <c r="AR430" s="8" t="s">
        <v>10103</v>
      </c>
      <c r="AS430" s="8" t="s">
        <v>10104</v>
      </c>
      <c r="AT430" s="8" t="s">
        <v>3440</v>
      </c>
      <c r="AU430" s="8">
        <v>2019.0</v>
      </c>
      <c r="AV430" s="8">
        <v>191.0</v>
      </c>
      <c r="AW430" s="8">
        <v>11.0</v>
      </c>
      <c r="AX430" s="8" t="s">
        <v>2135</v>
      </c>
      <c r="AY430" s="8" t="s">
        <v>2135</v>
      </c>
      <c r="AZ430" s="8" t="s">
        <v>2135</v>
      </c>
      <c r="BA430" s="8" t="s">
        <v>2135</v>
      </c>
      <c r="BB430" s="8" t="s">
        <v>2135</v>
      </c>
      <c r="BC430" s="8" t="s">
        <v>2135</v>
      </c>
      <c r="BD430" s="8">
        <v>645.0</v>
      </c>
      <c r="BE430" s="8" t="s">
        <v>10105</v>
      </c>
      <c r="BF430" s="13" t="str">
        <f>HYPERLINK("http://dx.doi.org/10.1007/s10661-019-7833-1","http://dx.doi.org/10.1007/s10661-019-7833-1")</f>
        <v>http://dx.doi.org/10.1007/s10661-019-7833-1</v>
      </c>
      <c r="BG430" s="8" t="s">
        <v>2135</v>
      </c>
      <c r="BH430" s="8" t="s">
        <v>2135</v>
      </c>
      <c r="BI430" s="8">
        <v>8.0</v>
      </c>
      <c r="BJ430" s="8" t="s">
        <v>6399</v>
      </c>
      <c r="BK430" s="8" t="s">
        <v>3352</v>
      </c>
      <c r="BL430" s="8" t="s">
        <v>3632</v>
      </c>
      <c r="BM430" s="8" t="s">
        <v>10106</v>
      </c>
      <c r="BN430" s="8">
        <v>3.1617007E7</v>
      </c>
      <c r="BO430" s="8" t="s">
        <v>2135</v>
      </c>
      <c r="BP430" s="8" t="s">
        <v>2135</v>
      </c>
      <c r="BQ430" s="8" t="s">
        <v>2135</v>
      </c>
      <c r="BR430" s="8" t="s">
        <v>3355</v>
      </c>
      <c r="BS430" s="8" t="s">
        <v>10107</v>
      </c>
      <c r="BT430" s="8" t="s">
        <v>2551</v>
      </c>
      <c r="BU430" s="8" t="s">
        <v>2142</v>
      </c>
      <c r="BW430" s="8" t="s">
        <v>2143</v>
      </c>
      <c r="BX430" s="8" t="s">
        <v>3098</v>
      </c>
      <c r="BY430" s="8" t="s">
        <v>3097</v>
      </c>
      <c r="BZ430" s="8" t="str">
        <f>HYPERLINK("https%3A%2F%2Fwww.webofscience.com%2Fwos%2Fwoscc%2Ffull-record%2FWOS:000490283900001","View Full Record in Web of Science")</f>
        <v>View Full Record in Web of Science</v>
      </c>
    </row>
    <row r="431" ht="12.75" customHeight="1">
      <c r="A431" s="8" t="s">
        <v>3329</v>
      </c>
      <c r="B431" s="8" t="s">
        <v>10108</v>
      </c>
      <c r="C431" s="8" t="s">
        <v>2135</v>
      </c>
      <c r="D431" s="8" t="s">
        <v>2135</v>
      </c>
      <c r="E431" s="8" t="s">
        <v>2135</v>
      </c>
      <c r="F431" s="8" t="s">
        <v>10109</v>
      </c>
      <c r="G431" s="8" t="s">
        <v>2135</v>
      </c>
      <c r="H431" s="8" t="s">
        <v>2135</v>
      </c>
      <c r="I431" s="8" t="s">
        <v>1613</v>
      </c>
      <c r="J431" s="8" t="s">
        <v>4336</v>
      </c>
      <c r="K431" s="8" t="s">
        <v>2135</v>
      </c>
      <c r="L431" s="8" t="s">
        <v>2135</v>
      </c>
      <c r="M431" s="8" t="s">
        <v>3332</v>
      </c>
      <c r="N431" s="8" t="s">
        <v>3492</v>
      </c>
      <c r="O431" s="8" t="s">
        <v>2135</v>
      </c>
      <c r="P431" s="8" t="s">
        <v>2135</v>
      </c>
      <c r="Q431" s="8" t="s">
        <v>2135</v>
      </c>
      <c r="R431" s="8" t="s">
        <v>2135</v>
      </c>
      <c r="S431" s="8" t="s">
        <v>2135</v>
      </c>
      <c r="T431" s="8" t="s">
        <v>10110</v>
      </c>
      <c r="U431" s="8" t="s">
        <v>10111</v>
      </c>
      <c r="V431" s="8" t="s">
        <v>10112</v>
      </c>
      <c r="W431" s="8" t="s">
        <v>10113</v>
      </c>
      <c r="X431" s="8" t="s">
        <v>10114</v>
      </c>
      <c r="Y431" s="8" t="s">
        <v>10115</v>
      </c>
      <c r="Z431" s="8" t="s">
        <v>10116</v>
      </c>
      <c r="AA431" s="8" t="s">
        <v>10117</v>
      </c>
      <c r="AB431" s="8" t="s">
        <v>10118</v>
      </c>
      <c r="AC431" s="8" t="s">
        <v>2135</v>
      </c>
      <c r="AD431" s="8" t="s">
        <v>2135</v>
      </c>
      <c r="AE431" s="8" t="s">
        <v>2135</v>
      </c>
      <c r="AF431" s="8" t="s">
        <v>2135</v>
      </c>
      <c r="AG431" s="8">
        <v>59.0</v>
      </c>
      <c r="AH431" s="8">
        <v>2.0</v>
      </c>
      <c r="AI431" s="8">
        <v>4.0</v>
      </c>
      <c r="AJ431" s="8">
        <v>1.0</v>
      </c>
      <c r="AK431" s="8">
        <v>16.0</v>
      </c>
      <c r="AL431" s="8" t="s">
        <v>4346</v>
      </c>
      <c r="AM431" s="8" t="s">
        <v>4347</v>
      </c>
      <c r="AN431" s="8" t="s">
        <v>4348</v>
      </c>
      <c r="AO431" s="8" t="s">
        <v>4349</v>
      </c>
      <c r="AP431" s="8" t="s">
        <v>4350</v>
      </c>
      <c r="AQ431" s="8" t="s">
        <v>2135</v>
      </c>
      <c r="AR431" s="8" t="s">
        <v>4351</v>
      </c>
      <c r="AS431" s="8" t="s">
        <v>4352</v>
      </c>
      <c r="AT431" s="8" t="s">
        <v>3580</v>
      </c>
      <c r="AU431" s="8">
        <v>2019.0</v>
      </c>
      <c r="AV431" s="8">
        <v>68.0</v>
      </c>
      <c r="AW431" s="8">
        <v>4.0</v>
      </c>
      <c r="AX431" s="8" t="s">
        <v>2135</v>
      </c>
      <c r="AY431" s="8" t="s">
        <v>2135</v>
      </c>
      <c r="AZ431" s="8" t="s">
        <v>2135</v>
      </c>
      <c r="BA431" s="8" t="s">
        <v>2135</v>
      </c>
      <c r="BB431" s="8">
        <v>246.0</v>
      </c>
      <c r="BC431" s="8">
        <v>252.0</v>
      </c>
      <c r="BD431" s="8" t="s">
        <v>2135</v>
      </c>
      <c r="BE431" s="8" t="s">
        <v>10119</v>
      </c>
      <c r="BF431" s="13" t="str">
        <f>HYPERLINK("http://dx.doi.org/10.25225/fozo.073.2019","http://dx.doi.org/10.25225/fozo.073.2019")</f>
        <v>http://dx.doi.org/10.25225/fozo.073.2019</v>
      </c>
      <c r="BG431" s="8" t="s">
        <v>2135</v>
      </c>
      <c r="BH431" s="8" t="s">
        <v>2135</v>
      </c>
      <c r="BI431" s="8">
        <v>7.0</v>
      </c>
      <c r="BJ431" s="8" t="s">
        <v>3397</v>
      </c>
      <c r="BK431" s="8" t="s">
        <v>3352</v>
      </c>
      <c r="BL431" s="8" t="s">
        <v>3397</v>
      </c>
      <c r="BM431" s="8" t="s">
        <v>10120</v>
      </c>
      <c r="BN431" s="8" t="s">
        <v>2135</v>
      </c>
      <c r="BO431" s="8" t="s">
        <v>5131</v>
      </c>
      <c r="BP431" s="8" t="s">
        <v>2135</v>
      </c>
      <c r="BQ431" s="8" t="s">
        <v>2135</v>
      </c>
      <c r="BR431" s="8" t="s">
        <v>3355</v>
      </c>
      <c r="BS431" s="8" t="s">
        <v>10121</v>
      </c>
      <c r="BT431" s="8" t="s">
        <v>2350</v>
      </c>
      <c r="BU431" s="8" t="s">
        <v>2142</v>
      </c>
      <c r="BW431" s="8" t="s">
        <v>2143</v>
      </c>
      <c r="BX431" s="8" t="s">
        <v>3096</v>
      </c>
      <c r="BY431" s="8" t="s">
        <v>3097</v>
      </c>
      <c r="BZ431" s="8" t="str">
        <f>HYPERLINK("https%3A%2F%2Fwww.webofscience.com%2Fwos%2Fwoscc%2Ffull-record%2FWOS:000500279000004","View Full Record in Web of Science")</f>
        <v>View Full Record in Web of Science</v>
      </c>
    </row>
    <row r="432" ht="12.75" customHeight="1">
      <c r="A432" s="8" t="s">
        <v>3329</v>
      </c>
      <c r="B432" s="8" t="s">
        <v>10122</v>
      </c>
      <c r="C432" s="8" t="s">
        <v>2135</v>
      </c>
      <c r="D432" s="8" t="s">
        <v>2135</v>
      </c>
      <c r="E432" s="8" t="s">
        <v>2135</v>
      </c>
      <c r="F432" s="8" t="s">
        <v>10123</v>
      </c>
      <c r="G432" s="8" t="s">
        <v>2135</v>
      </c>
      <c r="H432" s="8" t="s">
        <v>2135</v>
      </c>
      <c r="I432" s="8" t="s">
        <v>1615</v>
      </c>
      <c r="J432" s="8" t="s">
        <v>10124</v>
      </c>
      <c r="K432" s="8" t="s">
        <v>2135</v>
      </c>
      <c r="L432" s="8" t="s">
        <v>2135</v>
      </c>
      <c r="M432" s="8" t="s">
        <v>3332</v>
      </c>
      <c r="N432" s="8" t="s">
        <v>3333</v>
      </c>
      <c r="O432" s="8" t="s">
        <v>2135</v>
      </c>
      <c r="P432" s="8" t="s">
        <v>2135</v>
      </c>
      <c r="Q432" s="8" t="s">
        <v>2135</v>
      </c>
      <c r="R432" s="8" t="s">
        <v>2135</v>
      </c>
      <c r="S432" s="8" t="s">
        <v>2135</v>
      </c>
      <c r="T432" s="8" t="s">
        <v>10125</v>
      </c>
      <c r="U432" s="8" t="s">
        <v>10126</v>
      </c>
      <c r="V432" s="8" t="s">
        <v>10127</v>
      </c>
      <c r="W432" s="8" t="s">
        <v>10128</v>
      </c>
      <c r="X432" s="8" t="s">
        <v>10129</v>
      </c>
      <c r="Y432" s="8" t="s">
        <v>10130</v>
      </c>
      <c r="Z432" s="8" t="s">
        <v>10131</v>
      </c>
      <c r="AA432" s="8" t="s">
        <v>10132</v>
      </c>
      <c r="AB432" s="8" t="s">
        <v>10133</v>
      </c>
      <c r="AC432" s="8" t="s">
        <v>10134</v>
      </c>
      <c r="AD432" s="8" t="s">
        <v>10135</v>
      </c>
      <c r="AE432" s="8" t="s">
        <v>10136</v>
      </c>
      <c r="AF432" s="8" t="s">
        <v>2135</v>
      </c>
      <c r="AG432" s="8">
        <v>87.0</v>
      </c>
      <c r="AH432" s="8">
        <v>18.0</v>
      </c>
      <c r="AI432" s="8">
        <v>21.0</v>
      </c>
      <c r="AJ432" s="8">
        <v>1.0</v>
      </c>
      <c r="AK432" s="8">
        <v>104.0</v>
      </c>
      <c r="AL432" s="8" t="s">
        <v>10137</v>
      </c>
      <c r="AM432" s="8" t="s">
        <v>3624</v>
      </c>
      <c r="AN432" s="8" t="s">
        <v>10138</v>
      </c>
      <c r="AO432" s="8" t="s">
        <v>10139</v>
      </c>
      <c r="AP432" s="8" t="s">
        <v>2135</v>
      </c>
      <c r="AQ432" s="8" t="s">
        <v>2135</v>
      </c>
      <c r="AR432" s="8" t="s">
        <v>10124</v>
      </c>
      <c r="AS432" s="8" t="s">
        <v>10140</v>
      </c>
      <c r="AT432" s="8" t="s">
        <v>10141</v>
      </c>
      <c r="AU432" s="8">
        <v>2019.0</v>
      </c>
      <c r="AV432" s="8">
        <v>7.0</v>
      </c>
      <c r="AW432" s="8" t="s">
        <v>2135</v>
      </c>
      <c r="AX432" s="8" t="s">
        <v>2135</v>
      </c>
      <c r="AY432" s="8" t="s">
        <v>2135</v>
      </c>
      <c r="AZ432" s="8" t="s">
        <v>2135</v>
      </c>
      <c r="BA432" s="8" t="s">
        <v>2135</v>
      </c>
      <c r="BB432" s="8" t="s">
        <v>2135</v>
      </c>
      <c r="BC432" s="8" t="s">
        <v>2135</v>
      </c>
      <c r="BD432" s="8" t="s">
        <v>10142</v>
      </c>
      <c r="BE432" s="8" t="s">
        <v>10143</v>
      </c>
      <c r="BF432" s="13" t="str">
        <f>HYPERLINK("http://dx.doi.org/10.7717/peerj.8100","http://dx.doi.org/10.7717/peerj.8100")</f>
        <v>http://dx.doi.org/10.7717/peerj.8100</v>
      </c>
      <c r="BG432" s="8" t="s">
        <v>2135</v>
      </c>
      <c r="BH432" s="8" t="s">
        <v>2135</v>
      </c>
      <c r="BI432" s="8">
        <v>30.0</v>
      </c>
      <c r="BJ432" s="8" t="s">
        <v>3656</v>
      </c>
      <c r="BK432" s="8" t="s">
        <v>3352</v>
      </c>
      <c r="BL432" s="8" t="s">
        <v>3657</v>
      </c>
      <c r="BM432" s="8" t="s">
        <v>10144</v>
      </c>
      <c r="BN432" s="8">
        <v>3.1844568E7</v>
      </c>
      <c r="BO432" s="8" t="s">
        <v>3659</v>
      </c>
      <c r="BP432" s="8" t="s">
        <v>2135</v>
      </c>
      <c r="BQ432" s="8" t="s">
        <v>2135</v>
      </c>
      <c r="BR432" s="8" t="s">
        <v>3355</v>
      </c>
      <c r="BS432" s="8" t="s">
        <v>10145</v>
      </c>
      <c r="BT432" s="8" t="s">
        <v>2600</v>
      </c>
      <c r="BU432" s="8" t="s">
        <v>2147</v>
      </c>
      <c r="BV432" s="8" t="s">
        <v>2217</v>
      </c>
      <c r="BW432" s="8" t="s">
        <v>2237</v>
      </c>
      <c r="BX432" s="8" t="s">
        <v>2997</v>
      </c>
      <c r="BY432" s="8" t="s">
        <v>2998</v>
      </c>
      <c r="BZ432" s="8" t="str">
        <f>HYPERLINK("https%3A%2F%2Fwww.webofscience.com%2Fwos%2Fwoscc%2Ffull-record%2FWOS:000502042900004","View Full Record in Web of Science")</f>
        <v>View Full Record in Web of Science</v>
      </c>
    </row>
    <row r="433" ht="12.75" customHeight="1">
      <c r="A433" s="8" t="s">
        <v>3329</v>
      </c>
      <c r="B433" s="8" t="s">
        <v>10146</v>
      </c>
      <c r="C433" s="8" t="s">
        <v>2135</v>
      </c>
      <c r="D433" s="8" t="s">
        <v>2135</v>
      </c>
      <c r="E433" s="8" t="s">
        <v>2135</v>
      </c>
      <c r="F433" s="8" t="s">
        <v>10147</v>
      </c>
      <c r="G433" s="8" t="s">
        <v>2135</v>
      </c>
      <c r="H433" s="8" t="s">
        <v>2135</v>
      </c>
      <c r="I433" s="8" t="s">
        <v>1627</v>
      </c>
      <c r="J433" s="8" t="s">
        <v>10148</v>
      </c>
      <c r="K433" s="8" t="s">
        <v>2135</v>
      </c>
      <c r="L433" s="8" t="s">
        <v>2135</v>
      </c>
      <c r="M433" s="8" t="s">
        <v>3332</v>
      </c>
      <c r="N433" s="8" t="s">
        <v>3333</v>
      </c>
      <c r="O433" s="8" t="s">
        <v>2135</v>
      </c>
      <c r="P433" s="8" t="s">
        <v>2135</v>
      </c>
      <c r="Q433" s="8" t="s">
        <v>2135</v>
      </c>
      <c r="R433" s="8" t="s">
        <v>2135</v>
      </c>
      <c r="S433" s="8" t="s">
        <v>2135</v>
      </c>
      <c r="T433" s="8" t="s">
        <v>2135</v>
      </c>
      <c r="U433" s="8" t="s">
        <v>10149</v>
      </c>
      <c r="V433" s="8" t="s">
        <v>10150</v>
      </c>
      <c r="W433" s="8" t="s">
        <v>10151</v>
      </c>
      <c r="X433" s="8" t="s">
        <v>10152</v>
      </c>
      <c r="Y433" s="8" t="s">
        <v>10153</v>
      </c>
      <c r="Z433" s="8" t="s">
        <v>7609</v>
      </c>
      <c r="AA433" s="8" t="s">
        <v>10154</v>
      </c>
      <c r="AB433" s="8" t="s">
        <v>7611</v>
      </c>
      <c r="AC433" s="8" t="s">
        <v>10155</v>
      </c>
      <c r="AD433" s="8" t="s">
        <v>10156</v>
      </c>
      <c r="AE433" s="8" t="s">
        <v>10157</v>
      </c>
      <c r="AF433" s="8" t="s">
        <v>2135</v>
      </c>
      <c r="AG433" s="8">
        <v>57.0</v>
      </c>
      <c r="AH433" s="8">
        <v>68.0</v>
      </c>
      <c r="AI433" s="8">
        <v>77.0</v>
      </c>
      <c r="AJ433" s="8">
        <v>2.0</v>
      </c>
      <c r="AK433" s="8">
        <v>84.0</v>
      </c>
      <c r="AL433" s="8" t="s">
        <v>10158</v>
      </c>
      <c r="AM433" s="8" t="s">
        <v>9008</v>
      </c>
      <c r="AN433" s="8" t="s">
        <v>10159</v>
      </c>
      <c r="AO433" s="8" t="s">
        <v>10160</v>
      </c>
      <c r="AP433" s="8" t="s">
        <v>10161</v>
      </c>
      <c r="AQ433" s="8" t="s">
        <v>2135</v>
      </c>
      <c r="AR433" s="8" t="s">
        <v>10162</v>
      </c>
      <c r="AS433" s="8" t="s">
        <v>10163</v>
      </c>
      <c r="AT433" s="8" t="s">
        <v>3580</v>
      </c>
      <c r="AU433" s="8">
        <v>2010.0</v>
      </c>
      <c r="AV433" s="8">
        <v>76.0</v>
      </c>
      <c r="AW433" s="8">
        <v>20.0</v>
      </c>
      <c r="AX433" s="8" t="s">
        <v>2135</v>
      </c>
      <c r="AY433" s="8" t="s">
        <v>2135</v>
      </c>
      <c r="AZ433" s="8" t="s">
        <v>2135</v>
      </c>
      <c r="BA433" s="8" t="s">
        <v>2135</v>
      </c>
      <c r="BB433" s="8">
        <v>6821.0</v>
      </c>
      <c r="BC433" s="8">
        <v>6828.0</v>
      </c>
      <c r="BD433" s="8" t="s">
        <v>2135</v>
      </c>
      <c r="BE433" s="8" t="s">
        <v>10164</v>
      </c>
      <c r="BF433" s="13" t="str">
        <f>HYPERLINK("http://dx.doi.org/10.1128/AEM.01435-10","http://dx.doi.org/10.1128/AEM.01435-10")</f>
        <v>http://dx.doi.org/10.1128/AEM.01435-10</v>
      </c>
      <c r="BG433" s="8" t="s">
        <v>2135</v>
      </c>
      <c r="BH433" s="8" t="s">
        <v>2135</v>
      </c>
      <c r="BI433" s="8">
        <v>8.0</v>
      </c>
      <c r="BJ433" s="8" t="s">
        <v>10165</v>
      </c>
      <c r="BK433" s="8" t="s">
        <v>3352</v>
      </c>
      <c r="BL433" s="8" t="s">
        <v>10165</v>
      </c>
      <c r="BM433" s="8" t="s">
        <v>10166</v>
      </c>
      <c r="BN433" s="8">
        <v>2.0802072E7</v>
      </c>
      <c r="BO433" s="8" t="s">
        <v>3425</v>
      </c>
      <c r="BP433" s="8" t="s">
        <v>2135</v>
      </c>
      <c r="BQ433" s="8" t="s">
        <v>2135</v>
      </c>
      <c r="BR433" s="8" t="s">
        <v>3355</v>
      </c>
      <c r="BS433" s="8" t="s">
        <v>10167</v>
      </c>
      <c r="BT433" s="8" t="s">
        <v>2600</v>
      </c>
      <c r="BU433" s="8" t="s">
        <v>2147</v>
      </c>
      <c r="BV433" s="8" t="s">
        <v>2217</v>
      </c>
      <c r="BW433" s="8" t="s">
        <v>2237</v>
      </c>
      <c r="BX433" s="8" t="s">
        <v>2985</v>
      </c>
      <c r="BY433" s="8" t="s">
        <v>3001</v>
      </c>
      <c r="BZ433" s="8" t="str">
        <f>HYPERLINK("https%3A%2F%2Fwww.webofscience.com%2Fwos%2Fwoscc%2Ffull-record%2FWOS:000282595100014","View Full Record in Web of Science")</f>
        <v>View Full Record in Web of Science</v>
      </c>
    </row>
    <row r="434" ht="12.75" customHeight="1">
      <c r="A434" s="8" t="s">
        <v>3329</v>
      </c>
      <c r="B434" s="8" t="s">
        <v>10168</v>
      </c>
      <c r="C434" s="8" t="s">
        <v>2135</v>
      </c>
      <c r="D434" s="8" t="s">
        <v>2135</v>
      </c>
      <c r="E434" s="8" t="s">
        <v>2135</v>
      </c>
      <c r="F434" s="8" t="s">
        <v>10169</v>
      </c>
      <c r="G434" s="8" t="s">
        <v>2135</v>
      </c>
      <c r="H434" s="8" t="s">
        <v>2135</v>
      </c>
      <c r="I434" s="8" t="s">
        <v>1625</v>
      </c>
      <c r="J434" s="8" t="s">
        <v>10170</v>
      </c>
      <c r="K434" s="8" t="s">
        <v>2135</v>
      </c>
      <c r="L434" s="8" t="s">
        <v>2135</v>
      </c>
      <c r="M434" s="8" t="s">
        <v>3332</v>
      </c>
      <c r="N434" s="8" t="s">
        <v>3333</v>
      </c>
      <c r="O434" s="8" t="s">
        <v>2135</v>
      </c>
      <c r="P434" s="8" t="s">
        <v>2135</v>
      </c>
      <c r="Q434" s="8" t="s">
        <v>2135</v>
      </c>
      <c r="R434" s="8" t="s">
        <v>2135</v>
      </c>
      <c r="S434" s="8" t="s">
        <v>2135</v>
      </c>
      <c r="T434" s="8" t="s">
        <v>10171</v>
      </c>
      <c r="U434" s="8" t="s">
        <v>10172</v>
      </c>
      <c r="V434" s="8" t="s">
        <v>10173</v>
      </c>
      <c r="W434" s="8" t="s">
        <v>10174</v>
      </c>
      <c r="X434" s="8" t="s">
        <v>10175</v>
      </c>
      <c r="Y434" s="8" t="s">
        <v>10176</v>
      </c>
      <c r="Z434" s="8" t="s">
        <v>10177</v>
      </c>
      <c r="AA434" s="8" t="s">
        <v>10178</v>
      </c>
      <c r="AB434" s="8" t="s">
        <v>10179</v>
      </c>
      <c r="AC434" s="8" t="s">
        <v>2135</v>
      </c>
      <c r="AD434" s="8" t="s">
        <v>2135</v>
      </c>
      <c r="AE434" s="8" t="s">
        <v>2135</v>
      </c>
      <c r="AF434" s="8" t="s">
        <v>2135</v>
      </c>
      <c r="AG434" s="8">
        <v>27.0</v>
      </c>
      <c r="AH434" s="8">
        <v>23.0</v>
      </c>
      <c r="AI434" s="8">
        <v>30.0</v>
      </c>
      <c r="AJ434" s="8">
        <v>0.0</v>
      </c>
      <c r="AK434" s="8">
        <v>25.0</v>
      </c>
      <c r="AL434" s="8" t="s">
        <v>10180</v>
      </c>
      <c r="AM434" s="8" t="s">
        <v>3759</v>
      </c>
      <c r="AN434" s="8" t="s">
        <v>10181</v>
      </c>
      <c r="AO434" s="8" t="s">
        <v>10182</v>
      </c>
      <c r="AP434" s="8" t="s">
        <v>10183</v>
      </c>
      <c r="AQ434" s="8" t="s">
        <v>2135</v>
      </c>
      <c r="AR434" s="8" t="s">
        <v>10184</v>
      </c>
      <c r="AS434" s="8" t="s">
        <v>10185</v>
      </c>
      <c r="AT434" s="8" t="s">
        <v>3556</v>
      </c>
      <c r="AU434" s="8">
        <v>2008.0</v>
      </c>
      <c r="AV434" s="8">
        <v>56.0</v>
      </c>
      <c r="AW434" s="8">
        <v>4.0</v>
      </c>
      <c r="AX434" s="8" t="s">
        <v>2135</v>
      </c>
      <c r="AY434" s="8" t="s">
        <v>2135</v>
      </c>
      <c r="AZ434" s="8" t="s">
        <v>2135</v>
      </c>
      <c r="BA434" s="8" t="s">
        <v>2135</v>
      </c>
      <c r="BB434" s="8">
        <v>641.0</v>
      </c>
      <c r="BC434" s="8">
        <v>649.0</v>
      </c>
      <c r="BD434" s="8" t="s">
        <v>2135</v>
      </c>
      <c r="BE434" s="8" t="s">
        <v>10186</v>
      </c>
      <c r="BF434" s="13" t="str">
        <f>HYPERLINK("http://dx.doi.org/10.1016/j.marpolbul.2008.01.019","http://dx.doi.org/10.1016/j.marpolbul.2008.01.019")</f>
        <v>http://dx.doi.org/10.1016/j.marpolbul.2008.01.019</v>
      </c>
      <c r="BG434" s="8" t="s">
        <v>2135</v>
      </c>
      <c r="BH434" s="8" t="s">
        <v>2135</v>
      </c>
      <c r="BI434" s="8">
        <v>9.0</v>
      </c>
      <c r="BJ434" s="8" t="s">
        <v>10187</v>
      </c>
      <c r="BK434" s="8" t="s">
        <v>3352</v>
      </c>
      <c r="BL434" s="8" t="s">
        <v>10188</v>
      </c>
      <c r="BM434" s="8" t="s">
        <v>10189</v>
      </c>
      <c r="BN434" s="8">
        <v>1.8304586E7</v>
      </c>
      <c r="BO434" s="8" t="s">
        <v>2135</v>
      </c>
      <c r="BP434" s="8" t="s">
        <v>2135</v>
      </c>
      <c r="BQ434" s="8" t="s">
        <v>2135</v>
      </c>
      <c r="BR434" s="8" t="s">
        <v>3355</v>
      </c>
      <c r="BS434" s="8" t="s">
        <v>10190</v>
      </c>
      <c r="BU434" s="8" t="s">
        <v>2147</v>
      </c>
      <c r="BV434" s="8" t="s">
        <v>2217</v>
      </c>
      <c r="BW434" s="8" t="s">
        <v>2237</v>
      </c>
      <c r="BX434" s="8" t="s">
        <v>3003</v>
      </c>
      <c r="BY434" s="8" t="s">
        <v>3001</v>
      </c>
      <c r="BZ434" s="8" t="str">
        <f>HYPERLINK("https%3A%2F%2Fwww.webofscience.com%2Fwos%2Fwoscc%2Ffull-record%2FWOS:000255670900017","View Full Record in Web of Science")</f>
        <v>View Full Record in Web of Science</v>
      </c>
    </row>
    <row r="435" ht="12.75" customHeight="1">
      <c r="A435" s="8" t="s">
        <v>3329</v>
      </c>
      <c r="B435" s="8" t="s">
        <v>10191</v>
      </c>
      <c r="C435" s="8" t="s">
        <v>2135</v>
      </c>
      <c r="D435" s="8" t="s">
        <v>2135</v>
      </c>
      <c r="E435" s="8" t="s">
        <v>2135</v>
      </c>
      <c r="F435" s="8" t="s">
        <v>10192</v>
      </c>
      <c r="G435" s="8" t="s">
        <v>2135</v>
      </c>
      <c r="H435" s="8" t="s">
        <v>2135</v>
      </c>
      <c r="I435" s="8" t="s">
        <v>1623</v>
      </c>
      <c r="J435" s="8" t="s">
        <v>10193</v>
      </c>
      <c r="K435" s="8" t="s">
        <v>2135</v>
      </c>
      <c r="L435" s="8" t="s">
        <v>2135</v>
      </c>
      <c r="M435" s="8" t="s">
        <v>3332</v>
      </c>
      <c r="N435" s="8" t="s">
        <v>3333</v>
      </c>
      <c r="O435" s="8" t="s">
        <v>2135</v>
      </c>
      <c r="P435" s="8" t="s">
        <v>2135</v>
      </c>
      <c r="Q435" s="8" t="s">
        <v>2135</v>
      </c>
      <c r="R435" s="8" t="s">
        <v>2135</v>
      </c>
      <c r="S435" s="8" t="s">
        <v>2135</v>
      </c>
      <c r="T435" s="8" t="s">
        <v>2135</v>
      </c>
      <c r="U435" s="8" t="s">
        <v>10194</v>
      </c>
      <c r="V435" s="8" t="s">
        <v>10195</v>
      </c>
      <c r="W435" s="8" t="s">
        <v>10196</v>
      </c>
      <c r="X435" s="8" t="s">
        <v>10197</v>
      </c>
      <c r="Y435" s="8" t="s">
        <v>10198</v>
      </c>
      <c r="Z435" s="8" t="s">
        <v>10199</v>
      </c>
      <c r="AA435" s="8" t="s">
        <v>7791</v>
      </c>
      <c r="AB435" s="8" t="s">
        <v>10200</v>
      </c>
      <c r="AC435" s="8" t="s">
        <v>2135</v>
      </c>
      <c r="AD435" s="8" t="s">
        <v>2135</v>
      </c>
      <c r="AE435" s="8" t="s">
        <v>2135</v>
      </c>
      <c r="AF435" s="8" t="s">
        <v>2135</v>
      </c>
      <c r="AG435" s="8">
        <v>47.0</v>
      </c>
      <c r="AH435" s="8">
        <v>37.0</v>
      </c>
      <c r="AI435" s="8">
        <v>41.0</v>
      </c>
      <c r="AJ435" s="8">
        <v>0.0</v>
      </c>
      <c r="AK435" s="8">
        <v>24.0</v>
      </c>
      <c r="AL435" s="8" t="s">
        <v>3479</v>
      </c>
      <c r="AM435" s="8" t="s">
        <v>3480</v>
      </c>
      <c r="AN435" s="8" t="s">
        <v>3739</v>
      </c>
      <c r="AO435" s="8" t="s">
        <v>10201</v>
      </c>
      <c r="AP435" s="8" t="s">
        <v>10202</v>
      </c>
      <c r="AQ435" s="8" t="s">
        <v>2135</v>
      </c>
      <c r="AR435" s="8" t="s">
        <v>10203</v>
      </c>
      <c r="AS435" s="8" t="s">
        <v>10204</v>
      </c>
      <c r="AT435" s="8" t="s">
        <v>3395</v>
      </c>
      <c r="AU435" s="8">
        <v>2007.0</v>
      </c>
      <c r="AV435" s="8">
        <v>53.0</v>
      </c>
      <c r="AW435" s="8">
        <v>2.0</v>
      </c>
      <c r="AX435" s="8" t="s">
        <v>2135</v>
      </c>
      <c r="AY435" s="8" t="s">
        <v>2135</v>
      </c>
      <c r="AZ435" s="8" t="s">
        <v>2135</v>
      </c>
      <c r="BA435" s="8" t="s">
        <v>2135</v>
      </c>
      <c r="BB435" s="8">
        <v>293.0</v>
      </c>
      <c r="BC435" s="8">
        <v>302.0</v>
      </c>
      <c r="BD435" s="8" t="s">
        <v>2135</v>
      </c>
      <c r="BE435" s="8" t="s">
        <v>10205</v>
      </c>
      <c r="BF435" s="13" t="str">
        <f>HYPERLINK("http://dx.doi.org/10.1007/s00244-006-0251-8","http://dx.doi.org/10.1007/s00244-006-0251-8")</f>
        <v>http://dx.doi.org/10.1007/s00244-006-0251-8</v>
      </c>
      <c r="BG435" s="8" t="s">
        <v>2135</v>
      </c>
      <c r="BH435" s="8" t="s">
        <v>2135</v>
      </c>
      <c r="BI435" s="8">
        <v>10.0</v>
      </c>
      <c r="BJ435" s="8" t="s">
        <v>10206</v>
      </c>
      <c r="BK435" s="8" t="s">
        <v>3352</v>
      </c>
      <c r="BL435" s="8" t="s">
        <v>10207</v>
      </c>
      <c r="BM435" s="8" t="s">
        <v>10208</v>
      </c>
      <c r="BN435" s="8">
        <v>1.7587145E7</v>
      </c>
      <c r="BO435" s="8" t="s">
        <v>2135</v>
      </c>
      <c r="BP435" s="8" t="s">
        <v>2135</v>
      </c>
      <c r="BQ435" s="8" t="s">
        <v>2135</v>
      </c>
      <c r="BR435" s="8" t="s">
        <v>3355</v>
      </c>
      <c r="BS435" s="8" t="s">
        <v>10209</v>
      </c>
      <c r="BT435" s="8" t="s">
        <v>2600</v>
      </c>
      <c r="BU435" s="8" t="s">
        <v>2147</v>
      </c>
      <c r="BV435" s="8" t="s">
        <v>2217</v>
      </c>
      <c r="BW435" s="8" t="s">
        <v>2237</v>
      </c>
      <c r="BX435" s="8" t="s">
        <v>3000</v>
      </c>
      <c r="BY435" s="8" t="s">
        <v>3001</v>
      </c>
      <c r="BZ435" s="8" t="str">
        <f>HYPERLINK("https%3A%2F%2Fwww.webofscience.com%2Fwos%2Fwoscc%2Ffull-record%2FWOS:000247426600020","View Full Record in Web of Science")</f>
        <v>View Full Record in Web of Science</v>
      </c>
    </row>
    <row r="436" ht="12.75" customHeight="1">
      <c r="A436" s="8" t="s">
        <v>3329</v>
      </c>
      <c r="B436" s="8" t="s">
        <v>10210</v>
      </c>
      <c r="C436" s="8" t="s">
        <v>2135</v>
      </c>
      <c r="D436" s="8" t="s">
        <v>2135</v>
      </c>
      <c r="E436" s="8" t="s">
        <v>2135</v>
      </c>
      <c r="F436" s="8" t="s">
        <v>10210</v>
      </c>
      <c r="G436" s="8" t="s">
        <v>2135</v>
      </c>
      <c r="H436" s="8" t="s">
        <v>2135</v>
      </c>
      <c r="I436" s="8" t="s">
        <v>1621</v>
      </c>
      <c r="J436" s="8" t="s">
        <v>7602</v>
      </c>
      <c r="K436" s="8" t="s">
        <v>2135</v>
      </c>
      <c r="L436" s="8" t="s">
        <v>2135</v>
      </c>
      <c r="M436" s="8" t="s">
        <v>3332</v>
      </c>
      <c r="N436" s="8" t="s">
        <v>3333</v>
      </c>
      <c r="O436" s="8" t="s">
        <v>2135</v>
      </c>
      <c r="P436" s="8" t="s">
        <v>2135</v>
      </c>
      <c r="Q436" s="8" t="s">
        <v>2135</v>
      </c>
      <c r="R436" s="8" t="s">
        <v>2135</v>
      </c>
      <c r="S436" s="8" t="s">
        <v>2135</v>
      </c>
      <c r="T436" s="8" t="s">
        <v>10211</v>
      </c>
      <c r="U436" s="8" t="s">
        <v>10212</v>
      </c>
      <c r="V436" s="8" t="s">
        <v>10213</v>
      </c>
      <c r="W436" s="8" t="s">
        <v>10214</v>
      </c>
      <c r="X436" s="8" t="s">
        <v>8999</v>
      </c>
      <c r="Y436" s="8" t="s">
        <v>10215</v>
      </c>
      <c r="Z436" s="8" t="s">
        <v>9230</v>
      </c>
      <c r="AA436" s="8" t="s">
        <v>8360</v>
      </c>
      <c r="AB436" s="8" t="s">
        <v>8361</v>
      </c>
      <c r="AC436" s="8" t="s">
        <v>2135</v>
      </c>
      <c r="AD436" s="8" t="s">
        <v>2135</v>
      </c>
      <c r="AE436" s="8" t="s">
        <v>2135</v>
      </c>
      <c r="AF436" s="8" t="s">
        <v>2135</v>
      </c>
      <c r="AG436" s="8">
        <v>52.0</v>
      </c>
      <c r="AH436" s="8">
        <v>59.0</v>
      </c>
      <c r="AI436" s="8">
        <v>66.0</v>
      </c>
      <c r="AJ436" s="8">
        <v>0.0</v>
      </c>
      <c r="AK436" s="8">
        <v>49.0</v>
      </c>
      <c r="AL436" s="8" t="s">
        <v>7615</v>
      </c>
      <c r="AM436" s="8" t="s">
        <v>3390</v>
      </c>
      <c r="AN436" s="8" t="s">
        <v>7616</v>
      </c>
      <c r="AO436" s="8" t="s">
        <v>7617</v>
      </c>
      <c r="AP436" s="8" t="s">
        <v>7618</v>
      </c>
      <c r="AQ436" s="8" t="s">
        <v>2135</v>
      </c>
      <c r="AR436" s="8" t="s">
        <v>7619</v>
      </c>
      <c r="AS436" s="8" t="s">
        <v>7620</v>
      </c>
      <c r="AT436" s="8" t="s">
        <v>3580</v>
      </c>
      <c r="AU436" s="8">
        <v>2003.0</v>
      </c>
      <c r="AV436" s="8">
        <v>39.0</v>
      </c>
      <c r="AW436" s="8">
        <v>4.0</v>
      </c>
      <c r="AX436" s="8" t="s">
        <v>2135</v>
      </c>
      <c r="AY436" s="8" t="s">
        <v>2135</v>
      </c>
      <c r="AZ436" s="8" t="s">
        <v>2135</v>
      </c>
      <c r="BA436" s="8" t="s">
        <v>2135</v>
      </c>
      <c r="BB436" s="8">
        <v>837.0</v>
      </c>
      <c r="BC436" s="8">
        <v>850.0</v>
      </c>
      <c r="BD436" s="8" t="s">
        <v>2135</v>
      </c>
      <c r="BE436" s="8" t="s">
        <v>10216</v>
      </c>
      <c r="BF436" s="13" t="str">
        <f>HYPERLINK("http://dx.doi.org/10.7589/0090-3558-39.4.837","http://dx.doi.org/10.7589/0090-3558-39.4.837")</f>
        <v>http://dx.doi.org/10.7589/0090-3558-39.4.837</v>
      </c>
      <c r="BG436" s="8" t="s">
        <v>2135</v>
      </c>
      <c r="BH436" s="8" t="s">
        <v>2135</v>
      </c>
      <c r="BI436" s="8">
        <v>14.0</v>
      </c>
      <c r="BJ436" s="8" t="s">
        <v>6958</v>
      </c>
      <c r="BK436" s="8" t="s">
        <v>3352</v>
      </c>
      <c r="BL436" s="8" t="s">
        <v>6958</v>
      </c>
      <c r="BM436" s="8" t="s">
        <v>9222</v>
      </c>
      <c r="BN436" s="8">
        <v>1.4733279E7</v>
      </c>
      <c r="BO436" s="8" t="s">
        <v>3445</v>
      </c>
      <c r="BP436" s="8" t="s">
        <v>2135</v>
      </c>
      <c r="BQ436" s="8" t="s">
        <v>2135</v>
      </c>
      <c r="BR436" s="8" t="s">
        <v>3355</v>
      </c>
      <c r="BS436" s="8" t="s">
        <v>10217</v>
      </c>
      <c r="BT436" s="8" t="s">
        <v>2600</v>
      </c>
      <c r="BU436" s="8" t="s">
        <v>2147</v>
      </c>
      <c r="BV436" s="8" t="s">
        <v>2217</v>
      </c>
      <c r="BW436" s="8" t="s">
        <v>2237</v>
      </c>
      <c r="BX436" s="8" t="s">
        <v>3000</v>
      </c>
      <c r="BY436" s="8" t="s">
        <v>3001</v>
      </c>
      <c r="BZ436" s="8" t="str">
        <f>HYPERLINK("https%3A%2F%2Fwww.webofscience.com%2Fwos%2Fwoscc%2Ffull-record%2FWOS:000187791800011","View Full Record in Web of Science")</f>
        <v>View Full Record in Web of Science</v>
      </c>
    </row>
    <row r="437" ht="12.75" customHeight="1">
      <c r="A437" s="8" t="s">
        <v>3329</v>
      </c>
      <c r="B437" s="8" t="s">
        <v>10218</v>
      </c>
      <c r="C437" s="8" t="s">
        <v>2135</v>
      </c>
      <c r="D437" s="8" t="s">
        <v>2135</v>
      </c>
      <c r="E437" s="8" t="s">
        <v>2135</v>
      </c>
      <c r="F437" s="8" t="s">
        <v>10218</v>
      </c>
      <c r="G437" s="8" t="s">
        <v>2135</v>
      </c>
      <c r="H437" s="8" t="s">
        <v>2135</v>
      </c>
      <c r="I437" s="8" t="s">
        <v>1619</v>
      </c>
      <c r="J437" s="8" t="s">
        <v>10219</v>
      </c>
      <c r="K437" s="8" t="s">
        <v>2135</v>
      </c>
      <c r="L437" s="8" t="s">
        <v>2135</v>
      </c>
      <c r="M437" s="8" t="s">
        <v>3332</v>
      </c>
      <c r="N437" s="8" t="s">
        <v>3333</v>
      </c>
      <c r="O437" s="8" t="s">
        <v>2135</v>
      </c>
      <c r="P437" s="8" t="s">
        <v>2135</v>
      </c>
      <c r="Q437" s="8" t="s">
        <v>2135</v>
      </c>
      <c r="R437" s="8" t="s">
        <v>2135</v>
      </c>
      <c r="S437" s="8" t="s">
        <v>2135</v>
      </c>
      <c r="T437" s="8" t="s">
        <v>10220</v>
      </c>
      <c r="U437" s="8" t="s">
        <v>10221</v>
      </c>
      <c r="V437" s="8" t="s">
        <v>10222</v>
      </c>
      <c r="W437" s="8" t="s">
        <v>10223</v>
      </c>
      <c r="X437" s="8" t="s">
        <v>10224</v>
      </c>
      <c r="Y437" s="8" t="s">
        <v>10225</v>
      </c>
      <c r="Z437" s="8" t="s">
        <v>10226</v>
      </c>
      <c r="AA437" s="8" t="s">
        <v>10227</v>
      </c>
      <c r="AB437" s="8" t="s">
        <v>8948</v>
      </c>
      <c r="AC437" s="8" t="s">
        <v>2135</v>
      </c>
      <c r="AD437" s="8" t="s">
        <v>2135</v>
      </c>
      <c r="AE437" s="8" t="s">
        <v>2135</v>
      </c>
      <c r="AF437" s="8" t="s">
        <v>2135</v>
      </c>
      <c r="AG437" s="8">
        <v>50.0</v>
      </c>
      <c r="AH437" s="8">
        <v>29.0</v>
      </c>
      <c r="AI437" s="8">
        <v>38.0</v>
      </c>
      <c r="AJ437" s="8">
        <v>4.0</v>
      </c>
      <c r="AK437" s="8">
        <v>145.0</v>
      </c>
      <c r="AL437" s="8" t="s">
        <v>6103</v>
      </c>
      <c r="AM437" s="8" t="s">
        <v>6104</v>
      </c>
      <c r="AN437" s="8" t="s">
        <v>6105</v>
      </c>
      <c r="AO437" s="8" t="s">
        <v>10228</v>
      </c>
      <c r="AP437" s="8" t="s">
        <v>10229</v>
      </c>
      <c r="AQ437" s="8" t="s">
        <v>2135</v>
      </c>
      <c r="AR437" s="8" t="s">
        <v>10230</v>
      </c>
      <c r="AS437" s="8" t="s">
        <v>10231</v>
      </c>
      <c r="AT437" s="8" t="s">
        <v>2135</v>
      </c>
      <c r="AU437" s="8">
        <v>2000.0</v>
      </c>
      <c r="AV437" s="8">
        <v>199.0</v>
      </c>
      <c r="AW437" s="8" t="s">
        <v>2135</v>
      </c>
      <c r="AX437" s="8" t="s">
        <v>2135</v>
      </c>
      <c r="AY437" s="8" t="s">
        <v>2135</v>
      </c>
      <c r="AZ437" s="8" t="s">
        <v>2135</v>
      </c>
      <c r="BA437" s="8" t="s">
        <v>2135</v>
      </c>
      <c r="BB437" s="8">
        <v>281.0</v>
      </c>
      <c r="BC437" s="8">
        <v>291.0</v>
      </c>
      <c r="BD437" s="8" t="s">
        <v>2135</v>
      </c>
      <c r="BE437" s="8" t="s">
        <v>10232</v>
      </c>
      <c r="BF437" s="13" t="str">
        <f>HYPERLINK("http://dx.doi.org/10.3354/meps199281","http://dx.doi.org/10.3354/meps199281")</f>
        <v>http://dx.doi.org/10.3354/meps199281</v>
      </c>
      <c r="BG437" s="8" t="s">
        <v>2135</v>
      </c>
      <c r="BH437" s="8" t="s">
        <v>2135</v>
      </c>
      <c r="BI437" s="8">
        <v>11.0</v>
      </c>
      <c r="BJ437" s="8" t="s">
        <v>10233</v>
      </c>
      <c r="BK437" s="8" t="s">
        <v>3352</v>
      </c>
      <c r="BL437" s="8" t="s">
        <v>10234</v>
      </c>
      <c r="BM437" s="8" t="s">
        <v>10235</v>
      </c>
      <c r="BN437" s="8" t="s">
        <v>2135</v>
      </c>
      <c r="BO437" s="8" t="s">
        <v>3445</v>
      </c>
      <c r="BP437" s="8" t="s">
        <v>2135</v>
      </c>
      <c r="BQ437" s="8" t="s">
        <v>2135</v>
      </c>
      <c r="BR437" s="8" t="s">
        <v>3355</v>
      </c>
      <c r="BS437" s="8" t="s">
        <v>10236</v>
      </c>
      <c r="BT437" s="8" t="s">
        <v>2600</v>
      </c>
      <c r="BU437" s="8" t="s">
        <v>2147</v>
      </c>
      <c r="BV437" s="8" t="s">
        <v>2217</v>
      </c>
      <c r="BW437" s="8" t="s">
        <v>2237</v>
      </c>
      <c r="BX437" s="8" t="s">
        <v>3002</v>
      </c>
      <c r="BY437" s="8" t="s">
        <v>3001</v>
      </c>
      <c r="BZ437" s="8" t="str">
        <f>HYPERLINK("https%3A%2F%2Fwww.webofscience.com%2Fwos%2Fwoscc%2Ffull-record%2FWOS:000088434300023","View Full Record in Web of Science")</f>
        <v>View Full Record in Web of Science</v>
      </c>
    </row>
    <row r="438" ht="12.75" customHeight="1">
      <c r="A438" s="8" t="s">
        <v>3329</v>
      </c>
      <c r="B438" s="8" t="s">
        <v>10237</v>
      </c>
      <c r="C438" s="8" t="s">
        <v>2135</v>
      </c>
      <c r="D438" s="8" t="s">
        <v>2135</v>
      </c>
      <c r="E438" s="8" t="s">
        <v>2135</v>
      </c>
      <c r="F438" s="8" t="s">
        <v>10238</v>
      </c>
      <c r="G438" s="8" t="s">
        <v>2135</v>
      </c>
      <c r="H438" s="8" t="s">
        <v>2135</v>
      </c>
      <c r="I438" s="8" t="s">
        <v>1629</v>
      </c>
      <c r="J438" s="8" t="s">
        <v>4715</v>
      </c>
      <c r="K438" s="8" t="s">
        <v>2135</v>
      </c>
      <c r="L438" s="8" t="s">
        <v>2135</v>
      </c>
      <c r="M438" s="8" t="s">
        <v>3332</v>
      </c>
      <c r="N438" s="8" t="s">
        <v>3333</v>
      </c>
      <c r="O438" s="8" t="s">
        <v>2135</v>
      </c>
      <c r="P438" s="8" t="s">
        <v>2135</v>
      </c>
      <c r="Q438" s="8" t="s">
        <v>2135</v>
      </c>
      <c r="R438" s="8" t="s">
        <v>2135</v>
      </c>
      <c r="S438" s="8" t="s">
        <v>2135</v>
      </c>
      <c r="T438" s="8" t="s">
        <v>10239</v>
      </c>
      <c r="U438" s="8" t="s">
        <v>10240</v>
      </c>
      <c r="V438" s="8" t="s">
        <v>10241</v>
      </c>
      <c r="W438" s="8" t="s">
        <v>10242</v>
      </c>
      <c r="X438" s="8" t="s">
        <v>10243</v>
      </c>
      <c r="Y438" s="8" t="s">
        <v>10244</v>
      </c>
      <c r="Z438" s="8" t="s">
        <v>10245</v>
      </c>
      <c r="AA438" s="8" t="s">
        <v>10246</v>
      </c>
      <c r="AB438" s="8" t="s">
        <v>10247</v>
      </c>
      <c r="AC438" s="8" t="s">
        <v>2135</v>
      </c>
      <c r="AD438" s="8" t="s">
        <v>2135</v>
      </c>
      <c r="AE438" s="8" t="s">
        <v>2135</v>
      </c>
      <c r="AF438" s="8" t="s">
        <v>2135</v>
      </c>
      <c r="AG438" s="8">
        <v>22.0</v>
      </c>
      <c r="AH438" s="8">
        <v>0.0</v>
      </c>
      <c r="AI438" s="8">
        <v>0.0</v>
      </c>
      <c r="AJ438" s="8">
        <v>0.0</v>
      </c>
      <c r="AK438" s="8">
        <v>12.0</v>
      </c>
      <c r="AL438" s="8" t="s">
        <v>4723</v>
      </c>
      <c r="AM438" s="8" t="s">
        <v>4724</v>
      </c>
      <c r="AN438" s="8" t="s">
        <v>4725</v>
      </c>
      <c r="AO438" s="8" t="s">
        <v>4726</v>
      </c>
      <c r="AP438" s="8" t="s">
        <v>2135</v>
      </c>
      <c r="AQ438" s="8" t="s">
        <v>2135</v>
      </c>
      <c r="AR438" s="8" t="s">
        <v>4727</v>
      </c>
      <c r="AS438" s="8" t="s">
        <v>4728</v>
      </c>
      <c r="AT438" s="8" t="s">
        <v>3629</v>
      </c>
      <c r="AU438" s="8">
        <v>2012.0</v>
      </c>
      <c r="AV438" s="8">
        <v>44.0</v>
      </c>
      <c r="AW438" s="8">
        <v>1.0</v>
      </c>
      <c r="AX438" s="8" t="s">
        <v>2135</v>
      </c>
      <c r="AY438" s="8" t="s">
        <v>2135</v>
      </c>
      <c r="AZ438" s="8" t="s">
        <v>2135</v>
      </c>
      <c r="BA438" s="8" t="s">
        <v>2135</v>
      </c>
      <c r="BB438" s="8">
        <v>233.0</v>
      </c>
      <c r="BC438" s="8">
        <v>239.0</v>
      </c>
      <c r="BD438" s="8" t="s">
        <v>2135</v>
      </c>
      <c r="BE438" s="8" t="s">
        <v>2135</v>
      </c>
      <c r="BF438" s="8" t="s">
        <v>2135</v>
      </c>
      <c r="BG438" s="8" t="s">
        <v>2135</v>
      </c>
      <c r="BH438" s="8" t="s">
        <v>2135</v>
      </c>
      <c r="BI438" s="8">
        <v>7.0</v>
      </c>
      <c r="BJ438" s="8" t="s">
        <v>3397</v>
      </c>
      <c r="BK438" s="8" t="s">
        <v>3352</v>
      </c>
      <c r="BL438" s="8" t="s">
        <v>3397</v>
      </c>
      <c r="BM438" s="8" t="s">
        <v>10248</v>
      </c>
      <c r="BN438" s="8" t="s">
        <v>2135</v>
      </c>
      <c r="BO438" s="8" t="s">
        <v>2135</v>
      </c>
      <c r="BP438" s="8" t="s">
        <v>2135</v>
      </c>
      <c r="BQ438" s="8" t="s">
        <v>2135</v>
      </c>
      <c r="BR438" s="8" t="s">
        <v>3355</v>
      </c>
      <c r="BS438" s="8" t="s">
        <v>10249</v>
      </c>
      <c r="BT438" s="8" t="s">
        <v>2456</v>
      </c>
      <c r="BU438" s="8" t="s">
        <v>2283</v>
      </c>
      <c r="BV438" s="8" t="s">
        <v>2357</v>
      </c>
      <c r="BW438" s="8" t="s">
        <v>2143</v>
      </c>
      <c r="BX438" s="8" t="s">
        <v>3044</v>
      </c>
      <c r="BY438" s="8" t="s">
        <v>3099</v>
      </c>
      <c r="BZ438" s="8" t="str">
        <f>HYPERLINK("https%3A%2F%2Fwww.webofscience.com%2Fwos%2Fwoscc%2Ffull-record%2FWOS:000298197600031","View Full Record in Web of Science")</f>
        <v>View Full Record in Web of Science</v>
      </c>
    </row>
    <row r="439" ht="12.75" customHeight="1">
      <c r="A439" s="8" t="s">
        <v>3329</v>
      </c>
      <c r="B439" s="8" t="s">
        <v>10250</v>
      </c>
      <c r="C439" s="8" t="s">
        <v>2135</v>
      </c>
      <c r="D439" s="8" t="s">
        <v>2135</v>
      </c>
      <c r="E439" s="8" t="s">
        <v>2135</v>
      </c>
      <c r="F439" s="8" t="s">
        <v>10250</v>
      </c>
      <c r="G439" s="8" t="s">
        <v>2135</v>
      </c>
      <c r="H439" s="8" t="s">
        <v>2135</v>
      </c>
      <c r="I439" s="8" t="s">
        <v>1633</v>
      </c>
      <c r="J439" s="8" t="s">
        <v>10251</v>
      </c>
      <c r="K439" s="8" t="s">
        <v>2135</v>
      </c>
      <c r="L439" s="8" t="s">
        <v>2135</v>
      </c>
      <c r="M439" s="8" t="s">
        <v>3332</v>
      </c>
      <c r="N439" s="8" t="s">
        <v>3333</v>
      </c>
      <c r="O439" s="8" t="s">
        <v>2135</v>
      </c>
      <c r="P439" s="8" t="s">
        <v>2135</v>
      </c>
      <c r="Q439" s="8" t="s">
        <v>2135</v>
      </c>
      <c r="R439" s="8" t="s">
        <v>2135</v>
      </c>
      <c r="S439" s="8" t="s">
        <v>2135</v>
      </c>
      <c r="T439" s="8" t="s">
        <v>10252</v>
      </c>
      <c r="U439" s="8" t="s">
        <v>10253</v>
      </c>
      <c r="V439" s="8" t="s">
        <v>10254</v>
      </c>
      <c r="W439" s="8" t="s">
        <v>10255</v>
      </c>
      <c r="X439" s="8" t="s">
        <v>10256</v>
      </c>
      <c r="Y439" s="8" t="s">
        <v>10257</v>
      </c>
      <c r="Z439" s="8" t="s">
        <v>10258</v>
      </c>
      <c r="AA439" s="8" t="s">
        <v>2135</v>
      </c>
      <c r="AB439" s="8" t="s">
        <v>2135</v>
      </c>
      <c r="AC439" s="8" t="s">
        <v>2135</v>
      </c>
      <c r="AD439" s="8" t="s">
        <v>2135</v>
      </c>
      <c r="AE439" s="8" t="s">
        <v>2135</v>
      </c>
      <c r="AF439" s="8" t="s">
        <v>2135</v>
      </c>
      <c r="AG439" s="8">
        <v>24.0</v>
      </c>
      <c r="AH439" s="8">
        <v>6.0</v>
      </c>
      <c r="AI439" s="8">
        <v>6.0</v>
      </c>
      <c r="AJ439" s="8">
        <v>0.0</v>
      </c>
      <c r="AK439" s="8">
        <v>31.0</v>
      </c>
      <c r="AL439" s="8" t="s">
        <v>10259</v>
      </c>
      <c r="AM439" s="8" t="s">
        <v>10260</v>
      </c>
      <c r="AN439" s="8" t="s">
        <v>10261</v>
      </c>
      <c r="AO439" s="8" t="s">
        <v>10262</v>
      </c>
      <c r="AP439" s="8" t="s">
        <v>10263</v>
      </c>
      <c r="AQ439" s="8" t="s">
        <v>2135</v>
      </c>
      <c r="AR439" s="8" t="s">
        <v>10264</v>
      </c>
      <c r="AS439" s="8" t="s">
        <v>10265</v>
      </c>
      <c r="AT439" s="8" t="s">
        <v>3485</v>
      </c>
      <c r="AU439" s="8">
        <v>2001.0</v>
      </c>
      <c r="AV439" s="8">
        <v>48.0</v>
      </c>
      <c r="AW439" s="8">
        <v>2.0</v>
      </c>
      <c r="AX439" s="8" t="s">
        <v>2135</v>
      </c>
      <c r="AY439" s="8" t="s">
        <v>2135</v>
      </c>
      <c r="AZ439" s="8" t="s">
        <v>2135</v>
      </c>
      <c r="BA439" s="8" t="s">
        <v>2135</v>
      </c>
      <c r="BB439" s="8">
        <v>178.0</v>
      </c>
      <c r="BC439" s="8">
        <v>182.0</v>
      </c>
      <c r="BD439" s="8" t="s">
        <v>2135</v>
      </c>
      <c r="BE439" s="8" t="s">
        <v>10266</v>
      </c>
      <c r="BF439" s="13" t="str">
        <f>HYPERLINK("http://dx.doi.org/10.1006/eesa.2000.2027","http://dx.doi.org/10.1006/eesa.2000.2027")</f>
        <v>http://dx.doi.org/10.1006/eesa.2000.2027</v>
      </c>
      <c r="BG439" s="8" t="s">
        <v>2135</v>
      </c>
      <c r="BH439" s="8" t="s">
        <v>2135</v>
      </c>
      <c r="BI439" s="8">
        <v>5.0</v>
      </c>
      <c r="BJ439" s="8" t="s">
        <v>10206</v>
      </c>
      <c r="BK439" s="8" t="s">
        <v>3352</v>
      </c>
      <c r="BL439" s="8" t="s">
        <v>10207</v>
      </c>
      <c r="BM439" s="8" t="s">
        <v>10267</v>
      </c>
      <c r="BN439" s="8">
        <v>1.1161692E7</v>
      </c>
      <c r="BO439" s="8" t="s">
        <v>2135</v>
      </c>
      <c r="BP439" s="8" t="s">
        <v>2135</v>
      </c>
      <c r="BQ439" s="8" t="s">
        <v>2135</v>
      </c>
      <c r="BR439" s="8" t="s">
        <v>3355</v>
      </c>
      <c r="BS439" s="8" t="s">
        <v>10268</v>
      </c>
      <c r="BU439" s="8" t="s">
        <v>2142</v>
      </c>
      <c r="BW439" s="8" t="s">
        <v>2340</v>
      </c>
      <c r="BX439" s="8" t="s">
        <v>3188</v>
      </c>
      <c r="BY439" s="8" t="s">
        <v>3189</v>
      </c>
      <c r="BZ439" s="8" t="str">
        <f>HYPERLINK("https%3A%2F%2Fwww.webofscience.com%2Fwos%2Fwoscc%2Ffull-record%2FWOS:000166991600007","View Full Record in Web of Science")</f>
        <v>View Full Record in Web of Science</v>
      </c>
    </row>
    <row r="440" ht="12.75" customHeight="1">
      <c r="A440" s="8" t="s">
        <v>3329</v>
      </c>
      <c r="B440" s="8" t="s">
        <v>10269</v>
      </c>
      <c r="C440" s="8" t="s">
        <v>2135</v>
      </c>
      <c r="D440" s="8" t="s">
        <v>2135</v>
      </c>
      <c r="E440" s="8" t="s">
        <v>2135</v>
      </c>
      <c r="F440" s="8" t="s">
        <v>10270</v>
      </c>
      <c r="G440" s="8" t="s">
        <v>2135</v>
      </c>
      <c r="H440" s="8" t="s">
        <v>2135</v>
      </c>
      <c r="I440" s="8" t="s">
        <v>1641</v>
      </c>
      <c r="J440" s="8" t="s">
        <v>4381</v>
      </c>
      <c r="K440" s="8" t="s">
        <v>2135</v>
      </c>
      <c r="L440" s="8" t="s">
        <v>2135</v>
      </c>
      <c r="M440" s="8" t="s">
        <v>3332</v>
      </c>
      <c r="N440" s="8" t="s">
        <v>3333</v>
      </c>
      <c r="O440" s="8" t="s">
        <v>2135</v>
      </c>
      <c r="P440" s="8" t="s">
        <v>2135</v>
      </c>
      <c r="Q440" s="8" t="s">
        <v>2135</v>
      </c>
      <c r="R440" s="8" t="s">
        <v>2135</v>
      </c>
      <c r="S440" s="8" t="s">
        <v>2135</v>
      </c>
      <c r="T440" s="8" t="s">
        <v>10271</v>
      </c>
      <c r="U440" s="8" t="s">
        <v>10272</v>
      </c>
      <c r="V440" s="8" t="s">
        <v>10273</v>
      </c>
      <c r="W440" s="8" t="s">
        <v>10274</v>
      </c>
      <c r="X440" s="8" t="s">
        <v>10275</v>
      </c>
      <c r="Y440" s="8" t="s">
        <v>10276</v>
      </c>
      <c r="Z440" s="8" t="s">
        <v>3474</v>
      </c>
      <c r="AA440" s="8" t="s">
        <v>10277</v>
      </c>
      <c r="AB440" s="8" t="s">
        <v>10278</v>
      </c>
      <c r="AC440" s="8" t="s">
        <v>2135</v>
      </c>
      <c r="AD440" s="8" t="s">
        <v>2135</v>
      </c>
      <c r="AE440" s="8" t="s">
        <v>2135</v>
      </c>
      <c r="AF440" s="8" t="s">
        <v>2135</v>
      </c>
      <c r="AG440" s="8">
        <v>62.0</v>
      </c>
      <c r="AH440" s="8">
        <v>28.0</v>
      </c>
      <c r="AI440" s="8">
        <v>34.0</v>
      </c>
      <c r="AJ440" s="8">
        <v>2.0</v>
      </c>
      <c r="AK440" s="8">
        <v>107.0</v>
      </c>
      <c r="AL440" s="8" t="s">
        <v>3366</v>
      </c>
      <c r="AM440" s="8" t="s">
        <v>3367</v>
      </c>
      <c r="AN440" s="8" t="s">
        <v>3368</v>
      </c>
      <c r="AO440" s="8" t="s">
        <v>4396</v>
      </c>
      <c r="AP440" s="8" t="s">
        <v>4397</v>
      </c>
      <c r="AQ440" s="8" t="s">
        <v>2135</v>
      </c>
      <c r="AR440" s="8" t="s">
        <v>4398</v>
      </c>
      <c r="AS440" s="8" t="s">
        <v>4399</v>
      </c>
      <c r="AT440" s="8" t="s">
        <v>3721</v>
      </c>
      <c r="AU440" s="8">
        <v>2013.0</v>
      </c>
      <c r="AV440" s="8">
        <v>26.0</v>
      </c>
      <c r="AW440" s="8" t="s">
        <v>2135</v>
      </c>
      <c r="AX440" s="8" t="s">
        <v>2135</v>
      </c>
      <c r="AY440" s="8" t="s">
        <v>2135</v>
      </c>
      <c r="AZ440" s="8" t="s">
        <v>2135</v>
      </c>
      <c r="BA440" s="8" t="s">
        <v>2135</v>
      </c>
      <c r="BB440" s="8">
        <v>5.0</v>
      </c>
      <c r="BC440" s="8">
        <v>13.0</v>
      </c>
      <c r="BD440" s="8" t="s">
        <v>2135</v>
      </c>
      <c r="BE440" s="8" t="s">
        <v>10279</v>
      </c>
      <c r="BF440" s="13" t="str">
        <f>HYPERLINK("http://dx.doi.org/10.1016/j.ecolind.2012.10.017","http://dx.doi.org/10.1016/j.ecolind.2012.10.017")</f>
        <v>http://dx.doi.org/10.1016/j.ecolind.2012.10.017</v>
      </c>
      <c r="BG440" s="8" t="s">
        <v>2135</v>
      </c>
      <c r="BH440" s="8" t="s">
        <v>2135</v>
      </c>
      <c r="BI440" s="8">
        <v>9.0</v>
      </c>
      <c r="BJ440" s="8" t="s">
        <v>4401</v>
      </c>
      <c r="BK440" s="8" t="s">
        <v>3352</v>
      </c>
      <c r="BL440" s="8" t="s">
        <v>3353</v>
      </c>
      <c r="BM440" s="8" t="s">
        <v>10280</v>
      </c>
      <c r="BN440" s="8" t="s">
        <v>2135</v>
      </c>
      <c r="BO440" s="8" t="s">
        <v>2135</v>
      </c>
      <c r="BP440" s="8" t="s">
        <v>2135</v>
      </c>
      <c r="BQ440" s="8" t="s">
        <v>2135</v>
      </c>
      <c r="BR440" s="8" t="s">
        <v>3355</v>
      </c>
      <c r="BS440" s="8" t="s">
        <v>10281</v>
      </c>
      <c r="BT440" s="8" t="s">
        <v>2373</v>
      </c>
      <c r="BU440" s="8" t="s">
        <v>2142</v>
      </c>
      <c r="BW440" s="8" t="s">
        <v>2143</v>
      </c>
      <c r="BX440" s="8" t="s">
        <v>2974</v>
      </c>
      <c r="BY440" s="8" t="s">
        <v>3004</v>
      </c>
      <c r="BZ440" s="8" t="str">
        <f>HYPERLINK("https%3A%2F%2Fwww.webofscience.com%2Fwos%2Fwoscc%2Ffull-record%2FWOS:000314483200002","View Full Record in Web of Science")</f>
        <v>View Full Record in Web of Science</v>
      </c>
    </row>
    <row r="441" ht="12.75" customHeight="1">
      <c r="A441" s="8" t="s">
        <v>3329</v>
      </c>
      <c r="B441" s="8" t="s">
        <v>10282</v>
      </c>
      <c r="C441" s="8" t="s">
        <v>2135</v>
      </c>
      <c r="D441" s="8" t="s">
        <v>2135</v>
      </c>
      <c r="E441" s="8" t="s">
        <v>2135</v>
      </c>
      <c r="F441" s="8" t="s">
        <v>10283</v>
      </c>
      <c r="G441" s="8" t="s">
        <v>2135</v>
      </c>
      <c r="H441" s="8" t="s">
        <v>2135</v>
      </c>
      <c r="I441" s="8" t="s">
        <v>1639</v>
      </c>
      <c r="J441" s="8" t="s">
        <v>4986</v>
      </c>
      <c r="K441" s="8" t="s">
        <v>2135</v>
      </c>
      <c r="L441" s="8" t="s">
        <v>2135</v>
      </c>
      <c r="M441" s="8" t="s">
        <v>9990</v>
      </c>
      <c r="N441" s="8" t="s">
        <v>3333</v>
      </c>
      <c r="O441" s="8" t="s">
        <v>2135</v>
      </c>
      <c r="P441" s="8" t="s">
        <v>2135</v>
      </c>
      <c r="Q441" s="8" t="s">
        <v>2135</v>
      </c>
      <c r="R441" s="8" t="s">
        <v>2135</v>
      </c>
      <c r="S441" s="8" t="s">
        <v>2135</v>
      </c>
      <c r="T441" s="8" t="s">
        <v>2135</v>
      </c>
      <c r="U441" s="8" t="s">
        <v>10284</v>
      </c>
      <c r="V441" s="8" t="s">
        <v>10285</v>
      </c>
      <c r="W441" s="8" t="s">
        <v>10286</v>
      </c>
      <c r="X441" s="8" t="s">
        <v>2135</v>
      </c>
      <c r="Y441" s="8" t="s">
        <v>4779</v>
      </c>
      <c r="Z441" s="8" t="s">
        <v>4780</v>
      </c>
      <c r="AA441" s="8" t="s">
        <v>10287</v>
      </c>
      <c r="AB441" s="8" t="s">
        <v>10288</v>
      </c>
      <c r="AC441" s="8" t="s">
        <v>2135</v>
      </c>
      <c r="AD441" s="8" t="s">
        <v>2135</v>
      </c>
      <c r="AE441" s="8" t="s">
        <v>2135</v>
      </c>
      <c r="AF441" s="8" t="s">
        <v>2135</v>
      </c>
      <c r="AG441" s="8">
        <v>56.0</v>
      </c>
      <c r="AH441" s="8">
        <v>12.0</v>
      </c>
      <c r="AI441" s="8">
        <v>14.0</v>
      </c>
      <c r="AJ441" s="8">
        <v>0.0</v>
      </c>
      <c r="AK441" s="8">
        <v>28.0</v>
      </c>
      <c r="AL441" s="8" t="s">
        <v>10289</v>
      </c>
      <c r="AM441" s="8" t="s">
        <v>4999</v>
      </c>
      <c r="AN441" s="8" t="s">
        <v>5000</v>
      </c>
      <c r="AO441" s="8" t="s">
        <v>5001</v>
      </c>
      <c r="AP441" s="8" t="s">
        <v>2135</v>
      </c>
      <c r="AQ441" s="8" t="s">
        <v>2135</v>
      </c>
      <c r="AR441" s="8" t="s">
        <v>4986</v>
      </c>
      <c r="AS441" s="8" t="s">
        <v>5003</v>
      </c>
      <c r="AT441" s="8" t="s">
        <v>2135</v>
      </c>
      <c r="AU441" s="8">
        <v>2006.0</v>
      </c>
      <c r="AV441" s="8">
        <v>70.0</v>
      </c>
      <c r="AW441" s="8" t="s">
        <v>6706</v>
      </c>
      <c r="AX441" s="8" t="s">
        <v>2135</v>
      </c>
      <c r="AY441" s="8" t="s">
        <v>2135</v>
      </c>
      <c r="AZ441" s="8" t="s">
        <v>2135</v>
      </c>
      <c r="BA441" s="8" t="s">
        <v>2135</v>
      </c>
      <c r="BB441" s="8">
        <v>193.0</v>
      </c>
      <c r="BC441" s="8">
        <v>201.0</v>
      </c>
      <c r="BD441" s="8" t="s">
        <v>2135</v>
      </c>
      <c r="BE441" s="8" t="s">
        <v>10290</v>
      </c>
      <c r="BF441" s="13" t="str">
        <f>HYPERLINK("http://dx.doi.org/10.1515/MAMM.2006.051","http://dx.doi.org/10.1515/MAMM.2006.051")</f>
        <v>http://dx.doi.org/10.1515/MAMM.2006.051</v>
      </c>
      <c r="BG441" s="8" t="s">
        <v>2135</v>
      </c>
      <c r="BH441" s="8" t="s">
        <v>2135</v>
      </c>
      <c r="BI441" s="8">
        <v>9.0</v>
      </c>
      <c r="BJ441" s="8" t="s">
        <v>3397</v>
      </c>
      <c r="BK441" s="8" t="s">
        <v>3352</v>
      </c>
      <c r="BL441" s="8" t="s">
        <v>3397</v>
      </c>
      <c r="BM441" s="8" t="s">
        <v>10291</v>
      </c>
      <c r="BN441" s="8" t="s">
        <v>2135</v>
      </c>
      <c r="BO441" s="8" t="s">
        <v>2135</v>
      </c>
      <c r="BP441" s="8" t="s">
        <v>2135</v>
      </c>
      <c r="BQ441" s="8" t="s">
        <v>2135</v>
      </c>
      <c r="BR441" s="8" t="s">
        <v>3355</v>
      </c>
      <c r="BS441" s="8" t="s">
        <v>10292</v>
      </c>
      <c r="BU441" s="8" t="s">
        <v>2142</v>
      </c>
      <c r="BW441" s="8" t="s">
        <v>2168</v>
      </c>
      <c r="BX441" s="8" t="s">
        <v>3178</v>
      </c>
      <c r="BY441" s="8" t="s">
        <v>3004</v>
      </c>
      <c r="BZ441" s="8" t="str">
        <f>HYPERLINK("https%3A%2F%2Fwww.webofscience.com%2Fwos%2Fwoscc%2Ffull-record%2FWOS:000247732900001","View Full Record in Web of Science")</f>
        <v>View Full Record in Web of Science</v>
      </c>
    </row>
    <row r="442" ht="12.75" customHeight="1">
      <c r="A442" s="8" t="s">
        <v>3329</v>
      </c>
      <c r="B442" s="8" t="s">
        <v>10293</v>
      </c>
      <c r="C442" s="8" t="s">
        <v>2135</v>
      </c>
      <c r="D442" s="8" t="s">
        <v>2135</v>
      </c>
      <c r="E442" s="8" t="s">
        <v>2135</v>
      </c>
      <c r="F442" s="8" t="s">
        <v>10293</v>
      </c>
      <c r="G442" s="8" t="s">
        <v>2135</v>
      </c>
      <c r="H442" s="8" t="s">
        <v>2135</v>
      </c>
      <c r="I442" s="8" t="s">
        <v>1637</v>
      </c>
      <c r="J442" s="8" t="s">
        <v>10219</v>
      </c>
      <c r="K442" s="8" t="s">
        <v>2135</v>
      </c>
      <c r="L442" s="8" t="s">
        <v>2135</v>
      </c>
      <c r="M442" s="8" t="s">
        <v>3332</v>
      </c>
      <c r="N442" s="8" t="s">
        <v>3333</v>
      </c>
      <c r="O442" s="8" t="s">
        <v>2135</v>
      </c>
      <c r="P442" s="8" t="s">
        <v>2135</v>
      </c>
      <c r="Q442" s="8" t="s">
        <v>2135</v>
      </c>
      <c r="R442" s="8" t="s">
        <v>2135</v>
      </c>
      <c r="S442" s="8" t="s">
        <v>2135</v>
      </c>
      <c r="T442" s="8" t="s">
        <v>10294</v>
      </c>
      <c r="U442" s="8" t="s">
        <v>10295</v>
      </c>
      <c r="V442" s="8" t="s">
        <v>10296</v>
      </c>
      <c r="W442" s="8" t="s">
        <v>10297</v>
      </c>
      <c r="X442" s="8" t="s">
        <v>10298</v>
      </c>
      <c r="Y442" s="8" t="s">
        <v>10299</v>
      </c>
      <c r="Z442" s="8" t="s">
        <v>10300</v>
      </c>
      <c r="AA442" s="8" t="s">
        <v>10227</v>
      </c>
      <c r="AB442" s="8" t="s">
        <v>8948</v>
      </c>
      <c r="AC442" s="8" t="s">
        <v>2135</v>
      </c>
      <c r="AD442" s="8" t="s">
        <v>2135</v>
      </c>
      <c r="AE442" s="8" t="s">
        <v>2135</v>
      </c>
      <c r="AF442" s="8" t="s">
        <v>2135</v>
      </c>
      <c r="AG442" s="8">
        <v>81.0</v>
      </c>
      <c r="AH442" s="8">
        <v>51.0</v>
      </c>
      <c r="AI442" s="8">
        <v>64.0</v>
      </c>
      <c r="AJ442" s="8">
        <v>0.0</v>
      </c>
      <c r="AK442" s="8">
        <v>42.0</v>
      </c>
      <c r="AL442" s="8" t="s">
        <v>6103</v>
      </c>
      <c r="AM442" s="8" t="s">
        <v>6104</v>
      </c>
      <c r="AN442" s="8" t="s">
        <v>6105</v>
      </c>
      <c r="AO442" s="8" t="s">
        <v>10228</v>
      </c>
      <c r="AP442" s="8" t="s">
        <v>10229</v>
      </c>
      <c r="AQ442" s="8" t="s">
        <v>2135</v>
      </c>
      <c r="AR442" s="8" t="s">
        <v>10230</v>
      </c>
      <c r="AS442" s="8" t="s">
        <v>10231</v>
      </c>
      <c r="AT442" s="8" t="s">
        <v>2135</v>
      </c>
      <c r="AU442" s="8">
        <v>2002.0</v>
      </c>
      <c r="AV442" s="8">
        <v>241.0</v>
      </c>
      <c r="AW442" s="8" t="s">
        <v>2135</v>
      </c>
      <c r="AX442" s="8" t="s">
        <v>2135</v>
      </c>
      <c r="AY442" s="8" t="s">
        <v>2135</v>
      </c>
      <c r="AZ442" s="8" t="s">
        <v>2135</v>
      </c>
      <c r="BA442" s="8" t="s">
        <v>2135</v>
      </c>
      <c r="BB442" s="8">
        <v>255.0</v>
      </c>
      <c r="BC442" s="8">
        <v>270.0</v>
      </c>
      <c r="BD442" s="8" t="s">
        <v>2135</v>
      </c>
      <c r="BE442" s="8" t="s">
        <v>10301</v>
      </c>
      <c r="BF442" s="13" t="str">
        <f>HYPERLINK("http://dx.doi.org/10.3354/meps241255","http://dx.doi.org/10.3354/meps241255")</f>
        <v>http://dx.doi.org/10.3354/meps241255</v>
      </c>
      <c r="BG442" s="8" t="s">
        <v>2135</v>
      </c>
      <c r="BH442" s="8" t="s">
        <v>2135</v>
      </c>
      <c r="BI442" s="8">
        <v>16.0</v>
      </c>
      <c r="BJ442" s="8" t="s">
        <v>10233</v>
      </c>
      <c r="BK442" s="8" t="s">
        <v>3352</v>
      </c>
      <c r="BL442" s="8" t="s">
        <v>10234</v>
      </c>
      <c r="BM442" s="8" t="s">
        <v>10302</v>
      </c>
      <c r="BN442" s="8" t="s">
        <v>2135</v>
      </c>
      <c r="BO442" s="8" t="s">
        <v>3445</v>
      </c>
      <c r="BP442" s="8" t="s">
        <v>2135</v>
      </c>
      <c r="BQ442" s="8" t="s">
        <v>2135</v>
      </c>
      <c r="BR442" s="8" t="s">
        <v>3355</v>
      </c>
      <c r="BS442" s="8" t="s">
        <v>10303</v>
      </c>
      <c r="BT442" s="8" t="s">
        <v>2600</v>
      </c>
      <c r="BU442" s="8" t="s">
        <v>2147</v>
      </c>
      <c r="BV442" s="8" t="s">
        <v>2217</v>
      </c>
      <c r="BW442" s="8" t="s">
        <v>2237</v>
      </c>
      <c r="BX442" s="8" t="s">
        <v>2974</v>
      </c>
      <c r="BY442" s="8" t="s">
        <v>3004</v>
      </c>
      <c r="BZ442" s="8" t="str">
        <f>HYPERLINK("https%3A%2F%2Fwww.webofscience.com%2Fwos%2Fwoscc%2Ffull-record%2FWOS:000179145900023","View Full Record in Web of Science")</f>
        <v>View Full Record in Web of Science</v>
      </c>
    </row>
    <row r="443" ht="12.75" customHeight="1">
      <c r="A443" s="8" t="s">
        <v>3329</v>
      </c>
      <c r="B443" s="8" t="s">
        <v>10304</v>
      </c>
      <c r="C443" s="8" t="s">
        <v>2135</v>
      </c>
      <c r="D443" s="8" t="s">
        <v>2135</v>
      </c>
      <c r="E443" s="8" t="s">
        <v>2135</v>
      </c>
      <c r="F443" s="8" t="s">
        <v>10304</v>
      </c>
      <c r="G443" s="8" t="s">
        <v>2135</v>
      </c>
      <c r="H443" s="8" t="s">
        <v>2135</v>
      </c>
      <c r="I443" s="8" t="s">
        <v>1635</v>
      </c>
      <c r="J443" s="8" t="s">
        <v>9269</v>
      </c>
      <c r="K443" s="8" t="s">
        <v>2135</v>
      </c>
      <c r="L443" s="8" t="s">
        <v>2135</v>
      </c>
      <c r="M443" s="8" t="s">
        <v>3332</v>
      </c>
      <c r="N443" s="8" t="s">
        <v>3333</v>
      </c>
      <c r="O443" s="8" t="s">
        <v>2135</v>
      </c>
      <c r="P443" s="8" t="s">
        <v>2135</v>
      </c>
      <c r="Q443" s="8" t="s">
        <v>2135</v>
      </c>
      <c r="R443" s="8" t="s">
        <v>2135</v>
      </c>
      <c r="S443" s="8" t="s">
        <v>2135</v>
      </c>
      <c r="T443" s="8" t="s">
        <v>10305</v>
      </c>
      <c r="U443" s="8" t="s">
        <v>10306</v>
      </c>
      <c r="V443" s="8" t="s">
        <v>10307</v>
      </c>
      <c r="W443" s="8" t="s">
        <v>10308</v>
      </c>
      <c r="X443" s="8" t="s">
        <v>10309</v>
      </c>
      <c r="Y443" s="8" t="s">
        <v>2135</v>
      </c>
      <c r="Z443" s="8" t="s">
        <v>2135</v>
      </c>
      <c r="AA443" s="8" t="s">
        <v>2135</v>
      </c>
      <c r="AB443" s="8" t="s">
        <v>2135</v>
      </c>
      <c r="AC443" s="8" t="s">
        <v>2135</v>
      </c>
      <c r="AD443" s="8" t="s">
        <v>2135</v>
      </c>
      <c r="AE443" s="8" t="s">
        <v>2135</v>
      </c>
      <c r="AF443" s="8" t="s">
        <v>2135</v>
      </c>
      <c r="AG443" s="8">
        <v>26.0</v>
      </c>
      <c r="AH443" s="8">
        <v>4.0</v>
      </c>
      <c r="AI443" s="8">
        <v>4.0</v>
      </c>
      <c r="AJ443" s="8">
        <v>0.0</v>
      </c>
      <c r="AK443" s="8">
        <v>5.0</v>
      </c>
      <c r="AL443" s="8" t="s">
        <v>10310</v>
      </c>
      <c r="AM443" s="8" t="s">
        <v>9276</v>
      </c>
      <c r="AN443" s="8" t="s">
        <v>10311</v>
      </c>
      <c r="AO443" s="8" t="s">
        <v>9278</v>
      </c>
      <c r="AP443" s="8" t="s">
        <v>2135</v>
      </c>
      <c r="AQ443" s="8" t="s">
        <v>2135</v>
      </c>
      <c r="AR443" s="8" t="s">
        <v>9279</v>
      </c>
      <c r="AS443" s="8" t="s">
        <v>9280</v>
      </c>
      <c r="AT443" s="8" t="s">
        <v>2135</v>
      </c>
      <c r="AU443" s="8">
        <v>1996.0</v>
      </c>
      <c r="AV443" s="8">
        <v>46.0</v>
      </c>
      <c r="AW443" s="8" t="s">
        <v>6706</v>
      </c>
      <c r="AX443" s="8" t="s">
        <v>2135</v>
      </c>
      <c r="AY443" s="8" t="s">
        <v>2135</v>
      </c>
      <c r="AZ443" s="8" t="s">
        <v>2135</v>
      </c>
      <c r="BA443" s="8" t="s">
        <v>2135</v>
      </c>
      <c r="BB443" s="8">
        <v>326.0</v>
      </c>
      <c r="BC443" s="8">
        <v>336.0</v>
      </c>
      <c r="BD443" s="8" t="s">
        <v>2135</v>
      </c>
      <c r="BE443" s="8" t="s">
        <v>2135</v>
      </c>
      <c r="BF443" s="8" t="s">
        <v>2135</v>
      </c>
      <c r="BG443" s="8" t="s">
        <v>2135</v>
      </c>
      <c r="BH443" s="8" t="s">
        <v>2135</v>
      </c>
      <c r="BI443" s="8">
        <v>11.0</v>
      </c>
      <c r="BJ443" s="8" t="s">
        <v>3397</v>
      </c>
      <c r="BK443" s="8" t="s">
        <v>3352</v>
      </c>
      <c r="BL443" s="8" t="s">
        <v>3397</v>
      </c>
      <c r="BM443" s="8" t="s">
        <v>10312</v>
      </c>
      <c r="BN443" s="8" t="s">
        <v>2135</v>
      </c>
      <c r="BO443" s="8" t="s">
        <v>2135</v>
      </c>
      <c r="BP443" s="8" t="s">
        <v>2135</v>
      </c>
      <c r="BQ443" s="8" t="s">
        <v>2135</v>
      </c>
      <c r="BR443" s="8" t="s">
        <v>3355</v>
      </c>
      <c r="BS443" s="8" t="s">
        <v>10313</v>
      </c>
      <c r="BT443" s="8" t="s">
        <v>2325</v>
      </c>
      <c r="BU443" s="8" t="s">
        <v>2142</v>
      </c>
      <c r="BW443" s="8" t="s">
        <v>2143</v>
      </c>
      <c r="BX443" s="8" t="s">
        <v>2958</v>
      </c>
      <c r="BY443" s="8" t="s">
        <v>3004</v>
      </c>
      <c r="BZ443" s="8" t="str">
        <f>HYPERLINK("https%3A%2F%2Fwww.webofscience.com%2Fwos%2Fwoscc%2Ffull-record%2FWOS:A1996VY82800016","View Full Record in Web of Science")</f>
        <v>View Full Record in Web of Science</v>
      </c>
    </row>
    <row r="444" ht="12.75" customHeight="1">
      <c r="A444" s="8" t="s">
        <v>3329</v>
      </c>
      <c r="B444" s="8" t="s">
        <v>10314</v>
      </c>
      <c r="C444" s="8" t="s">
        <v>2135</v>
      </c>
      <c r="D444" s="8" t="s">
        <v>2135</v>
      </c>
      <c r="E444" s="8" t="s">
        <v>2135</v>
      </c>
      <c r="F444" s="8" t="s">
        <v>10315</v>
      </c>
      <c r="G444" s="8" t="s">
        <v>2135</v>
      </c>
      <c r="H444" s="8" t="s">
        <v>2135</v>
      </c>
      <c r="I444" s="8" t="s">
        <v>1650</v>
      </c>
      <c r="J444" s="8" t="s">
        <v>10316</v>
      </c>
      <c r="K444" s="8" t="s">
        <v>2135</v>
      </c>
      <c r="L444" s="8" t="s">
        <v>2135</v>
      </c>
      <c r="M444" s="8" t="s">
        <v>3332</v>
      </c>
      <c r="N444" s="8" t="s">
        <v>3333</v>
      </c>
      <c r="O444" s="8" t="s">
        <v>2135</v>
      </c>
      <c r="P444" s="8" t="s">
        <v>2135</v>
      </c>
      <c r="Q444" s="8" t="s">
        <v>2135</v>
      </c>
      <c r="R444" s="8" t="s">
        <v>2135</v>
      </c>
      <c r="S444" s="8" t="s">
        <v>2135</v>
      </c>
      <c r="T444" s="8" t="s">
        <v>10317</v>
      </c>
      <c r="U444" s="8" t="s">
        <v>10318</v>
      </c>
      <c r="V444" s="8" t="s">
        <v>10319</v>
      </c>
      <c r="W444" s="8" t="s">
        <v>10320</v>
      </c>
      <c r="X444" s="8" t="s">
        <v>10321</v>
      </c>
      <c r="Y444" s="8" t="s">
        <v>10322</v>
      </c>
      <c r="Z444" s="8" t="s">
        <v>2135</v>
      </c>
      <c r="AA444" s="8" t="s">
        <v>2135</v>
      </c>
      <c r="AB444" s="8" t="s">
        <v>2135</v>
      </c>
      <c r="AC444" s="8" t="s">
        <v>2135</v>
      </c>
      <c r="AD444" s="8" t="s">
        <v>2135</v>
      </c>
      <c r="AE444" s="8" t="s">
        <v>2135</v>
      </c>
      <c r="AF444" s="8" t="s">
        <v>2135</v>
      </c>
      <c r="AG444" s="8">
        <v>23.0</v>
      </c>
      <c r="AH444" s="8">
        <v>0.0</v>
      </c>
      <c r="AI444" s="8">
        <v>0.0</v>
      </c>
      <c r="AJ444" s="8">
        <v>1.0</v>
      </c>
      <c r="AK444" s="8">
        <v>28.0</v>
      </c>
      <c r="AL444" s="8" t="s">
        <v>10323</v>
      </c>
      <c r="AM444" s="8" t="s">
        <v>10324</v>
      </c>
      <c r="AN444" s="8" t="s">
        <v>10325</v>
      </c>
      <c r="AO444" s="8" t="s">
        <v>10326</v>
      </c>
      <c r="AP444" s="8" t="s">
        <v>10327</v>
      </c>
      <c r="AQ444" s="8" t="s">
        <v>2135</v>
      </c>
      <c r="AR444" s="8" t="s">
        <v>10328</v>
      </c>
      <c r="AS444" s="8" t="s">
        <v>10329</v>
      </c>
      <c r="AT444" s="8" t="s">
        <v>2135</v>
      </c>
      <c r="AU444" s="8">
        <v>2012.0</v>
      </c>
      <c r="AV444" s="8">
        <v>11.0</v>
      </c>
      <c r="AW444" s="8">
        <v>19.0</v>
      </c>
      <c r="AX444" s="8" t="s">
        <v>2135</v>
      </c>
      <c r="AY444" s="8" t="s">
        <v>2135</v>
      </c>
      <c r="AZ444" s="8" t="s">
        <v>2135</v>
      </c>
      <c r="BA444" s="8" t="s">
        <v>2135</v>
      </c>
      <c r="BB444" s="8">
        <v>3539.0</v>
      </c>
      <c r="BC444" s="8">
        <v>3543.0</v>
      </c>
      <c r="BD444" s="8" t="s">
        <v>2135</v>
      </c>
      <c r="BE444" s="8" t="s">
        <v>2135</v>
      </c>
      <c r="BF444" s="8" t="s">
        <v>2135</v>
      </c>
      <c r="BG444" s="8" t="s">
        <v>2135</v>
      </c>
      <c r="BH444" s="8" t="s">
        <v>2135</v>
      </c>
      <c r="BI444" s="8">
        <v>5.0</v>
      </c>
      <c r="BJ444" s="8" t="s">
        <v>6958</v>
      </c>
      <c r="BK444" s="8" t="s">
        <v>3352</v>
      </c>
      <c r="BL444" s="8" t="s">
        <v>6958</v>
      </c>
      <c r="BM444" s="8" t="s">
        <v>10330</v>
      </c>
      <c r="BN444" s="8" t="s">
        <v>2135</v>
      </c>
      <c r="BO444" s="8" t="s">
        <v>2135</v>
      </c>
      <c r="BP444" s="8" t="s">
        <v>2135</v>
      </c>
      <c r="BQ444" s="8" t="s">
        <v>2135</v>
      </c>
      <c r="BR444" s="8" t="s">
        <v>3355</v>
      </c>
      <c r="BS444" s="8" t="s">
        <v>10331</v>
      </c>
      <c r="BT444" s="8" t="s">
        <v>2396</v>
      </c>
      <c r="BU444" s="8" t="s">
        <v>2283</v>
      </c>
      <c r="BW444" s="8" t="s">
        <v>2143</v>
      </c>
      <c r="BX444" s="8" t="s">
        <v>3100</v>
      </c>
      <c r="BY444" s="8" t="s">
        <v>3101</v>
      </c>
      <c r="BZ444" s="8" t="str">
        <f>HYPERLINK("https%3A%2F%2Fwww.webofscience.com%2Fwos%2Fwoscc%2Ffull-record%2FWOS:000315851100013","View Full Record in Web of Science")</f>
        <v>View Full Record in Web of Science</v>
      </c>
    </row>
    <row r="445" ht="12.75" customHeight="1">
      <c r="A445" s="8" t="s">
        <v>3329</v>
      </c>
      <c r="B445" s="8" t="s">
        <v>10332</v>
      </c>
      <c r="C445" s="8" t="s">
        <v>2135</v>
      </c>
      <c r="D445" s="8" t="s">
        <v>2135</v>
      </c>
      <c r="E445" s="8" t="s">
        <v>2135</v>
      </c>
      <c r="F445" s="8" t="s">
        <v>10332</v>
      </c>
      <c r="G445" s="8" t="s">
        <v>2135</v>
      </c>
      <c r="H445" s="8" t="s">
        <v>2135</v>
      </c>
      <c r="I445" s="8" t="s">
        <v>1653</v>
      </c>
      <c r="J445" s="8" t="s">
        <v>4422</v>
      </c>
      <c r="K445" s="8" t="s">
        <v>2135</v>
      </c>
      <c r="L445" s="8" t="s">
        <v>2135</v>
      </c>
      <c r="M445" s="8" t="s">
        <v>3332</v>
      </c>
      <c r="N445" s="8" t="s">
        <v>3333</v>
      </c>
      <c r="O445" s="8" t="s">
        <v>2135</v>
      </c>
      <c r="P445" s="8" t="s">
        <v>2135</v>
      </c>
      <c r="Q445" s="8" t="s">
        <v>2135</v>
      </c>
      <c r="R445" s="8" t="s">
        <v>2135</v>
      </c>
      <c r="S445" s="8" t="s">
        <v>2135</v>
      </c>
      <c r="T445" s="8" t="s">
        <v>10333</v>
      </c>
      <c r="U445" s="8" t="s">
        <v>10334</v>
      </c>
      <c r="V445" s="8" t="s">
        <v>10335</v>
      </c>
      <c r="W445" s="8" t="s">
        <v>10336</v>
      </c>
      <c r="X445" s="8" t="s">
        <v>10337</v>
      </c>
      <c r="Y445" s="8" t="s">
        <v>10338</v>
      </c>
      <c r="Z445" s="8" t="s">
        <v>10339</v>
      </c>
      <c r="AA445" s="8" t="s">
        <v>2135</v>
      </c>
      <c r="AB445" s="8" t="s">
        <v>2135</v>
      </c>
      <c r="AC445" s="8" t="s">
        <v>2135</v>
      </c>
      <c r="AD445" s="8" t="s">
        <v>2135</v>
      </c>
      <c r="AE445" s="8" t="s">
        <v>2135</v>
      </c>
      <c r="AF445" s="8" t="s">
        <v>2135</v>
      </c>
      <c r="AG445" s="8">
        <v>70.0</v>
      </c>
      <c r="AH445" s="8">
        <v>79.0</v>
      </c>
      <c r="AI445" s="8">
        <v>103.0</v>
      </c>
      <c r="AJ445" s="8">
        <v>0.0</v>
      </c>
      <c r="AK445" s="8">
        <v>67.0</v>
      </c>
      <c r="AL445" s="8" t="s">
        <v>3342</v>
      </c>
      <c r="AM445" s="8" t="s">
        <v>3343</v>
      </c>
      <c r="AN445" s="8" t="s">
        <v>3344</v>
      </c>
      <c r="AO445" s="8" t="s">
        <v>4429</v>
      </c>
      <c r="AP445" s="8" t="s">
        <v>6676</v>
      </c>
      <c r="AQ445" s="8" t="s">
        <v>2135</v>
      </c>
      <c r="AR445" s="8" t="s">
        <v>4430</v>
      </c>
      <c r="AS445" s="8" t="s">
        <v>4431</v>
      </c>
      <c r="AT445" s="8" t="s">
        <v>3721</v>
      </c>
      <c r="AU445" s="8">
        <v>2002.0</v>
      </c>
      <c r="AV445" s="8">
        <v>11.0</v>
      </c>
      <c r="AW445" s="8">
        <v>3.0</v>
      </c>
      <c r="AX445" s="8" t="s">
        <v>2135</v>
      </c>
      <c r="AY445" s="8" t="s">
        <v>2135</v>
      </c>
      <c r="AZ445" s="8" t="s">
        <v>2135</v>
      </c>
      <c r="BA445" s="8" t="s">
        <v>2135</v>
      </c>
      <c r="BB445" s="8">
        <v>289.0</v>
      </c>
      <c r="BC445" s="8">
        <v>303.0</v>
      </c>
      <c r="BD445" s="8" t="s">
        <v>2135</v>
      </c>
      <c r="BE445" s="8" t="s">
        <v>10340</v>
      </c>
      <c r="BF445" s="13" t="str">
        <f>HYPERLINK("http://dx.doi.org/10.1046/j.0962-1083.2001.01440.x","http://dx.doi.org/10.1046/j.0962-1083.2001.01440.x")</f>
        <v>http://dx.doi.org/10.1046/j.0962-1083.2001.01440.x</v>
      </c>
      <c r="BG445" s="8" t="s">
        <v>2135</v>
      </c>
      <c r="BH445" s="8" t="s">
        <v>2135</v>
      </c>
      <c r="BI445" s="8">
        <v>15.0</v>
      </c>
      <c r="BJ445" s="8" t="s">
        <v>4433</v>
      </c>
      <c r="BK445" s="8" t="s">
        <v>3352</v>
      </c>
      <c r="BL445" s="8" t="s">
        <v>4434</v>
      </c>
      <c r="BM445" s="8" t="s">
        <v>10341</v>
      </c>
      <c r="BN445" s="8">
        <v>1.1928704E7</v>
      </c>
      <c r="BO445" s="8" t="s">
        <v>2135</v>
      </c>
      <c r="BP445" s="8" t="s">
        <v>2135</v>
      </c>
      <c r="BQ445" s="8" t="s">
        <v>2135</v>
      </c>
      <c r="BR445" s="8" t="s">
        <v>3355</v>
      </c>
      <c r="BS445" s="8" t="s">
        <v>10342</v>
      </c>
      <c r="BT445" s="8" t="s">
        <v>2600</v>
      </c>
      <c r="BU445" s="8" t="s">
        <v>2147</v>
      </c>
      <c r="BV445" s="8" t="s">
        <v>2217</v>
      </c>
      <c r="BW445" s="8" t="s">
        <v>2234</v>
      </c>
      <c r="BY445" s="8" t="s">
        <v>3032</v>
      </c>
      <c r="BZ445" s="8" t="str">
        <f>HYPERLINK("https%3A%2F%2Fwww.webofscience.com%2Fwos%2Fwoscc%2Ffull-record%2FWOS:000174424000001","View Full Record in Web of Science")</f>
        <v>View Full Record in Web of Science</v>
      </c>
    </row>
    <row r="446" ht="12.75" customHeight="1">
      <c r="A446" s="8" t="s">
        <v>3329</v>
      </c>
      <c r="B446" s="8" t="s">
        <v>10343</v>
      </c>
      <c r="C446" s="8" t="s">
        <v>2135</v>
      </c>
      <c r="D446" s="8" t="s">
        <v>2135</v>
      </c>
      <c r="E446" s="8" t="s">
        <v>2135</v>
      </c>
      <c r="F446" s="8" t="s">
        <v>10344</v>
      </c>
      <c r="G446" s="8" t="s">
        <v>2135</v>
      </c>
      <c r="H446" s="8" t="s">
        <v>2135</v>
      </c>
      <c r="I446" s="8" t="s">
        <v>1655</v>
      </c>
      <c r="J446" s="8" t="s">
        <v>10345</v>
      </c>
      <c r="K446" s="8" t="s">
        <v>2135</v>
      </c>
      <c r="L446" s="8" t="s">
        <v>2135</v>
      </c>
      <c r="M446" s="8" t="s">
        <v>3332</v>
      </c>
      <c r="N446" s="8" t="s">
        <v>3333</v>
      </c>
      <c r="O446" s="8" t="s">
        <v>2135</v>
      </c>
      <c r="P446" s="8" t="s">
        <v>2135</v>
      </c>
      <c r="Q446" s="8" t="s">
        <v>2135</v>
      </c>
      <c r="R446" s="8" t="s">
        <v>2135</v>
      </c>
      <c r="S446" s="8" t="s">
        <v>2135</v>
      </c>
      <c r="T446" s="8" t="s">
        <v>10346</v>
      </c>
      <c r="U446" s="8" t="s">
        <v>10347</v>
      </c>
      <c r="V446" s="8" t="s">
        <v>10348</v>
      </c>
      <c r="W446" s="8" t="s">
        <v>10349</v>
      </c>
      <c r="X446" s="8" t="s">
        <v>10350</v>
      </c>
      <c r="Y446" s="8" t="s">
        <v>10351</v>
      </c>
      <c r="Z446" s="8" t="s">
        <v>10352</v>
      </c>
      <c r="AA446" s="8" t="s">
        <v>10353</v>
      </c>
      <c r="AB446" s="8" t="s">
        <v>10354</v>
      </c>
      <c r="AC446" s="8" t="s">
        <v>10355</v>
      </c>
      <c r="AD446" s="8" t="s">
        <v>10355</v>
      </c>
      <c r="AE446" s="8" t="s">
        <v>10356</v>
      </c>
      <c r="AF446" s="8" t="s">
        <v>2135</v>
      </c>
      <c r="AG446" s="8">
        <v>42.0</v>
      </c>
      <c r="AH446" s="8">
        <v>17.0</v>
      </c>
      <c r="AI446" s="8">
        <v>18.0</v>
      </c>
      <c r="AJ446" s="8">
        <v>0.0</v>
      </c>
      <c r="AK446" s="8">
        <v>54.0</v>
      </c>
      <c r="AL446" s="8" t="s">
        <v>3342</v>
      </c>
      <c r="AM446" s="8" t="s">
        <v>3343</v>
      </c>
      <c r="AN446" s="8" t="s">
        <v>3344</v>
      </c>
      <c r="AO446" s="8" t="s">
        <v>10357</v>
      </c>
      <c r="AP446" s="8" t="s">
        <v>10358</v>
      </c>
      <c r="AQ446" s="8" t="s">
        <v>2135</v>
      </c>
      <c r="AR446" s="8" t="s">
        <v>10359</v>
      </c>
      <c r="AS446" s="8" t="s">
        <v>10360</v>
      </c>
      <c r="AT446" s="8" t="s">
        <v>3765</v>
      </c>
      <c r="AU446" s="8">
        <v>2011.0</v>
      </c>
      <c r="AV446" s="8">
        <v>49.0</v>
      </c>
      <c r="AW446" s="8">
        <v>2.0</v>
      </c>
      <c r="AX446" s="8" t="s">
        <v>2135</v>
      </c>
      <c r="AY446" s="8" t="s">
        <v>2135</v>
      </c>
      <c r="AZ446" s="8" t="s">
        <v>2135</v>
      </c>
      <c r="BA446" s="8" t="s">
        <v>2135</v>
      </c>
      <c r="BB446" s="8">
        <v>169.0</v>
      </c>
      <c r="BC446" s="8">
        <v>175.0</v>
      </c>
      <c r="BD446" s="8" t="s">
        <v>2135</v>
      </c>
      <c r="BE446" s="8" t="s">
        <v>10361</v>
      </c>
      <c r="BF446" s="13" t="str">
        <f>HYPERLINK("http://dx.doi.org/10.1111/j.1439-0469.2010.00582.x","http://dx.doi.org/10.1111/j.1439-0469.2010.00582.x")</f>
        <v>http://dx.doi.org/10.1111/j.1439-0469.2010.00582.x</v>
      </c>
      <c r="BG446" s="8" t="s">
        <v>2135</v>
      </c>
      <c r="BH446" s="8" t="s">
        <v>2135</v>
      </c>
      <c r="BI446" s="8">
        <v>7.0</v>
      </c>
      <c r="BJ446" s="8" t="s">
        <v>10362</v>
      </c>
      <c r="BK446" s="8" t="s">
        <v>3352</v>
      </c>
      <c r="BL446" s="8" t="s">
        <v>10362</v>
      </c>
      <c r="BM446" s="8" t="s">
        <v>10363</v>
      </c>
      <c r="BN446" s="8" t="s">
        <v>2135</v>
      </c>
      <c r="BO446" s="8" t="s">
        <v>2135</v>
      </c>
      <c r="BP446" s="8" t="s">
        <v>2135</v>
      </c>
      <c r="BQ446" s="8" t="s">
        <v>2135</v>
      </c>
      <c r="BR446" s="8" t="s">
        <v>3355</v>
      </c>
      <c r="BS446" s="8" t="s">
        <v>10364</v>
      </c>
      <c r="BT446" s="8" t="s">
        <v>2345</v>
      </c>
      <c r="BU446" s="8" t="s">
        <v>2142</v>
      </c>
      <c r="BW446" s="8" t="s">
        <v>2143</v>
      </c>
      <c r="BX446" s="8" t="s">
        <v>3102</v>
      </c>
      <c r="BY446" s="8" t="s">
        <v>3103</v>
      </c>
      <c r="BZ446" s="8" t="str">
        <f>HYPERLINK("https%3A%2F%2Fwww.webofscience.com%2Fwos%2Fwoscc%2Ffull-record%2FWOS:000289157300009","View Full Record in Web of Science")</f>
        <v>View Full Record in Web of Science</v>
      </c>
    </row>
    <row r="447" ht="12.75" customHeight="1">
      <c r="A447" s="8" t="s">
        <v>3329</v>
      </c>
      <c r="B447" s="8" t="s">
        <v>10365</v>
      </c>
      <c r="C447" s="8" t="s">
        <v>2135</v>
      </c>
      <c r="D447" s="8" t="s">
        <v>2135</v>
      </c>
      <c r="E447" s="8" t="s">
        <v>2135</v>
      </c>
      <c r="F447" s="8" t="s">
        <v>10366</v>
      </c>
      <c r="G447" s="8" t="s">
        <v>2135</v>
      </c>
      <c r="H447" s="8" t="s">
        <v>2135</v>
      </c>
      <c r="I447" s="8" t="s">
        <v>1657</v>
      </c>
      <c r="J447" s="8" t="s">
        <v>4612</v>
      </c>
      <c r="K447" s="8" t="s">
        <v>2135</v>
      </c>
      <c r="L447" s="8" t="s">
        <v>2135</v>
      </c>
      <c r="M447" s="8" t="s">
        <v>3332</v>
      </c>
      <c r="N447" s="8" t="s">
        <v>3963</v>
      </c>
      <c r="O447" s="8" t="s">
        <v>4613</v>
      </c>
      <c r="P447" s="8" t="s">
        <v>4614</v>
      </c>
      <c r="Q447" s="8" t="s">
        <v>4615</v>
      </c>
      <c r="R447" s="8" t="s">
        <v>4616</v>
      </c>
      <c r="S447" s="8" t="s">
        <v>2135</v>
      </c>
      <c r="T447" s="8" t="s">
        <v>10367</v>
      </c>
      <c r="U447" s="8" t="s">
        <v>10368</v>
      </c>
      <c r="V447" s="8" t="s">
        <v>10369</v>
      </c>
      <c r="W447" s="8" t="s">
        <v>10370</v>
      </c>
      <c r="X447" s="8" t="s">
        <v>10371</v>
      </c>
      <c r="Y447" s="8" t="s">
        <v>10372</v>
      </c>
      <c r="Z447" s="8" t="s">
        <v>10373</v>
      </c>
      <c r="AA447" s="8" t="s">
        <v>2135</v>
      </c>
      <c r="AB447" s="8" t="s">
        <v>2135</v>
      </c>
      <c r="AC447" s="8" t="s">
        <v>2135</v>
      </c>
      <c r="AD447" s="8" t="s">
        <v>2135</v>
      </c>
      <c r="AE447" s="8" t="s">
        <v>2135</v>
      </c>
      <c r="AF447" s="8" t="s">
        <v>2135</v>
      </c>
      <c r="AG447" s="8">
        <v>58.0</v>
      </c>
      <c r="AH447" s="8">
        <v>43.0</v>
      </c>
      <c r="AI447" s="8">
        <v>55.0</v>
      </c>
      <c r="AJ447" s="8">
        <v>1.0</v>
      </c>
      <c r="AK447" s="8">
        <v>70.0</v>
      </c>
      <c r="AL447" s="8" t="s">
        <v>3479</v>
      </c>
      <c r="AM447" s="8" t="s">
        <v>4500</v>
      </c>
      <c r="AN447" s="8" t="s">
        <v>4501</v>
      </c>
      <c r="AO447" s="8" t="s">
        <v>4626</v>
      </c>
      <c r="AP447" s="8" t="s">
        <v>4627</v>
      </c>
      <c r="AQ447" s="8" t="s">
        <v>2135</v>
      </c>
      <c r="AR447" s="8" t="s">
        <v>4628</v>
      </c>
      <c r="AS447" s="8" t="s">
        <v>4629</v>
      </c>
      <c r="AT447" s="8" t="s">
        <v>3556</v>
      </c>
      <c r="AU447" s="8">
        <v>2010.0</v>
      </c>
      <c r="AV447" s="8">
        <v>11.0</v>
      </c>
      <c r="AW447" s="8">
        <v>2.0</v>
      </c>
      <c r="AX447" s="8" t="s">
        <v>2135</v>
      </c>
      <c r="AY447" s="8" t="s">
        <v>2135</v>
      </c>
      <c r="AZ447" s="8" t="s">
        <v>3421</v>
      </c>
      <c r="BA447" s="8" t="s">
        <v>2135</v>
      </c>
      <c r="BB447" s="8">
        <v>601.0</v>
      </c>
      <c r="BC447" s="8">
        <v>614.0</v>
      </c>
      <c r="BD447" s="8" t="s">
        <v>2135</v>
      </c>
      <c r="BE447" s="8" t="s">
        <v>10374</v>
      </c>
      <c r="BF447" s="13" t="str">
        <f>HYPERLINK("http://dx.doi.org/10.1007/s10592-010-0051-6","http://dx.doi.org/10.1007/s10592-010-0051-6")</f>
        <v>http://dx.doi.org/10.1007/s10592-010-0051-6</v>
      </c>
      <c r="BG447" s="8" t="s">
        <v>2135</v>
      </c>
      <c r="BH447" s="8" t="s">
        <v>2135</v>
      </c>
      <c r="BI447" s="8">
        <v>14.0</v>
      </c>
      <c r="BJ447" s="8" t="s">
        <v>4631</v>
      </c>
      <c r="BK447" s="8" t="s">
        <v>4418</v>
      </c>
      <c r="BL447" s="8" t="s">
        <v>4632</v>
      </c>
      <c r="BM447" s="8" t="s">
        <v>4633</v>
      </c>
      <c r="BN447" s="8" t="s">
        <v>2135</v>
      </c>
      <c r="BO447" s="8" t="s">
        <v>4332</v>
      </c>
      <c r="BP447" s="8" t="s">
        <v>2135</v>
      </c>
      <c r="BQ447" s="8" t="s">
        <v>2135</v>
      </c>
      <c r="BR447" s="8" t="s">
        <v>3355</v>
      </c>
      <c r="BS447" s="8" t="s">
        <v>10375</v>
      </c>
      <c r="BT447" s="8" t="s">
        <v>2440</v>
      </c>
      <c r="BU447" s="8" t="s">
        <v>2142</v>
      </c>
      <c r="BW447" s="8" t="s">
        <v>2143</v>
      </c>
      <c r="BX447" s="8" t="s">
        <v>3104</v>
      </c>
      <c r="BY447" s="8" t="s">
        <v>3105</v>
      </c>
      <c r="BZ447" s="8" t="str">
        <f>HYPERLINK("https%3A%2F%2Fwww.webofscience.com%2Fwos%2Fwoscc%2Ffull-record%2FWOS:000275455700022","View Full Record in Web of Science")</f>
        <v>View Full Record in Web of Science</v>
      </c>
    </row>
    <row r="448" ht="12.75" customHeight="1">
      <c r="A448" s="8" t="s">
        <v>3329</v>
      </c>
      <c r="B448" s="8" t="s">
        <v>10376</v>
      </c>
      <c r="C448" s="8" t="s">
        <v>2135</v>
      </c>
      <c r="D448" s="8" t="s">
        <v>2135</v>
      </c>
      <c r="E448" s="8" t="s">
        <v>2135</v>
      </c>
      <c r="F448" s="8" t="s">
        <v>10377</v>
      </c>
      <c r="G448" s="8" t="s">
        <v>2135</v>
      </c>
      <c r="H448" s="8" t="s">
        <v>2135</v>
      </c>
      <c r="I448" s="8" t="s">
        <v>1659</v>
      </c>
      <c r="J448" s="8" t="s">
        <v>5174</v>
      </c>
      <c r="K448" s="8" t="s">
        <v>2135</v>
      </c>
      <c r="L448" s="8" t="s">
        <v>2135</v>
      </c>
      <c r="M448" s="8" t="s">
        <v>3332</v>
      </c>
      <c r="N448" s="8" t="s">
        <v>3333</v>
      </c>
      <c r="O448" s="8" t="s">
        <v>2135</v>
      </c>
      <c r="P448" s="8" t="s">
        <v>2135</v>
      </c>
      <c r="Q448" s="8" t="s">
        <v>2135</v>
      </c>
      <c r="R448" s="8" t="s">
        <v>2135</v>
      </c>
      <c r="S448" s="8" t="s">
        <v>2135</v>
      </c>
      <c r="T448" s="8" t="s">
        <v>10378</v>
      </c>
      <c r="U448" s="8" t="s">
        <v>10379</v>
      </c>
      <c r="V448" s="8" t="s">
        <v>10380</v>
      </c>
      <c r="W448" s="8" t="s">
        <v>10381</v>
      </c>
      <c r="X448" s="8" t="s">
        <v>10382</v>
      </c>
      <c r="Y448" s="8" t="s">
        <v>10383</v>
      </c>
      <c r="Z448" s="8" t="s">
        <v>10384</v>
      </c>
      <c r="AA448" s="8" t="s">
        <v>2135</v>
      </c>
      <c r="AB448" s="8" t="s">
        <v>2135</v>
      </c>
      <c r="AC448" s="8" t="s">
        <v>10385</v>
      </c>
      <c r="AD448" s="8" t="s">
        <v>10386</v>
      </c>
      <c r="AE448" s="8" t="s">
        <v>10387</v>
      </c>
      <c r="AF448" s="8" t="s">
        <v>2135</v>
      </c>
      <c r="AG448" s="8">
        <v>61.0</v>
      </c>
      <c r="AH448" s="8">
        <v>8.0</v>
      </c>
      <c r="AI448" s="8">
        <v>8.0</v>
      </c>
      <c r="AJ448" s="8">
        <v>2.0</v>
      </c>
      <c r="AK448" s="8">
        <v>44.0</v>
      </c>
      <c r="AL448" s="8" t="s">
        <v>3505</v>
      </c>
      <c r="AM448" s="8" t="s">
        <v>3506</v>
      </c>
      <c r="AN448" s="8" t="s">
        <v>3507</v>
      </c>
      <c r="AO448" s="8" t="s">
        <v>5187</v>
      </c>
      <c r="AP448" s="8" t="s">
        <v>5188</v>
      </c>
      <c r="AQ448" s="8" t="s">
        <v>2135</v>
      </c>
      <c r="AR448" s="8" t="s">
        <v>5189</v>
      </c>
      <c r="AS448" s="8" t="s">
        <v>5190</v>
      </c>
      <c r="AT448" s="8" t="s">
        <v>3556</v>
      </c>
      <c r="AU448" s="8">
        <v>2016.0</v>
      </c>
      <c r="AV448" s="8">
        <v>61.0</v>
      </c>
      <c r="AW448" s="8">
        <v>2.0</v>
      </c>
      <c r="AX448" s="8" t="s">
        <v>2135</v>
      </c>
      <c r="AY448" s="8" t="s">
        <v>2135</v>
      </c>
      <c r="AZ448" s="8" t="s">
        <v>2135</v>
      </c>
      <c r="BA448" s="8" t="s">
        <v>2135</v>
      </c>
      <c r="BB448" s="8">
        <v>121.0</v>
      </c>
      <c r="BC448" s="8">
        <v>129.0</v>
      </c>
      <c r="BD448" s="8" t="s">
        <v>2135</v>
      </c>
      <c r="BE448" s="8" t="s">
        <v>10388</v>
      </c>
      <c r="BF448" s="13" t="str">
        <f>HYPERLINK("http://dx.doi.org/10.1007/s13364-015-0258-5","http://dx.doi.org/10.1007/s13364-015-0258-5")</f>
        <v>http://dx.doi.org/10.1007/s13364-015-0258-5</v>
      </c>
      <c r="BG448" s="8" t="s">
        <v>2135</v>
      </c>
      <c r="BH448" s="8" t="s">
        <v>2135</v>
      </c>
      <c r="BI448" s="8">
        <v>9.0</v>
      </c>
      <c r="BJ448" s="8" t="s">
        <v>3397</v>
      </c>
      <c r="BK448" s="8" t="s">
        <v>3352</v>
      </c>
      <c r="BL448" s="8" t="s">
        <v>3397</v>
      </c>
      <c r="BM448" s="8" t="s">
        <v>10389</v>
      </c>
      <c r="BN448" s="8" t="s">
        <v>2135</v>
      </c>
      <c r="BO448" s="8" t="s">
        <v>3425</v>
      </c>
      <c r="BP448" s="8" t="s">
        <v>2135</v>
      </c>
      <c r="BQ448" s="8" t="s">
        <v>2135</v>
      </c>
      <c r="BR448" s="8" t="s">
        <v>3355</v>
      </c>
      <c r="BS448" s="8" t="s">
        <v>10390</v>
      </c>
      <c r="BT448" s="8" t="s">
        <v>2325</v>
      </c>
      <c r="BU448" s="8" t="s">
        <v>2142</v>
      </c>
      <c r="BW448" s="8" t="s">
        <v>2143</v>
      </c>
      <c r="BX448" s="8" t="s">
        <v>3106</v>
      </c>
      <c r="BY448" s="8" t="s">
        <v>3107</v>
      </c>
      <c r="BZ448" s="8" t="str">
        <f>HYPERLINK("https%3A%2F%2Fwww.webofscience.com%2Fwos%2Fwoscc%2Ffull-record%2FWOS:000372880400004","View Full Record in Web of Science")</f>
        <v>View Full Record in Web of Science</v>
      </c>
    </row>
    <row r="449" ht="12.75" customHeight="1">
      <c r="A449" s="8" t="s">
        <v>3329</v>
      </c>
      <c r="B449" s="8" t="s">
        <v>10391</v>
      </c>
      <c r="C449" s="8" t="s">
        <v>2135</v>
      </c>
      <c r="D449" s="8" t="s">
        <v>2135</v>
      </c>
      <c r="E449" s="8" t="s">
        <v>2135</v>
      </c>
      <c r="F449" s="8" t="s">
        <v>10392</v>
      </c>
      <c r="G449" s="8" t="s">
        <v>2135</v>
      </c>
      <c r="H449" s="8" t="s">
        <v>2135</v>
      </c>
      <c r="I449" s="8" t="s">
        <v>1663</v>
      </c>
      <c r="J449" s="8" t="s">
        <v>3380</v>
      </c>
      <c r="K449" s="8" t="s">
        <v>2135</v>
      </c>
      <c r="L449" s="8" t="s">
        <v>2135</v>
      </c>
      <c r="M449" s="8" t="s">
        <v>3332</v>
      </c>
      <c r="N449" s="8" t="s">
        <v>3333</v>
      </c>
      <c r="O449" s="8" t="s">
        <v>2135</v>
      </c>
      <c r="P449" s="8" t="s">
        <v>2135</v>
      </c>
      <c r="Q449" s="8" t="s">
        <v>2135</v>
      </c>
      <c r="R449" s="8" t="s">
        <v>2135</v>
      </c>
      <c r="S449" s="8" t="s">
        <v>2135</v>
      </c>
      <c r="T449" s="8" t="s">
        <v>10393</v>
      </c>
      <c r="U449" s="8" t="s">
        <v>10394</v>
      </c>
      <c r="V449" s="8" t="s">
        <v>10395</v>
      </c>
      <c r="W449" s="8" t="s">
        <v>10396</v>
      </c>
      <c r="X449" s="8" t="s">
        <v>10397</v>
      </c>
      <c r="Y449" s="8" t="s">
        <v>10398</v>
      </c>
      <c r="Z449" s="8" t="s">
        <v>10399</v>
      </c>
      <c r="AA449" s="8" t="s">
        <v>10400</v>
      </c>
      <c r="AB449" s="8" t="s">
        <v>10401</v>
      </c>
      <c r="AC449" s="8" t="s">
        <v>2135</v>
      </c>
      <c r="AD449" s="8" t="s">
        <v>2135</v>
      </c>
      <c r="AE449" s="8" t="s">
        <v>2135</v>
      </c>
      <c r="AF449" s="8" t="s">
        <v>2135</v>
      </c>
      <c r="AG449" s="8">
        <v>88.0</v>
      </c>
      <c r="AH449" s="8">
        <v>25.0</v>
      </c>
      <c r="AI449" s="8">
        <v>28.0</v>
      </c>
      <c r="AJ449" s="8">
        <v>6.0</v>
      </c>
      <c r="AK449" s="8">
        <v>73.0</v>
      </c>
      <c r="AL449" s="8" t="s">
        <v>3921</v>
      </c>
      <c r="AM449" s="8" t="s">
        <v>3922</v>
      </c>
      <c r="AN449" s="8" t="s">
        <v>3923</v>
      </c>
      <c r="AO449" s="8" t="s">
        <v>3392</v>
      </c>
      <c r="AP449" s="8" t="s">
        <v>4022</v>
      </c>
      <c r="AQ449" s="8" t="s">
        <v>2135</v>
      </c>
      <c r="AR449" s="8" t="s">
        <v>3393</v>
      </c>
      <c r="AS449" s="8" t="s">
        <v>3394</v>
      </c>
      <c r="AT449" s="8" t="s">
        <v>10402</v>
      </c>
      <c r="AU449" s="8">
        <v>2017.0</v>
      </c>
      <c r="AV449" s="8">
        <v>98.0</v>
      </c>
      <c r="AW449" s="8">
        <v>4.0</v>
      </c>
      <c r="AX449" s="8" t="s">
        <v>2135</v>
      </c>
      <c r="AY449" s="8" t="s">
        <v>2135</v>
      </c>
      <c r="AZ449" s="8" t="s">
        <v>2135</v>
      </c>
      <c r="BA449" s="8" t="s">
        <v>2135</v>
      </c>
      <c r="BB449" s="8">
        <v>1105.0</v>
      </c>
      <c r="BC449" s="8">
        <v>1117.0</v>
      </c>
      <c r="BD449" s="8" t="s">
        <v>2135</v>
      </c>
      <c r="BE449" s="8" t="s">
        <v>10403</v>
      </c>
      <c r="BF449" s="13" t="str">
        <f>HYPERLINK("http://dx.doi.org/10.1093/jmammal/gyx037","http://dx.doi.org/10.1093/jmammal/gyx037")</f>
        <v>http://dx.doi.org/10.1093/jmammal/gyx037</v>
      </c>
      <c r="BG449" s="8" t="s">
        <v>2135</v>
      </c>
      <c r="BH449" s="8" t="s">
        <v>2135</v>
      </c>
      <c r="BI449" s="8">
        <v>13.0</v>
      </c>
      <c r="BJ449" s="8" t="s">
        <v>3397</v>
      </c>
      <c r="BK449" s="8" t="s">
        <v>3352</v>
      </c>
      <c r="BL449" s="8" t="s">
        <v>3397</v>
      </c>
      <c r="BM449" s="8" t="s">
        <v>10404</v>
      </c>
      <c r="BN449" s="8" t="s">
        <v>2135</v>
      </c>
      <c r="BO449" s="8" t="s">
        <v>2135</v>
      </c>
      <c r="BP449" s="8" t="s">
        <v>2135</v>
      </c>
      <c r="BQ449" s="8" t="s">
        <v>2135</v>
      </c>
      <c r="BR449" s="8" t="s">
        <v>3355</v>
      </c>
      <c r="BS449" s="8" t="s">
        <v>10405</v>
      </c>
      <c r="BT449" s="8" t="s">
        <v>2396</v>
      </c>
      <c r="BU449" s="8" t="s">
        <v>2283</v>
      </c>
      <c r="BW449" s="8" t="s">
        <v>2143</v>
      </c>
      <c r="BX449" s="8" t="s">
        <v>3108</v>
      </c>
      <c r="BY449" s="8" t="s">
        <v>3109</v>
      </c>
      <c r="BZ449" s="8" t="str">
        <f>HYPERLINK("https%3A%2F%2Fwww.webofscience.com%2Fwos%2Fwoscc%2Ffull-record%2FWOS:000406848500016","View Full Record in Web of Science")</f>
        <v>View Full Record in Web of Science</v>
      </c>
    </row>
    <row r="450" ht="12.75" customHeight="1">
      <c r="A450" s="8" t="s">
        <v>3329</v>
      </c>
      <c r="B450" s="8" t="s">
        <v>10406</v>
      </c>
      <c r="C450" s="8" t="s">
        <v>2135</v>
      </c>
      <c r="D450" s="8" t="s">
        <v>2135</v>
      </c>
      <c r="E450" s="8" t="s">
        <v>2135</v>
      </c>
      <c r="F450" s="8" t="s">
        <v>10407</v>
      </c>
      <c r="G450" s="8" t="s">
        <v>2135</v>
      </c>
      <c r="H450" s="8" t="s">
        <v>2135</v>
      </c>
      <c r="I450" s="8" t="s">
        <v>1661</v>
      </c>
      <c r="J450" s="8" t="s">
        <v>10408</v>
      </c>
      <c r="K450" s="8" t="s">
        <v>2135</v>
      </c>
      <c r="L450" s="8" t="s">
        <v>2135</v>
      </c>
      <c r="M450" s="8" t="s">
        <v>3332</v>
      </c>
      <c r="N450" s="8" t="s">
        <v>3333</v>
      </c>
      <c r="O450" s="8" t="s">
        <v>2135</v>
      </c>
      <c r="P450" s="8" t="s">
        <v>2135</v>
      </c>
      <c r="Q450" s="8" t="s">
        <v>2135</v>
      </c>
      <c r="R450" s="8" t="s">
        <v>2135</v>
      </c>
      <c r="S450" s="8" t="s">
        <v>2135</v>
      </c>
      <c r="T450" s="8" t="s">
        <v>10409</v>
      </c>
      <c r="U450" s="8" t="s">
        <v>2135</v>
      </c>
      <c r="V450" s="8" t="s">
        <v>10410</v>
      </c>
      <c r="W450" s="8" t="s">
        <v>10411</v>
      </c>
      <c r="X450" s="8" t="s">
        <v>10412</v>
      </c>
      <c r="Y450" s="8" t="s">
        <v>10413</v>
      </c>
      <c r="Z450" s="8" t="s">
        <v>10414</v>
      </c>
      <c r="AA450" s="8" t="s">
        <v>10415</v>
      </c>
      <c r="AB450" s="8" t="s">
        <v>10416</v>
      </c>
      <c r="AC450" s="8" t="s">
        <v>10417</v>
      </c>
      <c r="AD450" s="8" t="s">
        <v>10418</v>
      </c>
      <c r="AE450" s="8" t="s">
        <v>10419</v>
      </c>
      <c r="AF450" s="8" t="s">
        <v>2135</v>
      </c>
      <c r="AG450" s="8">
        <v>16.0</v>
      </c>
      <c r="AH450" s="8">
        <v>4.0</v>
      </c>
      <c r="AI450" s="8">
        <v>4.0</v>
      </c>
      <c r="AJ450" s="8">
        <v>0.0</v>
      </c>
      <c r="AK450" s="8">
        <v>25.0</v>
      </c>
      <c r="AL450" s="8" t="s">
        <v>9275</v>
      </c>
      <c r="AM450" s="8" t="s">
        <v>9276</v>
      </c>
      <c r="AN450" s="8" t="s">
        <v>9277</v>
      </c>
      <c r="AO450" s="8" t="s">
        <v>10420</v>
      </c>
      <c r="AP450" s="8" t="s">
        <v>10421</v>
      </c>
      <c r="AQ450" s="8" t="s">
        <v>2135</v>
      </c>
      <c r="AR450" s="8" t="s">
        <v>10422</v>
      </c>
      <c r="AS450" s="8" t="s">
        <v>10423</v>
      </c>
      <c r="AT450" s="8" t="s">
        <v>2135</v>
      </c>
      <c r="AU450" s="8">
        <v>2008.0</v>
      </c>
      <c r="AV450" s="8">
        <v>58.0</v>
      </c>
      <c r="AW450" s="8">
        <v>4.0</v>
      </c>
      <c r="AX450" s="8" t="s">
        <v>2135</v>
      </c>
      <c r="AY450" s="8" t="s">
        <v>2135</v>
      </c>
      <c r="AZ450" s="8" t="s">
        <v>2135</v>
      </c>
      <c r="BA450" s="8" t="s">
        <v>2135</v>
      </c>
      <c r="BB450" s="8">
        <v>473.0</v>
      </c>
      <c r="BC450" s="8">
        <v>490.0</v>
      </c>
      <c r="BD450" s="8" t="s">
        <v>2135</v>
      </c>
      <c r="BE450" s="8" t="s">
        <v>10424</v>
      </c>
      <c r="BF450" s="13" t="str">
        <f>HYPERLINK("http://dx.doi.org/10.1163/157075608Y383728","http://dx.doi.org/10.1163/157075608Y383728")</f>
        <v>http://dx.doi.org/10.1163/157075608Y383728</v>
      </c>
      <c r="BG450" s="8" t="s">
        <v>2135</v>
      </c>
      <c r="BH450" s="8" t="s">
        <v>2135</v>
      </c>
      <c r="BI450" s="8">
        <v>18.0</v>
      </c>
      <c r="BJ450" s="8" t="s">
        <v>3397</v>
      </c>
      <c r="BK450" s="8" t="s">
        <v>3352</v>
      </c>
      <c r="BL450" s="8" t="s">
        <v>3397</v>
      </c>
      <c r="BM450" s="8" t="s">
        <v>10425</v>
      </c>
      <c r="BN450" s="8" t="s">
        <v>2135</v>
      </c>
      <c r="BO450" s="8" t="s">
        <v>2135</v>
      </c>
      <c r="BP450" s="8" t="s">
        <v>2135</v>
      </c>
      <c r="BQ450" s="8" t="s">
        <v>2135</v>
      </c>
      <c r="BR450" s="8" t="s">
        <v>3355</v>
      </c>
      <c r="BS450" s="8" t="s">
        <v>10426</v>
      </c>
      <c r="BT450" s="8" t="s">
        <v>2417</v>
      </c>
      <c r="BU450" s="8" t="s">
        <v>2142</v>
      </c>
      <c r="BW450" s="8" t="s">
        <v>2143</v>
      </c>
      <c r="BX450" s="8" t="s">
        <v>3073</v>
      </c>
      <c r="BY450" s="8" t="s">
        <v>3110</v>
      </c>
      <c r="BZ450" s="8" t="str">
        <f>HYPERLINK("https%3A%2F%2Fwww.webofscience.com%2Fwos%2Fwoscc%2Ffull-record%2FWOS:000261821400008","View Full Record in Web of Science")</f>
        <v>View Full Record in Web of Science</v>
      </c>
    </row>
    <row r="451" ht="12.75" customHeight="1">
      <c r="A451" s="8" t="s">
        <v>3329</v>
      </c>
      <c r="B451" s="8" t="s">
        <v>10427</v>
      </c>
      <c r="C451" s="8" t="s">
        <v>2135</v>
      </c>
      <c r="D451" s="8" t="s">
        <v>2135</v>
      </c>
      <c r="E451" s="8" t="s">
        <v>2135</v>
      </c>
      <c r="F451" s="8" t="s">
        <v>10428</v>
      </c>
      <c r="G451" s="8" t="s">
        <v>2135</v>
      </c>
      <c r="H451" s="8" t="s">
        <v>2135</v>
      </c>
      <c r="I451" s="8" t="s">
        <v>1648</v>
      </c>
      <c r="J451" s="8" t="s">
        <v>5174</v>
      </c>
      <c r="K451" s="8" t="s">
        <v>2135</v>
      </c>
      <c r="L451" s="8" t="s">
        <v>2135</v>
      </c>
      <c r="M451" s="8" t="s">
        <v>3332</v>
      </c>
      <c r="N451" s="8" t="s">
        <v>3333</v>
      </c>
      <c r="O451" s="8" t="s">
        <v>2135</v>
      </c>
      <c r="P451" s="8" t="s">
        <v>2135</v>
      </c>
      <c r="Q451" s="8" t="s">
        <v>2135</v>
      </c>
      <c r="R451" s="8" t="s">
        <v>2135</v>
      </c>
      <c r="S451" s="8" t="s">
        <v>2135</v>
      </c>
      <c r="T451" s="8" t="s">
        <v>10429</v>
      </c>
      <c r="U451" s="8" t="s">
        <v>10430</v>
      </c>
      <c r="V451" s="8" t="s">
        <v>10431</v>
      </c>
      <c r="W451" s="8" t="s">
        <v>10432</v>
      </c>
      <c r="X451" s="8" t="s">
        <v>10433</v>
      </c>
      <c r="Y451" s="8" t="s">
        <v>10434</v>
      </c>
      <c r="Z451" s="8" t="s">
        <v>10435</v>
      </c>
      <c r="AA451" s="8" t="s">
        <v>10436</v>
      </c>
      <c r="AB451" s="8" t="s">
        <v>10437</v>
      </c>
      <c r="AC451" s="8" t="s">
        <v>10438</v>
      </c>
      <c r="AD451" s="8" t="s">
        <v>10438</v>
      </c>
      <c r="AE451" s="8" t="s">
        <v>10439</v>
      </c>
      <c r="AF451" s="8" t="s">
        <v>2135</v>
      </c>
      <c r="AG451" s="8">
        <v>56.0</v>
      </c>
      <c r="AH451" s="8">
        <v>13.0</v>
      </c>
      <c r="AI451" s="8">
        <v>15.0</v>
      </c>
      <c r="AJ451" s="8">
        <v>6.0</v>
      </c>
      <c r="AK451" s="8">
        <v>32.0</v>
      </c>
      <c r="AL451" s="8" t="s">
        <v>3505</v>
      </c>
      <c r="AM451" s="8" t="s">
        <v>3506</v>
      </c>
      <c r="AN451" s="8" t="s">
        <v>3507</v>
      </c>
      <c r="AO451" s="8" t="s">
        <v>5187</v>
      </c>
      <c r="AP451" s="8" t="s">
        <v>5188</v>
      </c>
      <c r="AQ451" s="8" t="s">
        <v>2135</v>
      </c>
      <c r="AR451" s="8" t="s">
        <v>5189</v>
      </c>
      <c r="AS451" s="8" t="s">
        <v>5190</v>
      </c>
      <c r="AT451" s="8" t="s">
        <v>3556</v>
      </c>
      <c r="AU451" s="8">
        <v>2020.0</v>
      </c>
      <c r="AV451" s="8">
        <v>65.0</v>
      </c>
      <c r="AW451" s="8">
        <v>2.0</v>
      </c>
      <c r="AX451" s="8" t="s">
        <v>2135</v>
      </c>
      <c r="AY451" s="8" t="s">
        <v>2135</v>
      </c>
      <c r="AZ451" s="8" t="s">
        <v>2135</v>
      </c>
      <c r="BA451" s="8" t="s">
        <v>2135</v>
      </c>
      <c r="BB451" s="8">
        <v>181.0</v>
      </c>
      <c r="BC451" s="8">
        <v>190.0</v>
      </c>
      <c r="BD451" s="8" t="s">
        <v>2135</v>
      </c>
      <c r="BE451" s="8" t="s">
        <v>10440</v>
      </c>
      <c r="BF451" s="13" t="str">
        <f>HYPERLINK("http://dx.doi.org/10.1007/s13364-020-00484-0","http://dx.doi.org/10.1007/s13364-020-00484-0")</f>
        <v>http://dx.doi.org/10.1007/s13364-020-00484-0</v>
      </c>
      <c r="BG451" s="8" t="s">
        <v>2135</v>
      </c>
      <c r="BH451" s="8" t="s">
        <v>10441</v>
      </c>
      <c r="BI451" s="8">
        <v>10.0</v>
      </c>
      <c r="BJ451" s="8" t="s">
        <v>3397</v>
      </c>
      <c r="BK451" s="8" t="s">
        <v>3352</v>
      </c>
      <c r="BL451" s="8" t="s">
        <v>3397</v>
      </c>
      <c r="BM451" s="8" t="s">
        <v>10442</v>
      </c>
      <c r="BN451" s="8" t="s">
        <v>2135</v>
      </c>
      <c r="BO451" s="8" t="s">
        <v>3583</v>
      </c>
      <c r="BP451" s="8" t="s">
        <v>2135</v>
      </c>
      <c r="BQ451" s="8" t="s">
        <v>2135</v>
      </c>
      <c r="BR451" s="8" t="s">
        <v>3355</v>
      </c>
      <c r="BS451" s="8" t="s">
        <v>10443</v>
      </c>
      <c r="BT451" s="8" t="s">
        <v>2553</v>
      </c>
      <c r="BU451" s="8" t="s">
        <v>2142</v>
      </c>
      <c r="BW451" s="8" t="s">
        <v>2340</v>
      </c>
      <c r="BX451" s="8" t="s">
        <v>2956</v>
      </c>
      <c r="BY451" s="8" t="s">
        <v>2959</v>
      </c>
      <c r="BZ451" s="8" t="str">
        <f>HYPERLINK("https%3A%2F%2Fwww.webofscience.com%2Fwos%2Fwoscc%2Ffull-record%2FWOS:000516496200001","View Full Record in Web of Science")</f>
        <v>View Full Record in Web of Science</v>
      </c>
    </row>
    <row r="452" ht="12.75" customHeight="1">
      <c r="A452" s="8" t="s">
        <v>3329</v>
      </c>
      <c r="B452" s="8" t="s">
        <v>10444</v>
      </c>
      <c r="C452" s="8" t="s">
        <v>2135</v>
      </c>
      <c r="D452" s="8" t="s">
        <v>2135</v>
      </c>
      <c r="E452" s="8" t="s">
        <v>2135</v>
      </c>
      <c r="F452" s="8" t="s">
        <v>10445</v>
      </c>
      <c r="G452" s="8" t="s">
        <v>2135</v>
      </c>
      <c r="H452" s="8" t="s">
        <v>2135</v>
      </c>
      <c r="I452" s="8" t="s">
        <v>1646</v>
      </c>
      <c r="J452" s="8" t="s">
        <v>10446</v>
      </c>
      <c r="K452" s="8" t="s">
        <v>2135</v>
      </c>
      <c r="L452" s="8" t="s">
        <v>2135</v>
      </c>
      <c r="M452" s="8" t="s">
        <v>3332</v>
      </c>
      <c r="N452" s="8" t="s">
        <v>3333</v>
      </c>
      <c r="O452" s="8" t="s">
        <v>2135</v>
      </c>
      <c r="P452" s="8" t="s">
        <v>2135</v>
      </c>
      <c r="Q452" s="8" t="s">
        <v>2135</v>
      </c>
      <c r="R452" s="8" t="s">
        <v>2135</v>
      </c>
      <c r="S452" s="8" t="s">
        <v>2135</v>
      </c>
      <c r="T452" s="8" t="s">
        <v>10447</v>
      </c>
      <c r="U452" s="8" t="s">
        <v>10448</v>
      </c>
      <c r="V452" s="8" t="s">
        <v>10449</v>
      </c>
      <c r="W452" s="8" t="s">
        <v>10450</v>
      </c>
      <c r="X452" s="8" t="s">
        <v>10451</v>
      </c>
      <c r="Y452" s="8" t="s">
        <v>10452</v>
      </c>
      <c r="Z452" s="8" t="s">
        <v>10453</v>
      </c>
      <c r="AA452" s="8" t="s">
        <v>10454</v>
      </c>
      <c r="AB452" s="8" t="s">
        <v>10455</v>
      </c>
      <c r="AC452" s="8" t="s">
        <v>10456</v>
      </c>
      <c r="AD452" s="8" t="s">
        <v>10457</v>
      </c>
      <c r="AE452" s="8" t="s">
        <v>10458</v>
      </c>
      <c r="AF452" s="8" t="s">
        <v>2135</v>
      </c>
      <c r="AG452" s="8">
        <v>86.0</v>
      </c>
      <c r="AH452" s="8">
        <v>20.0</v>
      </c>
      <c r="AI452" s="8">
        <v>25.0</v>
      </c>
      <c r="AJ452" s="8">
        <v>1.0</v>
      </c>
      <c r="AK452" s="8">
        <v>35.0</v>
      </c>
      <c r="AL452" s="8" t="s">
        <v>3342</v>
      </c>
      <c r="AM452" s="8" t="s">
        <v>3343</v>
      </c>
      <c r="AN452" s="8" t="s">
        <v>3344</v>
      </c>
      <c r="AO452" s="8" t="s">
        <v>10459</v>
      </c>
      <c r="AP452" s="8" t="s">
        <v>2135</v>
      </c>
      <c r="AQ452" s="8" t="s">
        <v>2135</v>
      </c>
      <c r="AR452" s="8" t="s">
        <v>10460</v>
      </c>
      <c r="AS452" s="8" t="s">
        <v>10461</v>
      </c>
      <c r="AT452" s="8" t="s">
        <v>3741</v>
      </c>
      <c r="AU452" s="8">
        <v>2018.0</v>
      </c>
      <c r="AV452" s="8">
        <v>11.0</v>
      </c>
      <c r="AW452" s="8">
        <v>10.0</v>
      </c>
      <c r="AX452" s="8" t="s">
        <v>2135</v>
      </c>
      <c r="AY452" s="8" t="s">
        <v>2135</v>
      </c>
      <c r="AZ452" s="8" t="s">
        <v>2135</v>
      </c>
      <c r="BA452" s="8" t="s">
        <v>2135</v>
      </c>
      <c r="BB452" s="8">
        <v>1779.0</v>
      </c>
      <c r="BC452" s="8">
        <v>1790.0</v>
      </c>
      <c r="BD452" s="8" t="s">
        <v>2135</v>
      </c>
      <c r="BE452" s="8" t="s">
        <v>10462</v>
      </c>
      <c r="BF452" s="13" t="str">
        <f>HYPERLINK("http://dx.doi.org/10.1111/eva.12642","http://dx.doi.org/10.1111/eva.12642")</f>
        <v>http://dx.doi.org/10.1111/eva.12642</v>
      </c>
      <c r="BG452" s="8" t="s">
        <v>2135</v>
      </c>
      <c r="BH452" s="8" t="s">
        <v>2135</v>
      </c>
      <c r="BI452" s="8">
        <v>12.0</v>
      </c>
      <c r="BJ452" s="8" t="s">
        <v>3872</v>
      </c>
      <c r="BK452" s="8" t="s">
        <v>3352</v>
      </c>
      <c r="BL452" s="8" t="s">
        <v>3872</v>
      </c>
      <c r="BM452" s="8" t="s">
        <v>10463</v>
      </c>
      <c r="BN452" s="8">
        <v>3.0459829E7</v>
      </c>
      <c r="BO452" s="8" t="s">
        <v>3659</v>
      </c>
      <c r="BP452" s="8" t="s">
        <v>2135</v>
      </c>
      <c r="BQ452" s="8" t="s">
        <v>2135</v>
      </c>
      <c r="BR452" s="8" t="s">
        <v>3355</v>
      </c>
      <c r="BS452" s="8" t="s">
        <v>10464</v>
      </c>
      <c r="BT452" s="8" t="s">
        <v>2600</v>
      </c>
      <c r="BU452" s="8" t="s">
        <v>2147</v>
      </c>
      <c r="BV452" s="8" t="s">
        <v>2217</v>
      </c>
      <c r="BW452" s="8" t="s">
        <v>2237</v>
      </c>
      <c r="BX452" s="8" t="s">
        <v>2974</v>
      </c>
      <c r="BY452" s="8" t="s">
        <v>2959</v>
      </c>
      <c r="BZ452" s="8" t="str">
        <f>HYPERLINK("https%3A%2F%2Fwww.webofscience.com%2Fwos%2Fwoscc%2Ffull-record%2FWOS:000449942900002","View Full Record in Web of Science")</f>
        <v>View Full Record in Web of Science</v>
      </c>
    </row>
    <row r="453" ht="12.75" customHeight="1">
      <c r="A453" s="8" t="s">
        <v>3329</v>
      </c>
      <c r="B453" s="8" t="s">
        <v>10465</v>
      </c>
      <c r="C453" s="8" t="s">
        <v>2135</v>
      </c>
      <c r="D453" s="8" t="s">
        <v>2135</v>
      </c>
      <c r="E453" s="8" t="s">
        <v>2135</v>
      </c>
      <c r="F453" s="8" t="s">
        <v>10466</v>
      </c>
      <c r="G453" s="8" t="s">
        <v>2135</v>
      </c>
      <c r="H453" s="8" t="s">
        <v>2135</v>
      </c>
      <c r="I453" s="8" t="s">
        <v>1863</v>
      </c>
      <c r="J453" s="8" t="s">
        <v>8136</v>
      </c>
      <c r="K453" s="8" t="s">
        <v>2135</v>
      </c>
      <c r="L453" s="8" t="s">
        <v>2135</v>
      </c>
      <c r="M453" s="8" t="s">
        <v>3332</v>
      </c>
      <c r="N453" s="8" t="s">
        <v>3333</v>
      </c>
      <c r="O453" s="8" t="s">
        <v>2135</v>
      </c>
      <c r="P453" s="8" t="s">
        <v>2135</v>
      </c>
      <c r="Q453" s="8" t="s">
        <v>2135</v>
      </c>
      <c r="R453" s="8" t="s">
        <v>2135</v>
      </c>
      <c r="S453" s="8" t="s">
        <v>2135</v>
      </c>
      <c r="T453" s="8" t="s">
        <v>2135</v>
      </c>
      <c r="U453" s="8" t="s">
        <v>10467</v>
      </c>
      <c r="V453" s="8" t="s">
        <v>10468</v>
      </c>
      <c r="W453" s="8" t="s">
        <v>10469</v>
      </c>
      <c r="X453" s="8" t="s">
        <v>10470</v>
      </c>
      <c r="Y453" s="8" t="s">
        <v>10471</v>
      </c>
      <c r="Z453" s="8" t="s">
        <v>10472</v>
      </c>
      <c r="AA453" s="8" t="s">
        <v>10473</v>
      </c>
      <c r="AB453" s="8" t="s">
        <v>10474</v>
      </c>
      <c r="AC453" s="8" t="s">
        <v>10475</v>
      </c>
      <c r="AD453" s="8" t="s">
        <v>10476</v>
      </c>
      <c r="AE453" s="8" t="s">
        <v>10477</v>
      </c>
      <c r="AF453" s="8" t="s">
        <v>2135</v>
      </c>
      <c r="AG453" s="8">
        <v>58.0</v>
      </c>
      <c r="AH453" s="8">
        <v>22.0</v>
      </c>
      <c r="AI453" s="8">
        <v>26.0</v>
      </c>
      <c r="AJ453" s="8">
        <v>0.0</v>
      </c>
      <c r="AK453" s="8">
        <v>18.0</v>
      </c>
      <c r="AL453" s="8" t="s">
        <v>8148</v>
      </c>
      <c r="AM453" s="8" t="s">
        <v>4999</v>
      </c>
      <c r="AN453" s="8" t="s">
        <v>8149</v>
      </c>
      <c r="AO453" s="8" t="s">
        <v>8150</v>
      </c>
      <c r="AP453" s="8" t="s">
        <v>2135</v>
      </c>
      <c r="AQ453" s="8" t="s">
        <v>2135</v>
      </c>
      <c r="AR453" s="8" t="s">
        <v>8151</v>
      </c>
      <c r="AS453" s="8" t="s">
        <v>8152</v>
      </c>
      <c r="AT453" s="8" t="s">
        <v>10478</v>
      </c>
      <c r="AU453" s="8">
        <v>2018.0</v>
      </c>
      <c r="AV453" s="8">
        <v>8.0</v>
      </c>
      <c r="AW453" s="8" t="s">
        <v>2135</v>
      </c>
      <c r="AX453" s="8" t="s">
        <v>2135</v>
      </c>
      <c r="AY453" s="8" t="s">
        <v>2135</v>
      </c>
      <c r="AZ453" s="8" t="s">
        <v>2135</v>
      </c>
      <c r="BA453" s="8" t="s">
        <v>2135</v>
      </c>
      <c r="BB453" s="8" t="s">
        <v>2135</v>
      </c>
      <c r="BC453" s="8" t="s">
        <v>2135</v>
      </c>
      <c r="BD453" s="8">
        <v>8958.0</v>
      </c>
      <c r="BE453" s="8" t="s">
        <v>10479</v>
      </c>
      <c r="BF453" s="13" t="str">
        <f>HYPERLINK("http://dx.doi.org/10.1038/s41598-018-26847-x","http://dx.doi.org/10.1038/s41598-018-26847-x")</f>
        <v>http://dx.doi.org/10.1038/s41598-018-26847-x</v>
      </c>
      <c r="BG453" s="8" t="s">
        <v>2135</v>
      </c>
      <c r="BH453" s="8" t="s">
        <v>2135</v>
      </c>
      <c r="BI453" s="8">
        <v>10.0</v>
      </c>
      <c r="BJ453" s="8" t="s">
        <v>3656</v>
      </c>
      <c r="BK453" s="8" t="s">
        <v>3352</v>
      </c>
      <c r="BL453" s="8" t="s">
        <v>3657</v>
      </c>
      <c r="BM453" s="8" t="s">
        <v>10480</v>
      </c>
      <c r="BN453" s="8">
        <v>2.9895946E7</v>
      </c>
      <c r="BO453" s="8" t="s">
        <v>3659</v>
      </c>
      <c r="BP453" s="8" t="s">
        <v>2135</v>
      </c>
      <c r="BQ453" s="8" t="s">
        <v>2135</v>
      </c>
      <c r="BR453" s="8" t="s">
        <v>3355</v>
      </c>
      <c r="BS453" s="8" t="s">
        <v>10481</v>
      </c>
      <c r="BT453" s="8" t="s">
        <v>2600</v>
      </c>
      <c r="BU453" s="8" t="s">
        <v>2147</v>
      </c>
      <c r="BV453" s="8" t="s">
        <v>2217</v>
      </c>
      <c r="BW453" s="8" t="s">
        <v>2155</v>
      </c>
      <c r="BX453" s="8" t="s">
        <v>2974</v>
      </c>
      <c r="BY453" s="8" t="s">
        <v>2959</v>
      </c>
      <c r="BZ453" s="8" t="str">
        <f>HYPERLINK("https%3A%2F%2Fwww.webofscience.com%2Fwos%2Fwoscc%2Ffull-record%2FWOS:000434920800002","View Full Record in Web of Science")</f>
        <v>View Full Record in Web of Science</v>
      </c>
    </row>
    <row r="454" ht="12.75" customHeight="1">
      <c r="A454" s="8" t="s">
        <v>3329</v>
      </c>
      <c r="B454" s="8" t="s">
        <v>10482</v>
      </c>
      <c r="C454" s="8" t="s">
        <v>2135</v>
      </c>
      <c r="D454" s="8" t="s">
        <v>2135</v>
      </c>
      <c r="E454" s="8" t="s">
        <v>2135</v>
      </c>
      <c r="F454" s="8" t="s">
        <v>10483</v>
      </c>
      <c r="G454" s="8" t="s">
        <v>2135</v>
      </c>
      <c r="H454" s="8" t="s">
        <v>2135</v>
      </c>
      <c r="I454" s="8" t="s">
        <v>1867</v>
      </c>
      <c r="J454" s="8" t="s">
        <v>4381</v>
      </c>
      <c r="K454" s="8" t="s">
        <v>2135</v>
      </c>
      <c r="L454" s="8" t="s">
        <v>2135</v>
      </c>
      <c r="M454" s="8" t="s">
        <v>3332</v>
      </c>
      <c r="N454" s="8" t="s">
        <v>3333</v>
      </c>
      <c r="O454" s="8" t="s">
        <v>2135</v>
      </c>
      <c r="P454" s="8" t="s">
        <v>2135</v>
      </c>
      <c r="Q454" s="8" t="s">
        <v>2135</v>
      </c>
      <c r="R454" s="8" t="s">
        <v>2135</v>
      </c>
      <c r="S454" s="8" t="s">
        <v>2135</v>
      </c>
      <c r="T454" s="8" t="s">
        <v>10484</v>
      </c>
      <c r="U454" s="8" t="s">
        <v>10485</v>
      </c>
      <c r="V454" s="8" t="s">
        <v>10486</v>
      </c>
      <c r="W454" s="8" t="s">
        <v>10487</v>
      </c>
      <c r="X454" s="8" t="s">
        <v>10488</v>
      </c>
      <c r="Y454" s="8" t="s">
        <v>10489</v>
      </c>
      <c r="Z454" s="8" t="s">
        <v>10490</v>
      </c>
      <c r="AA454" s="8" t="s">
        <v>2135</v>
      </c>
      <c r="AB454" s="8" t="s">
        <v>2135</v>
      </c>
      <c r="AC454" s="8" t="s">
        <v>10491</v>
      </c>
      <c r="AD454" s="8" t="s">
        <v>10491</v>
      </c>
      <c r="AE454" s="8" t="s">
        <v>10492</v>
      </c>
      <c r="AF454" s="8" t="s">
        <v>2135</v>
      </c>
      <c r="AG454" s="8">
        <v>73.0</v>
      </c>
      <c r="AH454" s="8">
        <v>26.0</v>
      </c>
      <c r="AI454" s="8">
        <v>29.0</v>
      </c>
      <c r="AJ454" s="8">
        <v>3.0</v>
      </c>
      <c r="AK454" s="8">
        <v>88.0</v>
      </c>
      <c r="AL454" s="8" t="s">
        <v>4394</v>
      </c>
      <c r="AM454" s="8" t="s">
        <v>3367</v>
      </c>
      <c r="AN454" s="8" t="s">
        <v>4395</v>
      </c>
      <c r="AO454" s="8" t="s">
        <v>4396</v>
      </c>
      <c r="AP454" s="8" t="s">
        <v>4397</v>
      </c>
      <c r="AQ454" s="8" t="s">
        <v>2135</v>
      </c>
      <c r="AR454" s="8" t="s">
        <v>4398</v>
      </c>
      <c r="AS454" s="8" t="s">
        <v>4399</v>
      </c>
      <c r="AT454" s="8" t="s">
        <v>3349</v>
      </c>
      <c r="AU454" s="8">
        <v>2018.0</v>
      </c>
      <c r="AV454" s="8">
        <v>89.0</v>
      </c>
      <c r="AW454" s="8" t="s">
        <v>2135</v>
      </c>
      <c r="AX454" s="8" t="s">
        <v>2135</v>
      </c>
      <c r="AY454" s="8" t="s">
        <v>2135</v>
      </c>
      <c r="AZ454" s="8" t="s">
        <v>2135</v>
      </c>
      <c r="BA454" s="8" t="s">
        <v>2135</v>
      </c>
      <c r="BB454" s="8">
        <v>63.0</v>
      </c>
      <c r="BC454" s="8">
        <v>73.0</v>
      </c>
      <c r="BD454" s="8" t="s">
        <v>2135</v>
      </c>
      <c r="BE454" s="8" t="s">
        <v>10493</v>
      </c>
      <c r="BF454" s="13" t="str">
        <f>HYPERLINK("http://dx.doi.org/10.1016/j.ecolind.2018.01.061","http://dx.doi.org/10.1016/j.ecolind.2018.01.061")</f>
        <v>http://dx.doi.org/10.1016/j.ecolind.2018.01.061</v>
      </c>
      <c r="BG454" s="8" t="s">
        <v>2135</v>
      </c>
      <c r="BH454" s="8" t="s">
        <v>2135</v>
      </c>
      <c r="BI454" s="8">
        <v>11.0</v>
      </c>
      <c r="BJ454" s="8" t="s">
        <v>4401</v>
      </c>
      <c r="BK454" s="8" t="s">
        <v>3352</v>
      </c>
      <c r="BL454" s="8" t="s">
        <v>3353</v>
      </c>
      <c r="BM454" s="8" t="s">
        <v>10494</v>
      </c>
      <c r="BN454" s="8" t="s">
        <v>2135</v>
      </c>
      <c r="BO454" s="8" t="s">
        <v>2135</v>
      </c>
      <c r="BP454" s="8" t="s">
        <v>2135</v>
      </c>
      <c r="BQ454" s="8" t="s">
        <v>2135</v>
      </c>
      <c r="BR454" s="8" t="s">
        <v>3355</v>
      </c>
      <c r="BS454" s="8" t="s">
        <v>10495</v>
      </c>
      <c r="BT454" s="8" t="s">
        <v>2216</v>
      </c>
      <c r="BU454" s="8" t="s">
        <v>2147</v>
      </c>
      <c r="BV454" s="8" t="s">
        <v>2217</v>
      </c>
      <c r="BW454" s="8" t="s">
        <v>2234</v>
      </c>
      <c r="BX454" s="8" t="s">
        <v>2974</v>
      </c>
      <c r="BY454" s="8" t="s">
        <v>2959</v>
      </c>
      <c r="BZ454" s="8" t="str">
        <f>HYPERLINK("https%3A%2F%2Fwww.webofscience.com%2Fwos%2Fwoscc%2Ffull-record%2FWOS:000430760900007","View Full Record in Web of Science")</f>
        <v>View Full Record in Web of Science</v>
      </c>
    </row>
    <row r="455" ht="12.75" customHeight="1">
      <c r="A455" s="8" t="s">
        <v>3329</v>
      </c>
      <c r="B455" s="8" t="s">
        <v>10496</v>
      </c>
      <c r="C455" s="8" t="s">
        <v>2135</v>
      </c>
      <c r="D455" s="8" t="s">
        <v>2135</v>
      </c>
      <c r="E455" s="8" t="s">
        <v>2135</v>
      </c>
      <c r="F455" s="8" t="s">
        <v>10497</v>
      </c>
      <c r="G455" s="8" t="s">
        <v>2135</v>
      </c>
      <c r="H455" s="8" t="s">
        <v>2135</v>
      </c>
      <c r="I455" s="8" t="s">
        <v>1861</v>
      </c>
      <c r="J455" s="8" t="s">
        <v>10498</v>
      </c>
      <c r="K455" s="8" t="s">
        <v>2135</v>
      </c>
      <c r="L455" s="8" t="s">
        <v>2135</v>
      </c>
      <c r="M455" s="8" t="s">
        <v>3332</v>
      </c>
      <c r="N455" s="8" t="s">
        <v>3333</v>
      </c>
      <c r="O455" s="8" t="s">
        <v>2135</v>
      </c>
      <c r="P455" s="8" t="s">
        <v>2135</v>
      </c>
      <c r="Q455" s="8" t="s">
        <v>2135</v>
      </c>
      <c r="R455" s="8" t="s">
        <v>2135</v>
      </c>
      <c r="S455" s="8" t="s">
        <v>2135</v>
      </c>
      <c r="T455" s="8" t="s">
        <v>10499</v>
      </c>
      <c r="U455" s="8" t="s">
        <v>10500</v>
      </c>
      <c r="V455" s="8" t="s">
        <v>10501</v>
      </c>
      <c r="W455" s="8" t="s">
        <v>10502</v>
      </c>
      <c r="X455" s="8" t="s">
        <v>10503</v>
      </c>
      <c r="Y455" s="8" t="s">
        <v>10504</v>
      </c>
      <c r="Z455" s="8" t="s">
        <v>10435</v>
      </c>
      <c r="AA455" s="8" t="s">
        <v>10505</v>
      </c>
      <c r="AB455" s="8" t="s">
        <v>10506</v>
      </c>
      <c r="AC455" s="8" t="s">
        <v>10507</v>
      </c>
      <c r="AD455" s="8" t="s">
        <v>10508</v>
      </c>
      <c r="AE455" s="8" t="s">
        <v>10509</v>
      </c>
      <c r="AF455" s="8" t="s">
        <v>2135</v>
      </c>
      <c r="AG455" s="8">
        <v>91.0</v>
      </c>
      <c r="AH455" s="8">
        <v>37.0</v>
      </c>
      <c r="AI455" s="8">
        <v>40.0</v>
      </c>
      <c r="AJ455" s="8">
        <v>3.0</v>
      </c>
      <c r="AK455" s="8">
        <v>42.0</v>
      </c>
      <c r="AL455" s="8" t="s">
        <v>3758</v>
      </c>
      <c r="AM455" s="8" t="s">
        <v>3759</v>
      </c>
      <c r="AN455" s="8" t="s">
        <v>3760</v>
      </c>
      <c r="AO455" s="8" t="s">
        <v>10510</v>
      </c>
      <c r="AP455" s="8" t="s">
        <v>10511</v>
      </c>
      <c r="AQ455" s="8" t="s">
        <v>2135</v>
      </c>
      <c r="AR455" s="8" t="s">
        <v>10512</v>
      </c>
      <c r="AS455" s="8" t="s">
        <v>10513</v>
      </c>
      <c r="AT455" s="8" t="s">
        <v>3765</v>
      </c>
      <c r="AU455" s="8">
        <v>2018.0</v>
      </c>
      <c r="AV455" s="8">
        <v>236.0</v>
      </c>
      <c r="AW455" s="8" t="s">
        <v>2135</v>
      </c>
      <c r="AX455" s="8" t="s">
        <v>2135</v>
      </c>
      <c r="AY455" s="8" t="s">
        <v>2135</v>
      </c>
      <c r="AZ455" s="8" t="s">
        <v>2135</v>
      </c>
      <c r="BA455" s="8" t="s">
        <v>2135</v>
      </c>
      <c r="BB455" s="8">
        <v>689.0</v>
      </c>
      <c r="BC455" s="8">
        <v>698.0</v>
      </c>
      <c r="BD455" s="8" t="s">
        <v>2135</v>
      </c>
      <c r="BE455" s="8" t="s">
        <v>10514</v>
      </c>
      <c r="BF455" s="13" t="str">
        <f>HYPERLINK("http://dx.doi.org/10.1016/j.envpol.2018.02.004","http://dx.doi.org/10.1016/j.envpol.2018.02.004")</f>
        <v>http://dx.doi.org/10.1016/j.envpol.2018.02.004</v>
      </c>
      <c r="BG455" s="8" t="s">
        <v>2135</v>
      </c>
      <c r="BH455" s="8" t="s">
        <v>2135</v>
      </c>
      <c r="BI455" s="8">
        <v>10.0</v>
      </c>
      <c r="BJ455" s="8" t="s">
        <v>6399</v>
      </c>
      <c r="BK455" s="8" t="s">
        <v>3352</v>
      </c>
      <c r="BL455" s="8" t="s">
        <v>3632</v>
      </c>
      <c r="BM455" s="8" t="s">
        <v>10515</v>
      </c>
      <c r="BN455" s="8">
        <v>2.9438955E7</v>
      </c>
      <c r="BO455" s="8" t="s">
        <v>3445</v>
      </c>
      <c r="BP455" s="8" t="s">
        <v>2135</v>
      </c>
      <c r="BQ455" s="8" t="s">
        <v>2135</v>
      </c>
      <c r="BR455" s="8" t="s">
        <v>3355</v>
      </c>
      <c r="BS455" s="8" t="s">
        <v>10516</v>
      </c>
      <c r="BT455" s="8" t="s">
        <v>2553</v>
      </c>
      <c r="BU455" s="8" t="s">
        <v>2142</v>
      </c>
      <c r="BW455" s="8" t="s">
        <v>2340</v>
      </c>
      <c r="BX455" s="8" t="s">
        <v>2956</v>
      </c>
      <c r="BY455" s="8" t="s">
        <v>2959</v>
      </c>
      <c r="BZ455" s="8" t="str">
        <f>HYPERLINK("https%3A%2F%2Fwww.webofscience.com%2Fwos%2Fwoscc%2Ffull-record%2FWOS:000429187500072","View Full Record in Web of Science")</f>
        <v>View Full Record in Web of Science</v>
      </c>
    </row>
    <row r="456" ht="12.75" customHeight="1">
      <c r="A456" s="8" t="s">
        <v>3329</v>
      </c>
      <c r="B456" s="8" t="s">
        <v>10517</v>
      </c>
      <c r="C456" s="8" t="s">
        <v>2135</v>
      </c>
      <c r="D456" s="8" t="s">
        <v>2135</v>
      </c>
      <c r="E456" s="8" t="s">
        <v>2135</v>
      </c>
      <c r="F456" s="8" t="s">
        <v>10518</v>
      </c>
      <c r="G456" s="8" t="s">
        <v>2135</v>
      </c>
      <c r="H456" s="8" t="s">
        <v>2135</v>
      </c>
      <c r="I456" s="8" t="s">
        <v>1859</v>
      </c>
      <c r="J456" s="8" t="s">
        <v>7783</v>
      </c>
      <c r="K456" s="8" t="s">
        <v>2135</v>
      </c>
      <c r="L456" s="8" t="s">
        <v>2135</v>
      </c>
      <c r="M456" s="8" t="s">
        <v>3332</v>
      </c>
      <c r="N456" s="8" t="s">
        <v>3333</v>
      </c>
      <c r="O456" s="8" t="s">
        <v>2135</v>
      </c>
      <c r="P456" s="8" t="s">
        <v>2135</v>
      </c>
      <c r="Q456" s="8" t="s">
        <v>2135</v>
      </c>
      <c r="R456" s="8" t="s">
        <v>2135</v>
      </c>
      <c r="S456" s="8" t="s">
        <v>2135</v>
      </c>
      <c r="T456" s="8" t="s">
        <v>10519</v>
      </c>
      <c r="U456" s="8" t="s">
        <v>10520</v>
      </c>
      <c r="V456" s="8" t="s">
        <v>10521</v>
      </c>
      <c r="W456" s="8" t="s">
        <v>10522</v>
      </c>
      <c r="X456" s="8" t="s">
        <v>10523</v>
      </c>
      <c r="Y456" s="8" t="s">
        <v>10524</v>
      </c>
      <c r="Z456" s="8" t="s">
        <v>10525</v>
      </c>
      <c r="AA456" s="8" t="s">
        <v>10526</v>
      </c>
      <c r="AB456" s="8" t="s">
        <v>10527</v>
      </c>
      <c r="AC456" s="8" t="s">
        <v>10528</v>
      </c>
      <c r="AD456" s="8" t="s">
        <v>10529</v>
      </c>
      <c r="AE456" s="8" t="s">
        <v>10530</v>
      </c>
      <c r="AF456" s="8" t="s">
        <v>2135</v>
      </c>
      <c r="AG456" s="8">
        <v>46.0</v>
      </c>
      <c r="AH456" s="8">
        <v>34.0</v>
      </c>
      <c r="AI456" s="8">
        <v>37.0</v>
      </c>
      <c r="AJ456" s="8">
        <v>3.0</v>
      </c>
      <c r="AK456" s="8">
        <v>37.0</v>
      </c>
      <c r="AL456" s="8" t="s">
        <v>3366</v>
      </c>
      <c r="AM456" s="8" t="s">
        <v>3367</v>
      </c>
      <c r="AN456" s="8" t="s">
        <v>3368</v>
      </c>
      <c r="AO456" s="8" t="s">
        <v>7796</v>
      </c>
      <c r="AP456" s="8" t="s">
        <v>7797</v>
      </c>
      <c r="AQ456" s="8" t="s">
        <v>2135</v>
      </c>
      <c r="AR456" s="8" t="s">
        <v>7798</v>
      </c>
      <c r="AS456" s="8" t="s">
        <v>7799</v>
      </c>
      <c r="AT456" s="8" t="s">
        <v>10531</v>
      </c>
      <c r="AU456" s="8">
        <v>2018.0</v>
      </c>
      <c r="AV456" s="8">
        <v>612.0</v>
      </c>
      <c r="AW456" s="8" t="s">
        <v>2135</v>
      </c>
      <c r="AX456" s="8" t="s">
        <v>2135</v>
      </c>
      <c r="AY456" s="8" t="s">
        <v>2135</v>
      </c>
      <c r="AZ456" s="8" t="s">
        <v>2135</v>
      </c>
      <c r="BA456" s="8" t="s">
        <v>2135</v>
      </c>
      <c r="BB456" s="8">
        <v>1358.0</v>
      </c>
      <c r="BC456" s="8">
        <v>1364.0</v>
      </c>
      <c r="BD456" s="8" t="s">
        <v>2135</v>
      </c>
      <c r="BE456" s="8" t="s">
        <v>10532</v>
      </c>
      <c r="BF456" s="13" t="str">
        <f>HYPERLINK("http://dx.doi.org/10.1016/j.scitotenv.2017.09.034","http://dx.doi.org/10.1016/j.scitotenv.2017.09.034")</f>
        <v>http://dx.doi.org/10.1016/j.scitotenv.2017.09.034</v>
      </c>
      <c r="BG456" s="8" t="s">
        <v>2135</v>
      </c>
      <c r="BH456" s="8" t="s">
        <v>2135</v>
      </c>
      <c r="BI456" s="8">
        <v>7.0</v>
      </c>
      <c r="BJ456" s="8" t="s">
        <v>6399</v>
      </c>
      <c r="BK456" s="8" t="s">
        <v>3352</v>
      </c>
      <c r="BL456" s="8" t="s">
        <v>3632</v>
      </c>
      <c r="BM456" s="8" t="s">
        <v>10533</v>
      </c>
      <c r="BN456" s="8">
        <v>2.8898942E7</v>
      </c>
      <c r="BO456" s="8" t="s">
        <v>2135</v>
      </c>
      <c r="BP456" s="8" t="s">
        <v>2135</v>
      </c>
      <c r="BQ456" s="8" t="s">
        <v>2135</v>
      </c>
      <c r="BR456" s="8" t="s">
        <v>3355</v>
      </c>
      <c r="BS456" s="8" t="s">
        <v>10534</v>
      </c>
      <c r="BT456" s="8" t="s">
        <v>2307</v>
      </c>
      <c r="BU456" s="8" t="s">
        <v>2142</v>
      </c>
      <c r="BW456" s="8" t="s">
        <v>2314</v>
      </c>
      <c r="BX456" s="8" t="s">
        <v>2956</v>
      </c>
      <c r="BY456" s="8" t="s">
        <v>2959</v>
      </c>
      <c r="BZ456" s="8" t="str">
        <f>HYPERLINK("https%3A%2F%2Fwww.webofscience.com%2Fwos%2Fwoscc%2Ffull-record%2FWOS:000413313700133","View Full Record in Web of Science")</f>
        <v>View Full Record in Web of Science</v>
      </c>
    </row>
    <row r="457" ht="12.75" customHeight="1">
      <c r="A457" s="8" t="s">
        <v>3329</v>
      </c>
      <c r="B457" s="8" t="s">
        <v>10535</v>
      </c>
      <c r="C457" s="8" t="s">
        <v>2135</v>
      </c>
      <c r="D457" s="8" t="s">
        <v>2135</v>
      </c>
      <c r="E457" s="8" t="s">
        <v>2135</v>
      </c>
      <c r="F457" s="8" t="s">
        <v>10536</v>
      </c>
      <c r="G457" s="8" t="s">
        <v>2135</v>
      </c>
      <c r="H457" s="8" t="s">
        <v>2135</v>
      </c>
      <c r="I457" s="8" t="s">
        <v>1865</v>
      </c>
      <c r="J457" s="8" t="s">
        <v>10537</v>
      </c>
      <c r="K457" s="8" t="s">
        <v>2135</v>
      </c>
      <c r="L457" s="8" t="s">
        <v>2135</v>
      </c>
      <c r="M457" s="8" t="s">
        <v>3332</v>
      </c>
      <c r="N457" s="8" t="s">
        <v>3333</v>
      </c>
      <c r="O457" s="8" t="s">
        <v>2135</v>
      </c>
      <c r="P457" s="8" t="s">
        <v>2135</v>
      </c>
      <c r="Q457" s="8" t="s">
        <v>2135</v>
      </c>
      <c r="R457" s="8" t="s">
        <v>2135</v>
      </c>
      <c r="S457" s="8" t="s">
        <v>2135</v>
      </c>
      <c r="T457" s="8" t="s">
        <v>2135</v>
      </c>
      <c r="U457" s="8" t="s">
        <v>10538</v>
      </c>
      <c r="V457" s="8" t="s">
        <v>10539</v>
      </c>
      <c r="W457" s="8" t="s">
        <v>10540</v>
      </c>
      <c r="X457" s="8" t="s">
        <v>10541</v>
      </c>
      <c r="Y457" s="8" t="s">
        <v>10542</v>
      </c>
      <c r="Z457" s="8" t="s">
        <v>10543</v>
      </c>
      <c r="AA457" s="8" t="s">
        <v>10227</v>
      </c>
      <c r="AB457" s="8" t="s">
        <v>10544</v>
      </c>
      <c r="AC457" s="8" t="s">
        <v>10545</v>
      </c>
      <c r="AD457" s="8" t="s">
        <v>10546</v>
      </c>
      <c r="AE457" s="8" t="s">
        <v>10547</v>
      </c>
      <c r="AF457" s="8" t="s">
        <v>2135</v>
      </c>
      <c r="AG457" s="8">
        <v>70.0</v>
      </c>
      <c r="AH457" s="8">
        <v>32.0</v>
      </c>
      <c r="AI457" s="8">
        <v>40.0</v>
      </c>
      <c r="AJ457" s="8">
        <v>0.0</v>
      </c>
      <c r="AK457" s="8">
        <v>66.0</v>
      </c>
      <c r="AL457" s="8" t="s">
        <v>10180</v>
      </c>
      <c r="AM457" s="8" t="s">
        <v>3759</v>
      </c>
      <c r="AN457" s="8" t="s">
        <v>10181</v>
      </c>
      <c r="AO457" s="8" t="s">
        <v>10548</v>
      </c>
      <c r="AP457" s="8" t="s">
        <v>10549</v>
      </c>
      <c r="AQ457" s="8" t="s">
        <v>2135</v>
      </c>
      <c r="AR457" s="8" t="s">
        <v>10550</v>
      </c>
      <c r="AS457" s="8" t="s">
        <v>10551</v>
      </c>
      <c r="AT457" s="8" t="s">
        <v>3629</v>
      </c>
      <c r="AU457" s="8">
        <v>2018.0</v>
      </c>
      <c r="AV457" s="8">
        <v>147.0</v>
      </c>
      <c r="AW457" s="8" t="s">
        <v>2135</v>
      </c>
      <c r="AX457" s="8" t="s">
        <v>2135</v>
      </c>
      <c r="AY457" s="8" t="s">
        <v>2135</v>
      </c>
      <c r="AZ457" s="8" t="s">
        <v>3421</v>
      </c>
      <c r="BA457" s="8" t="s">
        <v>2135</v>
      </c>
      <c r="BB457" s="8">
        <v>36.0</v>
      </c>
      <c r="BC457" s="8">
        <v>42.0</v>
      </c>
      <c r="BD457" s="8" t="s">
        <v>2135</v>
      </c>
      <c r="BE457" s="8" t="s">
        <v>10552</v>
      </c>
      <c r="BF457" s="13" t="str">
        <f>HYPERLINK("http://dx.doi.org/10.1016/j.dsr2.2017.04.007","http://dx.doi.org/10.1016/j.dsr2.2017.04.007")</f>
        <v>http://dx.doi.org/10.1016/j.dsr2.2017.04.007</v>
      </c>
      <c r="BG457" s="8" t="s">
        <v>2135</v>
      </c>
      <c r="BH457" s="8" t="s">
        <v>2135</v>
      </c>
      <c r="BI457" s="8">
        <v>7.0</v>
      </c>
      <c r="BJ457" s="8" t="s">
        <v>10553</v>
      </c>
      <c r="BK457" s="8" t="s">
        <v>3352</v>
      </c>
      <c r="BL457" s="8" t="s">
        <v>10553</v>
      </c>
      <c r="BM457" s="8" t="s">
        <v>10554</v>
      </c>
      <c r="BN457" s="8" t="s">
        <v>2135</v>
      </c>
      <c r="BO457" s="8" t="s">
        <v>4332</v>
      </c>
      <c r="BP457" s="8" t="s">
        <v>2135</v>
      </c>
      <c r="BQ457" s="8" t="s">
        <v>2135</v>
      </c>
      <c r="BR457" s="8" t="s">
        <v>3355</v>
      </c>
      <c r="BS457" s="8" t="s">
        <v>10555</v>
      </c>
      <c r="BT457" s="8" t="s">
        <v>2600</v>
      </c>
      <c r="BU457" s="8" t="s">
        <v>2147</v>
      </c>
      <c r="BV457" s="8" t="s">
        <v>2217</v>
      </c>
      <c r="BW457" s="8" t="s">
        <v>2829</v>
      </c>
      <c r="BX457" s="8" t="s">
        <v>2974</v>
      </c>
      <c r="BY457" s="8" t="s">
        <v>2959</v>
      </c>
      <c r="BZ457" s="8" t="str">
        <f>HYPERLINK("https%3A%2F%2Fwww.webofscience.com%2Fwos%2Fwoscc%2Ffull-record%2FWOS:000428005900006","View Full Record in Web of Science")</f>
        <v>View Full Record in Web of Science</v>
      </c>
    </row>
    <row r="458" ht="12.75" customHeight="1">
      <c r="A458" s="8" t="s">
        <v>3329</v>
      </c>
      <c r="B458" s="8" t="s">
        <v>10556</v>
      </c>
      <c r="C458" s="8" t="s">
        <v>2135</v>
      </c>
      <c r="D458" s="8" t="s">
        <v>2135</v>
      </c>
      <c r="E458" s="8" t="s">
        <v>2135</v>
      </c>
      <c r="F458" s="8" t="s">
        <v>10557</v>
      </c>
      <c r="G458" s="8" t="s">
        <v>2135</v>
      </c>
      <c r="H458" s="8" t="s">
        <v>2135</v>
      </c>
      <c r="I458" s="8" t="s">
        <v>1857</v>
      </c>
      <c r="J458" s="8" t="s">
        <v>3747</v>
      </c>
      <c r="K458" s="8" t="s">
        <v>2135</v>
      </c>
      <c r="L458" s="8" t="s">
        <v>2135</v>
      </c>
      <c r="M458" s="8" t="s">
        <v>3332</v>
      </c>
      <c r="N458" s="8" t="s">
        <v>3333</v>
      </c>
      <c r="O458" s="8" t="s">
        <v>2135</v>
      </c>
      <c r="P458" s="8" t="s">
        <v>2135</v>
      </c>
      <c r="Q458" s="8" t="s">
        <v>2135</v>
      </c>
      <c r="R458" s="8" t="s">
        <v>2135</v>
      </c>
      <c r="S458" s="8" t="s">
        <v>2135</v>
      </c>
      <c r="T458" s="8" t="s">
        <v>10558</v>
      </c>
      <c r="U458" s="8" t="s">
        <v>10559</v>
      </c>
      <c r="V458" s="8" t="s">
        <v>10560</v>
      </c>
      <c r="W458" s="8" t="s">
        <v>10561</v>
      </c>
      <c r="X458" s="8" t="s">
        <v>10562</v>
      </c>
      <c r="Y458" s="8" t="s">
        <v>10563</v>
      </c>
      <c r="Z458" s="8" t="s">
        <v>10564</v>
      </c>
      <c r="AA458" s="8" t="s">
        <v>10565</v>
      </c>
      <c r="AB458" s="8" t="s">
        <v>10566</v>
      </c>
      <c r="AC458" s="8" t="s">
        <v>10567</v>
      </c>
      <c r="AD458" s="8" t="s">
        <v>10568</v>
      </c>
      <c r="AE458" s="8" t="s">
        <v>10569</v>
      </c>
      <c r="AF458" s="8" t="s">
        <v>2135</v>
      </c>
      <c r="AG458" s="8">
        <v>54.0</v>
      </c>
      <c r="AH458" s="8">
        <v>15.0</v>
      </c>
      <c r="AI458" s="8">
        <v>17.0</v>
      </c>
      <c r="AJ458" s="8">
        <v>1.0</v>
      </c>
      <c r="AK458" s="8">
        <v>33.0</v>
      </c>
      <c r="AL458" s="8" t="s">
        <v>3758</v>
      </c>
      <c r="AM458" s="8" t="s">
        <v>3759</v>
      </c>
      <c r="AN458" s="8" t="s">
        <v>3760</v>
      </c>
      <c r="AO458" s="8" t="s">
        <v>3761</v>
      </c>
      <c r="AP458" s="8" t="s">
        <v>3762</v>
      </c>
      <c r="AQ458" s="8" t="s">
        <v>2135</v>
      </c>
      <c r="AR458" s="8" t="s">
        <v>3763</v>
      </c>
      <c r="AS458" s="8" t="s">
        <v>3764</v>
      </c>
      <c r="AT458" s="8" t="s">
        <v>3395</v>
      </c>
      <c r="AU458" s="8">
        <v>2017.0</v>
      </c>
      <c r="AV458" s="8">
        <v>212.0</v>
      </c>
      <c r="AW458" s="8" t="s">
        <v>2135</v>
      </c>
      <c r="AX458" s="8" t="s">
        <v>10022</v>
      </c>
      <c r="AY458" s="8" t="s">
        <v>2135</v>
      </c>
      <c r="AZ458" s="8" t="s">
        <v>2135</v>
      </c>
      <c r="BA458" s="8" t="s">
        <v>2135</v>
      </c>
      <c r="BB458" s="8">
        <v>111.0</v>
      </c>
      <c r="BC458" s="8">
        <v>119.0</v>
      </c>
      <c r="BD458" s="8" t="s">
        <v>2135</v>
      </c>
      <c r="BE458" s="8" t="s">
        <v>10570</v>
      </c>
      <c r="BF458" s="13" t="str">
        <f>HYPERLINK("http://dx.doi.org/10.1016/j.biocon.2017.06.005","http://dx.doi.org/10.1016/j.biocon.2017.06.005")</f>
        <v>http://dx.doi.org/10.1016/j.biocon.2017.06.005</v>
      </c>
      <c r="BG458" s="8" t="s">
        <v>2135</v>
      </c>
      <c r="BH458" s="8" t="s">
        <v>2135</v>
      </c>
      <c r="BI458" s="8">
        <v>9.0</v>
      </c>
      <c r="BJ458" s="8" t="s">
        <v>3351</v>
      </c>
      <c r="BK458" s="8" t="s">
        <v>3352</v>
      </c>
      <c r="BL458" s="8" t="s">
        <v>3353</v>
      </c>
      <c r="BM458" s="8" t="s">
        <v>10571</v>
      </c>
      <c r="BN458" s="8" t="s">
        <v>2135</v>
      </c>
      <c r="BO458" s="8" t="s">
        <v>4332</v>
      </c>
      <c r="BP458" s="8" t="s">
        <v>2135</v>
      </c>
      <c r="BQ458" s="8" t="s">
        <v>2135</v>
      </c>
      <c r="BR458" s="8" t="s">
        <v>3355</v>
      </c>
      <c r="BS458" s="8" t="s">
        <v>10572</v>
      </c>
      <c r="BT458" s="8" t="s">
        <v>2216</v>
      </c>
      <c r="BU458" s="8" t="s">
        <v>2147</v>
      </c>
      <c r="BV458" s="8" t="s">
        <v>2217</v>
      </c>
      <c r="BW458" s="8" t="s">
        <v>2260</v>
      </c>
      <c r="BX458" s="8" t="s">
        <v>2956</v>
      </c>
      <c r="BY458" s="8" t="s">
        <v>2959</v>
      </c>
      <c r="BZ458" s="8" t="str">
        <f>HYPERLINK("https%3A%2F%2Fwww.webofscience.com%2Fwos%2Fwoscc%2Ffull-record%2FWOS:000407186000012","View Full Record in Web of Science")</f>
        <v>View Full Record in Web of Science</v>
      </c>
    </row>
    <row r="459" ht="12.75" customHeight="1">
      <c r="A459" s="8" t="s">
        <v>3329</v>
      </c>
      <c r="B459" s="8" t="s">
        <v>10573</v>
      </c>
      <c r="C459" s="8" t="s">
        <v>2135</v>
      </c>
      <c r="D459" s="8" t="s">
        <v>2135</v>
      </c>
      <c r="E459" s="8" t="s">
        <v>2135</v>
      </c>
      <c r="F459" s="8" t="s">
        <v>10574</v>
      </c>
      <c r="G459" s="8" t="s">
        <v>2135</v>
      </c>
      <c r="H459" s="8" t="s">
        <v>2135</v>
      </c>
      <c r="I459" s="8" t="s">
        <v>1854</v>
      </c>
      <c r="J459" s="8" t="s">
        <v>3380</v>
      </c>
      <c r="K459" s="8" t="s">
        <v>2135</v>
      </c>
      <c r="L459" s="8" t="s">
        <v>2135</v>
      </c>
      <c r="M459" s="8" t="s">
        <v>3332</v>
      </c>
      <c r="N459" s="8" t="s">
        <v>3333</v>
      </c>
      <c r="O459" s="8" t="s">
        <v>2135</v>
      </c>
      <c r="P459" s="8" t="s">
        <v>2135</v>
      </c>
      <c r="Q459" s="8" t="s">
        <v>2135</v>
      </c>
      <c r="R459" s="8" t="s">
        <v>2135</v>
      </c>
      <c r="S459" s="8" t="s">
        <v>2135</v>
      </c>
      <c r="T459" s="8" t="s">
        <v>10575</v>
      </c>
      <c r="U459" s="8" t="s">
        <v>10576</v>
      </c>
      <c r="V459" s="8" t="s">
        <v>10577</v>
      </c>
      <c r="W459" s="8" t="s">
        <v>10578</v>
      </c>
      <c r="X459" s="8" t="s">
        <v>10579</v>
      </c>
      <c r="Y459" s="8" t="s">
        <v>10580</v>
      </c>
      <c r="Z459" s="8" t="s">
        <v>10581</v>
      </c>
      <c r="AA459" s="8" t="s">
        <v>10582</v>
      </c>
      <c r="AB459" s="8" t="s">
        <v>10583</v>
      </c>
      <c r="AC459" s="8" t="s">
        <v>10584</v>
      </c>
      <c r="AD459" s="8" t="s">
        <v>10585</v>
      </c>
      <c r="AE459" s="8" t="s">
        <v>10586</v>
      </c>
      <c r="AF459" s="8" t="s">
        <v>2135</v>
      </c>
      <c r="AG459" s="8">
        <v>109.0</v>
      </c>
      <c r="AH459" s="8">
        <v>10.0</v>
      </c>
      <c r="AI459" s="8">
        <v>12.0</v>
      </c>
      <c r="AJ459" s="8">
        <v>1.0</v>
      </c>
      <c r="AK459" s="8">
        <v>36.0</v>
      </c>
      <c r="AL459" s="8" t="s">
        <v>3921</v>
      </c>
      <c r="AM459" s="8" t="s">
        <v>3922</v>
      </c>
      <c r="AN459" s="8" t="s">
        <v>3923</v>
      </c>
      <c r="AO459" s="8" t="s">
        <v>3392</v>
      </c>
      <c r="AP459" s="8" t="s">
        <v>4022</v>
      </c>
      <c r="AQ459" s="8" t="s">
        <v>2135</v>
      </c>
      <c r="AR459" s="8" t="s">
        <v>3393</v>
      </c>
      <c r="AS459" s="8" t="s">
        <v>3394</v>
      </c>
      <c r="AT459" s="8" t="s">
        <v>10587</v>
      </c>
      <c r="AU459" s="8">
        <v>2016.0</v>
      </c>
      <c r="AV459" s="8">
        <v>97.0</v>
      </c>
      <c r="AW459" s="8">
        <v>4.0</v>
      </c>
      <c r="AX459" s="8" t="s">
        <v>2135</v>
      </c>
      <c r="AY459" s="8" t="s">
        <v>2135</v>
      </c>
      <c r="AZ459" s="8" t="s">
        <v>2135</v>
      </c>
      <c r="BA459" s="8" t="s">
        <v>2135</v>
      </c>
      <c r="BB459" s="8">
        <v>1164.0</v>
      </c>
      <c r="BC459" s="8">
        <v>1176.0</v>
      </c>
      <c r="BD459" s="8" t="s">
        <v>2135</v>
      </c>
      <c r="BE459" s="8" t="s">
        <v>10588</v>
      </c>
      <c r="BF459" s="13" t="str">
        <f>HYPERLINK("http://dx.doi.org/10.1093/jmammal/gyw066","http://dx.doi.org/10.1093/jmammal/gyw066")</f>
        <v>http://dx.doi.org/10.1093/jmammal/gyw066</v>
      </c>
      <c r="BG459" s="8" t="s">
        <v>2135</v>
      </c>
      <c r="BH459" s="8" t="s">
        <v>2135</v>
      </c>
      <c r="BI459" s="8">
        <v>13.0</v>
      </c>
      <c r="BJ459" s="8" t="s">
        <v>3397</v>
      </c>
      <c r="BK459" s="8" t="s">
        <v>3352</v>
      </c>
      <c r="BL459" s="8" t="s">
        <v>3397</v>
      </c>
      <c r="BM459" s="8" t="s">
        <v>10589</v>
      </c>
      <c r="BN459" s="8" t="s">
        <v>2135</v>
      </c>
      <c r="BO459" s="8" t="s">
        <v>3445</v>
      </c>
      <c r="BP459" s="8" t="s">
        <v>2135</v>
      </c>
      <c r="BQ459" s="8" t="s">
        <v>2135</v>
      </c>
      <c r="BR459" s="8" t="s">
        <v>3355</v>
      </c>
      <c r="BS459" s="8" t="s">
        <v>10590</v>
      </c>
      <c r="BU459" s="8" t="s">
        <v>2142</v>
      </c>
      <c r="BW459" s="8" t="s">
        <v>2143</v>
      </c>
      <c r="BX459" s="8" t="s">
        <v>2974</v>
      </c>
      <c r="BY459" s="8" t="s">
        <v>2959</v>
      </c>
      <c r="BZ459" s="8" t="str">
        <f>HYPERLINK("https%3A%2F%2Fwww.webofscience.com%2Fwos%2Fwoscc%2Ffull-record%2FWOS:000383262100015","View Full Record in Web of Science")</f>
        <v>View Full Record in Web of Science</v>
      </c>
    </row>
    <row r="460" ht="12.75" customHeight="1">
      <c r="A460" s="8" t="s">
        <v>3329</v>
      </c>
      <c r="B460" s="8" t="s">
        <v>10591</v>
      </c>
      <c r="C460" s="8" t="s">
        <v>2135</v>
      </c>
      <c r="D460" s="8" t="s">
        <v>2135</v>
      </c>
      <c r="E460" s="8" t="s">
        <v>2135</v>
      </c>
      <c r="F460" s="8" t="s">
        <v>10592</v>
      </c>
      <c r="G460" s="8" t="s">
        <v>2135</v>
      </c>
      <c r="H460" s="8" t="s">
        <v>2135</v>
      </c>
      <c r="I460" s="8" t="s">
        <v>1850</v>
      </c>
      <c r="J460" s="8" t="s">
        <v>10593</v>
      </c>
      <c r="K460" s="8" t="s">
        <v>2135</v>
      </c>
      <c r="L460" s="8" t="s">
        <v>2135</v>
      </c>
      <c r="M460" s="8" t="s">
        <v>3332</v>
      </c>
      <c r="N460" s="8" t="s">
        <v>3333</v>
      </c>
      <c r="O460" s="8" t="s">
        <v>2135</v>
      </c>
      <c r="P460" s="8" t="s">
        <v>2135</v>
      </c>
      <c r="Q460" s="8" t="s">
        <v>2135</v>
      </c>
      <c r="R460" s="8" t="s">
        <v>2135</v>
      </c>
      <c r="S460" s="8" t="s">
        <v>2135</v>
      </c>
      <c r="T460" s="8" t="s">
        <v>10594</v>
      </c>
      <c r="U460" s="8" t="s">
        <v>2135</v>
      </c>
      <c r="V460" s="8" t="s">
        <v>10595</v>
      </c>
      <c r="W460" s="8" t="s">
        <v>10596</v>
      </c>
      <c r="X460" s="8" t="s">
        <v>10597</v>
      </c>
      <c r="Y460" s="8" t="s">
        <v>10598</v>
      </c>
      <c r="Z460" s="8" t="s">
        <v>10599</v>
      </c>
      <c r="AA460" s="8" t="s">
        <v>2135</v>
      </c>
      <c r="AB460" s="8" t="s">
        <v>2135</v>
      </c>
      <c r="AC460" s="8" t="s">
        <v>10600</v>
      </c>
      <c r="AD460" s="8" t="s">
        <v>10601</v>
      </c>
      <c r="AE460" s="8" t="s">
        <v>10602</v>
      </c>
      <c r="AF460" s="8" t="s">
        <v>2135</v>
      </c>
      <c r="AG460" s="8">
        <v>56.0</v>
      </c>
      <c r="AH460" s="8">
        <v>7.0</v>
      </c>
      <c r="AI460" s="8">
        <v>7.0</v>
      </c>
      <c r="AJ460" s="8">
        <v>1.0</v>
      </c>
      <c r="AK460" s="8">
        <v>11.0</v>
      </c>
      <c r="AL460" s="8" t="s">
        <v>10603</v>
      </c>
      <c r="AM460" s="8" t="s">
        <v>5052</v>
      </c>
      <c r="AN460" s="8" t="s">
        <v>5053</v>
      </c>
      <c r="AO460" s="8" t="s">
        <v>10604</v>
      </c>
      <c r="AP460" s="8" t="s">
        <v>2135</v>
      </c>
      <c r="AQ460" s="8" t="s">
        <v>2135</v>
      </c>
      <c r="AR460" s="8" t="s">
        <v>10605</v>
      </c>
      <c r="AS460" s="8" t="s">
        <v>10606</v>
      </c>
      <c r="AT460" s="8" t="s">
        <v>3349</v>
      </c>
      <c r="AU460" s="8">
        <v>2016.0</v>
      </c>
      <c r="AV460" s="8">
        <v>4.0</v>
      </c>
      <c r="AW460" s="8">
        <v>2.0</v>
      </c>
      <c r="AX460" s="8" t="s">
        <v>2135</v>
      </c>
      <c r="AY460" s="8" t="s">
        <v>2135</v>
      </c>
      <c r="AZ460" s="8" t="s">
        <v>2135</v>
      </c>
      <c r="BA460" s="8" t="s">
        <v>2135</v>
      </c>
      <c r="BB460" s="8" t="s">
        <v>2135</v>
      </c>
      <c r="BC460" s="8" t="s">
        <v>2135</v>
      </c>
      <c r="BD460" s="8">
        <v>39.0</v>
      </c>
      <c r="BE460" s="8" t="s">
        <v>10607</v>
      </c>
      <c r="BF460" s="13" t="str">
        <f>HYPERLINK("http://dx.doi.org/10.3390/jmse4020039","http://dx.doi.org/10.3390/jmse4020039")</f>
        <v>http://dx.doi.org/10.3390/jmse4020039</v>
      </c>
      <c r="BG460" s="8" t="s">
        <v>2135</v>
      </c>
      <c r="BH460" s="8" t="s">
        <v>2135</v>
      </c>
      <c r="BI460" s="8">
        <v>12.0</v>
      </c>
      <c r="BJ460" s="8" t="s">
        <v>10608</v>
      </c>
      <c r="BK460" s="8" t="s">
        <v>3352</v>
      </c>
      <c r="BL460" s="8" t="s">
        <v>10609</v>
      </c>
      <c r="BM460" s="8" t="s">
        <v>10610</v>
      </c>
      <c r="BN460" s="8" t="s">
        <v>2135</v>
      </c>
      <c r="BO460" s="8" t="s">
        <v>3659</v>
      </c>
      <c r="BP460" s="8" t="s">
        <v>2135</v>
      </c>
      <c r="BQ460" s="8" t="s">
        <v>2135</v>
      </c>
      <c r="BR460" s="8" t="s">
        <v>3355</v>
      </c>
      <c r="BS460" s="8" t="s">
        <v>10611</v>
      </c>
      <c r="BT460" s="8" t="s">
        <v>2600</v>
      </c>
      <c r="BU460" s="8" t="s">
        <v>2147</v>
      </c>
      <c r="BV460" s="8" t="s">
        <v>2217</v>
      </c>
      <c r="BW460" s="8" t="s">
        <v>2237</v>
      </c>
      <c r="BX460" s="8" t="s">
        <v>2974</v>
      </c>
      <c r="BY460" s="8" t="s">
        <v>2959</v>
      </c>
      <c r="BZ460" s="8" t="str">
        <f>HYPERLINK("https%3A%2F%2Fwww.webofscience.com%2Fwos%2Fwoscc%2Ffull-record%2FWOS:000443615700011","View Full Record in Web of Science")</f>
        <v>View Full Record in Web of Science</v>
      </c>
    </row>
    <row r="461" ht="12.75" customHeight="1">
      <c r="A461" s="8" t="s">
        <v>3329</v>
      </c>
      <c r="B461" s="8" t="s">
        <v>10612</v>
      </c>
      <c r="C461" s="8" t="s">
        <v>2135</v>
      </c>
      <c r="D461" s="8" t="s">
        <v>2135</v>
      </c>
      <c r="E461" s="8" t="s">
        <v>2135</v>
      </c>
      <c r="F461" s="8" t="s">
        <v>10613</v>
      </c>
      <c r="G461" s="8" t="s">
        <v>2135</v>
      </c>
      <c r="H461" s="8" t="s">
        <v>2135</v>
      </c>
      <c r="I461" s="8" t="s">
        <v>1852</v>
      </c>
      <c r="J461" s="8" t="s">
        <v>10614</v>
      </c>
      <c r="K461" s="8" t="s">
        <v>2135</v>
      </c>
      <c r="L461" s="8" t="s">
        <v>2135</v>
      </c>
      <c r="M461" s="8" t="s">
        <v>3332</v>
      </c>
      <c r="N461" s="8" t="s">
        <v>3333</v>
      </c>
      <c r="O461" s="8" t="s">
        <v>2135</v>
      </c>
      <c r="P461" s="8" t="s">
        <v>2135</v>
      </c>
      <c r="Q461" s="8" t="s">
        <v>2135</v>
      </c>
      <c r="R461" s="8" t="s">
        <v>2135</v>
      </c>
      <c r="S461" s="8" t="s">
        <v>2135</v>
      </c>
      <c r="T461" s="8" t="s">
        <v>10615</v>
      </c>
      <c r="U461" s="8" t="s">
        <v>10616</v>
      </c>
      <c r="V461" s="8" t="s">
        <v>10617</v>
      </c>
      <c r="W461" s="8" t="s">
        <v>10618</v>
      </c>
      <c r="X461" s="8" t="s">
        <v>10619</v>
      </c>
      <c r="Y461" s="8" t="s">
        <v>10620</v>
      </c>
      <c r="Z461" s="8" t="s">
        <v>10621</v>
      </c>
      <c r="AA461" s="8" t="s">
        <v>10622</v>
      </c>
      <c r="AB461" s="8" t="s">
        <v>10623</v>
      </c>
      <c r="AC461" s="8" t="s">
        <v>2135</v>
      </c>
      <c r="AD461" s="8" t="s">
        <v>2135</v>
      </c>
      <c r="AE461" s="8" t="s">
        <v>2135</v>
      </c>
      <c r="AF461" s="8" t="s">
        <v>2135</v>
      </c>
      <c r="AG461" s="8">
        <v>126.0</v>
      </c>
      <c r="AH461" s="8">
        <v>26.0</v>
      </c>
      <c r="AI461" s="8">
        <v>29.0</v>
      </c>
      <c r="AJ461" s="8">
        <v>3.0</v>
      </c>
      <c r="AK461" s="8">
        <v>58.0</v>
      </c>
      <c r="AL461" s="8" t="s">
        <v>3342</v>
      </c>
      <c r="AM461" s="8" t="s">
        <v>3343</v>
      </c>
      <c r="AN461" s="8" t="s">
        <v>3344</v>
      </c>
      <c r="AO461" s="8" t="s">
        <v>10624</v>
      </c>
      <c r="AP461" s="8" t="s">
        <v>2135</v>
      </c>
      <c r="AQ461" s="8" t="s">
        <v>2135</v>
      </c>
      <c r="AR461" s="8" t="s">
        <v>10625</v>
      </c>
      <c r="AS461" s="8" t="s">
        <v>10626</v>
      </c>
      <c r="AT461" s="8" t="s">
        <v>3556</v>
      </c>
      <c r="AU461" s="8">
        <v>2016.0</v>
      </c>
      <c r="AV461" s="8">
        <v>157.0</v>
      </c>
      <c r="AW461" s="8">
        <v>1.0</v>
      </c>
      <c r="AX461" s="8" t="s">
        <v>2135</v>
      </c>
      <c r="AY461" s="8" t="s">
        <v>2135</v>
      </c>
      <c r="AZ461" s="8" t="s">
        <v>2135</v>
      </c>
      <c r="BA461" s="8" t="s">
        <v>2135</v>
      </c>
      <c r="BB461" s="8">
        <v>33.0</v>
      </c>
      <c r="BC461" s="8">
        <v>45.0</v>
      </c>
      <c r="BD461" s="8" t="s">
        <v>2135</v>
      </c>
      <c r="BE461" s="8" t="s">
        <v>10627</v>
      </c>
      <c r="BF461" s="13" t="str">
        <f>HYPERLINK("http://dx.doi.org/10.1111/j.1936-704X.2016.03212.x","http://dx.doi.org/10.1111/j.1936-704X.2016.03212.x")</f>
        <v>http://dx.doi.org/10.1111/j.1936-704X.2016.03212.x</v>
      </c>
      <c r="BG461" s="8" t="s">
        <v>2135</v>
      </c>
      <c r="BH461" s="8" t="s">
        <v>2135</v>
      </c>
      <c r="BI461" s="8">
        <v>13.0</v>
      </c>
      <c r="BJ461" s="8" t="s">
        <v>10628</v>
      </c>
      <c r="BK461" s="8" t="s">
        <v>4654</v>
      </c>
      <c r="BL461" s="8" t="s">
        <v>10628</v>
      </c>
      <c r="BM461" s="8" t="s">
        <v>10629</v>
      </c>
      <c r="BN461" s="8" t="s">
        <v>2135</v>
      </c>
      <c r="BO461" s="8" t="s">
        <v>3445</v>
      </c>
      <c r="BP461" s="8" t="s">
        <v>2135</v>
      </c>
      <c r="BQ461" s="8" t="s">
        <v>2135</v>
      </c>
      <c r="BR461" s="8" t="s">
        <v>3355</v>
      </c>
      <c r="BS461" s="8" t="s">
        <v>10630</v>
      </c>
      <c r="BU461" s="8" t="s">
        <v>2943</v>
      </c>
      <c r="BW461" s="8" t="s">
        <v>2951</v>
      </c>
      <c r="BX461" s="8" t="s">
        <v>3030</v>
      </c>
      <c r="BY461" s="8" t="s">
        <v>2959</v>
      </c>
      <c r="BZ461" s="8" t="str">
        <f>HYPERLINK("https%3A%2F%2Fwww.webofscience.com%2Fwos%2Fwoscc%2Ffull-record%2FWOS:000401526600005","View Full Record in Web of Science")</f>
        <v>View Full Record in Web of Science</v>
      </c>
    </row>
    <row r="462" ht="12.75" customHeight="1">
      <c r="A462" s="8" t="s">
        <v>3329</v>
      </c>
      <c r="B462" s="8" t="s">
        <v>10631</v>
      </c>
      <c r="C462" s="8" t="s">
        <v>2135</v>
      </c>
      <c r="D462" s="8" t="s">
        <v>2135</v>
      </c>
      <c r="E462" s="8" t="s">
        <v>2135</v>
      </c>
      <c r="F462" s="8" t="s">
        <v>10632</v>
      </c>
      <c r="G462" s="8" t="s">
        <v>2135</v>
      </c>
      <c r="H462" s="8" t="s">
        <v>2135</v>
      </c>
      <c r="I462" s="8" t="s">
        <v>1848</v>
      </c>
      <c r="J462" s="8" t="s">
        <v>10633</v>
      </c>
      <c r="K462" s="8" t="s">
        <v>2135</v>
      </c>
      <c r="L462" s="8" t="s">
        <v>2135</v>
      </c>
      <c r="M462" s="8" t="s">
        <v>3332</v>
      </c>
      <c r="N462" s="8" t="s">
        <v>3333</v>
      </c>
      <c r="O462" s="8" t="s">
        <v>2135</v>
      </c>
      <c r="P462" s="8" t="s">
        <v>2135</v>
      </c>
      <c r="Q462" s="8" t="s">
        <v>2135</v>
      </c>
      <c r="R462" s="8" t="s">
        <v>2135</v>
      </c>
      <c r="S462" s="8" t="s">
        <v>2135</v>
      </c>
      <c r="T462" s="8" t="s">
        <v>10634</v>
      </c>
      <c r="U462" s="8" t="s">
        <v>10635</v>
      </c>
      <c r="V462" s="8" t="s">
        <v>10636</v>
      </c>
      <c r="W462" s="8" t="s">
        <v>10637</v>
      </c>
      <c r="X462" s="8" t="s">
        <v>10638</v>
      </c>
      <c r="Y462" s="8" t="s">
        <v>10639</v>
      </c>
      <c r="Z462" s="8" t="s">
        <v>10640</v>
      </c>
      <c r="AA462" s="8" t="s">
        <v>2135</v>
      </c>
      <c r="AB462" s="8" t="s">
        <v>10641</v>
      </c>
      <c r="AC462" s="8" t="s">
        <v>10642</v>
      </c>
      <c r="AD462" s="8" t="s">
        <v>10643</v>
      </c>
      <c r="AE462" s="8" t="s">
        <v>10644</v>
      </c>
      <c r="AF462" s="8" t="s">
        <v>2135</v>
      </c>
      <c r="AG462" s="8">
        <v>34.0</v>
      </c>
      <c r="AH462" s="8">
        <v>5.0</v>
      </c>
      <c r="AI462" s="8">
        <v>5.0</v>
      </c>
      <c r="AJ462" s="8">
        <v>0.0</v>
      </c>
      <c r="AK462" s="8">
        <v>19.0</v>
      </c>
      <c r="AL462" s="8" t="s">
        <v>3342</v>
      </c>
      <c r="AM462" s="8" t="s">
        <v>3343</v>
      </c>
      <c r="AN462" s="8" t="s">
        <v>3344</v>
      </c>
      <c r="AO462" s="8" t="s">
        <v>10645</v>
      </c>
      <c r="AP462" s="8" t="s">
        <v>10646</v>
      </c>
      <c r="AQ462" s="8" t="s">
        <v>2135</v>
      </c>
      <c r="AR462" s="8" t="s">
        <v>10647</v>
      </c>
      <c r="AS462" s="8" t="s">
        <v>10648</v>
      </c>
      <c r="AT462" s="8" t="s">
        <v>3556</v>
      </c>
      <c r="AU462" s="8">
        <v>2016.0</v>
      </c>
      <c r="AV462" s="8">
        <v>72.0</v>
      </c>
      <c r="AW462" s="8">
        <v>4.0</v>
      </c>
      <c r="AX462" s="8" t="s">
        <v>2135</v>
      </c>
      <c r="AY462" s="8" t="s">
        <v>2135</v>
      </c>
      <c r="AZ462" s="8" t="s">
        <v>2135</v>
      </c>
      <c r="BA462" s="8" t="s">
        <v>2135</v>
      </c>
      <c r="BB462" s="8">
        <v>725.0</v>
      </c>
      <c r="BC462" s="8">
        <v>730.0</v>
      </c>
      <c r="BD462" s="8" t="s">
        <v>2135</v>
      </c>
      <c r="BE462" s="8" t="s">
        <v>10649</v>
      </c>
      <c r="BF462" s="13" t="str">
        <f>HYPERLINK("http://dx.doi.org/10.1002/ps.4045","http://dx.doi.org/10.1002/ps.4045")</f>
        <v>http://dx.doi.org/10.1002/ps.4045</v>
      </c>
      <c r="BG462" s="8" t="s">
        <v>2135</v>
      </c>
      <c r="BH462" s="8" t="s">
        <v>2135</v>
      </c>
      <c r="BI462" s="8">
        <v>6.0</v>
      </c>
      <c r="BJ462" s="8" t="s">
        <v>10650</v>
      </c>
      <c r="BK462" s="8" t="s">
        <v>3352</v>
      </c>
      <c r="BL462" s="8" t="s">
        <v>10651</v>
      </c>
      <c r="BM462" s="8" t="s">
        <v>10652</v>
      </c>
      <c r="BN462" s="8">
        <v>2.599757E7</v>
      </c>
      <c r="BO462" s="8" t="s">
        <v>2135</v>
      </c>
      <c r="BP462" s="8" t="s">
        <v>2135</v>
      </c>
      <c r="BQ462" s="8" t="s">
        <v>2135</v>
      </c>
      <c r="BR462" s="8" t="s">
        <v>3355</v>
      </c>
      <c r="BS462" s="8" t="s">
        <v>10653</v>
      </c>
      <c r="BT462" s="8" t="s">
        <v>2600</v>
      </c>
      <c r="BU462" s="8" t="s">
        <v>2147</v>
      </c>
      <c r="BV462" s="8" t="s">
        <v>2217</v>
      </c>
      <c r="BW462" s="8" t="s">
        <v>2601</v>
      </c>
      <c r="BX462" s="8" t="s">
        <v>2956</v>
      </c>
      <c r="BY462" s="8" t="s">
        <v>2959</v>
      </c>
      <c r="BZ462" s="8" t="str">
        <f>HYPERLINK("https%3A%2F%2Fwww.webofscience.com%2Fwos%2Fwoscc%2Ffull-record%2FWOS:000371543900010","View Full Record in Web of Science")</f>
        <v>View Full Record in Web of Science</v>
      </c>
    </row>
    <row r="463" ht="12.75" customHeight="1">
      <c r="A463" s="8" t="s">
        <v>3329</v>
      </c>
      <c r="B463" s="8" t="s">
        <v>10654</v>
      </c>
      <c r="C463" s="8" t="s">
        <v>2135</v>
      </c>
      <c r="D463" s="8" t="s">
        <v>2135</v>
      </c>
      <c r="E463" s="8" t="s">
        <v>2135</v>
      </c>
      <c r="F463" s="8" t="s">
        <v>10655</v>
      </c>
      <c r="G463" s="8" t="s">
        <v>2135</v>
      </c>
      <c r="H463" s="8" t="s">
        <v>2135</v>
      </c>
      <c r="I463" s="8" t="s">
        <v>1846</v>
      </c>
      <c r="J463" s="8" t="s">
        <v>10656</v>
      </c>
      <c r="K463" s="8" t="s">
        <v>2135</v>
      </c>
      <c r="L463" s="8" t="s">
        <v>2135</v>
      </c>
      <c r="M463" s="8" t="s">
        <v>3332</v>
      </c>
      <c r="N463" s="8" t="s">
        <v>3333</v>
      </c>
      <c r="O463" s="8" t="s">
        <v>2135</v>
      </c>
      <c r="P463" s="8" t="s">
        <v>2135</v>
      </c>
      <c r="Q463" s="8" t="s">
        <v>2135</v>
      </c>
      <c r="R463" s="8" t="s">
        <v>2135</v>
      </c>
      <c r="S463" s="8" t="s">
        <v>2135</v>
      </c>
      <c r="T463" s="8" t="s">
        <v>10657</v>
      </c>
      <c r="U463" s="8" t="s">
        <v>10658</v>
      </c>
      <c r="V463" s="8" t="s">
        <v>10659</v>
      </c>
      <c r="W463" s="8" t="s">
        <v>10660</v>
      </c>
      <c r="X463" s="8" t="s">
        <v>10661</v>
      </c>
      <c r="Y463" s="8" t="s">
        <v>10662</v>
      </c>
      <c r="Z463" s="8" t="s">
        <v>10663</v>
      </c>
      <c r="AA463" s="8" t="s">
        <v>2135</v>
      </c>
      <c r="AB463" s="8" t="s">
        <v>2135</v>
      </c>
      <c r="AC463" s="8" t="s">
        <v>10664</v>
      </c>
      <c r="AD463" s="8" t="s">
        <v>10665</v>
      </c>
      <c r="AE463" s="8" t="s">
        <v>10666</v>
      </c>
      <c r="AF463" s="8" t="s">
        <v>2135</v>
      </c>
      <c r="AG463" s="8">
        <v>49.0</v>
      </c>
      <c r="AH463" s="8">
        <v>5.0</v>
      </c>
      <c r="AI463" s="8">
        <v>6.0</v>
      </c>
      <c r="AJ463" s="8">
        <v>1.0</v>
      </c>
      <c r="AK463" s="8">
        <v>34.0</v>
      </c>
      <c r="AL463" s="8" t="s">
        <v>3479</v>
      </c>
      <c r="AM463" s="8" t="s">
        <v>4500</v>
      </c>
      <c r="AN463" s="8" t="s">
        <v>4501</v>
      </c>
      <c r="AO463" s="8" t="s">
        <v>10667</v>
      </c>
      <c r="AP463" s="8" t="s">
        <v>10668</v>
      </c>
      <c r="AQ463" s="8" t="s">
        <v>2135</v>
      </c>
      <c r="AR463" s="8" t="s">
        <v>10656</v>
      </c>
      <c r="AS463" s="8" t="s">
        <v>10669</v>
      </c>
      <c r="AT463" s="8" t="s">
        <v>3512</v>
      </c>
      <c r="AU463" s="8">
        <v>2015.0</v>
      </c>
      <c r="AV463" s="8">
        <v>24.0</v>
      </c>
      <c r="AW463" s="8">
        <v>5.0</v>
      </c>
      <c r="AX463" s="8" t="s">
        <v>2135</v>
      </c>
      <c r="AY463" s="8" t="s">
        <v>2135</v>
      </c>
      <c r="AZ463" s="8" t="s">
        <v>2135</v>
      </c>
      <c r="BA463" s="8" t="s">
        <v>2135</v>
      </c>
      <c r="BB463" s="8">
        <v>1064.0</v>
      </c>
      <c r="BC463" s="8">
        <v>1072.0</v>
      </c>
      <c r="BD463" s="8" t="s">
        <v>2135</v>
      </c>
      <c r="BE463" s="8" t="s">
        <v>10670</v>
      </c>
      <c r="BF463" s="13" t="str">
        <f>HYPERLINK("http://dx.doi.org/10.1007/s10646-015-1447-3","http://dx.doi.org/10.1007/s10646-015-1447-3")</f>
        <v>http://dx.doi.org/10.1007/s10646-015-1447-3</v>
      </c>
      <c r="BG463" s="8" t="s">
        <v>2135</v>
      </c>
      <c r="BH463" s="8" t="s">
        <v>2135</v>
      </c>
      <c r="BI463" s="8">
        <v>9.0</v>
      </c>
      <c r="BJ463" s="8" t="s">
        <v>10671</v>
      </c>
      <c r="BK463" s="8" t="s">
        <v>3352</v>
      </c>
      <c r="BL463" s="8" t="s">
        <v>10207</v>
      </c>
      <c r="BM463" s="8" t="s">
        <v>10672</v>
      </c>
      <c r="BN463" s="8">
        <v>2.5762104E7</v>
      </c>
      <c r="BO463" s="8" t="s">
        <v>2135</v>
      </c>
      <c r="BP463" s="8" t="s">
        <v>2135</v>
      </c>
      <c r="BQ463" s="8" t="s">
        <v>2135</v>
      </c>
      <c r="BR463" s="8" t="s">
        <v>3355</v>
      </c>
      <c r="BS463" s="8" t="s">
        <v>10673</v>
      </c>
      <c r="BT463" s="8" t="s">
        <v>2396</v>
      </c>
      <c r="BU463" s="8" t="s">
        <v>2283</v>
      </c>
      <c r="BW463" s="8" t="s">
        <v>2143</v>
      </c>
      <c r="BX463" s="8" t="s">
        <v>2974</v>
      </c>
      <c r="BY463" s="8" t="s">
        <v>2959</v>
      </c>
      <c r="BZ463" s="8" t="str">
        <f>HYPERLINK("https%3A%2F%2Fwww.webofscience.com%2Fwos%2Fwoscc%2Ffull-record%2FWOS:000355927100009","View Full Record in Web of Science")</f>
        <v>View Full Record in Web of Science</v>
      </c>
    </row>
    <row r="464" ht="12.75" customHeight="1">
      <c r="A464" s="8" t="s">
        <v>3329</v>
      </c>
      <c r="B464" s="8" t="s">
        <v>10674</v>
      </c>
      <c r="C464" s="8" t="s">
        <v>2135</v>
      </c>
      <c r="D464" s="8" t="s">
        <v>2135</v>
      </c>
      <c r="E464" s="8" t="s">
        <v>2135</v>
      </c>
      <c r="F464" s="8" t="s">
        <v>10675</v>
      </c>
      <c r="G464" s="8" t="s">
        <v>2135</v>
      </c>
      <c r="H464" s="8" t="s">
        <v>2135</v>
      </c>
      <c r="I464" s="8" t="s">
        <v>1844</v>
      </c>
      <c r="J464" s="8" t="s">
        <v>10676</v>
      </c>
      <c r="K464" s="8" t="s">
        <v>2135</v>
      </c>
      <c r="L464" s="8" t="s">
        <v>2135</v>
      </c>
      <c r="M464" s="8" t="s">
        <v>3332</v>
      </c>
      <c r="N464" s="8" t="s">
        <v>3333</v>
      </c>
      <c r="O464" s="8" t="s">
        <v>2135</v>
      </c>
      <c r="P464" s="8" t="s">
        <v>2135</v>
      </c>
      <c r="Q464" s="8" t="s">
        <v>2135</v>
      </c>
      <c r="R464" s="8" t="s">
        <v>2135</v>
      </c>
      <c r="S464" s="8" t="s">
        <v>2135</v>
      </c>
      <c r="T464" s="8" t="s">
        <v>10677</v>
      </c>
      <c r="U464" s="8" t="s">
        <v>10678</v>
      </c>
      <c r="V464" s="8" t="s">
        <v>10679</v>
      </c>
      <c r="W464" s="8" t="s">
        <v>10680</v>
      </c>
      <c r="X464" s="8" t="s">
        <v>10681</v>
      </c>
      <c r="Y464" s="8" t="s">
        <v>10682</v>
      </c>
      <c r="Z464" s="8" t="s">
        <v>10683</v>
      </c>
      <c r="AA464" s="8" t="s">
        <v>10684</v>
      </c>
      <c r="AB464" s="8" t="s">
        <v>10685</v>
      </c>
      <c r="AC464" s="8" t="s">
        <v>10686</v>
      </c>
      <c r="AD464" s="8" t="s">
        <v>10687</v>
      </c>
      <c r="AE464" s="8" t="s">
        <v>10688</v>
      </c>
      <c r="AF464" s="8" t="s">
        <v>2135</v>
      </c>
      <c r="AG464" s="8">
        <v>42.0</v>
      </c>
      <c r="AH464" s="8">
        <v>16.0</v>
      </c>
      <c r="AI464" s="8">
        <v>19.0</v>
      </c>
      <c r="AJ464" s="8">
        <v>1.0</v>
      </c>
      <c r="AK464" s="8">
        <v>73.0</v>
      </c>
      <c r="AL464" s="8" t="s">
        <v>10180</v>
      </c>
      <c r="AM464" s="8" t="s">
        <v>3759</v>
      </c>
      <c r="AN464" s="8" t="s">
        <v>10181</v>
      </c>
      <c r="AO464" s="8" t="s">
        <v>10689</v>
      </c>
      <c r="AP464" s="8" t="s">
        <v>10690</v>
      </c>
      <c r="AQ464" s="8" t="s">
        <v>2135</v>
      </c>
      <c r="AR464" s="8" t="s">
        <v>10676</v>
      </c>
      <c r="AS464" s="8" t="s">
        <v>10691</v>
      </c>
      <c r="AT464" s="8" t="s">
        <v>3629</v>
      </c>
      <c r="AU464" s="8">
        <v>2015.0</v>
      </c>
      <c r="AV464" s="8">
        <v>118.0</v>
      </c>
      <c r="AW464" s="8" t="s">
        <v>2135</v>
      </c>
      <c r="AX464" s="8" t="s">
        <v>2135</v>
      </c>
      <c r="AY464" s="8" t="s">
        <v>2135</v>
      </c>
      <c r="AZ464" s="8" t="s">
        <v>2135</v>
      </c>
      <c r="BA464" s="8" t="s">
        <v>2135</v>
      </c>
      <c r="BB464" s="8">
        <v>81.0</v>
      </c>
      <c r="BC464" s="8">
        <v>86.0</v>
      </c>
      <c r="BD464" s="8" t="s">
        <v>2135</v>
      </c>
      <c r="BE464" s="8" t="s">
        <v>10692</v>
      </c>
      <c r="BF464" s="13" t="str">
        <f>HYPERLINK("http://dx.doi.org/10.1016/j.chemosphere.2014.06.051","http://dx.doi.org/10.1016/j.chemosphere.2014.06.051")</f>
        <v>http://dx.doi.org/10.1016/j.chemosphere.2014.06.051</v>
      </c>
      <c r="BG464" s="8" t="s">
        <v>2135</v>
      </c>
      <c r="BH464" s="8" t="s">
        <v>2135</v>
      </c>
      <c r="BI464" s="8">
        <v>6.0</v>
      </c>
      <c r="BJ464" s="8" t="s">
        <v>6399</v>
      </c>
      <c r="BK464" s="8" t="s">
        <v>3352</v>
      </c>
      <c r="BL464" s="8" t="s">
        <v>3632</v>
      </c>
      <c r="BM464" s="8" t="s">
        <v>10693</v>
      </c>
      <c r="BN464" s="8">
        <v>2.5014662E7</v>
      </c>
      <c r="BO464" s="8" t="s">
        <v>2135</v>
      </c>
      <c r="BP464" s="8" t="s">
        <v>2135</v>
      </c>
      <c r="BQ464" s="8" t="s">
        <v>2135</v>
      </c>
      <c r="BR464" s="8" t="s">
        <v>3355</v>
      </c>
      <c r="BS464" s="8" t="s">
        <v>10694</v>
      </c>
      <c r="BT464" s="8" t="s">
        <v>2553</v>
      </c>
      <c r="BU464" s="8" t="s">
        <v>2142</v>
      </c>
      <c r="BW464" s="8" t="s">
        <v>2143</v>
      </c>
      <c r="BX464" s="8" t="s">
        <v>2974</v>
      </c>
      <c r="BY464" s="8" t="s">
        <v>2959</v>
      </c>
      <c r="BZ464" s="8" t="str">
        <f>HYPERLINK("https%3A%2F%2Fwww.webofscience.com%2Fwos%2Fwoscc%2Ffull-record%2FWOS:000346953700011","View Full Record in Web of Science")</f>
        <v>View Full Record in Web of Science</v>
      </c>
    </row>
    <row r="465" ht="12.75" customHeight="1">
      <c r="A465" s="8" t="s">
        <v>3329</v>
      </c>
      <c r="B465" s="8" t="s">
        <v>10695</v>
      </c>
      <c r="C465" s="8" t="s">
        <v>2135</v>
      </c>
      <c r="D465" s="8" t="s">
        <v>2135</v>
      </c>
      <c r="E465" s="8" t="s">
        <v>2135</v>
      </c>
      <c r="F465" s="8" t="s">
        <v>10696</v>
      </c>
      <c r="G465" s="8" t="s">
        <v>2135</v>
      </c>
      <c r="H465" s="8" t="s">
        <v>2135</v>
      </c>
      <c r="I465" s="8" t="s">
        <v>1841</v>
      </c>
      <c r="J465" s="8" t="s">
        <v>7783</v>
      </c>
      <c r="K465" s="8" t="s">
        <v>2135</v>
      </c>
      <c r="L465" s="8" t="s">
        <v>2135</v>
      </c>
      <c r="M465" s="8" t="s">
        <v>3332</v>
      </c>
      <c r="N465" s="8" t="s">
        <v>3333</v>
      </c>
      <c r="O465" s="8" t="s">
        <v>2135</v>
      </c>
      <c r="P465" s="8" t="s">
        <v>2135</v>
      </c>
      <c r="Q465" s="8" t="s">
        <v>2135</v>
      </c>
      <c r="R465" s="8" t="s">
        <v>2135</v>
      </c>
      <c r="S465" s="8" t="s">
        <v>2135</v>
      </c>
      <c r="T465" s="8" t="s">
        <v>10697</v>
      </c>
      <c r="U465" s="8" t="s">
        <v>10698</v>
      </c>
      <c r="V465" s="8" t="s">
        <v>10699</v>
      </c>
      <c r="W465" s="8" t="s">
        <v>10700</v>
      </c>
      <c r="X465" s="8" t="s">
        <v>10701</v>
      </c>
      <c r="Y465" s="8" t="s">
        <v>10702</v>
      </c>
      <c r="Z465" s="8" t="s">
        <v>10703</v>
      </c>
      <c r="AA465" s="8" t="s">
        <v>10704</v>
      </c>
      <c r="AB465" s="8" t="s">
        <v>10705</v>
      </c>
      <c r="AC465" s="8" t="s">
        <v>10706</v>
      </c>
      <c r="AD465" s="8" t="s">
        <v>10707</v>
      </c>
      <c r="AE465" s="8" t="s">
        <v>10708</v>
      </c>
      <c r="AF465" s="8" t="s">
        <v>2135</v>
      </c>
      <c r="AG465" s="8">
        <v>76.0</v>
      </c>
      <c r="AH465" s="8">
        <v>61.0</v>
      </c>
      <c r="AI465" s="8">
        <v>67.0</v>
      </c>
      <c r="AJ465" s="8">
        <v>0.0</v>
      </c>
      <c r="AK465" s="8">
        <v>51.0</v>
      </c>
      <c r="AL465" s="8" t="s">
        <v>4394</v>
      </c>
      <c r="AM465" s="8" t="s">
        <v>3367</v>
      </c>
      <c r="AN465" s="8" t="s">
        <v>4395</v>
      </c>
      <c r="AO465" s="8" t="s">
        <v>7796</v>
      </c>
      <c r="AP465" s="8" t="s">
        <v>7797</v>
      </c>
      <c r="AQ465" s="8" t="s">
        <v>2135</v>
      </c>
      <c r="AR465" s="8" t="s">
        <v>7798</v>
      </c>
      <c r="AS465" s="8" t="s">
        <v>7799</v>
      </c>
      <c r="AT465" s="8" t="s">
        <v>5694</v>
      </c>
      <c r="AU465" s="8">
        <v>2014.0</v>
      </c>
      <c r="AV465" s="8">
        <v>496.0</v>
      </c>
      <c r="AW465" s="8" t="s">
        <v>2135</v>
      </c>
      <c r="AX465" s="8" t="s">
        <v>2135</v>
      </c>
      <c r="AY465" s="8" t="s">
        <v>2135</v>
      </c>
      <c r="AZ465" s="8" t="s">
        <v>2135</v>
      </c>
      <c r="BA465" s="8" t="s">
        <v>2135</v>
      </c>
      <c r="BB465" s="8">
        <v>328.0</v>
      </c>
      <c r="BC465" s="8">
        <v>338.0</v>
      </c>
      <c r="BD465" s="8" t="s">
        <v>2135</v>
      </c>
      <c r="BE465" s="8" t="s">
        <v>10709</v>
      </c>
      <c r="BF465" s="13" t="str">
        <f>HYPERLINK("http://dx.doi.org/10.1016/j.scitotenv.2014.07.049","http://dx.doi.org/10.1016/j.scitotenv.2014.07.049")</f>
        <v>http://dx.doi.org/10.1016/j.scitotenv.2014.07.049</v>
      </c>
      <c r="BG465" s="8" t="s">
        <v>2135</v>
      </c>
      <c r="BH465" s="8" t="s">
        <v>2135</v>
      </c>
      <c r="BI465" s="8">
        <v>11.0</v>
      </c>
      <c r="BJ465" s="8" t="s">
        <v>6399</v>
      </c>
      <c r="BK465" s="8" t="s">
        <v>3352</v>
      </c>
      <c r="BL465" s="8" t="s">
        <v>3632</v>
      </c>
      <c r="BM465" s="8" t="s">
        <v>10710</v>
      </c>
      <c r="BN465" s="8">
        <v>2.5087064E7</v>
      </c>
      <c r="BO465" s="8" t="s">
        <v>2135</v>
      </c>
      <c r="BP465" s="8" t="s">
        <v>2135</v>
      </c>
      <c r="BQ465" s="8" t="s">
        <v>2135</v>
      </c>
      <c r="BR465" s="8" t="s">
        <v>3355</v>
      </c>
      <c r="BS465" s="8" t="s">
        <v>10711</v>
      </c>
      <c r="BU465" s="8" t="s">
        <v>2142</v>
      </c>
      <c r="BW465" s="8" t="s">
        <v>2929</v>
      </c>
      <c r="BX465" s="8" t="s">
        <v>2956</v>
      </c>
      <c r="BY465" s="8" t="s">
        <v>2959</v>
      </c>
      <c r="BZ465" s="8" t="str">
        <f>HYPERLINK("https%3A%2F%2Fwww.webofscience.com%2Fwos%2Fwoscc%2Ffull-record%2FWOS:000342245600038","View Full Record in Web of Science")</f>
        <v>View Full Record in Web of Science</v>
      </c>
    </row>
    <row r="466" ht="12.75" customHeight="1">
      <c r="A466" s="8" t="s">
        <v>3329</v>
      </c>
      <c r="B466" s="8" t="s">
        <v>10712</v>
      </c>
      <c r="C466" s="8" t="s">
        <v>2135</v>
      </c>
      <c r="D466" s="8" t="s">
        <v>2135</v>
      </c>
      <c r="E466" s="8" t="s">
        <v>2135</v>
      </c>
      <c r="F466" s="8" t="s">
        <v>10713</v>
      </c>
      <c r="G466" s="8" t="s">
        <v>2135</v>
      </c>
      <c r="H466" s="8" t="s">
        <v>2135</v>
      </c>
      <c r="I466" s="8" t="s">
        <v>1839</v>
      </c>
      <c r="J466" s="8" t="s">
        <v>10714</v>
      </c>
      <c r="K466" s="8" t="s">
        <v>2135</v>
      </c>
      <c r="L466" s="8" t="s">
        <v>2135</v>
      </c>
      <c r="M466" s="8" t="s">
        <v>3332</v>
      </c>
      <c r="N466" s="8" t="s">
        <v>3492</v>
      </c>
      <c r="O466" s="8" t="s">
        <v>2135</v>
      </c>
      <c r="P466" s="8" t="s">
        <v>2135</v>
      </c>
      <c r="Q466" s="8" t="s">
        <v>2135</v>
      </c>
      <c r="R466" s="8" t="s">
        <v>2135</v>
      </c>
      <c r="S466" s="8" t="s">
        <v>2135</v>
      </c>
      <c r="T466" s="8" t="s">
        <v>2135</v>
      </c>
      <c r="U466" s="8" t="s">
        <v>10715</v>
      </c>
      <c r="V466" s="8" t="s">
        <v>10716</v>
      </c>
      <c r="W466" s="8" t="s">
        <v>10717</v>
      </c>
      <c r="X466" s="8" t="s">
        <v>10718</v>
      </c>
      <c r="Y466" s="8" t="s">
        <v>10719</v>
      </c>
      <c r="Z466" s="8" t="s">
        <v>10720</v>
      </c>
      <c r="AA466" s="8" t="s">
        <v>10721</v>
      </c>
      <c r="AB466" s="8" t="s">
        <v>10722</v>
      </c>
      <c r="AC466" s="8" t="s">
        <v>2135</v>
      </c>
      <c r="AD466" s="8" t="s">
        <v>2135</v>
      </c>
      <c r="AE466" s="8" t="s">
        <v>2135</v>
      </c>
      <c r="AF466" s="8" t="s">
        <v>2135</v>
      </c>
      <c r="AG466" s="8">
        <v>142.0</v>
      </c>
      <c r="AH466" s="8">
        <v>148.0</v>
      </c>
      <c r="AI466" s="8">
        <v>164.0</v>
      </c>
      <c r="AJ466" s="8">
        <v>0.0</v>
      </c>
      <c r="AK466" s="8">
        <v>123.0</v>
      </c>
      <c r="AL466" s="8" t="s">
        <v>10723</v>
      </c>
      <c r="AM466" s="8" t="s">
        <v>9008</v>
      </c>
      <c r="AN466" s="8" t="s">
        <v>10724</v>
      </c>
      <c r="AO466" s="8" t="s">
        <v>10725</v>
      </c>
      <c r="AP466" s="8" t="s">
        <v>10726</v>
      </c>
      <c r="AQ466" s="8" t="s">
        <v>2135</v>
      </c>
      <c r="AR466" s="8" t="s">
        <v>10727</v>
      </c>
      <c r="AS466" s="8" t="s">
        <v>10728</v>
      </c>
      <c r="AT466" s="8" t="s">
        <v>10729</v>
      </c>
      <c r="AU466" s="8">
        <v>2014.0</v>
      </c>
      <c r="AV466" s="8">
        <v>48.0</v>
      </c>
      <c r="AW466" s="8">
        <v>15.0</v>
      </c>
      <c r="AX466" s="8" t="s">
        <v>2135</v>
      </c>
      <c r="AY466" s="8" t="s">
        <v>2135</v>
      </c>
      <c r="AZ466" s="8" t="s">
        <v>3421</v>
      </c>
      <c r="BA466" s="8" t="s">
        <v>2135</v>
      </c>
      <c r="BB466" s="8">
        <v>8433.0</v>
      </c>
      <c r="BC466" s="8">
        <v>8445.0</v>
      </c>
      <c r="BD466" s="8" t="s">
        <v>2135</v>
      </c>
      <c r="BE466" s="8" t="s">
        <v>10730</v>
      </c>
      <c r="BF466" s="13" t="str">
        <f>HYPERLINK("http://dx.doi.org/10.1021/es501740n","http://dx.doi.org/10.1021/es501740n")</f>
        <v>http://dx.doi.org/10.1021/es501740n</v>
      </c>
      <c r="BG466" s="8" t="s">
        <v>2135</v>
      </c>
      <c r="BH466" s="8" t="s">
        <v>2135</v>
      </c>
      <c r="BI466" s="8">
        <v>13.0</v>
      </c>
      <c r="BJ466" s="8" t="s">
        <v>5763</v>
      </c>
      <c r="BK466" s="8" t="s">
        <v>3352</v>
      </c>
      <c r="BL466" s="8" t="s">
        <v>5764</v>
      </c>
      <c r="BM466" s="8" t="s">
        <v>10731</v>
      </c>
      <c r="BN466" s="8">
        <v>2.4968307E7</v>
      </c>
      <c r="BO466" s="8" t="s">
        <v>2135</v>
      </c>
      <c r="BP466" s="8" t="s">
        <v>2135</v>
      </c>
      <c r="BQ466" s="8" t="s">
        <v>2135</v>
      </c>
      <c r="BR466" s="8" t="s">
        <v>3355</v>
      </c>
      <c r="BS466" s="8" t="s">
        <v>10732</v>
      </c>
      <c r="BT466" s="8" t="s">
        <v>2600</v>
      </c>
      <c r="BU466" s="8" t="s">
        <v>2147</v>
      </c>
      <c r="BV466" s="8" t="s">
        <v>2217</v>
      </c>
      <c r="BW466" s="8" t="s">
        <v>2601</v>
      </c>
      <c r="BX466" s="8" t="s">
        <v>2956</v>
      </c>
      <c r="BY466" s="8" t="s">
        <v>2959</v>
      </c>
      <c r="BZ466" s="8" t="str">
        <f>HYPERLINK("https%3A%2F%2Fwww.webofscience.com%2Fwos%2Fwoscc%2Ffull-record%2FWOS:000340080600016","View Full Record in Web of Science")</f>
        <v>View Full Record in Web of Science</v>
      </c>
    </row>
    <row r="467" ht="12.75" customHeight="1">
      <c r="A467" s="8" t="s">
        <v>3329</v>
      </c>
      <c r="B467" s="8" t="s">
        <v>10733</v>
      </c>
      <c r="C467" s="8" t="s">
        <v>2135</v>
      </c>
      <c r="D467" s="8" t="s">
        <v>2135</v>
      </c>
      <c r="E467" s="8" t="s">
        <v>2135</v>
      </c>
      <c r="F467" s="8" t="s">
        <v>10734</v>
      </c>
      <c r="G467" s="8" t="s">
        <v>2135</v>
      </c>
      <c r="H467" s="8" t="s">
        <v>2135</v>
      </c>
      <c r="I467" s="8" t="s">
        <v>1842</v>
      </c>
      <c r="J467" s="8" t="s">
        <v>10735</v>
      </c>
      <c r="K467" s="8" t="s">
        <v>2135</v>
      </c>
      <c r="L467" s="8" t="s">
        <v>2135</v>
      </c>
      <c r="M467" s="8" t="s">
        <v>3332</v>
      </c>
      <c r="N467" s="8" t="s">
        <v>3333</v>
      </c>
      <c r="O467" s="8" t="s">
        <v>2135</v>
      </c>
      <c r="P467" s="8" t="s">
        <v>2135</v>
      </c>
      <c r="Q467" s="8" t="s">
        <v>2135</v>
      </c>
      <c r="R467" s="8" t="s">
        <v>2135</v>
      </c>
      <c r="S467" s="8" t="s">
        <v>2135</v>
      </c>
      <c r="T467" s="8" t="s">
        <v>10736</v>
      </c>
      <c r="U467" s="8" t="s">
        <v>10737</v>
      </c>
      <c r="V467" s="8" t="s">
        <v>10738</v>
      </c>
      <c r="W467" s="8" t="s">
        <v>10739</v>
      </c>
      <c r="X467" s="8" t="s">
        <v>2135</v>
      </c>
      <c r="Y467" s="8" t="s">
        <v>10740</v>
      </c>
      <c r="Z467" s="8" t="s">
        <v>10741</v>
      </c>
      <c r="AA467" s="8" t="s">
        <v>2135</v>
      </c>
      <c r="AB467" s="8" t="s">
        <v>2135</v>
      </c>
      <c r="AC467" s="8" t="s">
        <v>10742</v>
      </c>
      <c r="AD467" s="8" t="s">
        <v>10743</v>
      </c>
      <c r="AE467" s="8" t="s">
        <v>10744</v>
      </c>
      <c r="AF467" s="8" t="s">
        <v>2135</v>
      </c>
      <c r="AG467" s="8">
        <v>91.0</v>
      </c>
      <c r="AH467" s="8">
        <v>11.0</v>
      </c>
      <c r="AI467" s="8">
        <v>14.0</v>
      </c>
      <c r="AJ467" s="8">
        <v>1.0</v>
      </c>
      <c r="AK467" s="8">
        <v>175.0</v>
      </c>
      <c r="AL467" s="8" t="s">
        <v>10745</v>
      </c>
      <c r="AM467" s="8" t="s">
        <v>10746</v>
      </c>
      <c r="AN467" s="8" t="s">
        <v>10747</v>
      </c>
      <c r="AO467" s="8" t="s">
        <v>10748</v>
      </c>
      <c r="AP467" s="8" t="s">
        <v>10749</v>
      </c>
      <c r="AQ467" s="8" t="s">
        <v>2135</v>
      </c>
      <c r="AR467" s="8" t="s">
        <v>10750</v>
      </c>
      <c r="AS467" s="8" t="s">
        <v>10751</v>
      </c>
      <c r="AT467" s="8" t="s">
        <v>10752</v>
      </c>
      <c r="AU467" s="8">
        <v>2014.0</v>
      </c>
      <c r="AV467" s="8">
        <v>20.0</v>
      </c>
      <c r="AW467" s="8">
        <v>4.0</v>
      </c>
      <c r="AX467" s="8" t="s">
        <v>2135</v>
      </c>
      <c r="AY467" s="8" t="s">
        <v>2135</v>
      </c>
      <c r="AZ467" s="8" t="s">
        <v>2135</v>
      </c>
      <c r="BA467" s="8" t="s">
        <v>2135</v>
      </c>
      <c r="BB467" s="8">
        <v>889.0</v>
      </c>
      <c r="BC467" s="8">
        <v>916.0</v>
      </c>
      <c r="BD467" s="8" t="s">
        <v>2135</v>
      </c>
      <c r="BE467" s="8" t="s">
        <v>10753</v>
      </c>
      <c r="BF467" s="13" t="str">
        <f>HYPERLINK("http://dx.doi.org/10.1080/10807039.2013.828513","http://dx.doi.org/10.1080/10807039.2013.828513")</f>
        <v>http://dx.doi.org/10.1080/10807039.2013.828513</v>
      </c>
      <c r="BG467" s="8" t="s">
        <v>2135</v>
      </c>
      <c r="BH467" s="8" t="s">
        <v>2135</v>
      </c>
      <c r="BI467" s="8">
        <v>28.0</v>
      </c>
      <c r="BJ467" s="8" t="s">
        <v>4401</v>
      </c>
      <c r="BK467" s="8" t="s">
        <v>3352</v>
      </c>
      <c r="BL467" s="8" t="s">
        <v>3353</v>
      </c>
      <c r="BM467" s="8" t="s">
        <v>10754</v>
      </c>
      <c r="BN467" s="8">
        <v>2.458769E7</v>
      </c>
      <c r="BO467" s="8" t="s">
        <v>3560</v>
      </c>
      <c r="BP467" s="8" t="s">
        <v>2135</v>
      </c>
      <c r="BQ467" s="8" t="s">
        <v>2135</v>
      </c>
      <c r="BR467" s="8" t="s">
        <v>3355</v>
      </c>
      <c r="BS467" s="8" t="s">
        <v>10755</v>
      </c>
      <c r="BT467" s="8" t="s">
        <v>2600</v>
      </c>
      <c r="BU467" s="8" t="s">
        <v>2147</v>
      </c>
      <c r="BV467" s="8" t="s">
        <v>2217</v>
      </c>
      <c r="BW467" s="8" t="s">
        <v>2237</v>
      </c>
      <c r="BX467" s="8" t="s">
        <v>2974</v>
      </c>
      <c r="BY467" s="8" t="s">
        <v>2959</v>
      </c>
      <c r="BZ467" s="8" t="str">
        <f>HYPERLINK("https%3A%2F%2Fwww.webofscience.com%2Fwos%2Fwoscc%2Ffull-record%2FWOS:000333483800002","View Full Record in Web of Science")</f>
        <v>View Full Record in Web of Science</v>
      </c>
    </row>
    <row r="468" ht="12.75" customHeight="1">
      <c r="A468" s="8" t="s">
        <v>3329</v>
      </c>
      <c r="B468" s="8" t="s">
        <v>10756</v>
      </c>
      <c r="C468" s="8" t="s">
        <v>2135</v>
      </c>
      <c r="D468" s="8" t="s">
        <v>2135</v>
      </c>
      <c r="E468" s="8" t="s">
        <v>2135</v>
      </c>
      <c r="F468" s="8" t="s">
        <v>10757</v>
      </c>
      <c r="G468" s="8" t="s">
        <v>2135</v>
      </c>
      <c r="H468" s="8" t="s">
        <v>2135</v>
      </c>
      <c r="I468" s="8" t="s">
        <v>1837</v>
      </c>
      <c r="J468" s="8" t="s">
        <v>10758</v>
      </c>
      <c r="K468" s="8" t="s">
        <v>2135</v>
      </c>
      <c r="L468" s="8" t="s">
        <v>2135</v>
      </c>
      <c r="M468" s="8" t="s">
        <v>3332</v>
      </c>
      <c r="N468" s="8" t="s">
        <v>10759</v>
      </c>
      <c r="O468" s="8" t="s">
        <v>2135</v>
      </c>
      <c r="P468" s="8" t="s">
        <v>2135</v>
      </c>
      <c r="Q468" s="8" t="s">
        <v>2135</v>
      </c>
      <c r="R468" s="8" t="s">
        <v>2135</v>
      </c>
      <c r="S468" s="8" t="s">
        <v>2135</v>
      </c>
      <c r="T468" s="8" t="s">
        <v>10760</v>
      </c>
      <c r="U468" s="8" t="s">
        <v>10761</v>
      </c>
      <c r="V468" s="8" t="s">
        <v>10762</v>
      </c>
      <c r="W468" s="8" t="s">
        <v>10763</v>
      </c>
      <c r="X468" s="8" t="s">
        <v>10764</v>
      </c>
      <c r="Y468" s="8" t="s">
        <v>10765</v>
      </c>
      <c r="Z468" s="8" t="s">
        <v>10766</v>
      </c>
      <c r="AA468" s="8" t="s">
        <v>10767</v>
      </c>
      <c r="AB468" s="8" t="s">
        <v>2135</v>
      </c>
      <c r="AC468" s="8" t="s">
        <v>2135</v>
      </c>
      <c r="AD468" s="8" t="s">
        <v>2135</v>
      </c>
      <c r="AE468" s="8" t="s">
        <v>2135</v>
      </c>
      <c r="AF468" s="8" t="s">
        <v>2135</v>
      </c>
      <c r="AG468" s="8">
        <v>79.0</v>
      </c>
      <c r="AH468" s="8">
        <v>50.0</v>
      </c>
      <c r="AI468" s="8">
        <v>63.0</v>
      </c>
      <c r="AJ468" s="8">
        <v>1.0</v>
      </c>
      <c r="AK468" s="8">
        <v>61.0</v>
      </c>
      <c r="AL468" s="8" t="s">
        <v>3342</v>
      </c>
      <c r="AM468" s="8" t="s">
        <v>3343</v>
      </c>
      <c r="AN468" s="8" t="s">
        <v>3344</v>
      </c>
      <c r="AO468" s="8" t="s">
        <v>10768</v>
      </c>
      <c r="AP468" s="8" t="s">
        <v>2135</v>
      </c>
      <c r="AQ468" s="8" t="s">
        <v>2135</v>
      </c>
      <c r="AR468" s="8" t="s">
        <v>10769</v>
      </c>
      <c r="AS468" s="8" t="s">
        <v>10770</v>
      </c>
      <c r="AT468" s="8" t="s">
        <v>3721</v>
      </c>
      <c r="AU468" s="8">
        <v>2014.0</v>
      </c>
      <c r="AV468" s="8">
        <v>7.0</v>
      </c>
      <c r="AW468" s="8">
        <v>2.0</v>
      </c>
      <c r="AX468" s="8" t="s">
        <v>2135</v>
      </c>
      <c r="AY468" s="8" t="s">
        <v>2135</v>
      </c>
      <c r="AZ468" s="8" t="s">
        <v>2135</v>
      </c>
      <c r="BA468" s="8" t="s">
        <v>2135</v>
      </c>
      <c r="BB468" s="8">
        <v>91.0</v>
      </c>
      <c r="BC468" s="8">
        <v>102.0</v>
      </c>
      <c r="BD468" s="8" t="s">
        <v>2135</v>
      </c>
      <c r="BE468" s="8" t="s">
        <v>10771</v>
      </c>
      <c r="BF468" s="13" t="str">
        <f>HYPERLINK("http://dx.doi.org/10.1111/conl.12038","http://dx.doi.org/10.1111/conl.12038")</f>
        <v>http://dx.doi.org/10.1111/conl.12038</v>
      </c>
      <c r="BG468" s="8" t="s">
        <v>2135</v>
      </c>
      <c r="BH468" s="8" t="s">
        <v>2135</v>
      </c>
      <c r="BI468" s="8">
        <v>12.0</v>
      </c>
      <c r="BJ468" s="8" t="s">
        <v>3604</v>
      </c>
      <c r="BK468" s="8" t="s">
        <v>3352</v>
      </c>
      <c r="BL468" s="8" t="s">
        <v>3605</v>
      </c>
      <c r="BM468" s="8" t="s">
        <v>10772</v>
      </c>
      <c r="BN468" s="8" t="s">
        <v>2135</v>
      </c>
      <c r="BO468" s="8" t="s">
        <v>4332</v>
      </c>
      <c r="BP468" s="8" t="s">
        <v>2135</v>
      </c>
      <c r="BQ468" s="8" t="s">
        <v>2135</v>
      </c>
      <c r="BR468" s="8" t="s">
        <v>3355</v>
      </c>
      <c r="BS468" s="8" t="s">
        <v>10773</v>
      </c>
      <c r="BT468" s="8" t="s">
        <v>2600</v>
      </c>
      <c r="BU468" s="8" t="s">
        <v>2147</v>
      </c>
      <c r="BV468" s="8" t="s">
        <v>2217</v>
      </c>
      <c r="BW468" s="8" t="s">
        <v>2224</v>
      </c>
      <c r="BX468" s="8" t="s">
        <v>2956</v>
      </c>
      <c r="BY468" s="8" t="s">
        <v>2959</v>
      </c>
      <c r="BZ468" s="8" t="str">
        <f>HYPERLINK("https%3A%2F%2Fwww.webofscience.com%2Fwos%2Fwoscc%2Ffull-record%2FWOS:000334164400003","View Full Record in Web of Science")</f>
        <v>View Full Record in Web of Science</v>
      </c>
    </row>
    <row r="469" ht="12.75" customHeight="1">
      <c r="A469" s="8" t="s">
        <v>3329</v>
      </c>
      <c r="B469" s="8" t="s">
        <v>10774</v>
      </c>
      <c r="C469" s="8" t="s">
        <v>2135</v>
      </c>
      <c r="D469" s="8" t="s">
        <v>2135</v>
      </c>
      <c r="E469" s="8" t="s">
        <v>2135</v>
      </c>
      <c r="F469" s="8" t="s">
        <v>10775</v>
      </c>
      <c r="G469" s="8" t="s">
        <v>2135</v>
      </c>
      <c r="H469" s="8" t="s">
        <v>2135</v>
      </c>
      <c r="I469" s="8" t="s">
        <v>1243</v>
      </c>
      <c r="J469" s="8" t="s">
        <v>7602</v>
      </c>
      <c r="K469" s="8" t="s">
        <v>2135</v>
      </c>
      <c r="L469" s="8" t="s">
        <v>2135</v>
      </c>
      <c r="M469" s="8" t="s">
        <v>3332</v>
      </c>
      <c r="N469" s="8" t="s">
        <v>3333</v>
      </c>
      <c r="O469" s="8" t="s">
        <v>2135</v>
      </c>
      <c r="P469" s="8" t="s">
        <v>2135</v>
      </c>
      <c r="Q469" s="8" t="s">
        <v>2135</v>
      </c>
      <c r="R469" s="8" t="s">
        <v>2135</v>
      </c>
      <c r="S469" s="8" t="s">
        <v>2135</v>
      </c>
      <c r="T469" s="8" t="s">
        <v>10776</v>
      </c>
      <c r="U469" s="8" t="s">
        <v>10777</v>
      </c>
      <c r="V469" s="8" t="s">
        <v>10778</v>
      </c>
      <c r="W469" s="8" t="s">
        <v>10779</v>
      </c>
      <c r="X469" s="8" t="s">
        <v>10780</v>
      </c>
      <c r="Y469" s="8" t="s">
        <v>10781</v>
      </c>
      <c r="Z469" s="8" t="s">
        <v>10782</v>
      </c>
      <c r="AA469" s="8" t="s">
        <v>10783</v>
      </c>
      <c r="AB469" s="8" t="s">
        <v>10784</v>
      </c>
      <c r="AC469" s="8" t="s">
        <v>10785</v>
      </c>
      <c r="AD469" s="8" t="s">
        <v>10786</v>
      </c>
      <c r="AE469" s="8" t="s">
        <v>10787</v>
      </c>
      <c r="AF469" s="8" t="s">
        <v>2135</v>
      </c>
      <c r="AG469" s="8">
        <v>60.0</v>
      </c>
      <c r="AH469" s="8">
        <v>18.0</v>
      </c>
      <c r="AI469" s="8">
        <v>19.0</v>
      </c>
      <c r="AJ469" s="8">
        <v>0.0</v>
      </c>
      <c r="AK469" s="8">
        <v>53.0</v>
      </c>
      <c r="AL469" s="8" t="s">
        <v>7615</v>
      </c>
      <c r="AM469" s="8" t="s">
        <v>3390</v>
      </c>
      <c r="AN469" s="8" t="s">
        <v>7616</v>
      </c>
      <c r="AO469" s="8" t="s">
        <v>7617</v>
      </c>
      <c r="AP469" s="8" t="s">
        <v>7618</v>
      </c>
      <c r="AQ469" s="8" t="s">
        <v>2135</v>
      </c>
      <c r="AR469" s="8" t="s">
        <v>7619</v>
      </c>
      <c r="AS469" s="8" t="s">
        <v>7620</v>
      </c>
      <c r="AT469" s="8" t="s">
        <v>3580</v>
      </c>
      <c r="AU469" s="8">
        <v>2013.0</v>
      </c>
      <c r="AV469" s="8">
        <v>49.0</v>
      </c>
      <c r="AW469" s="8">
        <v>4.0</v>
      </c>
      <c r="AX469" s="8" t="s">
        <v>2135</v>
      </c>
      <c r="AY469" s="8" t="s">
        <v>2135</v>
      </c>
      <c r="AZ469" s="8" t="s">
        <v>2135</v>
      </c>
      <c r="BA469" s="8" t="s">
        <v>2135</v>
      </c>
      <c r="BB469" s="8">
        <v>887.0</v>
      </c>
      <c r="BC469" s="8">
        <v>899.0</v>
      </c>
      <c r="BD469" s="8" t="s">
        <v>2135</v>
      </c>
      <c r="BE469" s="8" t="s">
        <v>10788</v>
      </c>
      <c r="BF469" s="13" t="str">
        <f>HYPERLINK("http://dx.doi.org/10.7589/2013-03-053","http://dx.doi.org/10.7589/2013-03-053")</f>
        <v>http://dx.doi.org/10.7589/2013-03-053</v>
      </c>
      <c r="BG469" s="8" t="s">
        <v>2135</v>
      </c>
      <c r="BH469" s="8" t="s">
        <v>2135</v>
      </c>
      <c r="BI469" s="8">
        <v>13.0</v>
      </c>
      <c r="BJ469" s="8" t="s">
        <v>6958</v>
      </c>
      <c r="BK469" s="8" t="s">
        <v>3352</v>
      </c>
      <c r="BL469" s="8" t="s">
        <v>6958</v>
      </c>
      <c r="BM469" s="8" t="s">
        <v>10789</v>
      </c>
      <c r="BN469" s="8">
        <v>2.4502716E7</v>
      </c>
      <c r="BO469" s="8" t="s">
        <v>2135</v>
      </c>
      <c r="BP469" s="8" t="s">
        <v>2135</v>
      </c>
      <c r="BQ469" s="8" t="s">
        <v>2135</v>
      </c>
      <c r="BR469" s="8" t="s">
        <v>3355</v>
      </c>
      <c r="BS469" s="8" t="s">
        <v>10790</v>
      </c>
      <c r="BT469" s="8" t="s">
        <v>2600</v>
      </c>
      <c r="BU469" s="8" t="s">
        <v>2147</v>
      </c>
      <c r="BV469" s="8" t="s">
        <v>2217</v>
      </c>
      <c r="BW469" s="8" t="s">
        <v>2237</v>
      </c>
      <c r="BX469" s="8" t="s">
        <v>2974</v>
      </c>
      <c r="BY469" s="8" t="s">
        <v>2959</v>
      </c>
      <c r="BZ469" s="8" t="str">
        <f>HYPERLINK("https%3A%2F%2Fwww.webofscience.com%2Fwos%2Fwoscc%2Ffull-record%2FWOS:000326199400011","View Full Record in Web of Science")</f>
        <v>View Full Record in Web of Science</v>
      </c>
    </row>
    <row r="470" ht="12.75" customHeight="1">
      <c r="A470" s="8" t="s">
        <v>3329</v>
      </c>
      <c r="B470" s="8" t="s">
        <v>10791</v>
      </c>
      <c r="C470" s="8" t="s">
        <v>2135</v>
      </c>
      <c r="D470" s="8" t="s">
        <v>2135</v>
      </c>
      <c r="E470" s="8" t="s">
        <v>2135</v>
      </c>
      <c r="F470" s="8" t="s">
        <v>10792</v>
      </c>
      <c r="G470" s="8" t="s">
        <v>2135</v>
      </c>
      <c r="H470" s="8" t="s">
        <v>2135</v>
      </c>
      <c r="I470" s="8" t="s">
        <v>1833</v>
      </c>
      <c r="J470" s="8" t="s">
        <v>10092</v>
      </c>
      <c r="K470" s="8" t="s">
        <v>2135</v>
      </c>
      <c r="L470" s="8" t="s">
        <v>2135</v>
      </c>
      <c r="M470" s="8" t="s">
        <v>3332</v>
      </c>
      <c r="N470" s="8" t="s">
        <v>3333</v>
      </c>
      <c r="O470" s="8" t="s">
        <v>2135</v>
      </c>
      <c r="P470" s="8" t="s">
        <v>2135</v>
      </c>
      <c r="Q470" s="8" t="s">
        <v>2135</v>
      </c>
      <c r="R470" s="8" t="s">
        <v>2135</v>
      </c>
      <c r="S470" s="8" t="s">
        <v>2135</v>
      </c>
      <c r="T470" s="8" t="s">
        <v>10793</v>
      </c>
      <c r="U470" s="8" t="s">
        <v>10794</v>
      </c>
      <c r="V470" s="8" t="s">
        <v>10795</v>
      </c>
      <c r="W470" s="8" t="s">
        <v>10796</v>
      </c>
      <c r="X470" s="8" t="s">
        <v>10797</v>
      </c>
      <c r="Y470" s="8" t="s">
        <v>10798</v>
      </c>
      <c r="Z470" s="8" t="s">
        <v>10799</v>
      </c>
      <c r="AA470" s="8" t="s">
        <v>10800</v>
      </c>
      <c r="AB470" s="8" t="s">
        <v>10801</v>
      </c>
      <c r="AC470" s="8" t="s">
        <v>10802</v>
      </c>
      <c r="AD470" s="8" t="s">
        <v>10803</v>
      </c>
      <c r="AE470" s="8" t="s">
        <v>10804</v>
      </c>
      <c r="AF470" s="8" t="s">
        <v>2135</v>
      </c>
      <c r="AG470" s="8">
        <v>52.0</v>
      </c>
      <c r="AH470" s="8">
        <v>30.0</v>
      </c>
      <c r="AI470" s="8">
        <v>35.0</v>
      </c>
      <c r="AJ470" s="8">
        <v>0.0</v>
      </c>
      <c r="AK470" s="8">
        <v>97.0</v>
      </c>
      <c r="AL470" s="8" t="s">
        <v>3479</v>
      </c>
      <c r="AM470" s="8" t="s">
        <v>4500</v>
      </c>
      <c r="AN470" s="8" t="s">
        <v>4501</v>
      </c>
      <c r="AO470" s="8" t="s">
        <v>10101</v>
      </c>
      <c r="AP470" s="8" t="s">
        <v>10102</v>
      </c>
      <c r="AQ470" s="8" t="s">
        <v>2135</v>
      </c>
      <c r="AR470" s="8" t="s">
        <v>10103</v>
      </c>
      <c r="AS470" s="8" t="s">
        <v>10104</v>
      </c>
      <c r="AT470" s="8" t="s">
        <v>3485</v>
      </c>
      <c r="AU470" s="8">
        <v>2013.0</v>
      </c>
      <c r="AV470" s="8">
        <v>185.0</v>
      </c>
      <c r="AW470" s="8">
        <v>2.0</v>
      </c>
      <c r="AX470" s="8" t="s">
        <v>2135</v>
      </c>
      <c r="AY470" s="8" t="s">
        <v>2135</v>
      </c>
      <c r="AZ470" s="8" t="s">
        <v>2135</v>
      </c>
      <c r="BA470" s="8" t="s">
        <v>2135</v>
      </c>
      <c r="BB470" s="8">
        <v>1163.0</v>
      </c>
      <c r="BC470" s="8">
        <v>1173.0</v>
      </c>
      <c r="BD470" s="8" t="s">
        <v>2135</v>
      </c>
      <c r="BE470" s="8" t="s">
        <v>10805</v>
      </c>
      <c r="BF470" s="13" t="str">
        <f>HYPERLINK("http://dx.doi.org/10.1007/s10661-012-2623-z","http://dx.doi.org/10.1007/s10661-012-2623-z")</f>
        <v>http://dx.doi.org/10.1007/s10661-012-2623-z</v>
      </c>
      <c r="BG470" s="8" t="s">
        <v>2135</v>
      </c>
      <c r="BH470" s="8" t="s">
        <v>2135</v>
      </c>
      <c r="BI470" s="8">
        <v>11.0</v>
      </c>
      <c r="BJ470" s="8" t="s">
        <v>6399</v>
      </c>
      <c r="BK470" s="8" t="s">
        <v>3352</v>
      </c>
      <c r="BL470" s="8" t="s">
        <v>3632</v>
      </c>
      <c r="BM470" s="8" t="s">
        <v>10806</v>
      </c>
      <c r="BN470" s="8">
        <v>2.2527458E7</v>
      </c>
      <c r="BO470" s="8" t="s">
        <v>2135</v>
      </c>
      <c r="BP470" s="8" t="s">
        <v>2135</v>
      </c>
      <c r="BQ470" s="8" t="s">
        <v>2135</v>
      </c>
      <c r="BR470" s="8" t="s">
        <v>3355</v>
      </c>
      <c r="BS470" s="8" t="s">
        <v>10807</v>
      </c>
      <c r="BT470" s="8" t="s">
        <v>2428</v>
      </c>
      <c r="BU470" s="8" t="s">
        <v>2147</v>
      </c>
      <c r="BW470" s="8" t="s">
        <v>2157</v>
      </c>
      <c r="BX470" s="8" t="s">
        <v>2974</v>
      </c>
      <c r="BY470" s="8" t="s">
        <v>2959</v>
      </c>
      <c r="BZ470" s="8" t="str">
        <f>HYPERLINK("https%3A%2F%2Fwww.webofscience.com%2Fwos%2Fwoscc%2Ffull-record%2FWOS:000313359000012","View Full Record in Web of Science")</f>
        <v>View Full Record in Web of Science</v>
      </c>
    </row>
    <row r="471" ht="12.75" customHeight="1">
      <c r="A471" s="8" t="s">
        <v>3329</v>
      </c>
      <c r="B471" s="8" t="s">
        <v>10808</v>
      </c>
      <c r="C471" s="8" t="s">
        <v>2135</v>
      </c>
      <c r="D471" s="8" t="s">
        <v>2135</v>
      </c>
      <c r="E471" s="8" t="s">
        <v>2135</v>
      </c>
      <c r="F471" s="8" t="s">
        <v>10809</v>
      </c>
      <c r="G471" s="8" t="s">
        <v>2135</v>
      </c>
      <c r="H471" s="8" t="s">
        <v>2135</v>
      </c>
      <c r="I471" s="8" t="s">
        <v>1829</v>
      </c>
      <c r="J471" s="8" t="s">
        <v>10219</v>
      </c>
      <c r="K471" s="8" t="s">
        <v>2135</v>
      </c>
      <c r="L471" s="8" t="s">
        <v>2135</v>
      </c>
      <c r="M471" s="8" t="s">
        <v>3332</v>
      </c>
      <c r="N471" s="8" t="s">
        <v>8008</v>
      </c>
      <c r="O471" s="8" t="s">
        <v>2135</v>
      </c>
      <c r="P471" s="8" t="s">
        <v>2135</v>
      </c>
      <c r="Q471" s="8" t="s">
        <v>2135</v>
      </c>
      <c r="R471" s="8" t="s">
        <v>2135</v>
      </c>
      <c r="S471" s="8" t="s">
        <v>2135</v>
      </c>
      <c r="T471" s="8" t="s">
        <v>10810</v>
      </c>
      <c r="U471" s="8" t="s">
        <v>10811</v>
      </c>
      <c r="V471" s="8" t="s">
        <v>10812</v>
      </c>
      <c r="W471" s="8" t="s">
        <v>10813</v>
      </c>
      <c r="X471" s="8" t="s">
        <v>3971</v>
      </c>
      <c r="Y471" s="8" t="s">
        <v>10814</v>
      </c>
      <c r="Z471" s="8" t="s">
        <v>10815</v>
      </c>
      <c r="AA471" s="8" t="s">
        <v>10227</v>
      </c>
      <c r="AB471" s="8" t="s">
        <v>8948</v>
      </c>
      <c r="AC471" s="8" t="s">
        <v>2135</v>
      </c>
      <c r="AD471" s="8" t="s">
        <v>2135</v>
      </c>
      <c r="AE471" s="8" t="s">
        <v>2135</v>
      </c>
      <c r="AF471" s="8" t="s">
        <v>2135</v>
      </c>
      <c r="AG471" s="8">
        <v>44.0</v>
      </c>
      <c r="AH471" s="8">
        <v>4.0</v>
      </c>
      <c r="AI471" s="8">
        <v>4.0</v>
      </c>
      <c r="AJ471" s="8">
        <v>3.0</v>
      </c>
      <c r="AK471" s="8">
        <v>52.0</v>
      </c>
      <c r="AL471" s="8" t="s">
        <v>6103</v>
      </c>
      <c r="AM471" s="8" t="s">
        <v>6104</v>
      </c>
      <c r="AN471" s="8" t="s">
        <v>6105</v>
      </c>
      <c r="AO471" s="8" t="s">
        <v>10228</v>
      </c>
      <c r="AP471" s="8" t="s">
        <v>2135</v>
      </c>
      <c r="AQ471" s="8" t="s">
        <v>2135</v>
      </c>
      <c r="AR471" s="8" t="s">
        <v>10230</v>
      </c>
      <c r="AS471" s="8" t="s">
        <v>10231</v>
      </c>
      <c r="AT471" s="8" t="s">
        <v>2135</v>
      </c>
      <c r="AU471" s="8">
        <v>2013.0</v>
      </c>
      <c r="AV471" s="8">
        <v>488.0</v>
      </c>
      <c r="AW471" s="8" t="s">
        <v>2135</v>
      </c>
      <c r="AX471" s="8" t="s">
        <v>2135</v>
      </c>
      <c r="AY471" s="8" t="s">
        <v>2135</v>
      </c>
      <c r="AZ471" s="8" t="s">
        <v>2135</v>
      </c>
      <c r="BA471" s="8" t="s">
        <v>2135</v>
      </c>
      <c r="BB471" s="8">
        <v>297.0</v>
      </c>
      <c r="BC471" s="8">
        <v>301.0</v>
      </c>
      <c r="BD471" s="8" t="s">
        <v>2135</v>
      </c>
      <c r="BE471" s="8" t="s">
        <v>10816</v>
      </c>
      <c r="BF471" s="13" t="str">
        <f>HYPERLINK("http://dx.doi.org/10.3354/meps10498","http://dx.doi.org/10.3354/meps10498")</f>
        <v>http://dx.doi.org/10.3354/meps10498</v>
      </c>
      <c r="BG471" s="8" t="s">
        <v>2135</v>
      </c>
      <c r="BH471" s="8" t="s">
        <v>2135</v>
      </c>
      <c r="BI471" s="8">
        <v>5.0</v>
      </c>
      <c r="BJ471" s="8" t="s">
        <v>10233</v>
      </c>
      <c r="BK471" s="8" t="s">
        <v>3352</v>
      </c>
      <c r="BL471" s="8" t="s">
        <v>10234</v>
      </c>
      <c r="BM471" s="8" t="s">
        <v>10817</v>
      </c>
      <c r="BN471" s="8" t="s">
        <v>2135</v>
      </c>
      <c r="BO471" s="8" t="s">
        <v>3445</v>
      </c>
      <c r="BP471" s="8" t="s">
        <v>2135</v>
      </c>
      <c r="BQ471" s="8" t="s">
        <v>2135</v>
      </c>
      <c r="BR471" s="8" t="s">
        <v>3355</v>
      </c>
      <c r="BS471" s="8" t="s">
        <v>10818</v>
      </c>
      <c r="BT471" s="8" t="s">
        <v>2600</v>
      </c>
      <c r="BU471" s="8" t="s">
        <v>2147</v>
      </c>
      <c r="BV471" s="8" t="s">
        <v>2217</v>
      </c>
      <c r="BW471" s="8" t="s">
        <v>2237</v>
      </c>
      <c r="BX471" s="8" t="s">
        <v>2974</v>
      </c>
      <c r="BY471" s="8" t="s">
        <v>2959</v>
      </c>
      <c r="BZ471" s="8" t="str">
        <f>HYPERLINK("https%3A%2F%2Fwww.webofscience.com%2Fwos%2Fwoscc%2Ffull-record%2FWOS:000323245800025","View Full Record in Web of Science")</f>
        <v>View Full Record in Web of Science</v>
      </c>
    </row>
    <row r="472" ht="12.75" customHeight="1">
      <c r="A472" s="8" t="s">
        <v>3329</v>
      </c>
      <c r="B472" s="8" t="s">
        <v>10733</v>
      </c>
      <c r="C472" s="8" t="s">
        <v>2135</v>
      </c>
      <c r="D472" s="8" t="s">
        <v>2135</v>
      </c>
      <c r="E472" s="8" t="s">
        <v>2135</v>
      </c>
      <c r="F472" s="8" t="s">
        <v>10734</v>
      </c>
      <c r="G472" s="8" t="s">
        <v>2135</v>
      </c>
      <c r="H472" s="8" t="s">
        <v>2135</v>
      </c>
      <c r="I472" s="8" t="s">
        <v>1831</v>
      </c>
      <c r="J472" s="8" t="s">
        <v>10219</v>
      </c>
      <c r="K472" s="8" t="s">
        <v>2135</v>
      </c>
      <c r="L472" s="8" t="s">
        <v>2135</v>
      </c>
      <c r="M472" s="8" t="s">
        <v>3332</v>
      </c>
      <c r="N472" s="8" t="s">
        <v>8008</v>
      </c>
      <c r="O472" s="8" t="s">
        <v>2135</v>
      </c>
      <c r="P472" s="8" t="s">
        <v>2135</v>
      </c>
      <c r="Q472" s="8" t="s">
        <v>2135</v>
      </c>
      <c r="R472" s="8" t="s">
        <v>2135</v>
      </c>
      <c r="S472" s="8" t="s">
        <v>2135</v>
      </c>
      <c r="T472" s="8" t="s">
        <v>10819</v>
      </c>
      <c r="U472" s="8" t="s">
        <v>10820</v>
      </c>
      <c r="V472" s="8" t="s">
        <v>10821</v>
      </c>
      <c r="W472" s="8" t="s">
        <v>10822</v>
      </c>
      <c r="X472" s="8" t="s">
        <v>2135</v>
      </c>
      <c r="Y472" s="8" t="s">
        <v>10740</v>
      </c>
      <c r="Z472" s="8" t="s">
        <v>10741</v>
      </c>
      <c r="AA472" s="8" t="s">
        <v>2135</v>
      </c>
      <c r="AB472" s="8" t="s">
        <v>2135</v>
      </c>
      <c r="AC472" s="8" t="s">
        <v>2135</v>
      </c>
      <c r="AD472" s="8" t="s">
        <v>2135</v>
      </c>
      <c r="AE472" s="8" t="s">
        <v>2135</v>
      </c>
      <c r="AF472" s="8" t="s">
        <v>2135</v>
      </c>
      <c r="AG472" s="8">
        <v>45.0</v>
      </c>
      <c r="AH472" s="8">
        <v>2.0</v>
      </c>
      <c r="AI472" s="8">
        <v>2.0</v>
      </c>
      <c r="AJ472" s="8">
        <v>1.0</v>
      </c>
      <c r="AK472" s="8">
        <v>53.0</v>
      </c>
      <c r="AL472" s="8" t="s">
        <v>6103</v>
      </c>
      <c r="AM472" s="8" t="s">
        <v>6104</v>
      </c>
      <c r="AN472" s="8" t="s">
        <v>6105</v>
      </c>
      <c r="AO472" s="8" t="s">
        <v>10228</v>
      </c>
      <c r="AP472" s="8" t="s">
        <v>10229</v>
      </c>
      <c r="AQ472" s="8" t="s">
        <v>2135</v>
      </c>
      <c r="AR472" s="8" t="s">
        <v>10230</v>
      </c>
      <c r="AS472" s="8" t="s">
        <v>10231</v>
      </c>
      <c r="AT472" s="8" t="s">
        <v>2135</v>
      </c>
      <c r="AU472" s="8">
        <v>2013.0</v>
      </c>
      <c r="AV472" s="8">
        <v>488.0</v>
      </c>
      <c r="AW472" s="8" t="s">
        <v>2135</v>
      </c>
      <c r="AX472" s="8" t="s">
        <v>2135</v>
      </c>
      <c r="AY472" s="8" t="s">
        <v>2135</v>
      </c>
      <c r="AZ472" s="8" t="s">
        <v>2135</v>
      </c>
      <c r="BA472" s="8" t="s">
        <v>2135</v>
      </c>
      <c r="BB472" s="8">
        <v>291.0</v>
      </c>
      <c r="BC472" s="8">
        <v>296.0</v>
      </c>
      <c r="BD472" s="8" t="s">
        <v>2135</v>
      </c>
      <c r="BE472" s="8" t="s">
        <v>10823</v>
      </c>
      <c r="BF472" s="13" t="str">
        <f>HYPERLINK("http://dx.doi.org/10.3354/meps10497","http://dx.doi.org/10.3354/meps10497")</f>
        <v>http://dx.doi.org/10.3354/meps10497</v>
      </c>
      <c r="BG472" s="8" t="s">
        <v>2135</v>
      </c>
      <c r="BH472" s="8" t="s">
        <v>2135</v>
      </c>
      <c r="BI472" s="8">
        <v>6.0</v>
      </c>
      <c r="BJ472" s="8" t="s">
        <v>10233</v>
      </c>
      <c r="BK472" s="8" t="s">
        <v>3352</v>
      </c>
      <c r="BL472" s="8" t="s">
        <v>10234</v>
      </c>
      <c r="BM472" s="8" t="s">
        <v>10817</v>
      </c>
      <c r="BN472" s="8" t="s">
        <v>2135</v>
      </c>
      <c r="BO472" s="8" t="s">
        <v>3445</v>
      </c>
      <c r="BP472" s="8" t="s">
        <v>2135</v>
      </c>
      <c r="BQ472" s="8" t="s">
        <v>2135</v>
      </c>
      <c r="BR472" s="8" t="s">
        <v>3355</v>
      </c>
      <c r="BS472" s="8" t="s">
        <v>10824</v>
      </c>
      <c r="BT472" s="8" t="s">
        <v>2600</v>
      </c>
      <c r="BU472" s="8" t="s">
        <v>2147</v>
      </c>
      <c r="BV472" s="8" t="s">
        <v>2217</v>
      </c>
      <c r="BW472" s="8" t="s">
        <v>2237</v>
      </c>
      <c r="BX472" s="8" t="s">
        <v>2974</v>
      </c>
      <c r="BY472" s="8" t="s">
        <v>2959</v>
      </c>
      <c r="BZ472" s="8" t="str">
        <f>HYPERLINK("https%3A%2F%2Fwww.webofscience.com%2Fwos%2Fwoscc%2Ffull-record%2FWOS:000323245800024","View Full Record in Web of Science")</f>
        <v>View Full Record in Web of Science</v>
      </c>
    </row>
    <row r="473" ht="12.75" customHeight="1">
      <c r="A473" s="8" t="s">
        <v>3329</v>
      </c>
      <c r="B473" s="8" t="s">
        <v>10825</v>
      </c>
      <c r="C473" s="8" t="s">
        <v>2135</v>
      </c>
      <c r="D473" s="8" t="s">
        <v>2135</v>
      </c>
      <c r="E473" s="8" t="s">
        <v>2135</v>
      </c>
      <c r="F473" s="8" t="s">
        <v>10826</v>
      </c>
      <c r="G473" s="8" t="s">
        <v>2135</v>
      </c>
      <c r="H473" s="8" t="s">
        <v>2135</v>
      </c>
      <c r="I473" s="8" t="s">
        <v>1827</v>
      </c>
      <c r="J473" s="8" t="s">
        <v>10498</v>
      </c>
      <c r="K473" s="8" t="s">
        <v>2135</v>
      </c>
      <c r="L473" s="8" t="s">
        <v>2135</v>
      </c>
      <c r="M473" s="8" t="s">
        <v>3332</v>
      </c>
      <c r="N473" s="8" t="s">
        <v>3333</v>
      </c>
      <c r="O473" s="8" t="s">
        <v>2135</v>
      </c>
      <c r="P473" s="8" t="s">
        <v>2135</v>
      </c>
      <c r="Q473" s="8" t="s">
        <v>2135</v>
      </c>
      <c r="R473" s="8" t="s">
        <v>2135</v>
      </c>
      <c r="S473" s="8" t="s">
        <v>2135</v>
      </c>
      <c r="T473" s="8" t="s">
        <v>10827</v>
      </c>
      <c r="U473" s="8" t="s">
        <v>10828</v>
      </c>
      <c r="V473" s="8" t="s">
        <v>10829</v>
      </c>
      <c r="W473" s="8" t="s">
        <v>10830</v>
      </c>
      <c r="X473" s="8" t="s">
        <v>10831</v>
      </c>
      <c r="Y473" s="8" t="s">
        <v>10832</v>
      </c>
      <c r="Z473" s="8" t="s">
        <v>10833</v>
      </c>
      <c r="AA473" s="8" t="s">
        <v>10834</v>
      </c>
      <c r="AB473" s="8" t="s">
        <v>2135</v>
      </c>
      <c r="AC473" s="8" t="s">
        <v>10835</v>
      </c>
      <c r="AD473" s="8" t="s">
        <v>10835</v>
      </c>
      <c r="AE473" s="8" t="s">
        <v>10836</v>
      </c>
      <c r="AF473" s="8" t="s">
        <v>2135</v>
      </c>
      <c r="AG473" s="8">
        <v>67.0</v>
      </c>
      <c r="AH473" s="8">
        <v>73.0</v>
      </c>
      <c r="AI473" s="8">
        <v>80.0</v>
      </c>
      <c r="AJ473" s="8">
        <v>1.0</v>
      </c>
      <c r="AK473" s="8">
        <v>135.0</v>
      </c>
      <c r="AL473" s="8" t="s">
        <v>3758</v>
      </c>
      <c r="AM473" s="8" t="s">
        <v>3759</v>
      </c>
      <c r="AN473" s="8" t="s">
        <v>3760</v>
      </c>
      <c r="AO473" s="8" t="s">
        <v>10510</v>
      </c>
      <c r="AP473" s="8" t="s">
        <v>2135</v>
      </c>
      <c r="AQ473" s="8" t="s">
        <v>2135</v>
      </c>
      <c r="AR473" s="8" t="s">
        <v>10512</v>
      </c>
      <c r="AS473" s="8" t="s">
        <v>10513</v>
      </c>
      <c r="AT473" s="8" t="s">
        <v>3440</v>
      </c>
      <c r="AU473" s="8">
        <v>2012.0</v>
      </c>
      <c r="AV473" s="8">
        <v>170.0</v>
      </c>
      <c r="AW473" s="8" t="s">
        <v>2135</v>
      </c>
      <c r="AX473" s="8" t="s">
        <v>2135</v>
      </c>
      <c r="AY473" s="8" t="s">
        <v>2135</v>
      </c>
      <c r="AZ473" s="8" t="s">
        <v>2135</v>
      </c>
      <c r="BA473" s="8" t="s">
        <v>2135</v>
      </c>
      <c r="BB473" s="8">
        <v>268.0</v>
      </c>
      <c r="BC473" s="8">
        <v>275.0</v>
      </c>
      <c r="BD473" s="8" t="s">
        <v>2135</v>
      </c>
      <c r="BE473" s="8" t="s">
        <v>10837</v>
      </c>
      <c r="BF473" s="13" t="str">
        <f>HYPERLINK("http://dx.doi.org/10.1016/j.envpol.2012.07.017","http://dx.doi.org/10.1016/j.envpol.2012.07.017")</f>
        <v>http://dx.doi.org/10.1016/j.envpol.2012.07.017</v>
      </c>
      <c r="BG473" s="8" t="s">
        <v>2135</v>
      </c>
      <c r="BH473" s="8" t="s">
        <v>2135</v>
      </c>
      <c r="BI473" s="8">
        <v>8.0</v>
      </c>
      <c r="BJ473" s="8" t="s">
        <v>6399</v>
      </c>
      <c r="BK473" s="8" t="s">
        <v>3352</v>
      </c>
      <c r="BL473" s="8" t="s">
        <v>3632</v>
      </c>
      <c r="BM473" s="8" t="s">
        <v>10838</v>
      </c>
      <c r="BN473" s="8">
        <v>2.2842056E7</v>
      </c>
      <c r="BO473" s="8" t="s">
        <v>2135</v>
      </c>
      <c r="BP473" s="8" t="s">
        <v>2135</v>
      </c>
      <c r="BQ473" s="8" t="s">
        <v>2135</v>
      </c>
      <c r="BR473" s="8" t="s">
        <v>3355</v>
      </c>
      <c r="BS473" s="8" t="s">
        <v>10839</v>
      </c>
      <c r="BT473" s="8" t="s">
        <v>2538</v>
      </c>
      <c r="BU473" s="8" t="s">
        <v>2142</v>
      </c>
      <c r="BW473" s="8" t="s">
        <v>2143</v>
      </c>
      <c r="BX473" s="8" t="s">
        <v>2974</v>
      </c>
      <c r="BY473" s="8" t="s">
        <v>2959</v>
      </c>
      <c r="BZ473" s="8" t="str">
        <f>HYPERLINK("https%3A%2F%2Fwww.webofscience.com%2Fwos%2Fwoscc%2Ffull-record%2FWOS:000308450100033","View Full Record in Web of Science")</f>
        <v>View Full Record in Web of Science</v>
      </c>
    </row>
    <row r="474" ht="12.75" customHeight="1">
      <c r="A474" s="8" t="s">
        <v>3329</v>
      </c>
      <c r="B474" s="8" t="s">
        <v>10840</v>
      </c>
      <c r="C474" s="8" t="s">
        <v>2135</v>
      </c>
      <c r="D474" s="8" t="s">
        <v>2135</v>
      </c>
      <c r="E474" s="8" t="s">
        <v>2135</v>
      </c>
      <c r="F474" s="8" t="s">
        <v>10841</v>
      </c>
      <c r="G474" s="8" t="s">
        <v>2135</v>
      </c>
      <c r="H474" s="8" t="s">
        <v>2135</v>
      </c>
      <c r="I474" s="8" t="s">
        <v>1817</v>
      </c>
      <c r="J474" s="8" t="s">
        <v>3637</v>
      </c>
      <c r="K474" s="8" t="s">
        <v>2135</v>
      </c>
      <c r="L474" s="8" t="s">
        <v>2135</v>
      </c>
      <c r="M474" s="8" t="s">
        <v>3332</v>
      </c>
      <c r="N474" s="8" t="s">
        <v>3333</v>
      </c>
      <c r="O474" s="8" t="s">
        <v>2135</v>
      </c>
      <c r="P474" s="8" t="s">
        <v>2135</v>
      </c>
      <c r="Q474" s="8" t="s">
        <v>2135</v>
      </c>
      <c r="R474" s="8" t="s">
        <v>2135</v>
      </c>
      <c r="S474" s="8" t="s">
        <v>2135</v>
      </c>
      <c r="T474" s="8" t="s">
        <v>2135</v>
      </c>
      <c r="U474" s="8" t="s">
        <v>10842</v>
      </c>
      <c r="V474" s="8" t="s">
        <v>10843</v>
      </c>
      <c r="W474" s="8" t="s">
        <v>10844</v>
      </c>
      <c r="X474" s="8" t="s">
        <v>10845</v>
      </c>
      <c r="Y474" s="8" t="s">
        <v>10846</v>
      </c>
      <c r="Z474" s="8" t="s">
        <v>10847</v>
      </c>
      <c r="AA474" s="8" t="s">
        <v>10848</v>
      </c>
      <c r="AB474" s="8" t="s">
        <v>10849</v>
      </c>
      <c r="AC474" s="8" t="s">
        <v>2135</v>
      </c>
      <c r="AD474" s="8" t="s">
        <v>2135</v>
      </c>
      <c r="AE474" s="8" t="s">
        <v>2135</v>
      </c>
      <c r="AF474" s="8" t="s">
        <v>2135</v>
      </c>
      <c r="AG474" s="8">
        <v>65.0</v>
      </c>
      <c r="AH474" s="8">
        <v>105.0</v>
      </c>
      <c r="AI474" s="8">
        <v>128.0</v>
      </c>
      <c r="AJ474" s="8">
        <v>0.0</v>
      </c>
      <c r="AK474" s="8">
        <v>73.0</v>
      </c>
      <c r="AL474" s="8" t="s">
        <v>3648</v>
      </c>
      <c r="AM474" s="8" t="s">
        <v>3649</v>
      </c>
      <c r="AN474" s="8" t="s">
        <v>3650</v>
      </c>
      <c r="AO474" s="8" t="s">
        <v>3651</v>
      </c>
      <c r="AP474" s="8" t="s">
        <v>2135</v>
      </c>
      <c r="AQ474" s="8" t="s">
        <v>2135</v>
      </c>
      <c r="AR474" s="8" t="s">
        <v>3637</v>
      </c>
      <c r="AS474" s="8" t="s">
        <v>3652</v>
      </c>
      <c r="AT474" s="8" t="s">
        <v>10850</v>
      </c>
      <c r="AU474" s="8">
        <v>2012.0</v>
      </c>
      <c r="AV474" s="8">
        <v>7.0</v>
      </c>
      <c r="AW474" s="8">
        <v>7.0</v>
      </c>
      <c r="AX474" s="8" t="s">
        <v>2135</v>
      </c>
      <c r="AY474" s="8" t="s">
        <v>2135</v>
      </c>
      <c r="AZ474" s="8" t="s">
        <v>2135</v>
      </c>
      <c r="BA474" s="8" t="s">
        <v>2135</v>
      </c>
      <c r="BB474" s="8" t="s">
        <v>2135</v>
      </c>
      <c r="BC474" s="8" t="s">
        <v>2135</v>
      </c>
      <c r="BD474" s="8" t="s">
        <v>10851</v>
      </c>
      <c r="BE474" s="8" t="s">
        <v>10852</v>
      </c>
      <c r="BF474" s="13" t="str">
        <f>HYPERLINK("http://dx.doi.org/10.1371/journal.pone.0040163","http://dx.doi.org/10.1371/journal.pone.0040163")</f>
        <v>http://dx.doi.org/10.1371/journal.pone.0040163</v>
      </c>
      <c r="BG474" s="8" t="s">
        <v>2135</v>
      </c>
      <c r="BH474" s="8" t="s">
        <v>2135</v>
      </c>
      <c r="BI474" s="8">
        <v>15.0</v>
      </c>
      <c r="BJ474" s="8" t="s">
        <v>3656</v>
      </c>
      <c r="BK474" s="8" t="s">
        <v>3352</v>
      </c>
      <c r="BL474" s="8" t="s">
        <v>3657</v>
      </c>
      <c r="BM474" s="8" t="s">
        <v>10853</v>
      </c>
      <c r="BN474" s="8">
        <v>2.280811E7</v>
      </c>
      <c r="BO474" s="8" t="s">
        <v>3659</v>
      </c>
      <c r="BP474" s="8" t="s">
        <v>2135</v>
      </c>
      <c r="BQ474" s="8" t="s">
        <v>2135</v>
      </c>
      <c r="BR474" s="8" t="s">
        <v>3355</v>
      </c>
      <c r="BS474" s="8" t="s">
        <v>10854</v>
      </c>
      <c r="BT474" s="8" t="s">
        <v>2600</v>
      </c>
      <c r="BU474" s="8" t="s">
        <v>2147</v>
      </c>
      <c r="BV474" s="8" t="s">
        <v>2217</v>
      </c>
      <c r="BW474" s="8" t="s">
        <v>2224</v>
      </c>
      <c r="BX474" s="8" t="s">
        <v>2956</v>
      </c>
      <c r="BY474" s="8" t="s">
        <v>2959</v>
      </c>
      <c r="BZ474" s="8" t="str">
        <f>HYPERLINK("https%3A%2F%2Fwww.webofscience.com%2Fwos%2Fwoscc%2Ffull-record%2FWOS:000306406700023","View Full Record in Web of Science")</f>
        <v>View Full Record in Web of Science</v>
      </c>
    </row>
    <row r="475" ht="12.75" customHeight="1">
      <c r="A475" s="8" t="s">
        <v>3329</v>
      </c>
      <c r="B475" s="8" t="s">
        <v>10855</v>
      </c>
      <c r="C475" s="8" t="s">
        <v>2135</v>
      </c>
      <c r="D475" s="8" t="s">
        <v>2135</v>
      </c>
      <c r="E475" s="8" t="s">
        <v>2135</v>
      </c>
      <c r="F475" s="8" t="s">
        <v>10856</v>
      </c>
      <c r="G475" s="8" t="s">
        <v>2135</v>
      </c>
      <c r="H475" s="8" t="s">
        <v>2135</v>
      </c>
      <c r="I475" s="8" t="s">
        <v>1821</v>
      </c>
      <c r="J475" s="8" t="s">
        <v>3537</v>
      </c>
      <c r="K475" s="8" t="s">
        <v>2135</v>
      </c>
      <c r="L475" s="8" t="s">
        <v>2135</v>
      </c>
      <c r="M475" s="8" t="s">
        <v>3332</v>
      </c>
      <c r="N475" s="8" t="s">
        <v>3333</v>
      </c>
      <c r="O475" s="8" t="s">
        <v>2135</v>
      </c>
      <c r="P475" s="8" t="s">
        <v>2135</v>
      </c>
      <c r="Q475" s="8" t="s">
        <v>2135</v>
      </c>
      <c r="R475" s="8" t="s">
        <v>2135</v>
      </c>
      <c r="S475" s="8" t="s">
        <v>2135</v>
      </c>
      <c r="T475" s="8" t="s">
        <v>10857</v>
      </c>
      <c r="U475" s="8" t="s">
        <v>9809</v>
      </c>
      <c r="V475" s="8" t="s">
        <v>10858</v>
      </c>
      <c r="W475" s="8" t="s">
        <v>10859</v>
      </c>
      <c r="X475" s="8" t="s">
        <v>10860</v>
      </c>
      <c r="Y475" s="8" t="s">
        <v>10861</v>
      </c>
      <c r="Z475" s="8" t="s">
        <v>10862</v>
      </c>
      <c r="AA475" s="8" t="s">
        <v>10863</v>
      </c>
      <c r="AB475" s="8" t="s">
        <v>10864</v>
      </c>
      <c r="AC475" s="8" t="s">
        <v>10865</v>
      </c>
      <c r="AD475" s="8" t="s">
        <v>10866</v>
      </c>
      <c r="AE475" s="8" t="s">
        <v>10867</v>
      </c>
      <c r="AF475" s="8" t="s">
        <v>2135</v>
      </c>
      <c r="AG475" s="8">
        <v>16.0</v>
      </c>
      <c r="AH475" s="8">
        <v>10.0</v>
      </c>
      <c r="AI475" s="8">
        <v>11.0</v>
      </c>
      <c r="AJ475" s="8">
        <v>0.0</v>
      </c>
      <c r="AK475" s="8">
        <v>47.0</v>
      </c>
      <c r="AL475" s="8" t="s">
        <v>3550</v>
      </c>
      <c r="AM475" s="8" t="s">
        <v>3480</v>
      </c>
      <c r="AN475" s="8" t="s">
        <v>6058</v>
      </c>
      <c r="AO475" s="8" t="s">
        <v>3553</v>
      </c>
      <c r="AP475" s="8" t="s">
        <v>3554</v>
      </c>
      <c r="AQ475" s="8" t="s">
        <v>2135</v>
      </c>
      <c r="AR475" s="8" t="s">
        <v>3537</v>
      </c>
      <c r="AS475" s="8" t="s">
        <v>3555</v>
      </c>
      <c r="AT475" s="8" t="s">
        <v>3556</v>
      </c>
      <c r="AU475" s="8">
        <v>2012.0</v>
      </c>
      <c r="AV475" s="8">
        <v>46.0</v>
      </c>
      <c r="AW475" s="8">
        <v>2.0</v>
      </c>
      <c r="AX475" s="8" t="s">
        <v>2135</v>
      </c>
      <c r="AY475" s="8" t="s">
        <v>2135</v>
      </c>
      <c r="AZ475" s="8" t="s">
        <v>2135</v>
      </c>
      <c r="BA475" s="8" t="s">
        <v>2135</v>
      </c>
      <c r="BB475" s="8">
        <v>249.0</v>
      </c>
      <c r="BC475" s="8">
        <v>252.0</v>
      </c>
      <c r="BD475" s="8" t="s">
        <v>2135</v>
      </c>
      <c r="BE475" s="8" t="s">
        <v>10868</v>
      </c>
      <c r="BF475" s="13" t="str">
        <f>HYPERLINK("http://dx.doi.org/10.1017/S0030605311001517","http://dx.doi.org/10.1017/S0030605311001517")</f>
        <v>http://dx.doi.org/10.1017/S0030605311001517</v>
      </c>
      <c r="BG475" s="8" t="s">
        <v>2135</v>
      </c>
      <c r="BH475" s="8" t="s">
        <v>2135</v>
      </c>
      <c r="BI475" s="8">
        <v>4.0</v>
      </c>
      <c r="BJ475" s="8" t="s">
        <v>3558</v>
      </c>
      <c r="BK475" s="8" t="s">
        <v>3352</v>
      </c>
      <c r="BL475" s="8" t="s">
        <v>3353</v>
      </c>
      <c r="BM475" s="8" t="s">
        <v>10869</v>
      </c>
      <c r="BN475" s="8" t="s">
        <v>2135</v>
      </c>
      <c r="BO475" s="8" t="s">
        <v>3560</v>
      </c>
      <c r="BP475" s="8" t="s">
        <v>2135</v>
      </c>
      <c r="BQ475" s="8" t="s">
        <v>2135</v>
      </c>
      <c r="BR475" s="8" t="s">
        <v>3355</v>
      </c>
      <c r="BS475" s="8" t="s">
        <v>10870</v>
      </c>
      <c r="BT475" s="8" t="s">
        <v>2436</v>
      </c>
      <c r="BW475" s="8" t="s">
        <v>2143</v>
      </c>
      <c r="BX475" s="8" t="s">
        <v>2974</v>
      </c>
      <c r="BY475" s="8" t="s">
        <v>2959</v>
      </c>
      <c r="BZ475" s="8" t="str">
        <f>HYPERLINK("https%3A%2F%2Fwww.webofscience.com%2Fwos%2Fwoscc%2Ffull-record%2FWOS:000303837100020","View Full Record in Web of Science")</f>
        <v>View Full Record in Web of Science</v>
      </c>
    </row>
    <row r="476" ht="12.75" customHeight="1">
      <c r="A476" s="8" t="s">
        <v>3329</v>
      </c>
      <c r="B476" s="8" t="s">
        <v>10871</v>
      </c>
      <c r="C476" s="8" t="s">
        <v>2135</v>
      </c>
      <c r="D476" s="8" t="s">
        <v>2135</v>
      </c>
      <c r="E476" s="8" t="s">
        <v>2135</v>
      </c>
      <c r="F476" s="8" t="s">
        <v>10872</v>
      </c>
      <c r="G476" s="8" t="s">
        <v>2135</v>
      </c>
      <c r="H476" s="8" t="s">
        <v>2135</v>
      </c>
      <c r="I476" s="8" t="s">
        <v>1823</v>
      </c>
      <c r="J476" s="8" t="s">
        <v>10676</v>
      </c>
      <c r="K476" s="8" t="s">
        <v>2135</v>
      </c>
      <c r="L476" s="8" t="s">
        <v>2135</v>
      </c>
      <c r="M476" s="8" t="s">
        <v>3332</v>
      </c>
      <c r="N476" s="8" t="s">
        <v>3333</v>
      </c>
      <c r="O476" s="8" t="s">
        <v>2135</v>
      </c>
      <c r="P476" s="8" t="s">
        <v>2135</v>
      </c>
      <c r="Q476" s="8" t="s">
        <v>2135</v>
      </c>
      <c r="R476" s="8" t="s">
        <v>2135</v>
      </c>
      <c r="S476" s="8" t="s">
        <v>2135</v>
      </c>
      <c r="T476" s="8" t="s">
        <v>10873</v>
      </c>
      <c r="U476" s="8" t="s">
        <v>10874</v>
      </c>
      <c r="V476" s="8" t="s">
        <v>10875</v>
      </c>
      <c r="W476" s="8" t="s">
        <v>10876</v>
      </c>
      <c r="X476" s="8" t="s">
        <v>10877</v>
      </c>
      <c r="Y476" s="8" t="s">
        <v>10878</v>
      </c>
      <c r="Z476" s="8" t="s">
        <v>10879</v>
      </c>
      <c r="AA476" s="8" t="s">
        <v>10880</v>
      </c>
      <c r="AB476" s="8" t="s">
        <v>10881</v>
      </c>
      <c r="AC476" s="8" t="s">
        <v>10882</v>
      </c>
      <c r="AD476" s="8" t="s">
        <v>10883</v>
      </c>
      <c r="AE476" s="8" t="s">
        <v>10884</v>
      </c>
      <c r="AF476" s="8" t="s">
        <v>2135</v>
      </c>
      <c r="AG476" s="8">
        <v>67.0</v>
      </c>
      <c r="AH476" s="8">
        <v>41.0</v>
      </c>
      <c r="AI476" s="8">
        <v>45.0</v>
      </c>
      <c r="AJ476" s="8">
        <v>0.0</v>
      </c>
      <c r="AK476" s="8">
        <v>64.0</v>
      </c>
      <c r="AL476" s="8" t="s">
        <v>10180</v>
      </c>
      <c r="AM476" s="8" t="s">
        <v>3759</v>
      </c>
      <c r="AN476" s="8" t="s">
        <v>10181</v>
      </c>
      <c r="AO476" s="8" t="s">
        <v>10689</v>
      </c>
      <c r="AP476" s="8" t="s">
        <v>10690</v>
      </c>
      <c r="AQ476" s="8" t="s">
        <v>2135</v>
      </c>
      <c r="AR476" s="8" t="s">
        <v>10676</v>
      </c>
      <c r="AS476" s="8" t="s">
        <v>10691</v>
      </c>
      <c r="AT476" s="8" t="s">
        <v>3485</v>
      </c>
      <c r="AU476" s="8">
        <v>2012.0</v>
      </c>
      <c r="AV476" s="8">
        <v>86.0</v>
      </c>
      <c r="AW476" s="8">
        <v>7.0</v>
      </c>
      <c r="AX476" s="8" t="s">
        <v>2135</v>
      </c>
      <c r="AY476" s="8" t="s">
        <v>2135</v>
      </c>
      <c r="AZ476" s="8" t="s">
        <v>2135</v>
      </c>
      <c r="BA476" s="8" t="s">
        <v>2135</v>
      </c>
      <c r="BB476" s="8">
        <v>691.0</v>
      </c>
      <c r="BC476" s="8">
        <v>700.0</v>
      </c>
      <c r="BD476" s="8" t="s">
        <v>2135</v>
      </c>
      <c r="BE476" s="8" t="s">
        <v>10885</v>
      </c>
      <c r="BF476" s="13" t="str">
        <f>HYPERLINK("http://dx.doi.org/10.1016/j.chemosphere.2011.10.037","http://dx.doi.org/10.1016/j.chemosphere.2011.10.037")</f>
        <v>http://dx.doi.org/10.1016/j.chemosphere.2011.10.037</v>
      </c>
      <c r="BG476" s="8" t="s">
        <v>2135</v>
      </c>
      <c r="BH476" s="8" t="s">
        <v>2135</v>
      </c>
      <c r="BI476" s="8">
        <v>10.0</v>
      </c>
      <c r="BJ476" s="8" t="s">
        <v>6399</v>
      </c>
      <c r="BK476" s="8" t="s">
        <v>3352</v>
      </c>
      <c r="BL476" s="8" t="s">
        <v>3632</v>
      </c>
      <c r="BM476" s="8" t="s">
        <v>10886</v>
      </c>
      <c r="BN476" s="8">
        <v>2.2099537E7</v>
      </c>
      <c r="BO476" s="8" t="s">
        <v>2135</v>
      </c>
      <c r="BP476" s="8" t="s">
        <v>2135</v>
      </c>
      <c r="BQ476" s="8" t="s">
        <v>2135</v>
      </c>
      <c r="BR476" s="8" t="s">
        <v>3355</v>
      </c>
      <c r="BS476" s="8" t="s">
        <v>10887</v>
      </c>
      <c r="BT476" s="8" t="s">
        <v>2497</v>
      </c>
      <c r="BU476" s="8" t="s">
        <v>2142</v>
      </c>
      <c r="BW476" s="8" t="s">
        <v>2143</v>
      </c>
      <c r="BX476" s="8" t="s">
        <v>2974</v>
      </c>
      <c r="BY476" s="8" t="s">
        <v>2959</v>
      </c>
      <c r="BZ476" s="8" t="str">
        <f>HYPERLINK("https%3A%2F%2Fwww.webofscience.com%2Fwos%2Fwoscc%2Ffull-record%2FWOS:000301166700001","View Full Record in Web of Science")</f>
        <v>View Full Record in Web of Science</v>
      </c>
    </row>
    <row r="477" ht="12.75" customHeight="1">
      <c r="A477" s="8" t="s">
        <v>3329</v>
      </c>
      <c r="B477" s="8" t="s">
        <v>10888</v>
      </c>
      <c r="C477" s="8" t="s">
        <v>2135</v>
      </c>
      <c r="D477" s="8" t="s">
        <v>2135</v>
      </c>
      <c r="E477" s="8" t="s">
        <v>2135</v>
      </c>
      <c r="F477" s="8" t="s">
        <v>10889</v>
      </c>
      <c r="G477" s="8" t="s">
        <v>2135</v>
      </c>
      <c r="H477" s="8" t="s">
        <v>2135</v>
      </c>
      <c r="I477" s="8" t="s">
        <v>1819</v>
      </c>
      <c r="J477" s="8" t="s">
        <v>10219</v>
      </c>
      <c r="K477" s="8" t="s">
        <v>2135</v>
      </c>
      <c r="L477" s="8" t="s">
        <v>2135</v>
      </c>
      <c r="M477" s="8" t="s">
        <v>3332</v>
      </c>
      <c r="N477" s="8" t="s">
        <v>3333</v>
      </c>
      <c r="O477" s="8" t="s">
        <v>2135</v>
      </c>
      <c r="P477" s="8" t="s">
        <v>2135</v>
      </c>
      <c r="Q477" s="8" t="s">
        <v>2135</v>
      </c>
      <c r="R477" s="8" t="s">
        <v>2135</v>
      </c>
      <c r="S477" s="8" t="s">
        <v>2135</v>
      </c>
      <c r="T477" s="8" t="s">
        <v>10890</v>
      </c>
      <c r="U477" s="8" t="s">
        <v>10891</v>
      </c>
      <c r="V477" s="8" t="s">
        <v>10892</v>
      </c>
      <c r="W477" s="8" t="s">
        <v>10893</v>
      </c>
      <c r="X477" s="8" t="s">
        <v>10894</v>
      </c>
      <c r="Y477" s="8" t="s">
        <v>10895</v>
      </c>
      <c r="Z477" s="8" t="s">
        <v>10896</v>
      </c>
      <c r="AA477" s="8" t="s">
        <v>10897</v>
      </c>
      <c r="AB477" s="8" t="s">
        <v>10898</v>
      </c>
      <c r="AC477" s="8" t="s">
        <v>10899</v>
      </c>
      <c r="AD477" s="8" t="s">
        <v>10900</v>
      </c>
      <c r="AE477" s="8" t="s">
        <v>10901</v>
      </c>
      <c r="AF477" s="8" t="s">
        <v>2135</v>
      </c>
      <c r="AG477" s="8">
        <v>67.0</v>
      </c>
      <c r="AH477" s="8">
        <v>48.0</v>
      </c>
      <c r="AI477" s="8">
        <v>55.0</v>
      </c>
      <c r="AJ477" s="8">
        <v>0.0</v>
      </c>
      <c r="AK477" s="8">
        <v>130.0</v>
      </c>
      <c r="AL477" s="8" t="s">
        <v>6103</v>
      </c>
      <c r="AM477" s="8" t="s">
        <v>6104</v>
      </c>
      <c r="AN477" s="8" t="s">
        <v>6105</v>
      </c>
      <c r="AO477" s="8" t="s">
        <v>10228</v>
      </c>
      <c r="AP477" s="8" t="s">
        <v>10229</v>
      </c>
      <c r="AQ477" s="8" t="s">
        <v>2135</v>
      </c>
      <c r="AR477" s="8" t="s">
        <v>10230</v>
      </c>
      <c r="AS477" s="8" t="s">
        <v>10231</v>
      </c>
      <c r="AT477" s="8" t="s">
        <v>2135</v>
      </c>
      <c r="AU477" s="8">
        <v>2012.0</v>
      </c>
      <c r="AV477" s="8">
        <v>447.0</v>
      </c>
      <c r="AW477" s="8" t="s">
        <v>2135</v>
      </c>
      <c r="AX477" s="8" t="s">
        <v>2135</v>
      </c>
      <c r="AY477" s="8" t="s">
        <v>2135</v>
      </c>
      <c r="AZ477" s="8" t="s">
        <v>2135</v>
      </c>
      <c r="BA477" s="8" t="s">
        <v>2135</v>
      </c>
      <c r="BB477" s="8">
        <v>273.0</v>
      </c>
      <c r="BC477" s="8">
        <v>287.0</v>
      </c>
      <c r="BD477" s="8" t="s">
        <v>2135</v>
      </c>
      <c r="BE477" s="8" t="s">
        <v>10902</v>
      </c>
      <c r="BF477" s="13" t="str">
        <f>HYPERLINK("http://dx.doi.org/10.3354/meps09523","http://dx.doi.org/10.3354/meps09523")</f>
        <v>http://dx.doi.org/10.3354/meps09523</v>
      </c>
      <c r="BG477" s="8" t="s">
        <v>2135</v>
      </c>
      <c r="BH477" s="8" t="s">
        <v>2135</v>
      </c>
      <c r="BI477" s="8">
        <v>15.0</v>
      </c>
      <c r="BJ477" s="8" t="s">
        <v>10233</v>
      </c>
      <c r="BK477" s="8" t="s">
        <v>3352</v>
      </c>
      <c r="BL477" s="8" t="s">
        <v>10234</v>
      </c>
      <c r="BM477" s="8" t="s">
        <v>10903</v>
      </c>
      <c r="BN477" s="8" t="s">
        <v>2135</v>
      </c>
      <c r="BO477" s="8" t="s">
        <v>3445</v>
      </c>
      <c r="BP477" s="8" t="s">
        <v>2135</v>
      </c>
      <c r="BQ477" s="8" t="s">
        <v>2135</v>
      </c>
      <c r="BR477" s="8" t="s">
        <v>3355</v>
      </c>
      <c r="BS477" s="8" t="s">
        <v>10904</v>
      </c>
      <c r="BT477" s="8" t="s">
        <v>2600</v>
      </c>
      <c r="BU477" s="8" t="s">
        <v>2147</v>
      </c>
      <c r="BV477" s="8" t="s">
        <v>2217</v>
      </c>
      <c r="BW477" s="8" t="s">
        <v>2237</v>
      </c>
      <c r="BX477" s="8" t="s">
        <v>2974</v>
      </c>
      <c r="BY477" s="8" t="s">
        <v>2959</v>
      </c>
      <c r="BZ477" s="8" t="str">
        <f>HYPERLINK("https%3A%2F%2Fwww.webofscience.com%2Fwos%2Fwoscc%2Ffull-record%2FWOS:000300660600019","View Full Record in Web of Science")</f>
        <v>View Full Record in Web of Science</v>
      </c>
    </row>
    <row r="478" ht="12.75" customHeight="1">
      <c r="A478" s="8" t="s">
        <v>3329</v>
      </c>
      <c r="B478" s="8" t="s">
        <v>10905</v>
      </c>
      <c r="C478" s="8" t="s">
        <v>2135</v>
      </c>
      <c r="D478" s="8" t="s">
        <v>2135</v>
      </c>
      <c r="E478" s="8" t="s">
        <v>2135</v>
      </c>
      <c r="F478" s="8" t="s">
        <v>10906</v>
      </c>
      <c r="G478" s="8" t="s">
        <v>2135</v>
      </c>
      <c r="H478" s="8" t="s">
        <v>2135</v>
      </c>
      <c r="I478" s="8" t="s">
        <v>1825</v>
      </c>
      <c r="J478" s="8" t="s">
        <v>4773</v>
      </c>
      <c r="K478" s="8" t="s">
        <v>2135</v>
      </c>
      <c r="L478" s="8" t="s">
        <v>2135</v>
      </c>
      <c r="M478" s="8" t="s">
        <v>3332</v>
      </c>
      <c r="N478" s="8" t="s">
        <v>3333</v>
      </c>
      <c r="O478" s="8" t="s">
        <v>2135</v>
      </c>
      <c r="P478" s="8" t="s">
        <v>2135</v>
      </c>
      <c r="Q478" s="8" t="s">
        <v>2135</v>
      </c>
      <c r="R478" s="8" t="s">
        <v>2135</v>
      </c>
      <c r="S478" s="8" t="s">
        <v>2135</v>
      </c>
      <c r="T478" s="8" t="s">
        <v>10907</v>
      </c>
      <c r="U478" s="8" t="s">
        <v>10908</v>
      </c>
      <c r="V478" s="8" t="s">
        <v>10909</v>
      </c>
      <c r="W478" s="8" t="s">
        <v>10910</v>
      </c>
      <c r="X478" s="8" t="s">
        <v>10911</v>
      </c>
      <c r="Y478" s="8" t="s">
        <v>10912</v>
      </c>
      <c r="Z478" s="8" t="s">
        <v>10913</v>
      </c>
      <c r="AA478" s="8" t="s">
        <v>2135</v>
      </c>
      <c r="AB478" s="8" t="s">
        <v>2135</v>
      </c>
      <c r="AC478" s="8" t="s">
        <v>10914</v>
      </c>
      <c r="AD478" s="8" t="s">
        <v>10915</v>
      </c>
      <c r="AE478" s="8" t="s">
        <v>10916</v>
      </c>
      <c r="AF478" s="8" t="s">
        <v>2135</v>
      </c>
      <c r="AG478" s="8">
        <v>46.0</v>
      </c>
      <c r="AH478" s="8">
        <v>6.0</v>
      </c>
      <c r="AI478" s="8">
        <v>6.0</v>
      </c>
      <c r="AJ478" s="8">
        <v>0.0</v>
      </c>
      <c r="AK478" s="8">
        <v>36.0</v>
      </c>
      <c r="AL478" s="8" t="s">
        <v>4033</v>
      </c>
      <c r="AM478" s="8" t="s">
        <v>3343</v>
      </c>
      <c r="AN478" s="8" t="s">
        <v>3344</v>
      </c>
      <c r="AO478" s="8" t="s">
        <v>4783</v>
      </c>
      <c r="AP478" s="8" t="s">
        <v>2135</v>
      </c>
      <c r="AQ478" s="8" t="s">
        <v>2135</v>
      </c>
      <c r="AR478" s="8" t="s">
        <v>4785</v>
      </c>
      <c r="AS478" s="8" t="s">
        <v>4786</v>
      </c>
      <c r="AT478" s="8" t="s">
        <v>3629</v>
      </c>
      <c r="AU478" s="8">
        <v>2012.0</v>
      </c>
      <c r="AV478" s="8">
        <v>286.0</v>
      </c>
      <c r="AW478" s="8">
        <v>1.0</v>
      </c>
      <c r="AX478" s="8" t="s">
        <v>2135</v>
      </c>
      <c r="AY478" s="8" t="s">
        <v>2135</v>
      </c>
      <c r="AZ478" s="8" t="s">
        <v>2135</v>
      </c>
      <c r="BA478" s="8" t="s">
        <v>2135</v>
      </c>
      <c r="BB478" s="8">
        <v>22.0</v>
      </c>
      <c r="BC478" s="8">
        <v>29.0</v>
      </c>
      <c r="BD478" s="8" t="s">
        <v>2135</v>
      </c>
      <c r="BE478" s="8" t="s">
        <v>10917</v>
      </c>
      <c r="BF478" s="13" t="str">
        <f>HYPERLINK("http://dx.doi.org/10.1111/j.1469-7998.2011.00838.x","http://dx.doi.org/10.1111/j.1469-7998.2011.00838.x")</f>
        <v>http://dx.doi.org/10.1111/j.1469-7998.2011.00838.x</v>
      </c>
      <c r="BG478" s="8" t="s">
        <v>2135</v>
      </c>
      <c r="BH478" s="8" t="s">
        <v>2135</v>
      </c>
      <c r="BI478" s="8">
        <v>8.0</v>
      </c>
      <c r="BJ478" s="8" t="s">
        <v>3397</v>
      </c>
      <c r="BK478" s="8" t="s">
        <v>3352</v>
      </c>
      <c r="BL478" s="8" t="s">
        <v>3397</v>
      </c>
      <c r="BM478" s="8" t="s">
        <v>10918</v>
      </c>
      <c r="BN478" s="8" t="s">
        <v>2135</v>
      </c>
      <c r="BO478" s="8" t="s">
        <v>2135</v>
      </c>
      <c r="BP478" s="8" t="s">
        <v>2135</v>
      </c>
      <c r="BQ478" s="8" t="s">
        <v>2135</v>
      </c>
      <c r="BR478" s="8" t="s">
        <v>3355</v>
      </c>
      <c r="BS478" s="8" t="s">
        <v>10919</v>
      </c>
      <c r="BT478" s="8" t="s">
        <v>2497</v>
      </c>
      <c r="BU478" s="8" t="s">
        <v>2142</v>
      </c>
      <c r="BW478" s="8" t="s">
        <v>2143</v>
      </c>
      <c r="BX478" s="8" t="s">
        <v>2974</v>
      </c>
      <c r="BY478" s="8" t="s">
        <v>2959</v>
      </c>
      <c r="BZ478" s="8" t="str">
        <f>HYPERLINK("https%3A%2F%2Fwww.webofscience.com%2Fwos%2Fwoscc%2Ffull-record%2FWOS:000298095500003","View Full Record in Web of Science")</f>
        <v>View Full Record in Web of Science</v>
      </c>
    </row>
    <row r="479" ht="12.75" customHeight="1">
      <c r="A479" s="8" t="s">
        <v>3329</v>
      </c>
      <c r="B479" s="8" t="s">
        <v>10920</v>
      </c>
      <c r="C479" s="8" t="s">
        <v>2135</v>
      </c>
      <c r="D479" s="8" t="s">
        <v>2135</v>
      </c>
      <c r="E479" s="8" t="s">
        <v>2135</v>
      </c>
      <c r="F479" s="8" t="s">
        <v>10921</v>
      </c>
      <c r="G479" s="8" t="s">
        <v>2135</v>
      </c>
      <c r="H479" s="8" t="s">
        <v>2135</v>
      </c>
      <c r="I479" s="8" t="s">
        <v>1807</v>
      </c>
      <c r="J479" s="8" t="s">
        <v>10922</v>
      </c>
      <c r="K479" s="8" t="s">
        <v>2135</v>
      </c>
      <c r="L479" s="8" t="s">
        <v>2135</v>
      </c>
      <c r="M479" s="8" t="s">
        <v>3332</v>
      </c>
      <c r="N479" s="8" t="s">
        <v>3333</v>
      </c>
      <c r="O479" s="8" t="s">
        <v>2135</v>
      </c>
      <c r="P479" s="8" t="s">
        <v>2135</v>
      </c>
      <c r="Q479" s="8" t="s">
        <v>2135</v>
      </c>
      <c r="R479" s="8" t="s">
        <v>2135</v>
      </c>
      <c r="S479" s="8" t="s">
        <v>2135</v>
      </c>
      <c r="T479" s="8" t="s">
        <v>10923</v>
      </c>
      <c r="U479" s="8" t="s">
        <v>10924</v>
      </c>
      <c r="V479" s="8" t="s">
        <v>10925</v>
      </c>
      <c r="W479" s="8" t="s">
        <v>10926</v>
      </c>
      <c r="X479" s="8" t="s">
        <v>10927</v>
      </c>
      <c r="Y479" s="8" t="s">
        <v>10928</v>
      </c>
      <c r="Z479" s="8" t="s">
        <v>10929</v>
      </c>
      <c r="AA479" s="8" t="s">
        <v>2135</v>
      </c>
      <c r="AB479" s="8" t="s">
        <v>2135</v>
      </c>
      <c r="AC479" s="8" t="s">
        <v>10930</v>
      </c>
      <c r="AD479" s="8" t="s">
        <v>10931</v>
      </c>
      <c r="AE479" s="8" t="s">
        <v>10932</v>
      </c>
      <c r="AF479" s="8" t="s">
        <v>2135</v>
      </c>
      <c r="AG479" s="8">
        <v>46.0</v>
      </c>
      <c r="AH479" s="8">
        <v>16.0</v>
      </c>
      <c r="AI479" s="8">
        <v>16.0</v>
      </c>
      <c r="AJ479" s="8">
        <v>0.0</v>
      </c>
      <c r="AK479" s="8">
        <v>48.0</v>
      </c>
      <c r="AL479" s="8" t="s">
        <v>3342</v>
      </c>
      <c r="AM479" s="8" t="s">
        <v>3343</v>
      </c>
      <c r="AN479" s="8" t="s">
        <v>3344</v>
      </c>
      <c r="AO479" s="8" t="s">
        <v>10933</v>
      </c>
      <c r="AP479" s="8" t="s">
        <v>10934</v>
      </c>
      <c r="AQ479" s="8" t="s">
        <v>2135</v>
      </c>
      <c r="AR479" s="8" t="s">
        <v>10935</v>
      </c>
      <c r="AS479" s="8" t="s">
        <v>10936</v>
      </c>
      <c r="AT479" s="8" t="s">
        <v>3580</v>
      </c>
      <c r="AU479" s="8">
        <v>2011.0</v>
      </c>
      <c r="AV479" s="8">
        <v>30.0</v>
      </c>
      <c r="AW479" s="8">
        <v>10.0</v>
      </c>
      <c r="AX479" s="8" t="s">
        <v>2135</v>
      </c>
      <c r="AY479" s="8" t="s">
        <v>2135</v>
      </c>
      <c r="AZ479" s="8" t="s">
        <v>2135</v>
      </c>
      <c r="BA479" s="8" t="s">
        <v>2135</v>
      </c>
      <c r="BB479" s="8">
        <v>2184.0</v>
      </c>
      <c r="BC479" s="8">
        <v>2193.0</v>
      </c>
      <c r="BD479" s="8" t="s">
        <v>2135</v>
      </c>
      <c r="BE479" s="8" t="s">
        <v>10937</v>
      </c>
      <c r="BF479" s="13" t="str">
        <f>HYPERLINK("http://dx.doi.org/10.1002/etc.627","http://dx.doi.org/10.1002/etc.627")</f>
        <v>http://dx.doi.org/10.1002/etc.627</v>
      </c>
      <c r="BG479" s="8" t="s">
        <v>2135</v>
      </c>
      <c r="BH479" s="8" t="s">
        <v>2135</v>
      </c>
      <c r="BI479" s="8">
        <v>10.0</v>
      </c>
      <c r="BJ479" s="8" t="s">
        <v>10206</v>
      </c>
      <c r="BK479" s="8" t="s">
        <v>3352</v>
      </c>
      <c r="BL479" s="8" t="s">
        <v>10207</v>
      </c>
      <c r="BM479" s="8" t="s">
        <v>10938</v>
      </c>
      <c r="BN479" s="8">
        <v>2.1769923E7</v>
      </c>
      <c r="BO479" s="8" t="s">
        <v>2135</v>
      </c>
      <c r="BP479" s="8" t="s">
        <v>2135</v>
      </c>
      <c r="BQ479" s="8" t="s">
        <v>2135</v>
      </c>
      <c r="BR479" s="8" t="s">
        <v>3355</v>
      </c>
      <c r="BS479" s="8" t="s">
        <v>10939</v>
      </c>
      <c r="BT479" s="8" t="s">
        <v>2216</v>
      </c>
      <c r="BU479" s="8" t="s">
        <v>2147</v>
      </c>
      <c r="BV479" s="8" t="s">
        <v>2217</v>
      </c>
      <c r="BW479" s="8" t="s">
        <v>2237</v>
      </c>
      <c r="BX479" s="8" t="s">
        <v>2974</v>
      </c>
      <c r="BY479" s="8" t="s">
        <v>2959</v>
      </c>
      <c r="BZ479" s="8" t="str">
        <f>HYPERLINK("https%3A%2F%2Fwww.webofscience.com%2Fwos%2Fwoscc%2Ffull-record%2FWOS:000295309400002","View Full Record in Web of Science")</f>
        <v>View Full Record in Web of Science</v>
      </c>
    </row>
    <row r="480" ht="12.75" customHeight="1">
      <c r="A480" s="8" t="s">
        <v>3329</v>
      </c>
      <c r="B480" s="8" t="s">
        <v>10940</v>
      </c>
      <c r="C480" s="8" t="s">
        <v>2135</v>
      </c>
      <c r="D480" s="8" t="s">
        <v>2135</v>
      </c>
      <c r="E480" s="8" t="s">
        <v>2135</v>
      </c>
      <c r="F480" s="8" t="s">
        <v>10941</v>
      </c>
      <c r="G480" s="8" t="s">
        <v>2135</v>
      </c>
      <c r="H480" s="8" t="s">
        <v>2135</v>
      </c>
      <c r="I480" s="8" t="s">
        <v>1813</v>
      </c>
      <c r="J480" s="8" t="s">
        <v>10922</v>
      </c>
      <c r="K480" s="8" t="s">
        <v>2135</v>
      </c>
      <c r="L480" s="8" t="s">
        <v>2135</v>
      </c>
      <c r="M480" s="8" t="s">
        <v>3332</v>
      </c>
      <c r="N480" s="8" t="s">
        <v>3333</v>
      </c>
      <c r="O480" s="8" t="s">
        <v>2135</v>
      </c>
      <c r="P480" s="8" t="s">
        <v>2135</v>
      </c>
      <c r="Q480" s="8" t="s">
        <v>2135</v>
      </c>
      <c r="R480" s="8" t="s">
        <v>2135</v>
      </c>
      <c r="S480" s="8" t="s">
        <v>2135</v>
      </c>
      <c r="T480" s="8" t="s">
        <v>10942</v>
      </c>
      <c r="U480" s="8" t="s">
        <v>10943</v>
      </c>
      <c r="V480" s="8" t="s">
        <v>10944</v>
      </c>
      <c r="W480" s="8" t="s">
        <v>10945</v>
      </c>
      <c r="X480" s="8" t="s">
        <v>10946</v>
      </c>
      <c r="Y480" s="8" t="s">
        <v>10947</v>
      </c>
      <c r="Z480" s="8" t="s">
        <v>10948</v>
      </c>
      <c r="AA480" s="8" t="s">
        <v>10949</v>
      </c>
      <c r="AB480" s="8" t="s">
        <v>2135</v>
      </c>
      <c r="AC480" s="8" t="s">
        <v>10950</v>
      </c>
      <c r="AD480" s="8" t="s">
        <v>10951</v>
      </c>
      <c r="AE480" s="8" t="s">
        <v>10952</v>
      </c>
      <c r="AF480" s="8" t="s">
        <v>2135</v>
      </c>
      <c r="AG480" s="8">
        <v>39.0</v>
      </c>
      <c r="AH480" s="8">
        <v>11.0</v>
      </c>
      <c r="AI480" s="8">
        <v>12.0</v>
      </c>
      <c r="AJ480" s="8">
        <v>1.0</v>
      </c>
      <c r="AK480" s="8">
        <v>30.0</v>
      </c>
      <c r="AL480" s="8" t="s">
        <v>3342</v>
      </c>
      <c r="AM480" s="8" t="s">
        <v>3343</v>
      </c>
      <c r="AN480" s="8" t="s">
        <v>3344</v>
      </c>
      <c r="AO480" s="8" t="s">
        <v>10933</v>
      </c>
      <c r="AP480" s="8" t="s">
        <v>10934</v>
      </c>
      <c r="AQ480" s="8" t="s">
        <v>2135</v>
      </c>
      <c r="AR480" s="8" t="s">
        <v>10935</v>
      </c>
      <c r="AS480" s="8" t="s">
        <v>10936</v>
      </c>
      <c r="AT480" s="8" t="s">
        <v>3395</v>
      </c>
      <c r="AU480" s="8">
        <v>2011.0</v>
      </c>
      <c r="AV480" s="8">
        <v>30.0</v>
      </c>
      <c r="AW480" s="8">
        <v>8.0</v>
      </c>
      <c r="AX480" s="8" t="s">
        <v>2135</v>
      </c>
      <c r="AY480" s="8" t="s">
        <v>2135</v>
      </c>
      <c r="AZ480" s="8" t="s">
        <v>2135</v>
      </c>
      <c r="BA480" s="8" t="s">
        <v>2135</v>
      </c>
      <c r="BB480" s="8">
        <v>1879.0</v>
      </c>
      <c r="BC480" s="8">
        <v>1884.0</v>
      </c>
      <c r="BD480" s="8" t="s">
        <v>2135</v>
      </c>
      <c r="BE480" s="8" t="s">
        <v>10953</v>
      </c>
      <c r="BF480" s="13" t="str">
        <f>HYPERLINK("http://dx.doi.org/10.1002/etc.577","http://dx.doi.org/10.1002/etc.577")</f>
        <v>http://dx.doi.org/10.1002/etc.577</v>
      </c>
      <c r="BG480" s="8" t="s">
        <v>2135</v>
      </c>
      <c r="BH480" s="8" t="s">
        <v>2135</v>
      </c>
      <c r="BI480" s="8">
        <v>6.0</v>
      </c>
      <c r="BJ480" s="8" t="s">
        <v>10206</v>
      </c>
      <c r="BK480" s="8" t="s">
        <v>3352</v>
      </c>
      <c r="BL480" s="8" t="s">
        <v>10207</v>
      </c>
      <c r="BM480" s="8" t="s">
        <v>10954</v>
      </c>
      <c r="BN480" s="8">
        <v>2.1590711E7</v>
      </c>
      <c r="BO480" s="8" t="s">
        <v>2135</v>
      </c>
      <c r="BP480" s="8" t="s">
        <v>2135</v>
      </c>
      <c r="BQ480" s="8" t="s">
        <v>2135</v>
      </c>
      <c r="BR480" s="8" t="s">
        <v>3355</v>
      </c>
      <c r="BS480" s="8" t="s">
        <v>10955</v>
      </c>
      <c r="BT480" s="8" t="s">
        <v>2216</v>
      </c>
      <c r="BU480" s="8" t="s">
        <v>2147</v>
      </c>
      <c r="BV480" s="8" t="s">
        <v>2217</v>
      </c>
      <c r="BW480" s="8" t="s">
        <v>2234</v>
      </c>
      <c r="BX480" s="8" t="s">
        <v>2974</v>
      </c>
      <c r="BY480" s="8" t="s">
        <v>2959</v>
      </c>
      <c r="BZ480" s="8" t="str">
        <f>HYPERLINK("https%3A%2F%2Fwww.webofscience.com%2Fwos%2Fwoscc%2Ffull-record%2FWOS:000293060900018","View Full Record in Web of Science")</f>
        <v>View Full Record in Web of Science</v>
      </c>
    </row>
    <row r="481" ht="12.75" customHeight="1">
      <c r="A481" s="8" t="s">
        <v>3329</v>
      </c>
      <c r="B481" s="8" t="s">
        <v>10956</v>
      </c>
      <c r="C481" s="8" t="s">
        <v>2135</v>
      </c>
      <c r="D481" s="8" t="s">
        <v>2135</v>
      </c>
      <c r="E481" s="8" t="s">
        <v>2135</v>
      </c>
      <c r="F481" s="8" t="s">
        <v>10957</v>
      </c>
      <c r="G481" s="8" t="s">
        <v>2135</v>
      </c>
      <c r="H481" s="8" t="s">
        <v>2135</v>
      </c>
      <c r="I481" s="8" t="s">
        <v>1815</v>
      </c>
      <c r="J481" s="8" t="s">
        <v>10714</v>
      </c>
      <c r="K481" s="8" t="s">
        <v>2135</v>
      </c>
      <c r="L481" s="8" t="s">
        <v>2135</v>
      </c>
      <c r="M481" s="8" t="s">
        <v>3332</v>
      </c>
      <c r="N481" s="8" t="s">
        <v>3333</v>
      </c>
      <c r="O481" s="8" t="s">
        <v>2135</v>
      </c>
      <c r="P481" s="8" t="s">
        <v>2135</v>
      </c>
      <c r="Q481" s="8" t="s">
        <v>2135</v>
      </c>
      <c r="R481" s="8" t="s">
        <v>2135</v>
      </c>
      <c r="S481" s="8" t="s">
        <v>2135</v>
      </c>
      <c r="T481" s="8" t="s">
        <v>2135</v>
      </c>
      <c r="U481" s="8" t="s">
        <v>10958</v>
      </c>
      <c r="V481" s="8" t="s">
        <v>10959</v>
      </c>
      <c r="W481" s="8" t="s">
        <v>10960</v>
      </c>
      <c r="X481" s="8" t="s">
        <v>8928</v>
      </c>
      <c r="Y481" s="8" t="s">
        <v>10961</v>
      </c>
      <c r="Z481" s="8" t="s">
        <v>8538</v>
      </c>
      <c r="AA481" s="8" t="s">
        <v>10962</v>
      </c>
      <c r="AB481" s="8" t="s">
        <v>10963</v>
      </c>
      <c r="AC481" s="8" t="s">
        <v>10964</v>
      </c>
      <c r="AD481" s="8" t="s">
        <v>10964</v>
      </c>
      <c r="AE481" s="8" t="s">
        <v>10965</v>
      </c>
      <c r="AF481" s="8" t="s">
        <v>2135</v>
      </c>
      <c r="AG481" s="8">
        <v>57.0</v>
      </c>
      <c r="AH481" s="8">
        <v>18.0</v>
      </c>
      <c r="AI481" s="8">
        <v>20.0</v>
      </c>
      <c r="AJ481" s="8">
        <v>0.0</v>
      </c>
      <c r="AK481" s="8">
        <v>41.0</v>
      </c>
      <c r="AL481" s="8" t="s">
        <v>10723</v>
      </c>
      <c r="AM481" s="8" t="s">
        <v>9008</v>
      </c>
      <c r="AN481" s="8" t="s">
        <v>10724</v>
      </c>
      <c r="AO481" s="8" t="s">
        <v>10725</v>
      </c>
      <c r="AP481" s="8" t="s">
        <v>10726</v>
      </c>
      <c r="AQ481" s="8" t="s">
        <v>2135</v>
      </c>
      <c r="AR481" s="8" t="s">
        <v>10727</v>
      </c>
      <c r="AS481" s="8" t="s">
        <v>10728</v>
      </c>
      <c r="AT481" s="8" t="s">
        <v>10966</v>
      </c>
      <c r="AU481" s="8">
        <v>2011.0</v>
      </c>
      <c r="AV481" s="8">
        <v>45.0</v>
      </c>
      <c r="AW481" s="8">
        <v>5.0</v>
      </c>
      <c r="AX481" s="8" t="s">
        <v>2135</v>
      </c>
      <c r="AY481" s="8" t="s">
        <v>2135</v>
      </c>
      <c r="AZ481" s="8" t="s">
        <v>2135</v>
      </c>
      <c r="BA481" s="8" t="s">
        <v>2135</v>
      </c>
      <c r="BB481" s="8">
        <v>1911.0</v>
      </c>
      <c r="BC481" s="8">
        <v>1916.0</v>
      </c>
      <c r="BD481" s="8" t="s">
        <v>2135</v>
      </c>
      <c r="BE481" s="8" t="s">
        <v>10967</v>
      </c>
      <c r="BF481" s="13" t="str">
        <f>HYPERLINK("http://dx.doi.org/10.1021/es1034602","http://dx.doi.org/10.1021/es1034602")</f>
        <v>http://dx.doi.org/10.1021/es1034602</v>
      </c>
      <c r="BG481" s="8" t="s">
        <v>2135</v>
      </c>
      <c r="BH481" s="8" t="s">
        <v>2135</v>
      </c>
      <c r="BI481" s="8">
        <v>6.0</v>
      </c>
      <c r="BJ481" s="8" t="s">
        <v>5763</v>
      </c>
      <c r="BK481" s="8" t="s">
        <v>3352</v>
      </c>
      <c r="BL481" s="8" t="s">
        <v>5764</v>
      </c>
      <c r="BM481" s="8" t="s">
        <v>10968</v>
      </c>
      <c r="BN481" s="8">
        <v>2.1294545E7</v>
      </c>
      <c r="BO481" s="8" t="s">
        <v>2135</v>
      </c>
      <c r="BP481" s="8" t="s">
        <v>2135</v>
      </c>
      <c r="BQ481" s="8" t="s">
        <v>2135</v>
      </c>
      <c r="BR481" s="8" t="s">
        <v>3355</v>
      </c>
      <c r="BS481" s="8" t="s">
        <v>10969</v>
      </c>
      <c r="BT481" s="8" t="s">
        <v>2553</v>
      </c>
      <c r="BU481" s="8" t="s">
        <v>2142</v>
      </c>
      <c r="BW481" s="8" t="s">
        <v>2143</v>
      </c>
      <c r="BX481" s="8" t="s">
        <v>2974</v>
      </c>
      <c r="BY481" s="8" t="s">
        <v>2959</v>
      </c>
      <c r="BZ481" s="8" t="str">
        <f>HYPERLINK("https%3A%2F%2Fwww.webofscience.com%2Fwos%2Fwoscc%2Ffull-record%2FWOS:000287637100026","View Full Record in Web of Science")</f>
        <v>View Full Record in Web of Science</v>
      </c>
    </row>
    <row r="482" ht="12.75" customHeight="1">
      <c r="A482" s="8" t="s">
        <v>3329</v>
      </c>
      <c r="B482" s="8" t="s">
        <v>10970</v>
      </c>
      <c r="C482" s="8" t="s">
        <v>2135</v>
      </c>
      <c r="D482" s="8" t="s">
        <v>2135</v>
      </c>
      <c r="E482" s="8" t="s">
        <v>2135</v>
      </c>
      <c r="F482" s="8" t="s">
        <v>10971</v>
      </c>
      <c r="G482" s="8" t="s">
        <v>2135</v>
      </c>
      <c r="H482" s="8" t="s">
        <v>2135</v>
      </c>
      <c r="I482" s="8" t="s">
        <v>1811</v>
      </c>
      <c r="J482" s="8" t="s">
        <v>10922</v>
      </c>
      <c r="K482" s="8" t="s">
        <v>2135</v>
      </c>
      <c r="L482" s="8" t="s">
        <v>2135</v>
      </c>
      <c r="M482" s="8" t="s">
        <v>3332</v>
      </c>
      <c r="N482" s="8" t="s">
        <v>3333</v>
      </c>
      <c r="O482" s="8" t="s">
        <v>2135</v>
      </c>
      <c r="P482" s="8" t="s">
        <v>2135</v>
      </c>
      <c r="Q482" s="8" t="s">
        <v>2135</v>
      </c>
      <c r="R482" s="8" t="s">
        <v>2135</v>
      </c>
      <c r="S482" s="8" t="s">
        <v>2135</v>
      </c>
      <c r="T482" s="8" t="s">
        <v>10972</v>
      </c>
      <c r="U482" s="8" t="s">
        <v>10973</v>
      </c>
      <c r="V482" s="8" t="s">
        <v>10974</v>
      </c>
      <c r="W482" s="8" t="s">
        <v>10975</v>
      </c>
      <c r="X482" s="8" t="s">
        <v>10976</v>
      </c>
      <c r="Y482" s="8" t="s">
        <v>10977</v>
      </c>
      <c r="Z482" s="8" t="s">
        <v>10978</v>
      </c>
      <c r="AA482" s="8" t="s">
        <v>2135</v>
      </c>
      <c r="AB482" s="8" t="s">
        <v>2135</v>
      </c>
      <c r="AC482" s="8" t="s">
        <v>10742</v>
      </c>
      <c r="AD482" s="8" t="s">
        <v>10743</v>
      </c>
      <c r="AE482" s="8" t="s">
        <v>10979</v>
      </c>
      <c r="AF482" s="8" t="s">
        <v>2135</v>
      </c>
      <c r="AG482" s="8">
        <v>56.0</v>
      </c>
      <c r="AH482" s="8">
        <v>23.0</v>
      </c>
      <c r="AI482" s="8">
        <v>25.0</v>
      </c>
      <c r="AJ482" s="8">
        <v>0.0</v>
      </c>
      <c r="AK482" s="8">
        <v>59.0</v>
      </c>
      <c r="AL482" s="8" t="s">
        <v>3342</v>
      </c>
      <c r="AM482" s="8" t="s">
        <v>3343</v>
      </c>
      <c r="AN482" s="8" t="s">
        <v>3344</v>
      </c>
      <c r="AO482" s="8" t="s">
        <v>10933</v>
      </c>
      <c r="AP482" s="8" t="s">
        <v>10934</v>
      </c>
      <c r="AQ482" s="8" t="s">
        <v>2135</v>
      </c>
      <c r="AR482" s="8" t="s">
        <v>10935</v>
      </c>
      <c r="AS482" s="8" t="s">
        <v>10936</v>
      </c>
      <c r="AT482" s="8" t="s">
        <v>3721</v>
      </c>
      <c r="AU482" s="8">
        <v>2011.0</v>
      </c>
      <c r="AV482" s="8">
        <v>30.0</v>
      </c>
      <c r="AW482" s="8">
        <v>3.0</v>
      </c>
      <c r="AX482" s="8" t="s">
        <v>2135</v>
      </c>
      <c r="AY482" s="8" t="s">
        <v>2135</v>
      </c>
      <c r="AZ482" s="8" t="s">
        <v>2135</v>
      </c>
      <c r="BA482" s="8" t="s">
        <v>2135</v>
      </c>
      <c r="BB482" s="8">
        <v>659.0</v>
      </c>
      <c r="BC482" s="8">
        <v>672.0</v>
      </c>
      <c r="BD482" s="8" t="s">
        <v>2135</v>
      </c>
      <c r="BE482" s="8" t="s">
        <v>10980</v>
      </c>
      <c r="BF482" s="13" t="str">
        <f>HYPERLINK("http://dx.doi.org/10.1002/etc.415","http://dx.doi.org/10.1002/etc.415")</f>
        <v>http://dx.doi.org/10.1002/etc.415</v>
      </c>
      <c r="BG482" s="8" t="s">
        <v>2135</v>
      </c>
      <c r="BH482" s="8" t="s">
        <v>2135</v>
      </c>
      <c r="BI482" s="8">
        <v>14.0</v>
      </c>
      <c r="BJ482" s="8" t="s">
        <v>10206</v>
      </c>
      <c r="BK482" s="8" t="s">
        <v>3352</v>
      </c>
      <c r="BL482" s="8" t="s">
        <v>10207</v>
      </c>
      <c r="BM482" s="8" t="s">
        <v>10981</v>
      </c>
      <c r="BN482" s="8">
        <v>2.1298711E7</v>
      </c>
      <c r="BO482" s="8" t="s">
        <v>2135</v>
      </c>
      <c r="BP482" s="8" t="s">
        <v>2135</v>
      </c>
      <c r="BQ482" s="8" t="s">
        <v>2135</v>
      </c>
      <c r="BR482" s="8" t="s">
        <v>3355</v>
      </c>
      <c r="BS482" s="8" t="s">
        <v>10982</v>
      </c>
      <c r="BT482" s="8" t="s">
        <v>2600</v>
      </c>
      <c r="BU482" s="8" t="s">
        <v>2147</v>
      </c>
      <c r="BV482" s="8" t="s">
        <v>2217</v>
      </c>
      <c r="BW482" s="8" t="s">
        <v>2237</v>
      </c>
      <c r="BX482" s="8" t="s">
        <v>2974</v>
      </c>
      <c r="BY482" s="8" t="s">
        <v>2959</v>
      </c>
      <c r="BZ482" s="8" t="str">
        <f>HYPERLINK("https%3A%2F%2Fwww.webofscience.com%2Fwos%2Fwoscc%2Ffull-record%2FWOS:000287898800018","View Full Record in Web of Science")</f>
        <v>View Full Record in Web of Science</v>
      </c>
    </row>
    <row r="483" ht="12.75" customHeight="1">
      <c r="A483" s="8" t="s">
        <v>3329</v>
      </c>
      <c r="B483" s="8" t="s">
        <v>10983</v>
      </c>
      <c r="C483" s="8" t="s">
        <v>2135</v>
      </c>
      <c r="D483" s="8" t="s">
        <v>2135</v>
      </c>
      <c r="E483" s="8" t="s">
        <v>2135</v>
      </c>
      <c r="F483" s="8" t="s">
        <v>10984</v>
      </c>
      <c r="G483" s="8" t="s">
        <v>2135</v>
      </c>
      <c r="H483" s="8" t="s">
        <v>2135</v>
      </c>
      <c r="I483" s="8" t="s">
        <v>1801</v>
      </c>
      <c r="J483" s="8" t="s">
        <v>5340</v>
      </c>
      <c r="K483" s="8" t="s">
        <v>2135</v>
      </c>
      <c r="L483" s="8" t="s">
        <v>2135</v>
      </c>
      <c r="M483" s="8" t="s">
        <v>3332</v>
      </c>
      <c r="N483" s="8" t="s">
        <v>3333</v>
      </c>
      <c r="O483" s="8" t="s">
        <v>2135</v>
      </c>
      <c r="P483" s="8" t="s">
        <v>2135</v>
      </c>
      <c r="Q483" s="8" t="s">
        <v>2135</v>
      </c>
      <c r="R483" s="8" t="s">
        <v>2135</v>
      </c>
      <c r="S483" s="8" t="s">
        <v>2135</v>
      </c>
      <c r="T483" s="8" t="s">
        <v>2135</v>
      </c>
      <c r="U483" s="8" t="s">
        <v>10985</v>
      </c>
      <c r="V483" s="8" t="s">
        <v>10986</v>
      </c>
      <c r="W483" s="8" t="s">
        <v>10987</v>
      </c>
      <c r="X483" s="8" t="s">
        <v>10988</v>
      </c>
      <c r="Y483" s="8" t="s">
        <v>10989</v>
      </c>
      <c r="Z483" s="8" t="s">
        <v>10990</v>
      </c>
      <c r="AA483" s="8" t="s">
        <v>2135</v>
      </c>
      <c r="AB483" s="8" t="s">
        <v>2135</v>
      </c>
      <c r="AC483" s="8" t="s">
        <v>10991</v>
      </c>
      <c r="AD483" s="8" t="s">
        <v>10991</v>
      </c>
      <c r="AE483" s="8" t="s">
        <v>10992</v>
      </c>
      <c r="AF483" s="8" t="s">
        <v>2135</v>
      </c>
      <c r="AG483" s="8">
        <v>32.0</v>
      </c>
      <c r="AH483" s="8">
        <v>10.0</v>
      </c>
      <c r="AI483" s="8">
        <v>13.0</v>
      </c>
      <c r="AJ483" s="8">
        <v>0.0</v>
      </c>
      <c r="AK483" s="8">
        <v>38.0</v>
      </c>
      <c r="AL483" s="8" t="s">
        <v>5390</v>
      </c>
      <c r="AM483" s="8" t="s">
        <v>5391</v>
      </c>
      <c r="AN483" s="8" t="s">
        <v>5392</v>
      </c>
      <c r="AO483" s="8" t="s">
        <v>5348</v>
      </c>
      <c r="AP483" s="8" t="s">
        <v>5393</v>
      </c>
      <c r="AQ483" s="8" t="s">
        <v>2135</v>
      </c>
      <c r="AR483" s="8" t="s">
        <v>5349</v>
      </c>
      <c r="AS483" s="8" t="s">
        <v>5350</v>
      </c>
      <c r="AT483" s="8" t="s">
        <v>6888</v>
      </c>
      <c r="AU483" s="8">
        <v>2010.0</v>
      </c>
      <c r="AV483" s="8">
        <v>84.0</v>
      </c>
      <c r="AW483" s="8">
        <v>1.0</v>
      </c>
      <c r="AX483" s="8" t="s">
        <v>2135</v>
      </c>
      <c r="AY483" s="8" t="s">
        <v>2135</v>
      </c>
      <c r="AZ483" s="8" t="s">
        <v>2135</v>
      </c>
      <c r="BA483" s="8" t="s">
        <v>2135</v>
      </c>
      <c r="BB483" s="8">
        <v>1.0</v>
      </c>
      <c r="BC483" s="8">
        <v>8.0</v>
      </c>
      <c r="BD483" s="8" t="s">
        <v>2135</v>
      </c>
      <c r="BE483" s="8" t="s">
        <v>10993</v>
      </c>
      <c r="BF483" s="13" t="str">
        <f>HYPERLINK("http://dx.doi.org/10.3955/046.084.0101","http://dx.doi.org/10.3955/046.084.0101")</f>
        <v>http://dx.doi.org/10.3955/046.084.0101</v>
      </c>
      <c r="BG483" s="8" t="s">
        <v>2135</v>
      </c>
      <c r="BH483" s="8" t="s">
        <v>2135</v>
      </c>
      <c r="BI483" s="8">
        <v>8.0</v>
      </c>
      <c r="BJ483" s="8" t="s">
        <v>3681</v>
      </c>
      <c r="BK483" s="8" t="s">
        <v>3352</v>
      </c>
      <c r="BL483" s="8" t="s">
        <v>3632</v>
      </c>
      <c r="BM483" s="8" t="s">
        <v>10994</v>
      </c>
      <c r="BN483" s="8" t="s">
        <v>2135</v>
      </c>
      <c r="BO483" s="8" t="s">
        <v>2135</v>
      </c>
      <c r="BP483" s="8" t="s">
        <v>2135</v>
      </c>
      <c r="BQ483" s="8" t="s">
        <v>2135</v>
      </c>
      <c r="BR483" s="8" t="s">
        <v>3355</v>
      </c>
      <c r="BS483" s="8" t="s">
        <v>10995</v>
      </c>
      <c r="BT483" s="8" t="s">
        <v>2216</v>
      </c>
      <c r="BU483" s="8" t="s">
        <v>2147</v>
      </c>
      <c r="BV483" s="8" t="s">
        <v>2217</v>
      </c>
      <c r="BW483" s="8" t="s">
        <v>2234</v>
      </c>
      <c r="BX483" s="8" t="s">
        <v>3030</v>
      </c>
      <c r="BY483" s="8" t="s">
        <v>2959</v>
      </c>
      <c r="BZ483" s="8" t="str">
        <f>HYPERLINK("https%3A%2F%2Fwww.webofscience.com%2Fwos%2Fwoscc%2Ffull-record%2FWOS:000274561000001","View Full Record in Web of Science")</f>
        <v>View Full Record in Web of Science</v>
      </c>
    </row>
    <row r="484" ht="12.75" customHeight="1">
      <c r="A484" s="8" t="s">
        <v>3329</v>
      </c>
      <c r="B484" s="8" t="s">
        <v>10996</v>
      </c>
      <c r="C484" s="8" t="s">
        <v>2135</v>
      </c>
      <c r="D484" s="8" t="s">
        <v>2135</v>
      </c>
      <c r="E484" s="8" t="s">
        <v>2135</v>
      </c>
      <c r="F484" s="8" t="s">
        <v>10997</v>
      </c>
      <c r="G484" s="8" t="s">
        <v>2135</v>
      </c>
      <c r="H484" s="8" t="s">
        <v>2135</v>
      </c>
      <c r="I484" s="8" t="s">
        <v>1805</v>
      </c>
      <c r="J484" s="8" t="s">
        <v>10193</v>
      </c>
      <c r="K484" s="8" t="s">
        <v>2135</v>
      </c>
      <c r="L484" s="8" t="s">
        <v>2135</v>
      </c>
      <c r="M484" s="8" t="s">
        <v>3332</v>
      </c>
      <c r="N484" s="8" t="s">
        <v>3333</v>
      </c>
      <c r="O484" s="8" t="s">
        <v>2135</v>
      </c>
      <c r="P484" s="8" t="s">
        <v>2135</v>
      </c>
      <c r="Q484" s="8" t="s">
        <v>2135</v>
      </c>
      <c r="R484" s="8" t="s">
        <v>2135</v>
      </c>
      <c r="S484" s="8" t="s">
        <v>2135</v>
      </c>
      <c r="T484" s="8" t="s">
        <v>2135</v>
      </c>
      <c r="U484" s="8" t="s">
        <v>10998</v>
      </c>
      <c r="V484" s="8" t="s">
        <v>10999</v>
      </c>
      <c r="W484" s="8" t="s">
        <v>11000</v>
      </c>
      <c r="X484" s="8" t="s">
        <v>4127</v>
      </c>
      <c r="Y484" s="8" t="s">
        <v>11001</v>
      </c>
      <c r="Z484" s="8" t="s">
        <v>11002</v>
      </c>
      <c r="AA484" s="8" t="s">
        <v>11003</v>
      </c>
      <c r="AB484" s="8" t="s">
        <v>11004</v>
      </c>
      <c r="AC484" s="8" t="s">
        <v>11005</v>
      </c>
      <c r="AD484" s="8" t="s">
        <v>11006</v>
      </c>
      <c r="AE484" s="8" t="s">
        <v>11007</v>
      </c>
      <c r="AF484" s="8" t="s">
        <v>2135</v>
      </c>
      <c r="AG484" s="8">
        <v>51.0</v>
      </c>
      <c r="AH484" s="8">
        <v>5.0</v>
      </c>
      <c r="AI484" s="8">
        <v>7.0</v>
      </c>
      <c r="AJ484" s="8">
        <v>0.0</v>
      </c>
      <c r="AK484" s="8">
        <v>49.0</v>
      </c>
      <c r="AL484" s="8" t="s">
        <v>3479</v>
      </c>
      <c r="AM484" s="8" t="s">
        <v>3480</v>
      </c>
      <c r="AN484" s="8" t="s">
        <v>3481</v>
      </c>
      <c r="AO484" s="8" t="s">
        <v>10201</v>
      </c>
      <c r="AP484" s="8" t="s">
        <v>10202</v>
      </c>
      <c r="AQ484" s="8" t="s">
        <v>2135</v>
      </c>
      <c r="AR484" s="8" t="s">
        <v>10203</v>
      </c>
      <c r="AS484" s="8" t="s">
        <v>10204</v>
      </c>
      <c r="AT484" s="8" t="s">
        <v>3440</v>
      </c>
      <c r="AU484" s="8">
        <v>2010.0</v>
      </c>
      <c r="AV484" s="8">
        <v>59.0</v>
      </c>
      <c r="AW484" s="8">
        <v>4.0</v>
      </c>
      <c r="AX484" s="8" t="s">
        <v>2135</v>
      </c>
      <c r="AY484" s="8" t="s">
        <v>2135</v>
      </c>
      <c r="AZ484" s="8" t="s">
        <v>2135</v>
      </c>
      <c r="BA484" s="8" t="s">
        <v>2135</v>
      </c>
      <c r="BB484" s="8">
        <v>652.0</v>
      </c>
      <c r="BC484" s="8">
        <v>660.0</v>
      </c>
      <c r="BD484" s="8" t="s">
        <v>2135</v>
      </c>
      <c r="BE484" s="8" t="s">
        <v>11008</v>
      </c>
      <c r="BF484" s="13" t="str">
        <f>HYPERLINK("http://dx.doi.org/10.1007/s00244-010-9510-9","http://dx.doi.org/10.1007/s00244-010-9510-9")</f>
        <v>http://dx.doi.org/10.1007/s00244-010-9510-9</v>
      </c>
      <c r="BG484" s="8" t="s">
        <v>2135</v>
      </c>
      <c r="BH484" s="8" t="s">
        <v>2135</v>
      </c>
      <c r="BI484" s="8">
        <v>9.0</v>
      </c>
      <c r="BJ484" s="8" t="s">
        <v>10206</v>
      </c>
      <c r="BK484" s="8" t="s">
        <v>3352</v>
      </c>
      <c r="BL484" s="8" t="s">
        <v>10207</v>
      </c>
      <c r="BM484" s="8" t="s">
        <v>11009</v>
      </c>
      <c r="BN484" s="8">
        <v>2.0383701E7</v>
      </c>
      <c r="BO484" s="8" t="s">
        <v>2135</v>
      </c>
      <c r="BP484" s="8" t="s">
        <v>2135</v>
      </c>
      <c r="BQ484" s="8" t="s">
        <v>2135</v>
      </c>
      <c r="BR484" s="8" t="s">
        <v>3355</v>
      </c>
      <c r="BS484" s="8" t="s">
        <v>11010</v>
      </c>
      <c r="BT484" s="8" t="s">
        <v>2450</v>
      </c>
      <c r="BU484" s="8" t="s">
        <v>2142</v>
      </c>
      <c r="BW484" s="8" t="s">
        <v>2143</v>
      </c>
      <c r="BX484" s="8" t="s">
        <v>2974</v>
      </c>
      <c r="BY484" s="8" t="s">
        <v>2959</v>
      </c>
      <c r="BZ484" s="8" t="str">
        <f>HYPERLINK("https%3A%2F%2Fwww.webofscience.com%2Fwos%2Fwoscc%2Ffull-record%2FWOS:000283098800014","View Full Record in Web of Science")</f>
        <v>View Full Record in Web of Science</v>
      </c>
    </row>
    <row r="485" ht="12.75" customHeight="1">
      <c r="A485" s="8" t="s">
        <v>3329</v>
      </c>
      <c r="B485" s="8" t="s">
        <v>11011</v>
      </c>
      <c r="C485" s="8" t="s">
        <v>2135</v>
      </c>
      <c r="D485" s="8" t="s">
        <v>2135</v>
      </c>
      <c r="E485" s="8" t="s">
        <v>2135</v>
      </c>
      <c r="F485" s="8" t="s">
        <v>11012</v>
      </c>
      <c r="G485" s="8" t="s">
        <v>2135</v>
      </c>
      <c r="H485" s="8" t="s">
        <v>2135</v>
      </c>
      <c r="I485" s="8" t="s">
        <v>1803</v>
      </c>
      <c r="J485" s="8" t="s">
        <v>10676</v>
      </c>
      <c r="K485" s="8" t="s">
        <v>2135</v>
      </c>
      <c r="L485" s="8" t="s">
        <v>2135</v>
      </c>
      <c r="M485" s="8" t="s">
        <v>3332</v>
      </c>
      <c r="N485" s="8" t="s">
        <v>3333</v>
      </c>
      <c r="O485" s="8" t="s">
        <v>2135</v>
      </c>
      <c r="P485" s="8" t="s">
        <v>2135</v>
      </c>
      <c r="Q485" s="8" t="s">
        <v>2135</v>
      </c>
      <c r="R485" s="8" t="s">
        <v>2135</v>
      </c>
      <c r="S485" s="8" t="s">
        <v>2135</v>
      </c>
      <c r="T485" s="8" t="s">
        <v>11013</v>
      </c>
      <c r="U485" s="8" t="s">
        <v>11014</v>
      </c>
      <c r="V485" s="8" t="s">
        <v>11015</v>
      </c>
      <c r="W485" s="8" t="s">
        <v>11016</v>
      </c>
      <c r="X485" s="8" t="s">
        <v>11017</v>
      </c>
      <c r="Y485" s="8" t="s">
        <v>11018</v>
      </c>
      <c r="Z485" s="8" t="s">
        <v>11019</v>
      </c>
      <c r="AA485" s="8" t="s">
        <v>11020</v>
      </c>
      <c r="AB485" s="8" t="s">
        <v>11021</v>
      </c>
      <c r="AC485" s="8" t="s">
        <v>11022</v>
      </c>
      <c r="AD485" s="8" t="s">
        <v>11023</v>
      </c>
      <c r="AE485" s="8" t="s">
        <v>11024</v>
      </c>
      <c r="AF485" s="8" t="s">
        <v>2135</v>
      </c>
      <c r="AG485" s="8">
        <v>42.0</v>
      </c>
      <c r="AH485" s="8">
        <v>36.0</v>
      </c>
      <c r="AI485" s="8">
        <v>40.0</v>
      </c>
      <c r="AJ485" s="8">
        <v>0.0</v>
      </c>
      <c r="AK485" s="8">
        <v>50.0</v>
      </c>
      <c r="AL485" s="8" t="s">
        <v>10180</v>
      </c>
      <c r="AM485" s="8" t="s">
        <v>3759</v>
      </c>
      <c r="AN485" s="8" t="s">
        <v>10181</v>
      </c>
      <c r="AO485" s="8" t="s">
        <v>10689</v>
      </c>
      <c r="AP485" s="8" t="s">
        <v>10690</v>
      </c>
      <c r="AQ485" s="8" t="s">
        <v>2135</v>
      </c>
      <c r="AR485" s="8" t="s">
        <v>10676</v>
      </c>
      <c r="AS485" s="8" t="s">
        <v>10691</v>
      </c>
      <c r="AT485" s="8" t="s">
        <v>3395</v>
      </c>
      <c r="AU485" s="8">
        <v>2010.0</v>
      </c>
      <c r="AV485" s="8">
        <v>80.0</v>
      </c>
      <c r="AW485" s="8">
        <v>10.0</v>
      </c>
      <c r="AX485" s="8" t="s">
        <v>2135</v>
      </c>
      <c r="AY485" s="8" t="s">
        <v>2135</v>
      </c>
      <c r="AZ485" s="8" t="s">
        <v>2135</v>
      </c>
      <c r="BA485" s="8" t="s">
        <v>2135</v>
      </c>
      <c r="BB485" s="8">
        <v>1120.0</v>
      </c>
      <c r="BC485" s="8">
        <v>1124.0</v>
      </c>
      <c r="BD485" s="8" t="s">
        <v>2135</v>
      </c>
      <c r="BE485" s="8" t="s">
        <v>11025</v>
      </c>
      <c r="BF485" s="13" t="str">
        <f>HYPERLINK("http://dx.doi.org/10.1016/j.chemosphere.2010.06.026","http://dx.doi.org/10.1016/j.chemosphere.2010.06.026")</f>
        <v>http://dx.doi.org/10.1016/j.chemosphere.2010.06.026</v>
      </c>
      <c r="BG485" s="8" t="s">
        <v>2135</v>
      </c>
      <c r="BH485" s="8" t="s">
        <v>2135</v>
      </c>
      <c r="BI485" s="8">
        <v>5.0</v>
      </c>
      <c r="BJ485" s="8" t="s">
        <v>6399</v>
      </c>
      <c r="BK485" s="8" t="s">
        <v>3352</v>
      </c>
      <c r="BL485" s="8" t="s">
        <v>3632</v>
      </c>
      <c r="BM485" s="8" t="s">
        <v>11026</v>
      </c>
      <c r="BN485" s="8">
        <v>2.0594572E7</v>
      </c>
      <c r="BO485" s="8" t="s">
        <v>2135</v>
      </c>
      <c r="BP485" s="8" t="s">
        <v>2135</v>
      </c>
      <c r="BQ485" s="8" t="s">
        <v>2135</v>
      </c>
      <c r="BR485" s="8" t="s">
        <v>3355</v>
      </c>
      <c r="BS485" s="8" t="s">
        <v>11027</v>
      </c>
      <c r="BT485" s="8" t="s">
        <v>2325</v>
      </c>
      <c r="BU485" s="8" t="s">
        <v>2142</v>
      </c>
      <c r="BW485" s="8" t="s">
        <v>2143</v>
      </c>
      <c r="BX485" s="8" t="s">
        <v>3030</v>
      </c>
      <c r="BY485" s="8" t="s">
        <v>2959</v>
      </c>
      <c r="BZ485" s="8" t="str">
        <f>HYPERLINK("https%3A%2F%2Fwww.webofscience.com%2Fwos%2Fwoscc%2Ffull-record%2FWOS:000281330900002","View Full Record in Web of Science")</f>
        <v>View Full Record in Web of Science</v>
      </c>
    </row>
    <row r="486" ht="12.75" customHeight="1">
      <c r="A486" s="8" t="s">
        <v>3329</v>
      </c>
      <c r="B486" s="8" t="s">
        <v>11028</v>
      </c>
      <c r="C486" s="8" t="s">
        <v>2135</v>
      </c>
      <c r="D486" s="8" t="s">
        <v>2135</v>
      </c>
      <c r="E486" s="8" t="s">
        <v>2135</v>
      </c>
      <c r="F486" s="8" t="s">
        <v>11029</v>
      </c>
      <c r="G486" s="8" t="s">
        <v>2135</v>
      </c>
      <c r="H486" s="8" t="s">
        <v>2135</v>
      </c>
      <c r="I486" s="8" t="s">
        <v>1797</v>
      </c>
      <c r="J486" s="8" t="s">
        <v>10170</v>
      </c>
      <c r="K486" s="8" t="s">
        <v>2135</v>
      </c>
      <c r="L486" s="8" t="s">
        <v>2135</v>
      </c>
      <c r="M486" s="8" t="s">
        <v>3332</v>
      </c>
      <c r="N486" s="8" t="s">
        <v>3333</v>
      </c>
      <c r="O486" s="8" t="s">
        <v>2135</v>
      </c>
      <c r="P486" s="8" t="s">
        <v>2135</v>
      </c>
      <c r="Q486" s="8" t="s">
        <v>2135</v>
      </c>
      <c r="R486" s="8" t="s">
        <v>2135</v>
      </c>
      <c r="S486" s="8" t="s">
        <v>2135</v>
      </c>
      <c r="T486" s="8" t="s">
        <v>11030</v>
      </c>
      <c r="U486" s="8" t="s">
        <v>11031</v>
      </c>
      <c r="V486" s="8" t="s">
        <v>11032</v>
      </c>
      <c r="W486" s="8" t="s">
        <v>11033</v>
      </c>
      <c r="X486" s="8" t="s">
        <v>11034</v>
      </c>
      <c r="Y486" s="8" t="s">
        <v>11035</v>
      </c>
      <c r="Z486" s="8" t="s">
        <v>11036</v>
      </c>
      <c r="AA486" s="8" t="s">
        <v>2135</v>
      </c>
      <c r="AB486" s="8" t="s">
        <v>2135</v>
      </c>
      <c r="AC486" s="8" t="s">
        <v>10545</v>
      </c>
      <c r="AD486" s="8" t="s">
        <v>10546</v>
      </c>
      <c r="AE486" s="8" t="s">
        <v>11037</v>
      </c>
      <c r="AF486" s="8" t="s">
        <v>2135</v>
      </c>
      <c r="AG486" s="8">
        <v>57.0</v>
      </c>
      <c r="AH486" s="8">
        <v>7.0</v>
      </c>
      <c r="AI486" s="8">
        <v>8.0</v>
      </c>
      <c r="AJ486" s="8">
        <v>0.0</v>
      </c>
      <c r="AK486" s="8">
        <v>44.0</v>
      </c>
      <c r="AL486" s="8" t="s">
        <v>10180</v>
      </c>
      <c r="AM486" s="8" t="s">
        <v>3759</v>
      </c>
      <c r="AN486" s="8" t="s">
        <v>10181</v>
      </c>
      <c r="AO486" s="8" t="s">
        <v>10182</v>
      </c>
      <c r="AP486" s="8" t="s">
        <v>10183</v>
      </c>
      <c r="AQ486" s="8" t="s">
        <v>2135</v>
      </c>
      <c r="AR486" s="8" t="s">
        <v>10184</v>
      </c>
      <c r="AS486" s="8" t="s">
        <v>10185</v>
      </c>
      <c r="AT486" s="8" t="s">
        <v>3349</v>
      </c>
      <c r="AU486" s="8">
        <v>2010.0</v>
      </c>
      <c r="AV486" s="8">
        <v>60.0</v>
      </c>
      <c r="AW486" s="8">
        <v>6.0</v>
      </c>
      <c r="AX486" s="8" t="s">
        <v>2135</v>
      </c>
      <c r="AY486" s="8" t="s">
        <v>2135</v>
      </c>
      <c r="AZ486" s="8" t="s">
        <v>2135</v>
      </c>
      <c r="BA486" s="8" t="s">
        <v>2135</v>
      </c>
      <c r="BB486" s="8">
        <v>861.0</v>
      </c>
      <c r="BC486" s="8">
        <v>872.0</v>
      </c>
      <c r="BD486" s="8" t="s">
        <v>2135</v>
      </c>
      <c r="BE486" s="8" t="s">
        <v>11038</v>
      </c>
      <c r="BF486" s="13" t="str">
        <f>HYPERLINK("http://dx.doi.org/10.1016/j.marpolbul.2010.01.005","http://dx.doi.org/10.1016/j.marpolbul.2010.01.005")</f>
        <v>http://dx.doi.org/10.1016/j.marpolbul.2010.01.005</v>
      </c>
      <c r="BG486" s="8" t="s">
        <v>2135</v>
      </c>
      <c r="BH486" s="8" t="s">
        <v>2135</v>
      </c>
      <c r="BI486" s="8">
        <v>12.0</v>
      </c>
      <c r="BJ486" s="8" t="s">
        <v>10187</v>
      </c>
      <c r="BK486" s="8" t="s">
        <v>3352</v>
      </c>
      <c r="BL486" s="8" t="s">
        <v>10188</v>
      </c>
      <c r="BM486" s="8" t="s">
        <v>11039</v>
      </c>
      <c r="BN486" s="8">
        <v>2.0132952E7</v>
      </c>
      <c r="BO486" s="8" t="s">
        <v>2135</v>
      </c>
      <c r="BP486" s="8" t="s">
        <v>2135</v>
      </c>
      <c r="BQ486" s="8" t="s">
        <v>2135</v>
      </c>
      <c r="BR486" s="8" t="s">
        <v>3355</v>
      </c>
      <c r="BS486" s="8" t="s">
        <v>11040</v>
      </c>
      <c r="BT486" s="8" t="s">
        <v>2600</v>
      </c>
      <c r="BU486" s="8" t="s">
        <v>2147</v>
      </c>
      <c r="BV486" s="8" t="s">
        <v>2217</v>
      </c>
      <c r="BW486" s="8" t="s">
        <v>2237</v>
      </c>
      <c r="BX486" s="8" t="s">
        <v>2974</v>
      </c>
      <c r="BY486" s="8" t="s">
        <v>2959</v>
      </c>
      <c r="BZ486" s="8" t="str">
        <f>HYPERLINK("https%3A%2F%2Fwww.webofscience.com%2Fwos%2Fwoscc%2Ffull-record%2FWOS:000279798800018","View Full Record in Web of Science")</f>
        <v>View Full Record in Web of Science</v>
      </c>
    </row>
    <row r="487" ht="12.75" customHeight="1">
      <c r="A487" s="8" t="s">
        <v>3329</v>
      </c>
      <c r="B487" s="8" t="s">
        <v>11041</v>
      </c>
      <c r="C487" s="8" t="s">
        <v>2135</v>
      </c>
      <c r="D487" s="8" t="s">
        <v>2135</v>
      </c>
      <c r="E487" s="8" t="s">
        <v>2135</v>
      </c>
      <c r="F487" s="8" t="s">
        <v>11042</v>
      </c>
      <c r="G487" s="8" t="s">
        <v>2135</v>
      </c>
      <c r="H487" s="8" t="s">
        <v>2135</v>
      </c>
      <c r="I487" s="8" t="s">
        <v>1799</v>
      </c>
      <c r="J487" s="8" t="s">
        <v>10922</v>
      </c>
      <c r="K487" s="8" t="s">
        <v>2135</v>
      </c>
      <c r="L487" s="8" t="s">
        <v>2135</v>
      </c>
      <c r="M487" s="8" t="s">
        <v>3332</v>
      </c>
      <c r="N487" s="8" t="s">
        <v>3333</v>
      </c>
      <c r="O487" s="8" t="s">
        <v>2135</v>
      </c>
      <c r="P487" s="8" t="s">
        <v>2135</v>
      </c>
      <c r="Q487" s="8" t="s">
        <v>2135</v>
      </c>
      <c r="R487" s="8" t="s">
        <v>2135</v>
      </c>
      <c r="S487" s="8" t="s">
        <v>2135</v>
      </c>
      <c r="T487" s="8" t="s">
        <v>11043</v>
      </c>
      <c r="U487" s="8" t="s">
        <v>11044</v>
      </c>
      <c r="V487" s="8" t="s">
        <v>11045</v>
      </c>
      <c r="W487" s="8" t="s">
        <v>11046</v>
      </c>
      <c r="X487" s="8" t="s">
        <v>11047</v>
      </c>
      <c r="Y487" s="8" t="s">
        <v>11048</v>
      </c>
      <c r="Z487" s="8" t="s">
        <v>10990</v>
      </c>
      <c r="AA487" s="8" t="s">
        <v>2135</v>
      </c>
      <c r="AB487" s="8" t="s">
        <v>2135</v>
      </c>
      <c r="AC487" s="8" t="s">
        <v>11049</v>
      </c>
      <c r="AD487" s="8" t="s">
        <v>11049</v>
      </c>
      <c r="AE487" s="8" t="s">
        <v>11050</v>
      </c>
      <c r="AF487" s="8" t="s">
        <v>2135</v>
      </c>
      <c r="AG487" s="8">
        <v>46.0</v>
      </c>
      <c r="AH487" s="8">
        <v>42.0</v>
      </c>
      <c r="AI487" s="8">
        <v>50.0</v>
      </c>
      <c r="AJ487" s="8">
        <v>0.0</v>
      </c>
      <c r="AK487" s="8">
        <v>41.0</v>
      </c>
      <c r="AL487" s="8" t="s">
        <v>3342</v>
      </c>
      <c r="AM487" s="8" t="s">
        <v>3343</v>
      </c>
      <c r="AN487" s="8" t="s">
        <v>3344</v>
      </c>
      <c r="AO487" s="8" t="s">
        <v>10933</v>
      </c>
      <c r="AP487" s="8" t="s">
        <v>10934</v>
      </c>
      <c r="AQ487" s="8" t="s">
        <v>2135</v>
      </c>
      <c r="AR487" s="8" t="s">
        <v>10935</v>
      </c>
      <c r="AS487" s="8" t="s">
        <v>10936</v>
      </c>
      <c r="AT487" s="8" t="s">
        <v>3485</v>
      </c>
      <c r="AU487" s="8">
        <v>2010.0</v>
      </c>
      <c r="AV487" s="8">
        <v>29.0</v>
      </c>
      <c r="AW487" s="8">
        <v>2.0</v>
      </c>
      <c r="AX487" s="8" t="s">
        <v>2135</v>
      </c>
      <c r="AY487" s="8" t="s">
        <v>2135</v>
      </c>
      <c r="AZ487" s="8" t="s">
        <v>2135</v>
      </c>
      <c r="BA487" s="8" t="s">
        <v>2135</v>
      </c>
      <c r="BB487" s="8">
        <v>275.0</v>
      </c>
      <c r="BC487" s="8">
        <v>284.0</v>
      </c>
      <c r="BD487" s="8" t="s">
        <v>2135</v>
      </c>
      <c r="BE487" s="8" t="s">
        <v>11051</v>
      </c>
      <c r="BF487" s="13" t="str">
        <f>HYPERLINK("http://dx.doi.org/10.1002/etc.53","http://dx.doi.org/10.1002/etc.53")</f>
        <v>http://dx.doi.org/10.1002/etc.53</v>
      </c>
      <c r="BG487" s="8" t="s">
        <v>2135</v>
      </c>
      <c r="BH487" s="8" t="s">
        <v>2135</v>
      </c>
      <c r="BI487" s="8">
        <v>10.0</v>
      </c>
      <c r="BJ487" s="8" t="s">
        <v>10206</v>
      </c>
      <c r="BK487" s="8" t="s">
        <v>3352</v>
      </c>
      <c r="BL487" s="8" t="s">
        <v>10207</v>
      </c>
      <c r="BM487" s="8" t="s">
        <v>11052</v>
      </c>
      <c r="BN487" s="8">
        <v>2.0821445E7</v>
      </c>
      <c r="BO487" s="8" t="s">
        <v>3445</v>
      </c>
      <c r="BP487" s="8" t="s">
        <v>2135</v>
      </c>
      <c r="BQ487" s="8" t="s">
        <v>2135</v>
      </c>
      <c r="BR487" s="8" t="s">
        <v>3355</v>
      </c>
      <c r="BS487" s="8" t="s">
        <v>11053</v>
      </c>
      <c r="BT487" s="8" t="s">
        <v>2216</v>
      </c>
      <c r="BU487" s="8" t="s">
        <v>2147</v>
      </c>
      <c r="BV487" s="8" t="s">
        <v>2217</v>
      </c>
      <c r="BW487" s="8" t="s">
        <v>2234</v>
      </c>
      <c r="BX487" s="8" t="s">
        <v>3030</v>
      </c>
      <c r="BY487" s="8" t="s">
        <v>2959</v>
      </c>
      <c r="BZ487" s="8" t="str">
        <f>HYPERLINK("https%3A%2F%2Fwww.webofscience.com%2Fwos%2Fwoscc%2Ffull-record%2FWOS:000274272500006","View Full Record in Web of Science")</f>
        <v>View Full Record in Web of Science</v>
      </c>
    </row>
    <row r="488" ht="12.75" customHeight="1">
      <c r="A488" s="8" t="s">
        <v>3329</v>
      </c>
      <c r="B488" s="8" t="s">
        <v>11054</v>
      </c>
      <c r="C488" s="8" t="s">
        <v>2135</v>
      </c>
      <c r="D488" s="8" t="s">
        <v>2135</v>
      </c>
      <c r="E488" s="8" t="s">
        <v>2135</v>
      </c>
      <c r="F488" s="8" t="s">
        <v>11055</v>
      </c>
      <c r="G488" s="8" t="s">
        <v>2135</v>
      </c>
      <c r="H488" s="8" t="s">
        <v>2135</v>
      </c>
      <c r="I488" s="8" t="s">
        <v>1795</v>
      </c>
      <c r="J488" s="8" t="s">
        <v>4864</v>
      </c>
      <c r="K488" s="8" t="s">
        <v>2135</v>
      </c>
      <c r="L488" s="8" t="s">
        <v>2135</v>
      </c>
      <c r="M488" s="8" t="s">
        <v>3332</v>
      </c>
      <c r="N488" s="8" t="s">
        <v>3333</v>
      </c>
      <c r="O488" s="8" t="s">
        <v>2135</v>
      </c>
      <c r="P488" s="8" t="s">
        <v>2135</v>
      </c>
      <c r="Q488" s="8" t="s">
        <v>2135</v>
      </c>
      <c r="R488" s="8" t="s">
        <v>2135</v>
      </c>
      <c r="S488" s="8" t="s">
        <v>2135</v>
      </c>
      <c r="T488" s="8" t="s">
        <v>11056</v>
      </c>
      <c r="U488" s="8" t="s">
        <v>11057</v>
      </c>
      <c r="V488" s="8" t="s">
        <v>11058</v>
      </c>
      <c r="W488" s="8" t="s">
        <v>11059</v>
      </c>
      <c r="X488" s="8" t="s">
        <v>11060</v>
      </c>
      <c r="Y488" s="8" t="s">
        <v>11061</v>
      </c>
      <c r="Z488" s="8" t="s">
        <v>10862</v>
      </c>
      <c r="AA488" s="8" t="s">
        <v>11062</v>
      </c>
      <c r="AB488" s="8" t="s">
        <v>11063</v>
      </c>
      <c r="AC488" s="8" t="s">
        <v>11064</v>
      </c>
      <c r="AD488" s="8" t="s">
        <v>11065</v>
      </c>
      <c r="AE488" s="8" t="s">
        <v>11066</v>
      </c>
      <c r="AF488" s="8" t="s">
        <v>2135</v>
      </c>
      <c r="AG488" s="8">
        <v>51.0</v>
      </c>
      <c r="AH488" s="8">
        <v>29.0</v>
      </c>
      <c r="AI488" s="8">
        <v>33.0</v>
      </c>
      <c r="AJ488" s="8">
        <v>0.0</v>
      </c>
      <c r="AK488" s="8">
        <v>52.0</v>
      </c>
      <c r="AL488" s="8" t="s">
        <v>4033</v>
      </c>
      <c r="AM488" s="8" t="s">
        <v>3343</v>
      </c>
      <c r="AN488" s="8" t="s">
        <v>3344</v>
      </c>
      <c r="AO488" s="8" t="s">
        <v>4873</v>
      </c>
      <c r="AP488" s="8" t="s">
        <v>4874</v>
      </c>
      <c r="AQ488" s="8" t="s">
        <v>2135</v>
      </c>
      <c r="AR488" s="8" t="s">
        <v>4875</v>
      </c>
      <c r="AS488" s="8" t="s">
        <v>4876</v>
      </c>
      <c r="AT488" s="8" t="s">
        <v>3580</v>
      </c>
      <c r="AU488" s="8">
        <v>2009.0</v>
      </c>
      <c r="AV488" s="8">
        <v>12.0</v>
      </c>
      <c r="AW488" s="8">
        <v>5.0</v>
      </c>
      <c r="AX488" s="8" t="s">
        <v>2135</v>
      </c>
      <c r="AY488" s="8" t="s">
        <v>2135</v>
      </c>
      <c r="AZ488" s="8" t="s">
        <v>2135</v>
      </c>
      <c r="BA488" s="8" t="s">
        <v>2135</v>
      </c>
      <c r="BB488" s="8">
        <v>400.0</v>
      </c>
      <c r="BC488" s="8">
        <v>407.0</v>
      </c>
      <c r="BD488" s="8" t="s">
        <v>2135</v>
      </c>
      <c r="BE488" s="8" t="s">
        <v>11067</v>
      </c>
      <c r="BF488" s="13" t="str">
        <f>HYPERLINK("http://dx.doi.org/10.1111/j.1469-1795.2009.00263.x","http://dx.doi.org/10.1111/j.1469-1795.2009.00263.x")</f>
        <v>http://dx.doi.org/10.1111/j.1469-1795.2009.00263.x</v>
      </c>
      <c r="BG488" s="8" t="s">
        <v>2135</v>
      </c>
      <c r="BH488" s="8" t="s">
        <v>2135</v>
      </c>
      <c r="BI488" s="8">
        <v>8.0</v>
      </c>
      <c r="BJ488" s="8" t="s">
        <v>3558</v>
      </c>
      <c r="BK488" s="8" t="s">
        <v>3352</v>
      </c>
      <c r="BL488" s="8" t="s">
        <v>3353</v>
      </c>
      <c r="BM488" s="8" t="s">
        <v>11068</v>
      </c>
      <c r="BN488" s="8" t="s">
        <v>2135</v>
      </c>
      <c r="BO488" s="8" t="s">
        <v>2135</v>
      </c>
      <c r="BP488" s="8" t="s">
        <v>2135</v>
      </c>
      <c r="BQ488" s="8" t="s">
        <v>2135</v>
      </c>
      <c r="BR488" s="8" t="s">
        <v>3355</v>
      </c>
      <c r="BS488" s="8" t="s">
        <v>11069</v>
      </c>
      <c r="BT488" s="8" t="s">
        <v>2497</v>
      </c>
      <c r="BU488" s="8" t="s">
        <v>2142</v>
      </c>
      <c r="BW488" s="8" t="s">
        <v>2143</v>
      </c>
      <c r="BX488" s="8" t="s">
        <v>2974</v>
      </c>
      <c r="BY488" s="8" t="s">
        <v>2959</v>
      </c>
      <c r="BZ488" s="8" t="str">
        <f>HYPERLINK("https%3A%2F%2Fwww.webofscience.com%2Fwos%2Fwoscc%2Ffull-record%2FWOS:000270140600004","View Full Record in Web of Science")</f>
        <v>View Full Record in Web of Science</v>
      </c>
    </row>
    <row r="489" ht="12.75" customHeight="1">
      <c r="A489" s="8" t="s">
        <v>3329</v>
      </c>
      <c r="B489" s="8" t="s">
        <v>11070</v>
      </c>
      <c r="C489" s="8" t="s">
        <v>2135</v>
      </c>
      <c r="D489" s="8" t="s">
        <v>2135</v>
      </c>
      <c r="E489" s="8" t="s">
        <v>2135</v>
      </c>
      <c r="F489" s="8" t="s">
        <v>11071</v>
      </c>
      <c r="G489" s="8" t="s">
        <v>2135</v>
      </c>
      <c r="H489" s="8" t="s">
        <v>2135</v>
      </c>
      <c r="I489" s="8" t="s">
        <v>1793</v>
      </c>
      <c r="J489" s="8" t="s">
        <v>10676</v>
      </c>
      <c r="K489" s="8" t="s">
        <v>2135</v>
      </c>
      <c r="L489" s="8" t="s">
        <v>2135</v>
      </c>
      <c r="M489" s="8" t="s">
        <v>3332</v>
      </c>
      <c r="N489" s="8" t="s">
        <v>3333</v>
      </c>
      <c r="O489" s="8" t="s">
        <v>2135</v>
      </c>
      <c r="P489" s="8" t="s">
        <v>2135</v>
      </c>
      <c r="Q489" s="8" t="s">
        <v>2135</v>
      </c>
      <c r="R489" s="8" t="s">
        <v>2135</v>
      </c>
      <c r="S489" s="8" t="s">
        <v>2135</v>
      </c>
      <c r="T489" s="8" t="s">
        <v>11072</v>
      </c>
      <c r="U489" s="8" t="s">
        <v>2135</v>
      </c>
      <c r="V489" s="8" t="s">
        <v>11073</v>
      </c>
      <c r="W489" s="8" t="s">
        <v>11074</v>
      </c>
      <c r="X489" s="8" t="s">
        <v>11075</v>
      </c>
      <c r="Y489" s="8" t="s">
        <v>11076</v>
      </c>
      <c r="Z489" s="8" t="s">
        <v>11077</v>
      </c>
      <c r="AA489" s="8" t="s">
        <v>4799</v>
      </c>
      <c r="AB489" s="8" t="s">
        <v>11078</v>
      </c>
      <c r="AC489" s="8" t="s">
        <v>11079</v>
      </c>
      <c r="AD489" s="8" t="s">
        <v>11080</v>
      </c>
      <c r="AE489" s="8" t="s">
        <v>11081</v>
      </c>
      <c r="AF489" s="8" t="s">
        <v>2135</v>
      </c>
      <c r="AG489" s="8">
        <v>10.0</v>
      </c>
      <c r="AH489" s="8">
        <v>27.0</v>
      </c>
      <c r="AI489" s="8">
        <v>27.0</v>
      </c>
      <c r="AJ489" s="8">
        <v>0.0</v>
      </c>
      <c r="AK489" s="8">
        <v>15.0</v>
      </c>
      <c r="AL489" s="8" t="s">
        <v>10180</v>
      </c>
      <c r="AM489" s="8" t="s">
        <v>3759</v>
      </c>
      <c r="AN489" s="8" t="s">
        <v>10181</v>
      </c>
      <c r="AO489" s="8" t="s">
        <v>10689</v>
      </c>
      <c r="AP489" s="8" t="s">
        <v>2135</v>
      </c>
      <c r="AQ489" s="8" t="s">
        <v>2135</v>
      </c>
      <c r="AR489" s="8" t="s">
        <v>10676</v>
      </c>
      <c r="AS489" s="8" t="s">
        <v>10691</v>
      </c>
      <c r="AT489" s="8" t="s">
        <v>3485</v>
      </c>
      <c r="AU489" s="8">
        <v>2009.0</v>
      </c>
      <c r="AV489" s="8">
        <v>74.0</v>
      </c>
      <c r="AW489" s="8">
        <v>5.0</v>
      </c>
      <c r="AX489" s="8" t="s">
        <v>2135</v>
      </c>
      <c r="AY489" s="8" t="s">
        <v>2135</v>
      </c>
      <c r="AZ489" s="8" t="s">
        <v>2135</v>
      </c>
      <c r="BA489" s="8" t="s">
        <v>2135</v>
      </c>
      <c r="BB489" s="8">
        <v>741.0</v>
      </c>
      <c r="BC489" s="8">
        <v>743.0</v>
      </c>
      <c r="BD489" s="8" t="s">
        <v>2135</v>
      </c>
      <c r="BE489" s="8" t="s">
        <v>11082</v>
      </c>
      <c r="BF489" s="13" t="str">
        <f>HYPERLINK("http://dx.doi.org/10.1016/j.chemosphere.2008.10.022","http://dx.doi.org/10.1016/j.chemosphere.2008.10.022")</f>
        <v>http://dx.doi.org/10.1016/j.chemosphere.2008.10.022</v>
      </c>
      <c r="BG489" s="8" t="s">
        <v>2135</v>
      </c>
      <c r="BH489" s="8" t="s">
        <v>2135</v>
      </c>
      <c r="BI489" s="8">
        <v>3.0</v>
      </c>
      <c r="BJ489" s="8" t="s">
        <v>6399</v>
      </c>
      <c r="BK489" s="8" t="s">
        <v>3352</v>
      </c>
      <c r="BL489" s="8" t="s">
        <v>3632</v>
      </c>
      <c r="BM489" s="8" t="s">
        <v>11083</v>
      </c>
      <c r="BN489" s="8">
        <v>1.90364E7</v>
      </c>
      <c r="BO489" s="8" t="s">
        <v>2135</v>
      </c>
      <c r="BP489" s="8" t="s">
        <v>2135</v>
      </c>
      <c r="BQ489" s="8" t="s">
        <v>2135</v>
      </c>
      <c r="BR489" s="8" t="s">
        <v>3355</v>
      </c>
      <c r="BS489" s="8" t="s">
        <v>11084</v>
      </c>
      <c r="BT489" s="8" t="s">
        <v>2352</v>
      </c>
      <c r="BU489" s="8" t="s">
        <v>2142</v>
      </c>
      <c r="BW489" s="8" t="s">
        <v>2143</v>
      </c>
      <c r="BX489" s="8" t="s">
        <v>2974</v>
      </c>
      <c r="BY489" s="8" t="s">
        <v>2959</v>
      </c>
      <c r="BZ489" s="8" t="str">
        <f>HYPERLINK("https%3A%2F%2Fwww.webofscience.com%2Fwos%2Fwoscc%2Ffull-record%2FWOS:000263400000019","View Full Record in Web of Science")</f>
        <v>View Full Record in Web of Science</v>
      </c>
    </row>
    <row r="490" ht="12.75" customHeight="1">
      <c r="A490" s="8" t="s">
        <v>3329</v>
      </c>
      <c r="B490" s="8" t="s">
        <v>11085</v>
      </c>
      <c r="C490" s="8" t="s">
        <v>2135</v>
      </c>
      <c r="D490" s="8" t="s">
        <v>2135</v>
      </c>
      <c r="E490" s="8" t="s">
        <v>2135</v>
      </c>
      <c r="F490" s="8" t="s">
        <v>11086</v>
      </c>
      <c r="G490" s="8" t="s">
        <v>2135</v>
      </c>
      <c r="H490" s="8" t="s">
        <v>2135</v>
      </c>
      <c r="I490" s="8" t="s">
        <v>1785</v>
      </c>
      <c r="J490" s="8" t="s">
        <v>7783</v>
      </c>
      <c r="K490" s="8" t="s">
        <v>2135</v>
      </c>
      <c r="L490" s="8" t="s">
        <v>2135</v>
      </c>
      <c r="M490" s="8" t="s">
        <v>3332</v>
      </c>
      <c r="N490" s="8" t="s">
        <v>3333</v>
      </c>
      <c r="O490" s="8" t="s">
        <v>2135</v>
      </c>
      <c r="P490" s="8" t="s">
        <v>2135</v>
      </c>
      <c r="Q490" s="8" t="s">
        <v>2135</v>
      </c>
      <c r="R490" s="8" t="s">
        <v>2135</v>
      </c>
      <c r="S490" s="8" t="s">
        <v>2135</v>
      </c>
      <c r="T490" s="8" t="s">
        <v>11087</v>
      </c>
      <c r="U490" s="8" t="s">
        <v>11088</v>
      </c>
      <c r="V490" s="8" t="s">
        <v>11089</v>
      </c>
      <c r="W490" s="8" t="s">
        <v>11090</v>
      </c>
      <c r="X490" s="8" t="s">
        <v>11091</v>
      </c>
      <c r="Y490" s="8" t="s">
        <v>11092</v>
      </c>
      <c r="Z490" s="8" t="s">
        <v>11093</v>
      </c>
      <c r="AA490" s="8" t="s">
        <v>11094</v>
      </c>
      <c r="AB490" s="8" t="s">
        <v>11095</v>
      </c>
      <c r="AC490" s="8" t="s">
        <v>2135</v>
      </c>
      <c r="AD490" s="8" t="s">
        <v>2135</v>
      </c>
      <c r="AE490" s="8" t="s">
        <v>2135</v>
      </c>
      <c r="AF490" s="8" t="s">
        <v>2135</v>
      </c>
      <c r="AG490" s="8">
        <v>51.0</v>
      </c>
      <c r="AH490" s="8">
        <v>88.0</v>
      </c>
      <c r="AI490" s="8">
        <v>98.0</v>
      </c>
      <c r="AJ490" s="8">
        <v>0.0</v>
      </c>
      <c r="AK490" s="8">
        <v>48.0</v>
      </c>
      <c r="AL490" s="8" t="s">
        <v>3366</v>
      </c>
      <c r="AM490" s="8" t="s">
        <v>3367</v>
      </c>
      <c r="AN490" s="8" t="s">
        <v>3368</v>
      </c>
      <c r="AO490" s="8" t="s">
        <v>7796</v>
      </c>
      <c r="AP490" s="8" t="s">
        <v>7797</v>
      </c>
      <c r="AQ490" s="8" t="s">
        <v>2135</v>
      </c>
      <c r="AR490" s="8" t="s">
        <v>7798</v>
      </c>
      <c r="AS490" s="8" t="s">
        <v>7799</v>
      </c>
      <c r="AT490" s="8" t="s">
        <v>10587</v>
      </c>
      <c r="AU490" s="8">
        <v>2008.0</v>
      </c>
      <c r="AV490" s="8">
        <v>399.0</v>
      </c>
      <c r="AW490" s="8" t="s">
        <v>6879</v>
      </c>
      <c r="AX490" s="8" t="s">
        <v>2135</v>
      </c>
      <c r="AY490" s="8" t="s">
        <v>2135</v>
      </c>
      <c r="AZ490" s="8" t="s">
        <v>2135</v>
      </c>
      <c r="BA490" s="8" t="s">
        <v>2135</v>
      </c>
      <c r="BB490" s="8">
        <v>193.0</v>
      </c>
      <c r="BC490" s="8">
        <v>201.0</v>
      </c>
      <c r="BD490" s="8" t="s">
        <v>2135</v>
      </c>
      <c r="BE490" s="8" t="s">
        <v>11096</v>
      </c>
      <c r="BF490" s="13" t="str">
        <f>HYPERLINK("http://dx.doi.org/10.1016/j.scitotenv.2008.03.038","http://dx.doi.org/10.1016/j.scitotenv.2008.03.038")</f>
        <v>http://dx.doi.org/10.1016/j.scitotenv.2008.03.038</v>
      </c>
      <c r="BG490" s="8" t="s">
        <v>2135</v>
      </c>
      <c r="BH490" s="8" t="s">
        <v>2135</v>
      </c>
      <c r="BI490" s="8">
        <v>9.0</v>
      </c>
      <c r="BJ490" s="8" t="s">
        <v>6399</v>
      </c>
      <c r="BK490" s="8" t="s">
        <v>3352</v>
      </c>
      <c r="BL490" s="8" t="s">
        <v>3632</v>
      </c>
      <c r="BM490" s="8" t="s">
        <v>11097</v>
      </c>
      <c r="BN490" s="8">
        <v>1.8455757E7</v>
      </c>
      <c r="BO490" s="8" t="s">
        <v>2135</v>
      </c>
      <c r="BP490" s="8" t="s">
        <v>2135</v>
      </c>
      <c r="BQ490" s="8" t="s">
        <v>2135</v>
      </c>
      <c r="BR490" s="8" t="s">
        <v>3355</v>
      </c>
      <c r="BS490" s="8" t="s">
        <v>11098</v>
      </c>
      <c r="BT490" s="8" t="s">
        <v>2497</v>
      </c>
      <c r="BU490" s="8" t="s">
        <v>2142</v>
      </c>
      <c r="BW490" s="8" t="s">
        <v>2311</v>
      </c>
      <c r="BX490" s="8" t="s">
        <v>2974</v>
      </c>
      <c r="BY490" s="8" t="s">
        <v>2959</v>
      </c>
      <c r="BZ490" s="8" t="str">
        <f>HYPERLINK("https%3A%2F%2Fwww.webofscience.com%2Fwos%2Fwoscc%2Ffull-record%2FWOS:000257569000021","View Full Record in Web of Science")</f>
        <v>View Full Record in Web of Science</v>
      </c>
    </row>
    <row r="491" ht="12.75" customHeight="1">
      <c r="A491" s="8" t="s">
        <v>3329</v>
      </c>
      <c r="B491" s="8" t="s">
        <v>11099</v>
      </c>
      <c r="C491" s="8" t="s">
        <v>2135</v>
      </c>
      <c r="D491" s="8" t="s">
        <v>2135</v>
      </c>
      <c r="E491" s="8" t="s">
        <v>2135</v>
      </c>
      <c r="F491" s="8" t="s">
        <v>11100</v>
      </c>
      <c r="G491" s="8" t="s">
        <v>2135</v>
      </c>
      <c r="H491" s="8" t="s">
        <v>2135</v>
      </c>
      <c r="I491" s="8" t="s">
        <v>1791</v>
      </c>
      <c r="J491" s="8" t="s">
        <v>7783</v>
      </c>
      <c r="K491" s="8" t="s">
        <v>2135</v>
      </c>
      <c r="L491" s="8" t="s">
        <v>2135</v>
      </c>
      <c r="M491" s="8" t="s">
        <v>3332</v>
      </c>
      <c r="N491" s="8" t="s">
        <v>3333</v>
      </c>
      <c r="O491" s="8" t="s">
        <v>2135</v>
      </c>
      <c r="P491" s="8" t="s">
        <v>2135</v>
      </c>
      <c r="Q491" s="8" t="s">
        <v>2135</v>
      </c>
      <c r="R491" s="8" t="s">
        <v>2135</v>
      </c>
      <c r="S491" s="8" t="s">
        <v>2135</v>
      </c>
      <c r="T491" s="8" t="s">
        <v>11101</v>
      </c>
      <c r="U491" s="8" t="s">
        <v>11102</v>
      </c>
      <c r="V491" s="8" t="s">
        <v>11103</v>
      </c>
      <c r="W491" s="8" t="s">
        <v>11104</v>
      </c>
      <c r="X491" s="8" t="s">
        <v>10988</v>
      </c>
      <c r="Y491" s="8" t="s">
        <v>10989</v>
      </c>
      <c r="Z491" s="8" t="s">
        <v>10990</v>
      </c>
      <c r="AA491" s="8" t="s">
        <v>2135</v>
      </c>
      <c r="AB491" s="8" t="s">
        <v>2135</v>
      </c>
      <c r="AC491" s="8" t="s">
        <v>2135</v>
      </c>
      <c r="AD491" s="8" t="s">
        <v>2135</v>
      </c>
      <c r="AE491" s="8" t="s">
        <v>2135</v>
      </c>
      <c r="AF491" s="8" t="s">
        <v>2135</v>
      </c>
      <c r="AG491" s="8">
        <v>60.0</v>
      </c>
      <c r="AH491" s="8">
        <v>29.0</v>
      </c>
      <c r="AI491" s="8">
        <v>33.0</v>
      </c>
      <c r="AJ491" s="8">
        <v>1.0</v>
      </c>
      <c r="AK491" s="8">
        <v>32.0</v>
      </c>
      <c r="AL491" s="8" t="s">
        <v>3366</v>
      </c>
      <c r="AM491" s="8" t="s">
        <v>3367</v>
      </c>
      <c r="AN491" s="8" t="s">
        <v>3368</v>
      </c>
      <c r="AO491" s="8" t="s">
        <v>7796</v>
      </c>
      <c r="AP491" s="8" t="s">
        <v>2135</v>
      </c>
      <c r="AQ491" s="8" t="s">
        <v>2135</v>
      </c>
      <c r="AR491" s="8" t="s">
        <v>7798</v>
      </c>
      <c r="AS491" s="8" t="s">
        <v>7799</v>
      </c>
      <c r="AT491" s="8" t="s">
        <v>4668</v>
      </c>
      <c r="AU491" s="8">
        <v>2008.0</v>
      </c>
      <c r="AV491" s="8">
        <v>397.0</v>
      </c>
      <c r="AW491" s="8" t="s">
        <v>6879</v>
      </c>
      <c r="AX491" s="8" t="s">
        <v>2135</v>
      </c>
      <c r="AY491" s="8" t="s">
        <v>2135</v>
      </c>
      <c r="AZ491" s="8" t="s">
        <v>2135</v>
      </c>
      <c r="BA491" s="8" t="s">
        <v>2135</v>
      </c>
      <c r="BB491" s="8">
        <v>58.0</v>
      </c>
      <c r="BC491" s="8">
        <v>71.0</v>
      </c>
      <c r="BD491" s="8" t="s">
        <v>2135</v>
      </c>
      <c r="BE491" s="8" t="s">
        <v>11105</v>
      </c>
      <c r="BF491" s="13" t="str">
        <f>HYPERLINK("http://dx.doi.org/10.1016/j.scitotenv.2008.01.063","http://dx.doi.org/10.1016/j.scitotenv.2008.01.063")</f>
        <v>http://dx.doi.org/10.1016/j.scitotenv.2008.01.063</v>
      </c>
      <c r="BG491" s="8" t="s">
        <v>2135</v>
      </c>
      <c r="BH491" s="8" t="s">
        <v>2135</v>
      </c>
      <c r="BI491" s="8">
        <v>14.0</v>
      </c>
      <c r="BJ491" s="8" t="s">
        <v>6399</v>
      </c>
      <c r="BK491" s="8" t="s">
        <v>3352</v>
      </c>
      <c r="BL491" s="8" t="s">
        <v>3632</v>
      </c>
      <c r="BM491" s="8" t="s">
        <v>11106</v>
      </c>
      <c r="BN491" s="8">
        <v>1.8433835E7</v>
      </c>
      <c r="BO491" s="8" t="s">
        <v>2135</v>
      </c>
      <c r="BP491" s="8" t="s">
        <v>2135</v>
      </c>
      <c r="BQ491" s="8" t="s">
        <v>2135</v>
      </c>
      <c r="BR491" s="8" t="s">
        <v>3355</v>
      </c>
      <c r="BS491" s="8" t="s">
        <v>11107</v>
      </c>
      <c r="BT491" s="8" t="s">
        <v>2216</v>
      </c>
      <c r="BU491" s="8" t="s">
        <v>2147</v>
      </c>
      <c r="BV491" s="8" t="s">
        <v>2217</v>
      </c>
      <c r="BW491" s="8" t="s">
        <v>2234</v>
      </c>
      <c r="BX491" s="8" t="s">
        <v>3030</v>
      </c>
      <c r="BY491" s="8" t="s">
        <v>2959</v>
      </c>
      <c r="BZ491" s="8" t="str">
        <f>HYPERLINK("https%3A%2F%2Fwww.webofscience.com%2Fwos%2Fwoscc%2Ffull-record%2FWOS:000256923000007","View Full Record in Web of Science")</f>
        <v>View Full Record in Web of Science</v>
      </c>
    </row>
    <row r="492" ht="12.75" customHeight="1">
      <c r="A492" s="8" t="s">
        <v>3329</v>
      </c>
      <c r="B492" s="8" t="s">
        <v>11108</v>
      </c>
      <c r="C492" s="8" t="s">
        <v>2135</v>
      </c>
      <c r="D492" s="8" t="s">
        <v>2135</v>
      </c>
      <c r="E492" s="8" t="s">
        <v>2135</v>
      </c>
      <c r="F492" s="8" t="s">
        <v>11109</v>
      </c>
      <c r="G492" s="8" t="s">
        <v>2135</v>
      </c>
      <c r="H492" s="8" t="s">
        <v>2135</v>
      </c>
      <c r="I492" s="8" t="s">
        <v>1789</v>
      </c>
      <c r="J492" s="8" t="s">
        <v>10735</v>
      </c>
      <c r="K492" s="8" t="s">
        <v>2135</v>
      </c>
      <c r="L492" s="8" t="s">
        <v>2135</v>
      </c>
      <c r="M492" s="8" t="s">
        <v>3332</v>
      </c>
      <c r="N492" s="8" t="s">
        <v>3492</v>
      </c>
      <c r="O492" s="8" t="s">
        <v>2135</v>
      </c>
      <c r="P492" s="8" t="s">
        <v>2135</v>
      </c>
      <c r="Q492" s="8" t="s">
        <v>2135</v>
      </c>
      <c r="R492" s="8" t="s">
        <v>2135</v>
      </c>
      <c r="S492" s="8" t="s">
        <v>2135</v>
      </c>
      <c r="T492" s="8" t="s">
        <v>11110</v>
      </c>
      <c r="U492" s="8" t="s">
        <v>11111</v>
      </c>
      <c r="V492" s="8" t="s">
        <v>11112</v>
      </c>
      <c r="W492" s="8" t="s">
        <v>11113</v>
      </c>
      <c r="X492" s="8" t="s">
        <v>11114</v>
      </c>
      <c r="Y492" s="8" t="s">
        <v>11115</v>
      </c>
      <c r="Z492" s="8" t="s">
        <v>11116</v>
      </c>
      <c r="AA492" s="8" t="s">
        <v>2135</v>
      </c>
      <c r="AB492" s="8" t="s">
        <v>11117</v>
      </c>
      <c r="AC492" s="8" t="s">
        <v>2135</v>
      </c>
      <c r="AD492" s="8" t="s">
        <v>2135</v>
      </c>
      <c r="AE492" s="8" t="s">
        <v>2135</v>
      </c>
      <c r="AF492" s="8" t="s">
        <v>2135</v>
      </c>
      <c r="AG492" s="8">
        <v>102.0</v>
      </c>
      <c r="AH492" s="8">
        <v>78.0</v>
      </c>
      <c r="AI492" s="8">
        <v>90.0</v>
      </c>
      <c r="AJ492" s="8">
        <v>0.0</v>
      </c>
      <c r="AK492" s="8">
        <v>86.0</v>
      </c>
      <c r="AL492" s="8" t="s">
        <v>10745</v>
      </c>
      <c r="AM492" s="8" t="s">
        <v>10746</v>
      </c>
      <c r="AN492" s="8" t="s">
        <v>10747</v>
      </c>
      <c r="AO492" s="8" t="s">
        <v>10748</v>
      </c>
      <c r="AP492" s="8" t="s">
        <v>10749</v>
      </c>
      <c r="AQ492" s="8" t="s">
        <v>2135</v>
      </c>
      <c r="AR492" s="8" t="s">
        <v>10750</v>
      </c>
      <c r="AS492" s="8" t="s">
        <v>10751</v>
      </c>
      <c r="AT492" s="8" t="s">
        <v>2135</v>
      </c>
      <c r="AU492" s="8">
        <v>2008.0</v>
      </c>
      <c r="AV492" s="8">
        <v>14.0</v>
      </c>
      <c r="AW492" s="8">
        <v>3.0</v>
      </c>
      <c r="AX492" s="8" t="s">
        <v>2135</v>
      </c>
      <c r="AY492" s="8" t="s">
        <v>2135</v>
      </c>
      <c r="AZ492" s="8" t="s">
        <v>2135</v>
      </c>
      <c r="BA492" s="8" t="s">
        <v>2135</v>
      </c>
      <c r="BB492" s="8">
        <v>544.0</v>
      </c>
      <c r="BC492" s="8">
        <v>567.0</v>
      </c>
      <c r="BD492" s="8" t="s">
        <v>2135</v>
      </c>
      <c r="BE492" s="8" t="s">
        <v>11118</v>
      </c>
      <c r="BF492" s="13" t="str">
        <f>HYPERLINK("http://dx.doi.org/10.1080/10807030802074220","http://dx.doi.org/10.1080/10807030802074220")</f>
        <v>http://dx.doi.org/10.1080/10807030802074220</v>
      </c>
      <c r="BG492" s="8" t="s">
        <v>2135</v>
      </c>
      <c r="BH492" s="8" t="s">
        <v>2135</v>
      </c>
      <c r="BI492" s="8">
        <v>24.0</v>
      </c>
      <c r="BJ492" s="8" t="s">
        <v>4401</v>
      </c>
      <c r="BK492" s="8" t="s">
        <v>3352</v>
      </c>
      <c r="BL492" s="8" t="s">
        <v>3353</v>
      </c>
      <c r="BM492" s="8" t="s">
        <v>11119</v>
      </c>
      <c r="BN492" s="8" t="s">
        <v>2135</v>
      </c>
      <c r="BO492" s="8" t="s">
        <v>2135</v>
      </c>
      <c r="BP492" s="8" t="s">
        <v>2135</v>
      </c>
      <c r="BQ492" s="8" t="s">
        <v>2135</v>
      </c>
      <c r="BR492" s="8" t="s">
        <v>3355</v>
      </c>
      <c r="BS492" s="8" t="s">
        <v>11120</v>
      </c>
      <c r="BT492" s="8" t="s">
        <v>2600</v>
      </c>
      <c r="BU492" s="8" t="s">
        <v>2147</v>
      </c>
      <c r="BV492" s="8" t="s">
        <v>2217</v>
      </c>
      <c r="BW492" s="8" t="s">
        <v>2237</v>
      </c>
      <c r="BX492" s="8" t="s">
        <v>2974</v>
      </c>
      <c r="BY492" s="8" t="s">
        <v>2959</v>
      </c>
      <c r="BZ492" s="8" t="str">
        <f>HYPERLINK("https%3A%2F%2Fwww.webofscience.com%2Fwos%2Fwoscc%2Ffull-record%2FWOS:000256941100008","View Full Record in Web of Science")</f>
        <v>View Full Record in Web of Science</v>
      </c>
    </row>
    <row r="493" ht="12.75" customHeight="1">
      <c r="A493" s="8" t="s">
        <v>3329</v>
      </c>
      <c r="B493" s="8" t="s">
        <v>11121</v>
      </c>
      <c r="C493" s="8" t="s">
        <v>2135</v>
      </c>
      <c r="D493" s="8" t="s">
        <v>2135</v>
      </c>
      <c r="E493" s="8" t="s">
        <v>2135</v>
      </c>
      <c r="F493" s="8" t="s">
        <v>11122</v>
      </c>
      <c r="G493" s="8" t="s">
        <v>2135</v>
      </c>
      <c r="H493" s="8" t="s">
        <v>2135</v>
      </c>
      <c r="I493" s="8" t="s">
        <v>1783</v>
      </c>
      <c r="J493" s="8" t="s">
        <v>11123</v>
      </c>
      <c r="K493" s="8" t="s">
        <v>2135</v>
      </c>
      <c r="L493" s="8" t="s">
        <v>2135</v>
      </c>
      <c r="M493" s="8" t="s">
        <v>3332</v>
      </c>
      <c r="N493" s="8" t="s">
        <v>3333</v>
      </c>
      <c r="O493" s="8" t="s">
        <v>2135</v>
      </c>
      <c r="P493" s="8" t="s">
        <v>2135</v>
      </c>
      <c r="Q493" s="8" t="s">
        <v>2135</v>
      </c>
      <c r="R493" s="8" t="s">
        <v>2135</v>
      </c>
      <c r="S493" s="8" t="s">
        <v>2135</v>
      </c>
      <c r="T493" s="8" t="s">
        <v>11124</v>
      </c>
      <c r="U493" s="8" t="s">
        <v>11125</v>
      </c>
      <c r="V493" s="8" t="s">
        <v>11126</v>
      </c>
      <c r="W493" s="8" t="s">
        <v>11127</v>
      </c>
      <c r="X493" s="8" t="s">
        <v>11017</v>
      </c>
      <c r="Y493" s="8" t="s">
        <v>11128</v>
      </c>
      <c r="Z493" s="8" t="s">
        <v>11019</v>
      </c>
      <c r="AA493" s="8" t="s">
        <v>11129</v>
      </c>
      <c r="AB493" s="8" t="s">
        <v>11130</v>
      </c>
      <c r="AC493" s="8" t="s">
        <v>2135</v>
      </c>
      <c r="AD493" s="8" t="s">
        <v>2135</v>
      </c>
      <c r="AE493" s="8" t="s">
        <v>2135</v>
      </c>
      <c r="AF493" s="8" t="s">
        <v>2135</v>
      </c>
      <c r="AG493" s="8">
        <v>35.0</v>
      </c>
      <c r="AH493" s="8">
        <v>15.0</v>
      </c>
      <c r="AI493" s="8">
        <v>16.0</v>
      </c>
      <c r="AJ493" s="8">
        <v>0.0</v>
      </c>
      <c r="AK493" s="8">
        <v>23.0</v>
      </c>
      <c r="AL493" s="8" t="s">
        <v>3479</v>
      </c>
      <c r="AM493" s="8" t="s">
        <v>4500</v>
      </c>
      <c r="AN493" s="8" t="s">
        <v>4501</v>
      </c>
      <c r="AO493" s="8" t="s">
        <v>11131</v>
      </c>
      <c r="AP493" s="8" t="s">
        <v>11132</v>
      </c>
      <c r="AQ493" s="8" t="s">
        <v>2135</v>
      </c>
      <c r="AR493" s="8" t="s">
        <v>11133</v>
      </c>
      <c r="AS493" s="8" t="s">
        <v>11134</v>
      </c>
      <c r="AT493" s="8" t="s">
        <v>3440</v>
      </c>
      <c r="AU493" s="8">
        <v>2007.0</v>
      </c>
      <c r="AV493" s="8">
        <v>186.0</v>
      </c>
      <c r="AW493" s="8" t="s">
        <v>11135</v>
      </c>
      <c r="AX493" s="8" t="s">
        <v>2135</v>
      </c>
      <c r="AY493" s="8" t="s">
        <v>2135</v>
      </c>
      <c r="AZ493" s="8" t="s">
        <v>2135</v>
      </c>
      <c r="BA493" s="8" t="s">
        <v>2135</v>
      </c>
      <c r="BB493" s="8">
        <v>55.0</v>
      </c>
      <c r="BC493" s="8">
        <v>62.0</v>
      </c>
      <c r="BD493" s="8" t="s">
        <v>2135</v>
      </c>
      <c r="BE493" s="8" t="s">
        <v>11136</v>
      </c>
      <c r="BF493" s="13" t="str">
        <f>HYPERLINK("http://dx.doi.org/10.1007/s11270-007-9462-5","http://dx.doi.org/10.1007/s11270-007-9462-5")</f>
        <v>http://dx.doi.org/10.1007/s11270-007-9462-5</v>
      </c>
      <c r="BG493" s="8" t="s">
        <v>2135</v>
      </c>
      <c r="BH493" s="8" t="s">
        <v>2135</v>
      </c>
      <c r="BI493" s="8">
        <v>8.0</v>
      </c>
      <c r="BJ493" s="8" t="s">
        <v>11137</v>
      </c>
      <c r="BK493" s="8" t="s">
        <v>3352</v>
      </c>
      <c r="BL493" s="8" t="s">
        <v>11138</v>
      </c>
      <c r="BM493" s="8" t="s">
        <v>11139</v>
      </c>
      <c r="BN493" s="8" t="s">
        <v>2135</v>
      </c>
      <c r="BO493" s="8" t="s">
        <v>2135</v>
      </c>
      <c r="BP493" s="8" t="s">
        <v>2135</v>
      </c>
      <c r="BQ493" s="8" t="s">
        <v>2135</v>
      </c>
      <c r="BR493" s="8" t="s">
        <v>3355</v>
      </c>
      <c r="BS493" s="8" t="s">
        <v>11140</v>
      </c>
      <c r="BT493" s="8" t="s">
        <v>2325</v>
      </c>
      <c r="BU493" s="8" t="s">
        <v>2142</v>
      </c>
      <c r="BW493" s="8" t="s">
        <v>2143</v>
      </c>
      <c r="BX493" s="8" t="s">
        <v>2958</v>
      </c>
      <c r="BY493" s="8" t="s">
        <v>2959</v>
      </c>
      <c r="BZ493" s="8" t="str">
        <f>HYPERLINK("https%3A%2F%2Fwww.webofscience.com%2Fwos%2Fwoscc%2Ffull-record%2FWOS:000249987000006","View Full Record in Web of Science")</f>
        <v>View Full Record in Web of Science</v>
      </c>
    </row>
    <row r="494" ht="12.75" customHeight="1">
      <c r="A494" s="8" t="s">
        <v>3329</v>
      </c>
      <c r="B494" s="8" t="s">
        <v>11141</v>
      </c>
      <c r="C494" s="8" t="s">
        <v>2135</v>
      </c>
      <c r="D494" s="8" t="s">
        <v>2135</v>
      </c>
      <c r="E494" s="8" t="s">
        <v>2135</v>
      </c>
      <c r="F494" s="8" t="s">
        <v>11142</v>
      </c>
      <c r="G494" s="8" t="s">
        <v>2135</v>
      </c>
      <c r="H494" s="8" t="s">
        <v>2135</v>
      </c>
      <c r="I494" s="8" t="s">
        <v>1779</v>
      </c>
      <c r="J494" s="8" t="s">
        <v>7671</v>
      </c>
      <c r="K494" s="8" t="s">
        <v>2135</v>
      </c>
      <c r="L494" s="8" t="s">
        <v>2135</v>
      </c>
      <c r="M494" s="8" t="s">
        <v>3332</v>
      </c>
      <c r="N494" s="8" t="s">
        <v>3333</v>
      </c>
      <c r="O494" s="8" t="s">
        <v>2135</v>
      </c>
      <c r="P494" s="8" t="s">
        <v>2135</v>
      </c>
      <c r="Q494" s="8" t="s">
        <v>2135</v>
      </c>
      <c r="R494" s="8" t="s">
        <v>2135</v>
      </c>
      <c r="S494" s="8" t="s">
        <v>2135</v>
      </c>
      <c r="T494" s="8" t="s">
        <v>11143</v>
      </c>
      <c r="U494" s="8" t="s">
        <v>11144</v>
      </c>
      <c r="V494" s="8" t="s">
        <v>11145</v>
      </c>
      <c r="W494" s="8" t="s">
        <v>11146</v>
      </c>
      <c r="X494" s="8" t="s">
        <v>11147</v>
      </c>
      <c r="Y494" s="8" t="s">
        <v>11148</v>
      </c>
      <c r="Z494" s="8" t="s">
        <v>11149</v>
      </c>
      <c r="AA494" s="8" t="s">
        <v>11150</v>
      </c>
      <c r="AB494" s="8" t="s">
        <v>11151</v>
      </c>
      <c r="AC494" s="8" t="s">
        <v>2135</v>
      </c>
      <c r="AD494" s="8" t="s">
        <v>2135</v>
      </c>
      <c r="AE494" s="8" t="s">
        <v>2135</v>
      </c>
      <c r="AF494" s="8" t="s">
        <v>2135</v>
      </c>
      <c r="AG494" s="8">
        <v>35.0</v>
      </c>
      <c r="AH494" s="8">
        <v>21.0</v>
      </c>
      <c r="AI494" s="8">
        <v>25.0</v>
      </c>
      <c r="AJ494" s="8">
        <v>0.0</v>
      </c>
      <c r="AK494" s="8">
        <v>35.0</v>
      </c>
      <c r="AL494" s="8" t="s">
        <v>3366</v>
      </c>
      <c r="AM494" s="8" t="s">
        <v>3367</v>
      </c>
      <c r="AN494" s="8" t="s">
        <v>3368</v>
      </c>
      <c r="AO494" s="8" t="s">
        <v>7677</v>
      </c>
      <c r="AP494" s="8" t="s">
        <v>9173</v>
      </c>
      <c r="AQ494" s="8" t="s">
        <v>2135</v>
      </c>
      <c r="AR494" s="8" t="s">
        <v>7678</v>
      </c>
      <c r="AS494" s="8" t="s">
        <v>7679</v>
      </c>
      <c r="AT494" s="8" t="s">
        <v>5694</v>
      </c>
      <c r="AU494" s="8">
        <v>2007.0</v>
      </c>
      <c r="AV494" s="8">
        <v>119.0</v>
      </c>
      <c r="AW494" s="8" t="s">
        <v>6706</v>
      </c>
      <c r="AX494" s="8" t="s">
        <v>2135</v>
      </c>
      <c r="AY494" s="8" t="s">
        <v>2135</v>
      </c>
      <c r="AZ494" s="8" t="s">
        <v>2135</v>
      </c>
      <c r="BA494" s="8" t="s">
        <v>2135</v>
      </c>
      <c r="BB494" s="8">
        <v>269.0</v>
      </c>
      <c r="BC494" s="8">
        <v>277.0</v>
      </c>
      <c r="BD494" s="8" t="s">
        <v>2135</v>
      </c>
      <c r="BE494" s="8" t="s">
        <v>11152</v>
      </c>
      <c r="BF494" s="13" t="str">
        <f>HYPERLINK("http://dx.doi.org/10.1016/j.vetimm.2007.06.003","http://dx.doi.org/10.1016/j.vetimm.2007.06.003")</f>
        <v>http://dx.doi.org/10.1016/j.vetimm.2007.06.003</v>
      </c>
      <c r="BG494" s="8" t="s">
        <v>2135</v>
      </c>
      <c r="BH494" s="8" t="s">
        <v>2135</v>
      </c>
      <c r="BI494" s="8">
        <v>9.0</v>
      </c>
      <c r="BJ494" s="8" t="s">
        <v>7683</v>
      </c>
      <c r="BK494" s="8" t="s">
        <v>3352</v>
      </c>
      <c r="BL494" s="8" t="s">
        <v>7683</v>
      </c>
      <c r="BM494" s="8" t="s">
        <v>11153</v>
      </c>
      <c r="BN494" s="8">
        <v>1.7629573E7</v>
      </c>
      <c r="BO494" s="8" t="s">
        <v>2135</v>
      </c>
      <c r="BP494" s="8" t="s">
        <v>2135</v>
      </c>
      <c r="BQ494" s="8" t="s">
        <v>2135</v>
      </c>
      <c r="BR494" s="8" t="s">
        <v>3355</v>
      </c>
      <c r="BS494" s="8" t="s">
        <v>11154</v>
      </c>
      <c r="BT494" s="8" t="s">
        <v>2600</v>
      </c>
      <c r="BU494" s="8" t="s">
        <v>2147</v>
      </c>
      <c r="BV494" s="8" t="s">
        <v>2217</v>
      </c>
      <c r="BW494" s="8" t="s">
        <v>2237</v>
      </c>
      <c r="BX494" s="8" t="s">
        <v>2974</v>
      </c>
      <c r="BY494" s="8" t="s">
        <v>2959</v>
      </c>
      <c r="BZ494" s="8" t="str">
        <f>HYPERLINK("https%3A%2F%2Fwww.webofscience.com%2Fwos%2Fwoscc%2Ffull-record%2FWOS:000250022200011","View Full Record in Web of Science")</f>
        <v>View Full Record in Web of Science</v>
      </c>
    </row>
    <row r="495" ht="12.75" customHeight="1">
      <c r="A495" s="8" t="s">
        <v>3329</v>
      </c>
      <c r="B495" s="8" t="s">
        <v>11155</v>
      </c>
      <c r="C495" s="8" t="s">
        <v>2135</v>
      </c>
      <c r="D495" s="8" t="s">
        <v>2135</v>
      </c>
      <c r="E495" s="8" t="s">
        <v>2135</v>
      </c>
      <c r="F495" s="8" t="s">
        <v>11156</v>
      </c>
      <c r="G495" s="8" t="s">
        <v>2135</v>
      </c>
      <c r="H495" s="8" t="s">
        <v>2135</v>
      </c>
      <c r="I495" s="8" t="s">
        <v>1777</v>
      </c>
      <c r="J495" s="8" t="s">
        <v>10714</v>
      </c>
      <c r="K495" s="8" t="s">
        <v>2135</v>
      </c>
      <c r="L495" s="8" t="s">
        <v>2135</v>
      </c>
      <c r="M495" s="8" t="s">
        <v>3332</v>
      </c>
      <c r="N495" s="8" t="s">
        <v>3333</v>
      </c>
      <c r="O495" s="8" t="s">
        <v>2135</v>
      </c>
      <c r="P495" s="8" t="s">
        <v>2135</v>
      </c>
      <c r="Q495" s="8" t="s">
        <v>2135</v>
      </c>
      <c r="R495" s="8" t="s">
        <v>2135</v>
      </c>
      <c r="S495" s="8" t="s">
        <v>2135</v>
      </c>
      <c r="T495" s="8" t="s">
        <v>2135</v>
      </c>
      <c r="U495" s="8" t="s">
        <v>11157</v>
      </c>
      <c r="V495" s="8" t="s">
        <v>11158</v>
      </c>
      <c r="W495" s="8" t="s">
        <v>11159</v>
      </c>
      <c r="X495" s="8" t="s">
        <v>11160</v>
      </c>
      <c r="Y495" s="8" t="s">
        <v>11161</v>
      </c>
      <c r="Z495" s="8" t="s">
        <v>2135</v>
      </c>
      <c r="AA495" s="8" t="s">
        <v>2135</v>
      </c>
      <c r="AB495" s="8" t="s">
        <v>2135</v>
      </c>
      <c r="AC495" s="8" t="s">
        <v>2135</v>
      </c>
      <c r="AD495" s="8" t="s">
        <v>2135</v>
      </c>
      <c r="AE495" s="8" t="s">
        <v>2135</v>
      </c>
      <c r="AF495" s="8" t="s">
        <v>2135</v>
      </c>
      <c r="AG495" s="8">
        <v>35.0</v>
      </c>
      <c r="AH495" s="8">
        <v>20.0</v>
      </c>
      <c r="AI495" s="8">
        <v>21.0</v>
      </c>
      <c r="AJ495" s="8">
        <v>0.0</v>
      </c>
      <c r="AK495" s="8">
        <v>26.0</v>
      </c>
      <c r="AL495" s="8" t="s">
        <v>10723</v>
      </c>
      <c r="AM495" s="8" t="s">
        <v>9008</v>
      </c>
      <c r="AN495" s="8" t="s">
        <v>10724</v>
      </c>
      <c r="AO495" s="8" t="s">
        <v>10725</v>
      </c>
      <c r="AP495" s="8" t="s">
        <v>2135</v>
      </c>
      <c r="AQ495" s="8" t="s">
        <v>2135</v>
      </c>
      <c r="AR495" s="8" t="s">
        <v>10727</v>
      </c>
      <c r="AS495" s="8" t="s">
        <v>10728</v>
      </c>
      <c r="AT495" s="8" t="s">
        <v>4108</v>
      </c>
      <c r="AU495" s="8">
        <v>2007.0</v>
      </c>
      <c r="AV495" s="8">
        <v>41.0</v>
      </c>
      <c r="AW495" s="8">
        <v>19.0</v>
      </c>
      <c r="AX495" s="8" t="s">
        <v>2135</v>
      </c>
      <c r="AY495" s="8" t="s">
        <v>2135</v>
      </c>
      <c r="AZ495" s="8" t="s">
        <v>2135</v>
      </c>
      <c r="BA495" s="8" t="s">
        <v>2135</v>
      </c>
      <c r="BB495" s="8">
        <v>6860.0</v>
      </c>
      <c r="BC495" s="8">
        <v>6867.0</v>
      </c>
      <c r="BD495" s="8" t="s">
        <v>2135</v>
      </c>
      <c r="BE495" s="8" t="s">
        <v>11162</v>
      </c>
      <c r="BF495" s="13" t="str">
        <f>HYPERLINK("http://dx.doi.org/10.1021/es070829e","http://dx.doi.org/10.1021/es070829e")</f>
        <v>http://dx.doi.org/10.1021/es070829e</v>
      </c>
      <c r="BG495" s="8" t="s">
        <v>2135</v>
      </c>
      <c r="BH495" s="8" t="s">
        <v>2135</v>
      </c>
      <c r="BI495" s="8">
        <v>8.0</v>
      </c>
      <c r="BJ495" s="8" t="s">
        <v>5763</v>
      </c>
      <c r="BK495" s="8" t="s">
        <v>3352</v>
      </c>
      <c r="BL495" s="8" t="s">
        <v>5764</v>
      </c>
      <c r="BM495" s="8" t="s">
        <v>11163</v>
      </c>
      <c r="BN495" s="8">
        <v>1.7969707E7</v>
      </c>
      <c r="BO495" s="8" t="s">
        <v>2135</v>
      </c>
      <c r="BP495" s="8" t="s">
        <v>2135</v>
      </c>
      <c r="BQ495" s="8" t="s">
        <v>2135</v>
      </c>
      <c r="BR495" s="8" t="s">
        <v>3355</v>
      </c>
      <c r="BS495" s="8" t="s">
        <v>11164</v>
      </c>
      <c r="BT495" s="8" t="s">
        <v>2600</v>
      </c>
      <c r="BU495" s="8" t="s">
        <v>2147</v>
      </c>
      <c r="BV495" s="8" t="s">
        <v>2217</v>
      </c>
      <c r="BW495" s="8" t="s">
        <v>2237</v>
      </c>
      <c r="BX495" s="8" t="s">
        <v>2974</v>
      </c>
      <c r="BY495" s="8" t="s">
        <v>2959</v>
      </c>
      <c r="BZ495" s="8" t="str">
        <f>HYPERLINK("https%3A%2F%2Fwww.webofscience.com%2Fwos%2Fwoscc%2Ffull-record%2FWOS:000249840600039","View Full Record in Web of Science")</f>
        <v>View Full Record in Web of Science</v>
      </c>
    </row>
    <row r="496" ht="12.75" customHeight="1">
      <c r="A496" s="8" t="s">
        <v>3329</v>
      </c>
      <c r="B496" s="8" t="s">
        <v>11165</v>
      </c>
      <c r="C496" s="8" t="s">
        <v>2135</v>
      </c>
      <c r="D496" s="8" t="s">
        <v>2135</v>
      </c>
      <c r="E496" s="8" t="s">
        <v>2135</v>
      </c>
      <c r="F496" s="8" t="s">
        <v>11166</v>
      </c>
      <c r="G496" s="8" t="s">
        <v>2135</v>
      </c>
      <c r="H496" s="8" t="s">
        <v>2135</v>
      </c>
      <c r="I496" s="8" t="s">
        <v>1781</v>
      </c>
      <c r="J496" s="8" t="s">
        <v>5746</v>
      </c>
      <c r="K496" s="8" t="s">
        <v>2135</v>
      </c>
      <c r="L496" s="8" t="s">
        <v>2135</v>
      </c>
      <c r="M496" s="8" t="s">
        <v>3332</v>
      </c>
      <c r="N496" s="8" t="s">
        <v>3963</v>
      </c>
      <c r="O496" s="8" t="s">
        <v>11167</v>
      </c>
      <c r="P496" s="8" t="s">
        <v>11168</v>
      </c>
      <c r="Q496" s="8" t="s">
        <v>11169</v>
      </c>
      <c r="R496" s="8" t="s">
        <v>11170</v>
      </c>
      <c r="S496" s="8" t="s">
        <v>2135</v>
      </c>
      <c r="T496" s="8" t="s">
        <v>2135</v>
      </c>
      <c r="U496" s="8" t="s">
        <v>11171</v>
      </c>
      <c r="V496" s="8" t="s">
        <v>11172</v>
      </c>
      <c r="W496" s="8" t="s">
        <v>11173</v>
      </c>
      <c r="X496" s="8" t="s">
        <v>11174</v>
      </c>
      <c r="Y496" s="8" t="s">
        <v>11175</v>
      </c>
      <c r="Z496" s="8" t="s">
        <v>11176</v>
      </c>
      <c r="AA496" s="8" t="s">
        <v>2135</v>
      </c>
      <c r="AB496" s="8" t="s">
        <v>2135</v>
      </c>
      <c r="AC496" s="8" t="s">
        <v>2135</v>
      </c>
      <c r="AD496" s="8" t="s">
        <v>2135</v>
      </c>
      <c r="AE496" s="8" t="s">
        <v>2135</v>
      </c>
      <c r="AF496" s="8" t="s">
        <v>2135</v>
      </c>
      <c r="AG496" s="8">
        <v>98.0</v>
      </c>
      <c r="AH496" s="8">
        <v>805.0</v>
      </c>
      <c r="AI496" s="8">
        <v>986.0</v>
      </c>
      <c r="AJ496" s="8">
        <v>6.0</v>
      </c>
      <c r="AK496" s="8">
        <v>452.0</v>
      </c>
      <c r="AL496" s="8" t="s">
        <v>3479</v>
      </c>
      <c r="AM496" s="8" t="s">
        <v>4500</v>
      </c>
      <c r="AN496" s="8" t="s">
        <v>4501</v>
      </c>
      <c r="AO496" s="8" t="s">
        <v>5759</v>
      </c>
      <c r="AP496" s="8" t="s">
        <v>5760</v>
      </c>
      <c r="AQ496" s="8" t="s">
        <v>2135</v>
      </c>
      <c r="AR496" s="8" t="s">
        <v>5746</v>
      </c>
      <c r="AS496" s="8" t="s">
        <v>5761</v>
      </c>
      <c r="AT496" s="8" t="s">
        <v>3485</v>
      </c>
      <c r="AU496" s="8">
        <v>2007.0</v>
      </c>
      <c r="AV496" s="8">
        <v>36.0</v>
      </c>
      <c r="AW496" s="8">
        <v>1.0</v>
      </c>
      <c r="AX496" s="8" t="s">
        <v>2135</v>
      </c>
      <c r="AY496" s="8" t="s">
        <v>2135</v>
      </c>
      <c r="AZ496" s="8" t="s">
        <v>2135</v>
      </c>
      <c r="BA496" s="8" t="s">
        <v>2135</v>
      </c>
      <c r="BB496" s="8">
        <v>12.0</v>
      </c>
      <c r="BC496" s="8">
        <v>18.0</v>
      </c>
      <c r="BD496" s="8" t="s">
        <v>2135</v>
      </c>
      <c r="BE496" s="8" t="s">
        <v>11177</v>
      </c>
      <c r="BF496" s="13" t="str">
        <f>HYPERLINK("http://dx.doi.org/10.1579/0044-7447(2007)36[12:EOEMOT]2.0.CO;2","http://dx.doi.org/10.1579/0044-7447(2007)36[12:EOEMOT]2.0.CO;2")</f>
        <v>http://dx.doi.org/10.1579/0044-7447(2007)36[12:EOEMOT]2.0.CO;2</v>
      </c>
      <c r="BG496" s="8" t="s">
        <v>2135</v>
      </c>
      <c r="BH496" s="8" t="s">
        <v>2135</v>
      </c>
      <c r="BI496" s="8">
        <v>7.0</v>
      </c>
      <c r="BJ496" s="8" t="s">
        <v>5763</v>
      </c>
      <c r="BK496" s="8" t="s">
        <v>4418</v>
      </c>
      <c r="BL496" s="8" t="s">
        <v>5764</v>
      </c>
      <c r="BM496" s="8" t="s">
        <v>11178</v>
      </c>
      <c r="BN496" s="8">
        <v>1.7408187E7</v>
      </c>
      <c r="BO496" s="8" t="s">
        <v>2135</v>
      </c>
      <c r="BP496" s="8" t="s">
        <v>2135</v>
      </c>
      <c r="BQ496" s="8" t="s">
        <v>2135</v>
      </c>
      <c r="BR496" s="8" t="s">
        <v>3355</v>
      </c>
      <c r="BS496" s="8" t="s">
        <v>11179</v>
      </c>
      <c r="BU496" s="8" t="s">
        <v>2147</v>
      </c>
      <c r="BV496" s="8" t="s">
        <v>2217</v>
      </c>
      <c r="BW496" s="8" t="s">
        <v>2234</v>
      </c>
      <c r="BX496" s="8" t="s">
        <v>2974</v>
      </c>
      <c r="BY496" s="8" t="s">
        <v>2959</v>
      </c>
      <c r="BZ496" s="8" t="str">
        <f>HYPERLINK("https%3A%2F%2Fwww.webofscience.com%2Fwos%2Fwoscc%2Ffull-record%2FWOS:000244817800004","View Full Record in Web of Science")</f>
        <v>View Full Record in Web of Science</v>
      </c>
    </row>
    <row r="497" ht="12.75" customHeight="1">
      <c r="A497" s="8" t="s">
        <v>3329</v>
      </c>
      <c r="B497" s="8" t="s">
        <v>11180</v>
      </c>
      <c r="C497" s="8" t="s">
        <v>2135</v>
      </c>
      <c r="D497" s="8" t="s">
        <v>2135</v>
      </c>
      <c r="E497" s="8" t="s">
        <v>2135</v>
      </c>
      <c r="F497" s="8" t="s">
        <v>11180</v>
      </c>
      <c r="G497" s="8" t="s">
        <v>2135</v>
      </c>
      <c r="H497" s="8" t="s">
        <v>2135</v>
      </c>
      <c r="I497" s="8" t="s">
        <v>1771</v>
      </c>
      <c r="J497" s="8" t="s">
        <v>10193</v>
      </c>
      <c r="K497" s="8" t="s">
        <v>2135</v>
      </c>
      <c r="L497" s="8" t="s">
        <v>2135</v>
      </c>
      <c r="M497" s="8" t="s">
        <v>3332</v>
      </c>
      <c r="N497" s="8" t="s">
        <v>3333</v>
      </c>
      <c r="O497" s="8" t="s">
        <v>2135</v>
      </c>
      <c r="P497" s="8" t="s">
        <v>2135</v>
      </c>
      <c r="Q497" s="8" t="s">
        <v>2135</v>
      </c>
      <c r="R497" s="8" t="s">
        <v>2135</v>
      </c>
      <c r="S497" s="8" t="s">
        <v>2135</v>
      </c>
      <c r="T497" s="8" t="s">
        <v>2135</v>
      </c>
      <c r="U497" s="8" t="s">
        <v>11181</v>
      </c>
      <c r="V497" s="8" t="s">
        <v>11182</v>
      </c>
      <c r="W497" s="8" t="s">
        <v>11183</v>
      </c>
      <c r="X497" s="8" t="s">
        <v>11184</v>
      </c>
      <c r="Y497" s="8" t="s">
        <v>11185</v>
      </c>
      <c r="Z497" s="8" t="s">
        <v>11186</v>
      </c>
      <c r="AA497" s="8" t="s">
        <v>11187</v>
      </c>
      <c r="AB497" s="8" t="s">
        <v>11188</v>
      </c>
      <c r="AC497" s="8" t="s">
        <v>2135</v>
      </c>
      <c r="AD497" s="8" t="s">
        <v>2135</v>
      </c>
      <c r="AE497" s="8" t="s">
        <v>2135</v>
      </c>
      <c r="AF497" s="8" t="s">
        <v>2135</v>
      </c>
      <c r="AG497" s="8">
        <v>47.0</v>
      </c>
      <c r="AH497" s="8">
        <v>98.0</v>
      </c>
      <c r="AI497" s="8">
        <v>112.0</v>
      </c>
      <c r="AJ497" s="8">
        <v>2.0</v>
      </c>
      <c r="AK497" s="8">
        <v>34.0</v>
      </c>
      <c r="AL497" s="8" t="s">
        <v>3479</v>
      </c>
      <c r="AM497" s="8" t="s">
        <v>3480</v>
      </c>
      <c r="AN497" s="8" t="s">
        <v>3739</v>
      </c>
      <c r="AO497" s="8" t="s">
        <v>10201</v>
      </c>
      <c r="AP497" s="8" t="s">
        <v>10202</v>
      </c>
      <c r="AQ497" s="8" t="s">
        <v>2135</v>
      </c>
      <c r="AR497" s="8" t="s">
        <v>10203</v>
      </c>
      <c r="AS497" s="8" t="s">
        <v>10204</v>
      </c>
      <c r="AT497" s="8" t="s">
        <v>3512</v>
      </c>
      <c r="AU497" s="8">
        <v>2006.0</v>
      </c>
      <c r="AV497" s="8">
        <v>51.0</v>
      </c>
      <c r="AW497" s="8">
        <v>1.0</v>
      </c>
      <c r="AX497" s="8" t="s">
        <v>2135</v>
      </c>
      <c r="AY497" s="8" t="s">
        <v>2135</v>
      </c>
      <c r="AZ497" s="8" t="s">
        <v>2135</v>
      </c>
      <c r="BA497" s="8" t="s">
        <v>2135</v>
      </c>
      <c r="BB497" s="8">
        <v>123.0</v>
      </c>
      <c r="BC497" s="8">
        <v>134.0</v>
      </c>
      <c r="BD497" s="8" t="s">
        <v>2135</v>
      </c>
      <c r="BE497" s="8" t="s">
        <v>11189</v>
      </c>
      <c r="BF497" s="13" t="str">
        <f>HYPERLINK("http://dx.doi.org/10.1007/s00244-005-0218-1","http://dx.doi.org/10.1007/s00244-005-0218-1")</f>
        <v>http://dx.doi.org/10.1007/s00244-005-0218-1</v>
      </c>
      <c r="BG497" s="8" t="s">
        <v>2135</v>
      </c>
      <c r="BH497" s="8" t="s">
        <v>2135</v>
      </c>
      <c r="BI497" s="8">
        <v>12.0</v>
      </c>
      <c r="BJ497" s="8" t="s">
        <v>10206</v>
      </c>
      <c r="BK497" s="8" t="s">
        <v>3352</v>
      </c>
      <c r="BL497" s="8" t="s">
        <v>10207</v>
      </c>
      <c r="BM497" s="8" t="s">
        <v>11190</v>
      </c>
      <c r="BN497" s="8">
        <v>1.6418892E7</v>
      </c>
      <c r="BO497" s="8" t="s">
        <v>2135</v>
      </c>
      <c r="BP497" s="8" t="s">
        <v>2135</v>
      </c>
      <c r="BQ497" s="8" t="s">
        <v>2135</v>
      </c>
      <c r="BR497" s="8" t="s">
        <v>3355</v>
      </c>
      <c r="BS497" s="8" t="s">
        <v>11191</v>
      </c>
      <c r="BT497" s="8" t="s">
        <v>2379</v>
      </c>
      <c r="BU497" s="8" t="s">
        <v>2142</v>
      </c>
      <c r="BW497" s="8" t="s">
        <v>2180</v>
      </c>
      <c r="BX497" s="8" t="s">
        <v>2974</v>
      </c>
      <c r="BY497" s="8" t="s">
        <v>2959</v>
      </c>
      <c r="BZ497" s="8" t="str">
        <f>HYPERLINK("https%3A%2F%2Fwww.webofscience.com%2Fwos%2Fwoscc%2Ffull-record%2FWOS:000236980500016","View Full Record in Web of Science")</f>
        <v>View Full Record in Web of Science</v>
      </c>
    </row>
    <row r="498" ht="12.75" customHeight="1">
      <c r="A498" s="8" t="s">
        <v>3329</v>
      </c>
      <c r="B498" s="8" t="s">
        <v>11192</v>
      </c>
      <c r="C498" s="8" t="s">
        <v>2135</v>
      </c>
      <c r="D498" s="8" t="s">
        <v>2135</v>
      </c>
      <c r="E498" s="8" t="s">
        <v>2135</v>
      </c>
      <c r="F498" s="8" t="s">
        <v>11192</v>
      </c>
      <c r="G498" s="8" t="s">
        <v>2135</v>
      </c>
      <c r="H498" s="8" t="s">
        <v>2135</v>
      </c>
      <c r="I498" s="8" t="s">
        <v>1775</v>
      </c>
      <c r="J498" s="8" t="s">
        <v>4846</v>
      </c>
      <c r="K498" s="8" t="s">
        <v>2135</v>
      </c>
      <c r="L498" s="8" t="s">
        <v>2135</v>
      </c>
      <c r="M498" s="8" t="s">
        <v>3332</v>
      </c>
      <c r="N498" s="8" t="s">
        <v>3333</v>
      </c>
      <c r="O498" s="8" t="s">
        <v>2135</v>
      </c>
      <c r="P498" s="8" t="s">
        <v>2135</v>
      </c>
      <c r="Q498" s="8" t="s">
        <v>2135</v>
      </c>
      <c r="R498" s="8" t="s">
        <v>2135</v>
      </c>
      <c r="S498" s="8" t="s">
        <v>2135</v>
      </c>
      <c r="T498" s="8" t="s">
        <v>11193</v>
      </c>
      <c r="U498" s="8" t="s">
        <v>11194</v>
      </c>
      <c r="V498" s="8" t="s">
        <v>11195</v>
      </c>
      <c r="W498" s="8" t="s">
        <v>11196</v>
      </c>
      <c r="X498" s="8" t="s">
        <v>11197</v>
      </c>
      <c r="Y498" s="8" t="s">
        <v>11198</v>
      </c>
      <c r="Z498" s="8" t="s">
        <v>11199</v>
      </c>
      <c r="AA498" s="8" t="s">
        <v>11200</v>
      </c>
      <c r="AB498" s="8" t="s">
        <v>11201</v>
      </c>
      <c r="AC498" s="8" t="s">
        <v>2135</v>
      </c>
      <c r="AD498" s="8" t="s">
        <v>2135</v>
      </c>
      <c r="AE498" s="8" t="s">
        <v>2135</v>
      </c>
      <c r="AF498" s="8" t="s">
        <v>2135</v>
      </c>
      <c r="AG498" s="8">
        <v>35.0</v>
      </c>
      <c r="AH498" s="8">
        <v>18.0</v>
      </c>
      <c r="AI498" s="8">
        <v>22.0</v>
      </c>
      <c r="AJ498" s="8">
        <v>0.0</v>
      </c>
      <c r="AK498" s="8">
        <v>39.0</v>
      </c>
      <c r="AL498" s="8" t="s">
        <v>4394</v>
      </c>
      <c r="AM498" s="8" t="s">
        <v>3367</v>
      </c>
      <c r="AN498" s="8" t="s">
        <v>4395</v>
      </c>
      <c r="AO498" s="8" t="s">
        <v>4855</v>
      </c>
      <c r="AP498" s="8" t="s">
        <v>4856</v>
      </c>
      <c r="AQ498" s="8" t="s">
        <v>2135</v>
      </c>
      <c r="AR498" s="8" t="s">
        <v>4857</v>
      </c>
      <c r="AS498" s="8" t="s">
        <v>4858</v>
      </c>
      <c r="AT498" s="8" t="s">
        <v>11202</v>
      </c>
      <c r="AU498" s="8">
        <v>2006.0</v>
      </c>
      <c r="AV498" s="8">
        <v>191.0</v>
      </c>
      <c r="AW498" s="8" t="s">
        <v>6706</v>
      </c>
      <c r="AX498" s="8" t="s">
        <v>2135</v>
      </c>
      <c r="AY498" s="8" t="s">
        <v>2135</v>
      </c>
      <c r="AZ498" s="8" t="s">
        <v>2135</v>
      </c>
      <c r="BA498" s="8" t="s">
        <v>2135</v>
      </c>
      <c r="BB498" s="8">
        <v>416.0</v>
      </c>
      <c r="BC498" s="8">
        <v>430.0</v>
      </c>
      <c r="BD498" s="8" t="s">
        <v>2135</v>
      </c>
      <c r="BE498" s="8" t="s">
        <v>11203</v>
      </c>
      <c r="BF498" s="13" t="str">
        <f>HYPERLINK("http://dx.doi.org/10.1016/j.ecolmodel.2005.05.025","http://dx.doi.org/10.1016/j.ecolmodel.2005.05.025")</f>
        <v>http://dx.doi.org/10.1016/j.ecolmodel.2005.05.025</v>
      </c>
      <c r="BG498" s="8" t="s">
        <v>2135</v>
      </c>
      <c r="BH498" s="8" t="s">
        <v>2135</v>
      </c>
      <c r="BI498" s="8">
        <v>15.0</v>
      </c>
      <c r="BJ498" s="8" t="s">
        <v>3681</v>
      </c>
      <c r="BK498" s="8" t="s">
        <v>3352</v>
      </c>
      <c r="BL498" s="8" t="s">
        <v>3632</v>
      </c>
      <c r="BM498" s="8" t="s">
        <v>11204</v>
      </c>
      <c r="BN498" s="8" t="s">
        <v>2135</v>
      </c>
      <c r="BO498" s="8" t="s">
        <v>2135</v>
      </c>
      <c r="BP498" s="8" t="s">
        <v>2135</v>
      </c>
      <c r="BQ498" s="8" t="s">
        <v>2135</v>
      </c>
      <c r="BR498" s="8" t="s">
        <v>3355</v>
      </c>
      <c r="BS498" s="8" t="s">
        <v>11205</v>
      </c>
      <c r="BT498" s="8" t="s">
        <v>2600</v>
      </c>
      <c r="BU498" s="8" t="s">
        <v>2147</v>
      </c>
      <c r="BV498" s="8" t="s">
        <v>2217</v>
      </c>
      <c r="BW498" s="8" t="s">
        <v>2256</v>
      </c>
      <c r="BX498" s="8" t="s">
        <v>2974</v>
      </c>
      <c r="BY498" s="8" t="s">
        <v>2959</v>
      </c>
      <c r="BZ498" s="8" t="str">
        <f>HYPERLINK("https%3A%2F%2Fwww.webofscience.com%2Fwos%2Fwoscc%2Ffull-record%2FWOS:000234951600006","View Full Record in Web of Science")</f>
        <v>View Full Record in Web of Science</v>
      </c>
    </row>
    <row r="499" ht="12.75" customHeight="1">
      <c r="A499" s="8" t="s">
        <v>3329</v>
      </c>
      <c r="B499" s="8" t="s">
        <v>11206</v>
      </c>
      <c r="C499" s="8" t="s">
        <v>2135</v>
      </c>
      <c r="D499" s="8" t="s">
        <v>2135</v>
      </c>
      <c r="E499" s="8" t="s">
        <v>2135</v>
      </c>
      <c r="F499" s="8" t="s">
        <v>11206</v>
      </c>
      <c r="G499" s="8" t="s">
        <v>2135</v>
      </c>
      <c r="H499" s="8" t="s">
        <v>2135</v>
      </c>
      <c r="I499" s="8" t="s">
        <v>1773</v>
      </c>
      <c r="J499" s="8" t="s">
        <v>10092</v>
      </c>
      <c r="K499" s="8" t="s">
        <v>2135</v>
      </c>
      <c r="L499" s="8" t="s">
        <v>2135</v>
      </c>
      <c r="M499" s="8" t="s">
        <v>3332</v>
      </c>
      <c r="N499" s="8" t="s">
        <v>3333</v>
      </c>
      <c r="O499" s="8" t="s">
        <v>2135</v>
      </c>
      <c r="P499" s="8" t="s">
        <v>2135</v>
      </c>
      <c r="Q499" s="8" t="s">
        <v>2135</v>
      </c>
      <c r="R499" s="8" t="s">
        <v>2135</v>
      </c>
      <c r="S499" s="8" t="s">
        <v>2135</v>
      </c>
      <c r="T499" s="8" t="s">
        <v>11207</v>
      </c>
      <c r="U499" s="8" t="s">
        <v>11208</v>
      </c>
      <c r="V499" s="8" t="s">
        <v>11209</v>
      </c>
      <c r="W499" s="8" t="s">
        <v>11210</v>
      </c>
      <c r="X499" s="8" t="s">
        <v>11211</v>
      </c>
      <c r="Y499" s="8" t="s">
        <v>11212</v>
      </c>
      <c r="Z499" s="8" t="s">
        <v>11213</v>
      </c>
      <c r="AA499" s="8" t="s">
        <v>2135</v>
      </c>
      <c r="AB499" s="8" t="s">
        <v>2135</v>
      </c>
      <c r="AC499" s="8" t="s">
        <v>2135</v>
      </c>
      <c r="AD499" s="8" t="s">
        <v>2135</v>
      </c>
      <c r="AE499" s="8" t="s">
        <v>2135</v>
      </c>
      <c r="AF499" s="8" t="s">
        <v>2135</v>
      </c>
      <c r="AG499" s="8">
        <v>32.0</v>
      </c>
      <c r="AH499" s="8">
        <v>17.0</v>
      </c>
      <c r="AI499" s="8">
        <v>18.0</v>
      </c>
      <c r="AJ499" s="8">
        <v>2.0</v>
      </c>
      <c r="AK499" s="8">
        <v>19.0</v>
      </c>
      <c r="AL499" s="8" t="s">
        <v>3479</v>
      </c>
      <c r="AM499" s="8" t="s">
        <v>4500</v>
      </c>
      <c r="AN499" s="8" t="s">
        <v>4501</v>
      </c>
      <c r="AO499" s="8" t="s">
        <v>10101</v>
      </c>
      <c r="AP499" s="8" t="s">
        <v>2135</v>
      </c>
      <c r="AQ499" s="8" t="s">
        <v>2135</v>
      </c>
      <c r="AR499" s="8" t="s">
        <v>10103</v>
      </c>
      <c r="AS499" s="8" t="s">
        <v>10104</v>
      </c>
      <c r="AT499" s="8" t="s">
        <v>3485</v>
      </c>
      <c r="AU499" s="8">
        <v>2006.0</v>
      </c>
      <c r="AV499" s="8">
        <v>113.0</v>
      </c>
      <c r="AW499" s="8" t="s">
        <v>6879</v>
      </c>
      <c r="AX499" s="8" t="s">
        <v>2135</v>
      </c>
      <c r="AY499" s="8" t="s">
        <v>2135</v>
      </c>
      <c r="AZ499" s="8" t="s">
        <v>2135</v>
      </c>
      <c r="BA499" s="8" t="s">
        <v>2135</v>
      </c>
      <c r="BB499" s="8">
        <v>245.0</v>
      </c>
      <c r="BC499" s="8">
        <v>263.0</v>
      </c>
      <c r="BD499" s="8" t="s">
        <v>2135</v>
      </c>
      <c r="BE499" s="8" t="s">
        <v>11214</v>
      </c>
      <c r="BF499" s="13" t="str">
        <f>HYPERLINK("http://dx.doi.org/10.1007/s10661-005-9083-7","http://dx.doi.org/10.1007/s10661-005-9083-7")</f>
        <v>http://dx.doi.org/10.1007/s10661-005-9083-7</v>
      </c>
      <c r="BG499" s="8" t="s">
        <v>2135</v>
      </c>
      <c r="BH499" s="8" t="s">
        <v>2135</v>
      </c>
      <c r="BI499" s="8">
        <v>19.0</v>
      </c>
      <c r="BJ499" s="8" t="s">
        <v>6399</v>
      </c>
      <c r="BK499" s="8" t="s">
        <v>3352</v>
      </c>
      <c r="BL499" s="8" t="s">
        <v>3632</v>
      </c>
      <c r="BM499" s="8" t="s">
        <v>11215</v>
      </c>
      <c r="BN499" s="8">
        <v>1.6502039E7</v>
      </c>
      <c r="BO499" s="8" t="s">
        <v>2135</v>
      </c>
      <c r="BP499" s="8" t="s">
        <v>2135</v>
      </c>
      <c r="BQ499" s="8" t="s">
        <v>2135</v>
      </c>
      <c r="BR499" s="8" t="s">
        <v>3355</v>
      </c>
      <c r="BS499" s="8" t="s">
        <v>11216</v>
      </c>
      <c r="BT499" s="8" t="s">
        <v>2216</v>
      </c>
      <c r="BU499" s="8" t="s">
        <v>2147</v>
      </c>
      <c r="BV499" s="8" t="s">
        <v>2217</v>
      </c>
      <c r="BW499" s="8" t="s">
        <v>2155</v>
      </c>
      <c r="BX499" s="8" t="s">
        <v>2974</v>
      </c>
      <c r="BY499" s="8" t="s">
        <v>2959</v>
      </c>
      <c r="BZ499" s="8" t="str">
        <f>HYPERLINK("https%3A%2F%2Fwww.webofscience.com%2Fwos%2Fwoscc%2Ffull-record%2FWOS:000236511700013","View Full Record in Web of Science")</f>
        <v>View Full Record in Web of Science</v>
      </c>
    </row>
    <row r="500" ht="12.75" customHeight="1">
      <c r="A500" s="8" t="s">
        <v>3329</v>
      </c>
      <c r="B500" s="8" t="s">
        <v>11217</v>
      </c>
      <c r="C500" s="8" t="s">
        <v>2135</v>
      </c>
      <c r="D500" s="8" t="s">
        <v>2135</v>
      </c>
      <c r="E500" s="8" t="s">
        <v>2135</v>
      </c>
      <c r="F500" s="8" t="s">
        <v>11217</v>
      </c>
      <c r="G500" s="8" t="s">
        <v>2135</v>
      </c>
      <c r="H500" s="8" t="s">
        <v>2135</v>
      </c>
      <c r="I500" s="8" t="s">
        <v>1769</v>
      </c>
      <c r="J500" s="8" t="s">
        <v>5135</v>
      </c>
      <c r="K500" s="8" t="s">
        <v>2135</v>
      </c>
      <c r="L500" s="8" t="s">
        <v>2135</v>
      </c>
      <c r="M500" s="8" t="s">
        <v>3332</v>
      </c>
      <c r="N500" s="8" t="s">
        <v>3333</v>
      </c>
      <c r="O500" s="8" t="s">
        <v>2135</v>
      </c>
      <c r="P500" s="8" t="s">
        <v>2135</v>
      </c>
      <c r="Q500" s="8" t="s">
        <v>2135</v>
      </c>
      <c r="R500" s="8" t="s">
        <v>2135</v>
      </c>
      <c r="S500" s="8" t="s">
        <v>2135</v>
      </c>
      <c r="T500" s="8" t="s">
        <v>11218</v>
      </c>
      <c r="U500" s="8" t="s">
        <v>11219</v>
      </c>
      <c r="V500" s="8" t="s">
        <v>11220</v>
      </c>
      <c r="W500" s="8" t="s">
        <v>11221</v>
      </c>
      <c r="X500" s="8" t="s">
        <v>11222</v>
      </c>
      <c r="Y500" s="8" t="s">
        <v>11223</v>
      </c>
      <c r="Z500" s="8" t="s">
        <v>2135</v>
      </c>
      <c r="AA500" s="8" t="s">
        <v>11224</v>
      </c>
      <c r="AB500" s="8" t="s">
        <v>11225</v>
      </c>
      <c r="AC500" s="8" t="s">
        <v>2135</v>
      </c>
      <c r="AD500" s="8" t="s">
        <v>2135</v>
      </c>
      <c r="AE500" s="8" t="s">
        <v>2135</v>
      </c>
      <c r="AF500" s="8" t="s">
        <v>2135</v>
      </c>
      <c r="AG500" s="8">
        <v>40.0</v>
      </c>
      <c r="AH500" s="8">
        <v>15.0</v>
      </c>
      <c r="AI500" s="8">
        <v>19.0</v>
      </c>
      <c r="AJ500" s="8">
        <v>2.0</v>
      </c>
      <c r="AK500" s="8">
        <v>55.0</v>
      </c>
      <c r="AL500" s="8" t="s">
        <v>3479</v>
      </c>
      <c r="AM500" s="8" t="s">
        <v>4500</v>
      </c>
      <c r="AN500" s="8" t="s">
        <v>4501</v>
      </c>
      <c r="AO500" s="8" t="s">
        <v>5148</v>
      </c>
      <c r="AP500" s="8" t="s">
        <v>5149</v>
      </c>
      <c r="AQ500" s="8" t="s">
        <v>2135</v>
      </c>
      <c r="AR500" s="8" t="s">
        <v>5150</v>
      </c>
      <c r="AS500" s="8" t="s">
        <v>5151</v>
      </c>
      <c r="AT500" s="8" t="s">
        <v>3741</v>
      </c>
      <c r="AU500" s="8">
        <v>2004.0</v>
      </c>
      <c r="AV500" s="8">
        <v>13.0</v>
      </c>
      <c r="AW500" s="8">
        <v>14.0</v>
      </c>
      <c r="AX500" s="8" t="s">
        <v>2135</v>
      </c>
      <c r="AY500" s="8" t="s">
        <v>2135</v>
      </c>
      <c r="AZ500" s="8" t="s">
        <v>2135</v>
      </c>
      <c r="BA500" s="8" t="s">
        <v>2135</v>
      </c>
      <c r="BB500" s="8">
        <v>2741.0</v>
      </c>
      <c r="BC500" s="8">
        <v>2757.0</v>
      </c>
      <c r="BD500" s="8" t="s">
        <v>2135</v>
      </c>
      <c r="BE500" s="8" t="s">
        <v>11226</v>
      </c>
      <c r="BF500" s="13" t="str">
        <f>HYPERLINK("http://dx.doi.org/10.1007/s10531-004-2146-1","http://dx.doi.org/10.1007/s10531-004-2146-1")</f>
        <v>http://dx.doi.org/10.1007/s10531-004-2146-1</v>
      </c>
      <c r="BG500" s="8" t="s">
        <v>2135</v>
      </c>
      <c r="BH500" s="8" t="s">
        <v>2135</v>
      </c>
      <c r="BI500" s="8">
        <v>17.0</v>
      </c>
      <c r="BJ500" s="8" t="s">
        <v>3351</v>
      </c>
      <c r="BK500" s="8" t="s">
        <v>3352</v>
      </c>
      <c r="BL500" s="8" t="s">
        <v>3353</v>
      </c>
      <c r="BM500" s="8" t="s">
        <v>11227</v>
      </c>
      <c r="BN500" s="8" t="s">
        <v>2135</v>
      </c>
      <c r="BO500" s="8" t="s">
        <v>2135</v>
      </c>
      <c r="BP500" s="8" t="s">
        <v>2135</v>
      </c>
      <c r="BQ500" s="8" t="s">
        <v>2135</v>
      </c>
      <c r="BR500" s="8" t="s">
        <v>3355</v>
      </c>
      <c r="BS500" s="8" t="s">
        <v>11228</v>
      </c>
      <c r="BT500" s="8" t="s">
        <v>2600</v>
      </c>
      <c r="BU500" s="8" t="s">
        <v>2147</v>
      </c>
      <c r="BV500" s="8" t="s">
        <v>2217</v>
      </c>
      <c r="BW500" s="8" t="s">
        <v>2237</v>
      </c>
      <c r="BY500" s="8" t="s">
        <v>2959</v>
      </c>
      <c r="BZ500" s="8" t="str">
        <f>HYPERLINK("https%3A%2F%2Fwww.webofscience.com%2Fwos%2Fwoscc%2Ffull-record%2FWOS:000225468900009","View Full Record in Web of Science")</f>
        <v>View Full Record in Web of Science</v>
      </c>
    </row>
    <row r="501" ht="12.75" customHeight="1">
      <c r="A501" s="8" t="s">
        <v>3329</v>
      </c>
      <c r="B501" s="8" t="s">
        <v>11229</v>
      </c>
      <c r="C501" s="8" t="s">
        <v>2135</v>
      </c>
      <c r="D501" s="8" t="s">
        <v>2135</v>
      </c>
      <c r="E501" s="8" t="s">
        <v>2135</v>
      </c>
      <c r="F501" s="8" t="s">
        <v>11229</v>
      </c>
      <c r="G501" s="8" t="s">
        <v>2135</v>
      </c>
      <c r="H501" s="8" t="s">
        <v>2135</v>
      </c>
      <c r="I501" s="8" t="s">
        <v>1765</v>
      </c>
      <c r="J501" s="8" t="s">
        <v>3747</v>
      </c>
      <c r="K501" s="8" t="s">
        <v>2135</v>
      </c>
      <c r="L501" s="8" t="s">
        <v>2135</v>
      </c>
      <c r="M501" s="8" t="s">
        <v>3332</v>
      </c>
      <c r="N501" s="8" t="s">
        <v>3333</v>
      </c>
      <c r="O501" s="8" t="s">
        <v>2135</v>
      </c>
      <c r="P501" s="8" t="s">
        <v>2135</v>
      </c>
      <c r="Q501" s="8" t="s">
        <v>2135</v>
      </c>
      <c r="R501" s="8" t="s">
        <v>2135</v>
      </c>
      <c r="S501" s="8" t="s">
        <v>2135</v>
      </c>
      <c r="T501" s="8" t="s">
        <v>11230</v>
      </c>
      <c r="U501" s="8" t="s">
        <v>11231</v>
      </c>
      <c r="V501" s="8" t="s">
        <v>11232</v>
      </c>
      <c r="W501" s="8" t="s">
        <v>11233</v>
      </c>
      <c r="X501" s="8" t="s">
        <v>11234</v>
      </c>
      <c r="Y501" s="8" t="s">
        <v>11235</v>
      </c>
      <c r="Z501" s="8" t="s">
        <v>11236</v>
      </c>
      <c r="AA501" s="8" t="s">
        <v>11237</v>
      </c>
      <c r="AB501" s="8" t="s">
        <v>11238</v>
      </c>
      <c r="AC501" s="8" t="s">
        <v>2135</v>
      </c>
      <c r="AD501" s="8" t="s">
        <v>2135</v>
      </c>
      <c r="AE501" s="8" t="s">
        <v>2135</v>
      </c>
      <c r="AF501" s="8" t="s">
        <v>2135</v>
      </c>
      <c r="AG501" s="8">
        <v>54.0</v>
      </c>
      <c r="AH501" s="8">
        <v>107.0</v>
      </c>
      <c r="AI501" s="8">
        <v>122.0</v>
      </c>
      <c r="AJ501" s="8">
        <v>0.0</v>
      </c>
      <c r="AK501" s="8">
        <v>42.0</v>
      </c>
      <c r="AL501" s="8" t="s">
        <v>3758</v>
      </c>
      <c r="AM501" s="8" t="s">
        <v>3893</v>
      </c>
      <c r="AN501" s="8" t="s">
        <v>3894</v>
      </c>
      <c r="AO501" s="8" t="s">
        <v>3761</v>
      </c>
      <c r="AP501" s="8" t="s">
        <v>3762</v>
      </c>
      <c r="AQ501" s="8" t="s">
        <v>2135</v>
      </c>
      <c r="AR501" s="8" t="s">
        <v>3763</v>
      </c>
      <c r="AS501" s="8" t="s">
        <v>3764</v>
      </c>
      <c r="AT501" s="8" t="s">
        <v>3741</v>
      </c>
      <c r="AU501" s="8">
        <v>2003.0</v>
      </c>
      <c r="AV501" s="8">
        <v>114.0</v>
      </c>
      <c r="AW501" s="8">
        <v>3.0</v>
      </c>
      <c r="AX501" s="8" t="s">
        <v>2135</v>
      </c>
      <c r="AY501" s="8" t="s">
        <v>2135</v>
      </c>
      <c r="AZ501" s="8" t="s">
        <v>2135</v>
      </c>
      <c r="BA501" s="8" t="s">
        <v>2135</v>
      </c>
      <c r="BB501" s="8">
        <v>377.0</v>
      </c>
      <c r="BC501" s="8">
        <v>387.0</v>
      </c>
      <c r="BD501" s="8" t="s">
        <v>2135</v>
      </c>
      <c r="BE501" s="8" t="s">
        <v>11239</v>
      </c>
      <c r="BF501" s="13" t="str">
        <f>HYPERLINK("http://dx.doi.org/10.1016/S0006-3207(03)00066-1","http://dx.doi.org/10.1016/S0006-3207(03)00066-1")</f>
        <v>http://dx.doi.org/10.1016/S0006-3207(03)00066-1</v>
      </c>
      <c r="BG501" s="8" t="s">
        <v>2135</v>
      </c>
      <c r="BH501" s="8" t="s">
        <v>2135</v>
      </c>
      <c r="BI501" s="8">
        <v>11.0</v>
      </c>
      <c r="BJ501" s="8" t="s">
        <v>3351</v>
      </c>
      <c r="BK501" s="8" t="s">
        <v>3352</v>
      </c>
      <c r="BL501" s="8" t="s">
        <v>3353</v>
      </c>
      <c r="BM501" s="8" t="s">
        <v>11240</v>
      </c>
      <c r="BN501" s="8" t="s">
        <v>2135</v>
      </c>
      <c r="BO501" s="8" t="s">
        <v>2135</v>
      </c>
      <c r="BP501" s="8" t="s">
        <v>2135</v>
      </c>
      <c r="BQ501" s="8" t="s">
        <v>2135</v>
      </c>
      <c r="BR501" s="8" t="s">
        <v>3355</v>
      </c>
      <c r="BS501" s="8" t="s">
        <v>11241</v>
      </c>
      <c r="BT501" s="8" t="s">
        <v>2497</v>
      </c>
      <c r="BU501" s="8" t="s">
        <v>2142</v>
      </c>
      <c r="BW501" s="8" t="s">
        <v>2143</v>
      </c>
      <c r="BY501" s="8" t="s">
        <v>2959</v>
      </c>
      <c r="BZ501" s="8" t="str">
        <f>HYPERLINK("https%3A%2F%2Fwww.webofscience.com%2Fwos%2Fwoscc%2Ffull-record%2FWOS:000185371200008","View Full Record in Web of Science")</f>
        <v>View Full Record in Web of Science</v>
      </c>
    </row>
    <row r="502" ht="12.75" customHeight="1">
      <c r="A502" s="8" t="s">
        <v>3329</v>
      </c>
      <c r="B502" s="8" t="s">
        <v>11242</v>
      </c>
      <c r="C502" s="8" t="s">
        <v>2135</v>
      </c>
      <c r="D502" s="8" t="s">
        <v>2135</v>
      </c>
      <c r="E502" s="8" t="s">
        <v>2135</v>
      </c>
      <c r="F502" s="8" t="s">
        <v>11242</v>
      </c>
      <c r="G502" s="8" t="s">
        <v>2135</v>
      </c>
      <c r="H502" s="8" t="s">
        <v>2135</v>
      </c>
      <c r="I502" s="8" t="s">
        <v>1763</v>
      </c>
      <c r="J502" s="8" t="s">
        <v>3831</v>
      </c>
      <c r="K502" s="8" t="s">
        <v>2135</v>
      </c>
      <c r="L502" s="8" t="s">
        <v>2135</v>
      </c>
      <c r="M502" s="8" t="s">
        <v>3332</v>
      </c>
      <c r="N502" s="8" t="s">
        <v>3333</v>
      </c>
      <c r="O502" s="8" t="s">
        <v>2135</v>
      </c>
      <c r="P502" s="8" t="s">
        <v>2135</v>
      </c>
      <c r="Q502" s="8" t="s">
        <v>2135</v>
      </c>
      <c r="R502" s="8" t="s">
        <v>2135</v>
      </c>
      <c r="S502" s="8" t="s">
        <v>2135</v>
      </c>
      <c r="T502" s="8" t="s">
        <v>2135</v>
      </c>
      <c r="U502" s="8" t="s">
        <v>11243</v>
      </c>
      <c r="V502" s="8" t="s">
        <v>11244</v>
      </c>
      <c r="W502" s="8" t="s">
        <v>11245</v>
      </c>
      <c r="X502" s="8" t="s">
        <v>11246</v>
      </c>
      <c r="Y502" s="8" t="s">
        <v>11247</v>
      </c>
      <c r="Z502" s="8" t="s">
        <v>11248</v>
      </c>
      <c r="AA502" s="8" t="s">
        <v>2135</v>
      </c>
      <c r="AB502" s="8" t="s">
        <v>2135</v>
      </c>
      <c r="AC502" s="8" t="s">
        <v>2135</v>
      </c>
      <c r="AD502" s="8" t="s">
        <v>2135</v>
      </c>
      <c r="AE502" s="8" t="s">
        <v>2135</v>
      </c>
      <c r="AF502" s="8" t="s">
        <v>2135</v>
      </c>
      <c r="AG502" s="8">
        <v>82.0</v>
      </c>
      <c r="AH502" s="8">
        <v>28.0</v>
      </c>
      <c r="AI502" s="8">
        <v>31.0</v>
      </c>
      <c r="AJ502" s="8">
        <v>1.0</v>
      </c>
      <c r="AK502" s="8">
        <v>23.0</v>
      </c>
      <c r="AL502" s="8" t="s">
        <v>3843</v>
      </c>
      <c r="AM502" s="8" t="s">
        <v>3844</v>
      </c>
      <c r="AN502" s="8" t="s">
        <v>11249</v>
      </c>
      <c r="AO502" s="8" t="s">
        <v>3846</v>
      </c>
      <c r="AP502" s="8" t="s">
        <v>3847</v>
      </c>
      <c r="AQ502" s="8" t="s">
        <v>2135</v>
      </c>
      <c r="AR502" s="8" t="s">
        <v>3848</v>
      </c>
      <c r="AS502" s="8" t="s">
        <v>3849</v>
      </c>
      <c r="AT502" s="8" t="s">
        <v>3462</v>
      </c>
      <c r="AU502" s="8">
        <v>2003.0</v>
      </c>
      <c r="AV502" s="8">
        <v>81.0</v>
      </c>
      <c r="AW502" s="8">
        <v>9.0</v>
      </c>
      <c r="AX502" s="8" t="s">
        <v>2135</v>
      </c>
      <c r="AY502" s="8" t="s">
        <v>2135</v>
      </c>
      <c r="AZ502" s="8" t="s">
        <v>2135</v>
      </c>
      <c r="BA502" s="8" t="s">
        <v>2135</v>
      </c>
      <c r="BB502" s="8">
        <v>1494.0</v>
      </c>
      <c r="BC502" s="8">
        <v>1510.0</v>
      </c>
      <c r="BD502" s="8" t="s">
        <v>2135</v>
      </c>
      <c r="BE502" s="8" t="s">
        <v>11250</v>
      </c>
      <c r="BF502" s="13" t="str">
        <f>HYPERLINK("http://dx.doi.org/10.1139/Z03-121","http://dx.doi.org/10.1139/Z03-121")</f>
        <v>http://dx.doi.org/10.1139/Z03-121</v>
      </c>
      <c r="BG502" s="8" t="s">
        <v>2135</v>
      </c>
      <c r="BH502" s="8" t="s">
        <v>2135</v>
      </c>
      <c r="BI502" s="8">
        <v>17.0</v>
      </c>
      <c r="BJ502" s="8" t="s">
        <v>3397</v>
      </c>
      <c r="BK502" s="8" t="s">
        <v>3352</v>
      </c>
      <c r="BL502" s="8" t="s">
        <v>3397</v>
      </c>
      <c r="BM502" s="8" t="s">
        <v>11251</v>
      </c>
      <c r="BN502" s="8" t="s">
        <v>2135</v>
      </c>
      <c r="BO502" s="8" t="s">
        <v>2135</v>
      </c>
      <c r="BP502" s="8" t="s">
        <v>2135</v>
      </c>
      <c r="BQ502" s="8" t="s">
        <v>2135</v>
      </c>
      <c r="BR502" s="8" t="s">
        <v>3355</v>
      </c>
      <c r="BS502" s="8" t="s">
        <v>11252</v>
      </c>
      <c r="BT502" s="8" t="s">
        <v>2600</v>
      </c>
      <c r="BU502" s="8" t="s">
        <v>2147</v>
      </c>
      <c r="BV502" s="8" t="s">
        <v>2217</v>
      </c>
      <c r="BW502" s="8" t="s">
        <v>2237</v>
      </c>
      <c r="BX502" s="8" t="s">
        <v>2974</v>
      </c>
      <c r="BY502" s="8" t="s">
        <v>2959</v>
      </c>
      <c r="BZ502" s="8" t="str">
        <f>HYPERLINK("https%3A%2F%2Fwww.webofscience.com%2Fwos%2Fwoscc%2Ffull-record%2FWOS:000186325200004","View Full Record in Web of Science")</f>
        <v>View Full Record in Web of Science</v>
      </c>
    </row>
    <row r="503" ht="12.75" customHeight="1">
      <c r="A503" s="8" t="s">
        <v>3329</v>
      </c>
      <c r="B503" s="8" t="s">
        <v>11253</v>
      </c>
      <c r="C503" s="8" t="s">
        <v>2135</v>
      </c>
      <c r="D503" s="8" t="s">
        <v>2135</v>
      </c>
      <c r="E503" s="8" t="s">
        <v>2135</v>
      </c>
      <c r="F503" s="8" t="s">
        <v>11253</v>
      </c>
      <c r="G503" s="8" t="s">
        <v>2135</v>
      </c>
      <c r="H503" s="8" t="s">
        <v>2135</v>
      </c>
      <c r="I503" s="8" t="s">
        <v>1759</v>
      </c>
      <c r="J503" s="8" t="s">
        <v>4162</v>
      </c>
      <c r="K503" s="8" t="s">
        <v>2135</v>
      </c>
      <c r="L503" s="8" t="s">
        <v>2135</v>
      </c>
      <c r="M503" s="8" t="s">
        <v>3332</v>
      </c>
      <c r="N503" s="8" t="s">
        <v>3333</v>
      </c>
      <c r="O503" s="8" t="s">
        <v>2135</v>
      </c>
      <c r="P503" s="8" t="s">
        <v>2135</v>
      </c>
      <c r="Q503" s="8" t="s">
        <v>2135</v>
      </c>
      <c r="R503" s="8" t="s">
        <v>2135</v>
      </c>
      <c r="S503" s="8" t="s">
        <v>2135</v>
      </c>
      <c r="T503" s="8" t="s">
        <v>11254</v>
      </c>
      <c r="U503" s="8" t="s">
        <v>11255</v>
      </c>
      <c r="V503" s="8" t="s">
        <v>11256</v>
      </c>
      <c r="W503" s="8" t="s">
        <v>11257</v>
      </c>
      <c r="X503" s="8" t="s">
        <v>11258</v>
      </c>
      <c r="Y503" s="8" t="s">
        <v>10338</v>
      </c>
      <c r="Z503" s="8" t="s">
        <v>10339</v>
      </c>
      <c r="AA503" s="8" t="s">
        <v>2135</v>
      </c>
      <c r="AB503" s="8" t="s">
        <v>2135</v>
      </c>
      <c r="AC503" s="8" t="s">
        <v>2135</v>
      </c>
      <c r="AD503" s="8" t="s">
        <v>2135</v>
      </c>
      <c r="AE503" s="8" t="s">
        <v>2135</v>
      </c>
      <c r="AF503" s="8" t="s">
        <v>2135</v>
      </c>
      <c r="AG503" s="8">
        <v>66.0</v>
      </c>
      <c r="AH503" s="8">
        <v>25.0</v>
      </c>
      <c r="AI503" s="8">
        <v>31.0</v>
      </c>
      <c r="AJ503" s="8">
        <v>0.0</v>
      </c>
      <c r="AK503" s="8">
        <v>73.0</v>
      </c>
      <c r="AL503" s="8" t="s">
        <v>3342</v>
      </c>
      <c r="AM503" s="8" t="s">
        <v>3343</v>
      </c>
      <c r="AN503" s="8" t="s">
        <v>3344</v>
      </c>
      <c r="AO503" s="8" t="s">
        <v>4175</v>
      </c>
      <c r="AP503" s="8" t="s">
        <v>4176</v>
      </c>
      <c r="AQ503" s="8" t="s">
        <v>2135</v>
      </c>
      <c r="AR503" s="8" t="s">
        <v>4177</v>
      </c>
      <c r="AS503" s="8" t="s">
        <v>4178</v>
      </c>
      <c r="AT503" s="8" t="s">
        <v>3580</v>
      </c>
      <c r="AU503" s="8">
        <v>2002.0</v>
      </c>
      <c r="AV503" s="8">
        <v>66.0</v>
      </c>
      <c r="AW503" s="8">
        <v>4.0</v>
      </c>
      <c r="AX503" s="8" t="s">
        <v>2135</v>
      </c>
      <c r="AY503" s="8" t="s">
        <v>2135</v>
      </c>
      <c r="AZ503" s="8" t="s">
        <v>2135</v>
      </c>
      <c r="BA503" s="8" t="s">
        <v>2135</v>
      </c>
      <c r="BB503" s="8">
        <v>1208.0</v>
      </c>
      <c r="BC503" s="8">
        <v>1223.0</v>
      </c>
      <c r="BD503" s="8" t="s">
        <v>2135</v>
      </c>
      <c r="BE503" s="8" t="s">
        <v>11259</v>
      </c>
      <c r="BF503" s="13" t="str">
        <f>HYPERLINK("http://dx.doi.org/10.2307/3802954","http://dx.doi.org/10.2307/3802954")</f>
        <v>http://dx.doi.org/10.2307/3802954</v>
      </c>
      <c r="BG503" s="8" t="s">
        <v>2135</v>
      </c>
      <c r="BH503" s="8" t="s">
        <v>2135</v>
      </c>
      <c r="BI503" s="8">
        <v>16.0</v>
      </c>
      <c r="BJ503" s="8" t="s">
        <v>3442</v>
      </c>
      <c r="BK503" s="8" t="s">
        <v>3352</v>
      </c>
      <c r="BL503" s="8" t="s">
        <v>3443</v>
      </c>
      <c r="BM503" s="8" t="s">
        <v>11260</v>
      </c>
      <c r="BN503" s="8" t="s">
        <v>2135</v>
      </c>
      <c r="BO503" s="8" t="s">
        <v>2135</v>
      </c>
      <c r="BP503" s="8" t="s">
        <v>2135</v>
      </c>
      <c r="BQ503" s="8" t="s">
        <v>2135</v>
      </c>
      <c r="BR503" s="8" t="s">
        <v>3355</v>
      </c>
      <c r="BS503" s="8" t="s">
        <v>11261</v>
      </c>
      <c r="BT503" s="8" t="s">
        <v>2600</v>
      </c>
      <c r="BU503" s="8" t="s">
        <v>2147</v>
      </c>
      <c r="BV503" s="8" t="s">
        <v>2217</v>
      </c>
      <c r="BW503" s="8" t="s">
        <v>2234</v>
      </c>
      <c r="BX503" s="8" t="s">
        <v>2974</v>
      </c>
      <c r="BY503" s="8" t="s">
        <v>2959</v>
      </c>
      <c r="BZ503" s="8" t="str">
        <f>HYPERLINK("https%3A%2F%2Fwww.webofscience.com%2Fwos%2Fwoscc%2Ffull-record%2FWOS:000179706800029","View Full Record in Web of Science")</f>
        <v>View Full Record in Web of Science</v>
      </c>
    </row>
    <row r="504" ht="12.75" customHeight="1">
      <c r="A504" s="8" t="s">
        <v>3329</v>
      </c>
      <c r="B504" s="8" t="s">
        <v>11262</v>
      </c>
      <c r="C504" s="8" t="s">
        <v>2135</v>
      </c>
      <c r="D504" s="8" t="s">
        <v>2135</v>
      </c>
      <c r="E504" s="8" t="s">
        <v>2135</v>
      </c>
      <c r="F504" s="8" t="s">
        <v>11262</v>
      </c>
      <c r="G504" s="8" t="s">
        <v>2135</v>
      </c>
      <c r="H504" s="8" t="s">
        <v>2135</v>
      </c>
      <c r="I504" s="8" t="s">
        <v>1753</v>
      </c>
      <c r="J504" s="8" t="s">
        <v>5420</v>
      </c>
      <c r="K504" s="8" t="s">
        <v>2135</v>
      </c>
      <c r="L504" s="8" t="s">
        <v>2135</v>
      </c>
      <c r="M504" s="8" t="s">
        <v>3332</v>
      </c>
      <c r="N504" s="8" t="s">
        <v>3333</v>
      </c>
      <c r="O504" s="8" t="s">
        <v>2135</v>
      </c>
      <c r="P504" s="8" t="s">
        <v>2135</v>
      </c>
      <c r="Q504" s="8" t="s">
        <v>2135</v>
      </c>
      <c r="R504" s="8" t="s">
        <v>2135</v>
      </c>
      <c r="S504" s="8" t="s">
        <v>2135</v>
      </c>
      <c r="T504" s="8" t="s">
        <v>11263</v>
      </c>
      <c r="U504" s="8" t="s">
        <v>11264</v>
      </c>
      <c r="V504" s="8" t="s">
        <v>11265</v>
      </c>
      <c r="W504" s="8" t="s">
        <v>11266</v>
      </c>
      <c r="X504" s="8" t="s">
        <v>4043</v>
      </c>
      <c r="Y504" s="8" t="s">
        <v>11267</v>
      </c>
      <c r="Z504" s="8" t="s">
        <v>11268</v>
      </c>
      <c r="AA504" s="8" t="s">
        <v>11269</v>
      </c>
      <c r="AB504" s="8" t="s">
        <v>4470</v>
      </c>
      <c r="AC504" s="8" t="s">
        <v>2135</v>
      </c>
      <c r="AD504" s="8" t="s">
        <v>2135</v>
      </c>
      <c r="AE504" s="8" t="s">
        <v>2135</v>
      </c>
      <c r="AF504" s="8" t="s">
        <v>2135</v>
      </c>
      <c r="AG504" s="8">
        <v>70.0</v>
      </c>
      <c r="AH504" s="8">
        <v>33.0</v>
      </c>
      <c r="AI504" s="8">
        <v>33.0</v>
      </c>
      <c r="AJ504" s="8">
        <v>0.0</v>
      </c>
      <c r="AK504" s="8">
        <v>23.0</v>
      </c>
      <c r="AL504" s="8" t="s">
        <v>3342</v>
      </c>
      <c r="AM504" s="8" t="s">
        <v>3343</v>
      </c>
      <c r="AN504" s="8" t="s">
        <v>3344</v>
      </c>
      <c r="AO504" s="8" t="s">
        <v>5430</v>
      </c>
      <c r="AP504" s="8" t="s">
        <v>5431</v>
      </c>
      <c r="AQ504" s="8" t="s">
        <v>2135</v>
      </c>
      <c r="AR504" s="8" t="s">
        <v>5432</v>
      </c>
      <c r="AS504" s="8" t="s">
        <v>5433</v>
      </c>
      <c r="AT504" s="8" t="s">
        <v>3580</v>
      </c>
      <c r="AU504" s="8">
        <v>2002.0</v>
      </c>
      <c r="AV504" s="8">
        <v>39.0</v>
      </c>
      <c r="AW504" s="8">
        <v>5.0</v>
      </c>
      <c r="AX504" s="8" t="s">
        <v>2135</v>
      </c>
      <c r="AY504" s="8" t="s">
        <v>2135</v>
      </c>
      <c r="AZ504" s="8" t="s">
        <v>2135</v>
      </c>
      <c r="BA504" s="8" t="s">
        <v>2135</v>
      </c>
      <c r="BB504" s="8">
        <v>793.0</v>
      </c>
      <c r="BC504" s="8">
        <v>805.0</v>
      </c>
      <c r="BD504" s="8" t="s">
        <v>2135</v>
      </c>
      <c r="BE504" s="8" t="s">
        <v>11270</v>
      </c>
      <c r="BF504" s="13" t="str">
        <f>HYPERLINK("http://dx.doi.org/10.1046/j.1365-2664.2002.00757.x","http://dx.doi.org/10.1046/j.1365-2664.2002.00757.x")</f>
        <v>http://dx.doi.org/10.1046/j.1365-2664.2002.00757.x</v>
      </c>
      <c r="BG504" s="8" t="s">
        <v>2135</v>
      </c>
      <c r="BH504" s="8" t="s">
        <v>2135</v>
      </c>
      <c r="BI504" s="8">
        <v>13.0</v>
      </c>
      <c r="BJ504" s="8" t="s">
        <v>3558</v>
      </c>
      <c r="BK504" s="8" t="s">
        <v>3352</v>
      </c>
      <c r="BL504" s="8" t="s">
        <v>3353</v>
      </c>
      <c r="BM504" s="8" t="s">
        <v>11271</v>
      </c>
      <c r="BN504" s="8" t="s">
        <v>2135</v>
      </c>
      <c r="BO504" s="8" t="s">
        <v>3445</v>
      </c>
      <c r="BP504" s="8" t="s">
        <v>2135</v>
      </c>
      <c r="BQ504" s="8" t="s">
        <v>2135</v>
      </c>
      <c r="BR504" s="8" t="s">
        <v>3355</v>
      </c>
      <c r="BS504" s="8" t="s">
        <v>11272</v>
      </c>
      <c r="BT504" s="8" t="s">
        <v>2553</v>
      </c>
      <c r="BU504" s="8" t="s">
        <v>2142</v>
      </c>
      <c r="BW504" s="8" t="s">
        <v>2591</v>
      </c>
      <c r="BX504" s="8" t="s">
        <v>2956</v>
      </c>
      <c r="BY504" s="8" t="s">
        <v>2959</v>
      </c>
      <c r="BZ504" s="8" t="str">
        <f>HYPERLINK("https%3A%2F%2Fwww.webofscience.com%2Fwos%2Fwoscc%2Ffull-record%2FWOS:000178446500009","View Full Record in Web of Science")</f>
        <v>View Full Record in Web of Science</v>
      </c>
    </row>
    <row r="505" ht="12.75" customHeight="1">
      <c r="A505" s="8" t="s">
        <v>3329</v>
      </c>
      <c r="B505" s="8" t="s">
        <v>11273</v>
      </c>
      <c r="C505" s="8" t="s">
        <v>2135</v>
      </c>
      <c r="D505" s="8" t="s">
        <v>2135</v>
      </c>
      <c r="E505" s="8" t="s">
        <v>2135</v>
      </c>
      <c r="F505" s="8" t="s">
        <v>11273</v>
      </c>
      <c r="G505" s="8" t="s">
        <v>2135</v>
      </c>
      <c r="H505" s="8" t="s">
        <v>2135</v>
      </c>
      <c r="I505" s="8" t="s">
        <v>1757</v>
      </c>
      <c r="J505" s="8" t="s">
        <v>4546</v>
      </c>
      <c r="K505" s="8" t="s">
        <v>2135</v>
      </c>
      <c r="L505" s="8" t="s">
        <v>2135</v>
      </c>
      <c r="M505" s="8" t="s">
        <v>3332</v>
      </c>
      <c r="N505" s="8" t="s">
        <v>3333</v>
      </c>
      <c r="O505" s="8" t="s">
        <v>2135</v>
      </c>
      <c r="P505" s="8" t="s">
        <v>2135</v>
      </c>
      <c r="Q505" s="8" t="s">
        <v>2135</v>
      </c>
      <c r="R505" s="8" t="s">
        <v>2135</v>
      </c>
      <c r="S505" s="8" t="s">
        <v>2135</v>
      </c>
      <c r="T505" s="8" t="s">
        <v>11274</v>
      </c>
      <c r="U505" s="8" t="s">
        <v>11275</v>
      </c>
      <c r="V505" s="8" t="s">
        <v>11276</v>
      </c>
      <c r="W505" s="8" t="s">
        <v>11277</v>
      </c>
      <c r="X505" s="8" t="s">
        <v>2135</v>
      </c>
      <c r="Y505" s="8" t="s">
        <v>11278</v>
      </c>
      <c r="Z505" s="8" t="s">
        <v>2135</v>
      </c>
      <c r="AA505" s="8" t="s">
        <v>2135</v>
      </c>
      <c r="AB505" s="8" t="s">
        <v>2135</v>
      </c>
      <c r="AC505" s="8" t="s">
        <v>2135</v>
      </c>
      <c r="AD505" s="8" t="s">
        <v>2135</v>
      </c>
      <c r="AE505" s="8" t="s">
        <v>2135</v>
      </c>
      <c r="AF505" s="8" t="s">
        <v>2135</v>
      </c>
      <c r="AG505" s="8">
        <v>62.0</v>
      </c>
      <c r="AH505" s="8">
        <v>8.0</v>
      </c>
      <c r="AI505" s="8">
        <v>9.0</v>
      </c>
      <c r="AJ505" s="8">
        <v>0.0</v>
      </c>
      <c r="AK505" s="8">
        <v>17.0</v>
      </c>
      <c r="AL505" s="8" t="s">
        <v>6966</v>
      </c>
      <c r="AM505" s="8" t="s">
        <v>3390</v>
      </c>
      <c r="AN505" s="8" t="s">
        <v>11279</v>
      </c>
      <c r="AO505" s="8" t="s">
        <v>4554</v>
      </c>
      <c r="AP505" s="8" t="s">
        <v>2135</v>
      </c>
      <c r="AQ505" s="8" t="s">
        <v>2135</v>
      </c>
      <c r="AR505" s="8" t="s">
        <v>4556</v>
      </c>
      <c r="AS505" s="8" t="s">
        <v>4557</v>
      </c>
      <c r="AT505" s="8" t="s">
        <v>3580</v>
      </c>
      <c r="AU505" s="8">
        <v>2002.0</v>
      </c>
      <c r="AV505" s="8">
        <v>18.0</v>
      </c>
      <c r="AW505" s="8">
        <v>4.0</v>
      </c>
      <c r="AX505" s="8" t="s">
        <v>2135</v>
      </c>
      <c r="AY505" s="8" t="s">
        <v>2135</v>
      </c>
      <c r="AZ505" s="8" t="s">
        <v>2135</v>
      </c>
      <c r="BA505" s="8" t="s">
        <v>2135</v>
      </c>
      <c r="BB505" s="8">
        <v>977.0</v>
      </c>
      <c r="BC505" s="8">
        <v>993.0</v>
      </c>
      <c r="BD505" s="8" t="s">
        <v>2135</v>
      </c>
      <c r="BE505" s="8" t="s">
        <v>11280</v>
      </c>
      <c r="BF505" s="13" t="str">
        <f>HYPERLINK("http://dx.doi.org/10.1111/j.1748-7692.2002.tb01086.x","http://dx.doi.org/10.1111/j.1748-7692.2002.tb01086.x")</f>
        <v>http://dx.doi.org/10.1111/j.1748-7692.2002.tb01086.x</v>
      </c>
      <c r="BG505" s="8" t="s">
        <v>2135</v>
      </c>
      <c r="BH505" s="8" t="s">
        <v>2135</v>
      </c>
      <c r="BI505" s="8">
        <v>17.0</v>
      </c>
      <c r="BJ505" s="8" t="s">
        <v>4559</v>
      </c>
      <c r="BK505" s="8" t="s">
        <v>3352</v>
      </c>
      <c r="BL505" s="8" t="s">
        <v>4559</v>
      </c>
      <c r="BM505" s="8" t="s">
        <v>11281</v>
      </c>
      <c r="BN505" s="8" t="s">
        <v>2135</v>
      </c>
      <c r="BO505" s="8" t="s">
        <v>3445</v>
      </c>
      <c r="BP505" s="8" t="s">
        <v>2135</v>
      </c>
      <c r="BQ505" s="8" t="s">
        <v>2135</v>
      </c>
      <c r="BR505" s="8" t="s">
        <v>3355</v>
      </c>
      <c r="BS505" s="8" t="s">
        <v>11282</v>
      </c>
      <c r="BT505" s="8" t="s">
        <v>2600</v>
      </c>
      <c r="BU505" s="8" t="s">
        <v>2147</v>
      </c>
      <c r="BV505" s="8" t="s">
        <v>2217</v>
      </c>
      <c r="BW505" s="8" t="s">
        <v>2237</v>
      </c>
      <c r="BX505" s="8" t="s">
        <v>2974</v>
      </c>
      <c r="BY505" s="8" t="s">
        <v>2959</v>
      </c>
      <c r="BZ505" s="8" t="str">
        <f>HYPERLINK("https%3A%2F%2Fwww.webofscience.com%2Fwos%2Fwoscc%2Ffull-record%2FWOS:000178998100013","View Full Record in Web of Science")</f>
        <v>View Full Record in Web of Science</v>
      </c>
    </row>
    <row r="506" ht="12.75" customHeight="1">
      <c r="A506" s="8" t="s">
        <v>3329</v>
      </c>
      <c r="B506" s="8" t="s">
        <v>11283</v>
      </c>
      <c r="C506" s="8" t="s">
        <v>2135</v>
      </c>
      <c r="D506" s="8" t="s">
        <v>2135</v>
      </c>
      <c r="E506" s="8" t="s">
        <v>2135</v>
      </c>
      <c r="F506" s="8" t="s">
        <v>11283</v>
      </c>
      <c r="G506" s="8" t="s">
        <v>2135</v>
      </c>
      <c r="H506" s="8" t="s">
        <v>2135</v>
      </c>
      <c r="I506" s="8" t="s">
        <v>1755</v>
      </c>
      <c r="J506" s="8" t="s">
        <v>10219</v>
      </c>
      <c r="K506" s="8" t="s">
        <v>2135</v>
      </c>
      <c r="L506" s="8" t="s">
        <v>2135</v>
      </c>
      <c r="M506" s="8" t="s">
        <v>3332</v>
      </c>
      <c r="N506" s="8" t="s">
        <v>3333</v>
      </c>
      <c r="O506" s="8" t="s">
        <v>2135</v>
      </c>
      <c r="P506" s="8" t="s">
        <v>2135</v>
      </c>
      <c r="Q506" s="8" t="s">
        <v>2135</v>
      </c>
      <c r="R506" s="8" t="s">
        <v>2135</v>
      </c>
      <c r="S506" s="8" t="s">
        <v>2135</v>
      </c>
      <c r="T506" s="8" t="s">
        <v>11284</v>
      </c>
      <c r="U506" s="8" t="s">
        <v>11285</v>
      </c>
      <c r="V506" s="8" t="s">
        <v>11286</v>
      </c>
      <c r="W506" s="8" t="s">
        <v>11287</v>
      </c>
      <c r="X506" s="8" t="s">
        <v>10298</v>
      </c>
      <c r="Y506" s="8" t="s">
        <v>11288</v>
      </c>
      <c r="Z506" s="8" t="s">
        <v>11289</v>
      </c>
      <c r="AA506" s="8" t="s">
        <v>11290</v>
      </c>
      <c r="AB506" s="8" t="s">
        <v>8948</v>
      </c>
      <c r="AC506" s="8" t="s">
        <v>2135</v>
      </c>
      <c r="AD506" s="8" t="s">
        <v>2135</v>
      </c>
      <c r="AE506" s="8" t="s">
        <v>2135</v>
      </c>
      <c r="AF506" s="8" t="s">
        <v>2135</v>
      </c>
      <c r="AG506" s="8">
        <v>85.0</v>
      </c>
      <c r="AH506" s="8">
        <v>95.0</v>
      </c>
      <c r="AI506" s="8">
        <v>104.0</v>
      </c>
      <c r="AJ506" s="8">
        <v>1.0</v>
      </c>
      <c r="AK506" s="8">
        <v>87.0</v>
      </c>
      <c r="AL506" s="8" t="s">
        <v>6103</v>
      </c>
      <c r="AM506" s="8" t="s">
        <v>6104</v>
      </c>
      <c r="AN506" s="8" t="s">
        <v>6105</v>
      </c>
      <c r="AO506" s="8" t="s">
        <v>10228</v>
      </c>
      <c r="AP506" s="8" t="s">
        <v>10229</v>
      </c>
      <c r="AQ506" s="8" t="s">
        <v>2135</v>
      </c>
      <c r="AR506" s="8" t="s">
        <v>10230</v>
      </c>
      <c r="AS506" s="8" t="s">
        <v>10231</v>
      </c>
      <c r="AT506" s="8" t="s">
        <v>2135</v>
      </c>
      <c r="AU506" s="8">
        <v>2002.0</v>
      </c>
      <c r="AV506" s="8">
        <v>241.0</v>
      </c>
      <c r="AW506" s="8" t="s">
        <v>2135</v>
      </c>
      <c r="AX506" s="8" t="s">
        <v>2135</v>
      </c>
      <c r="AY506" s="8" t="s">
        <v>2135</v>
      </c>
      <c r="AZ506" s="8" t="s">
        <v>2135</v>
      </c>
      <c r="BA506" s="8" t="s">
        <v>2135</v>
      </c>
      <c r="BB506" s="8">
        <v>237.0</v>
      </c>
      <c r="BC506" s="8">
        <v>253.0</v>
      </c>
      <c r="BD506" s="8" t="s">
        <v>2135</v>
      </c>
      <c r="BE506" s="8" t="s">
        <v>11291</v>
      </c>
      <c r="BF506" s="13" t="str">
        <f>HYPERLINK("http://dx.doi.org/10.3354/meps241237","http://dx.doi.org/10.3354/meps241237")</f>
        <v>http://dx.doi.org/10.3354/meps241237</v>
      </c>
      <c r="BG506" s="8" t="s">
        <v>2135</v>
      </c>
      <c r="BH506" s="8" t="s">
        <v>2135</v>
      </c>
      <c r="BI506" s="8">
        <v>17.0</v>
      </c>
      <c r="BJ506" s="8" t="s">
        <v>10233</v>
      </c>
      <c r="BK506" s="8" t="s">
        <v>3352</v>
      </c>
      <c r="BL506" s="8" t="s">
        <v>10234</v>
      </c>
      <c r="BM506" s="8" t="s">
        <v>10302</v>
      </c>
      <c r="BN506" s="8" t="s">
        <v>2135</v>
      </c>
      <c r="BO506" s="8" t="s">
        <v>3445</v>
      </c>
      <c r="BP506" s="8" t="s">
        <v>2135</v>
      </c>
      <c r="BQ506" s="8" t="s">
        <v>2135</v>
      </c>
      <c r="BR506" s="8" t="s">
        <v>3355</v>
      </c>
      <c r="BS506" s="8" t="s">
        <v>11292</v>
      </c>
      <c r="BT506" s="8" t="s">
        <v>2600</v>
      </c>
      <c r="BU506" s="8" t="s">
        <v>2147</v>
      </c>
      <c r="BV506" s="8" t="s">
        <v>2217</v>
      </c>
      <c r="BW506" s="8" t="s">
        <v>2237</v>
      </c>
      <c r="BX506" s="8" t="s">
        <v>2974</v>
      </c>
      <c r="BY506" s="8" t="s">
        <v>2959</v>
      </c>
      <c r="BZ506" s="8" t="str">
        <f>HYPERLINK("https%3A%2F%2Fwww.webofscience.com%2Fwos%2Fwoscc%2Ffull-record%2FWOS:000179145900022","View Full Record in Web of Science")</f>
        <v>View Full Record in Web of Science</v>
      </c>
    </row>
    <row r="507" ht="12.75" customHeight="1">
      <c r="A507" s="8" t="s">
        <v>3329</v>
      </c>
      <c r="B507" s="8" t="s">
        <v>11293</v>
      </c>
      <c r="C507" s="8" t="s">
        <v>2135</v>
      </c>
      <c r="D507" s="8" t="s">
        <v>2135</v>
      </c>
      <c r="E507" s="8" t="s">
        <v>2135</v>
      </c>
      <c r="F507" s="8" t="s">
        <v>11293</v>
      </c>
      <c r="G507" s="8" t="s">
        <v>2135</v>
      </c>
      <c r="H507" s="8" t="s">
        <v>2135</v>
      </c>
      <c r="I507" s="8" t="s">
        <v>1747</v>
      </c>
      <c r="J507" s="8" t="s">
        <v>11294</v>
      </c>
      <c r="K507" s="8" t="s">
        <v>2135</v>
      </c>
      <c r="L507" s="8" t="s">
        <v>2135</v>
      </c>
      <c r="M507" s="8" t="s">
        <v>3332</v>
      </c>
      <c r="N507" s="8" t="s">
        <v>3333</v>
      </c>
      <c r="O507" s="8" t="s">
        <v>2135</v>
      </c>
      <c r="P507" s="8" t="s">
        <v>2135</v>
      </c>
      <c r="Q507" s="8" t="s">
        <v>2135</v>
      </c>
      <c r="R507" s="8" t="s">
        <v>2135</v>
      </c>
      <c r="S507" s="8" t="s">
        <v>2135</v>
      </c>
      <c r="T507" s="8" t="s">
        <v>11295</v>
      </c>
      <c r="U507" s="8" t="s">
        <v>11296</v>
      </c>
      <c r="V507" s="8" t="s">
        <v>11297</v>
      </c>
      <c r="W507" s="8" t="s">
        <v>11298</v>
      </c>
      <c r="X507" s="8" t="s">
        <v>11299</v>
      </c>
      <c r="Y507" s="8" t="s">
        <v>11300</v>
      </c>
      <c r="Z507" s="8" t="s">
        <v>10339</v>
      </c>
      <c r="AA507" s="8" t="s">
        <v>2135</v>
      </c>
      <c r="AB507" s="8" t="s">
        <v>11301</v>
      </c>
      <c r="AC507" s="8" t="s">
        <v>2135</v>
      </c>
      <c r="AD507" s="8" t="s">
        <v>2135</v>
      </c>
      <c r="AE507" s="8" t="s">
        <v>2135</v>
      </c>
      <c r="AF507" s="8" t="s">
        <v>2135</v>
      </c>
      <c r="AG507" s="8">
        <v>57.0</v>
      </c>
      <c r="AH507" s="8">
        <v>20.0</v>
      </c>
      <c r="AI507" s="8">
        <v>21.0</v>
      </c>
      <c r="AJ507" s="8">
        <v>0.0</v>
      </c>
      <c r="AK507" s="8">
        <v>15.0</v>
      </c>
      <c r="AL507" s="8" t="s">
        <v>5073</v>
      </c>
      <c r="AM507" s="8" t="s">
        <v>5074</v>
      </c>
      <c r="AN507" s="8" t="s">
        <v>5488</v>
      </c>
      <c r="AO507" s="8" t="s">
        <v>11302</v>
      </c>
      <c r="AP507" s="8" t="s">
        <v>11303</v>
      </c>
      <c r="AQ507" s="8" t="s">
        <v>2135</v>
      </c>
      <c r="AR507" s="8" t="s">
        <v>11294</v>
      </c>
      <c r="AS507" s="8" t="s">
        <v>11304</v>
      </c>
      <c r="AT507" s="8" t="s">
        <v>4889</v>
      </c>
      <c r="AU507" s="8">
        <v>2001.0</v>
      </c>
      <c r="AV507" s="8">
        <v>6.0</v>
      </c>
      <c r="AW507" s="8">
        <v>3.0</v>
      </c>
      <c r="AX507" s="8" t="s">
        <v>2135</v>
      </c>
      <c r="AY507" s="8" t="s">
        <v>2135</v>
      </c>
      <c r="AZ507" s="8" t="s">
        <v>2135</v>
      </c>
      <c r="BA507" s="8" t="s">
        <v>2135</v>
      </c>
      <c r="BB507" s="8">
        <v>218.0</v>
      </c>
      <c r="BC507" s="8">
        <v>235.0</v>
      </c>
      <c r="BD507" s="8" t="s">
        <v>2135</v>
      </c>
      <c r="BE507" s="8" t="s">
        <v>11305</v>
      </c>
      <c r="BF507" s="13" t="str">
        <f>HYPERLINK("http://dx.doi.org/10.1080/13547500010014513","http://dx.doi.org/10.1080/13547500010014513")</f>
        <v>http://dx.doi.org/10.1080/13547500010014513</v>
      </c>
      <c r="BG507" s="8" t="s">
        <v>2135</v>
      </c>
      <c r="BH507" s="8" t="s">
        <v>2135</v>
      </c>
      <c r="BI507" s="8">
        <v>18.0</v>
      </c>
      <c r="BJ507" s="8" t="s">
        <v>11306</v>
      </c>
      <c r="BK507" s="8" t="s">
        <v>3352</v>
      </c>
      <c r="BL507" s="8" t="s">
        <v>11306</v>
      </c>
      <c r="BM507" s="8" t="s">
        <v>11307</v>
      </c>
      <c r="BN507" s="8">
        <v>2.3886277E7</v>
      </c>
      <c r="BO507" s="8" t="s">
        <v>2135</v>
      </c>
      <c r="BP507" s="8" t="s">
        <v>2135</v>
      </c>
      <c r="BQ507" s="8" t="s">
        <v>2135</v>
      </c>
      <c r="BR507" s="8" t="s">
        <v>3355</v>
      </c>
      <c r="BS507" s="8" t="s">
        <v>11308</v>
      </c>
      <c r="BT507" s="8" t="s">
        <v>2600</v>
      </c>
      <c r="BU507" s="8" t="s">
        <v>2147</v>
      </c>
      <c r="BV507" s="8" t="s">
        <v>2217</v>
      </c>
      <c r="BW507" s="8" t="s">
        <v>2234</v>
      </c>
      <c r="BX507" s="8" t="s">
        <v>2974</v>
      </c>
      <c r="BY507" s="8" t="s">
        <v>2959</v>
      </c>
      <c r="BZ507" s="8" t="str">
        <f>HYPERLINK("https%3A%2F%2Fwww.webofscience.com%2Fwos%2Fwoscc%2Ffull-record%2FWOS:000169344500004","View Full Record in Web of Science")</f>
        <v>View Full Record in Web of Science</v>
      </c>
    </row>
    <row r="508" ht="12.75" customHeight="1">
      <c r="A508" s="8" t="s">
        <v>3329</v>
      </c>
      <c r="B508" s="8" t="s">
        <v>11309</v>
      </c>
      <c r="C508" s="8" t="s">
        <v>2135</v>
      </c>
      <c r="D508" s="8" t="s">
        <v>2135</v>
      </c>
      <c r="E508" s="8" t="s">
        <v>2135</v>
      </c>
      <c r="F508" s="8" t="s">
        <v>11309</v>
      </c>
      <c r="G508" s="8" t="s">
        <v>2135</v>
      </c>
      <c r="H508" s="8" t="s">
        <v>2135</v>
      </c>
      <c r="I508" s="8" t="s">
        <v>1745</v>
      </c>
      <c r="J508" s="8" t="s">
        <v>3331</v>
      </c>
      <c r="K508" s="8" t="s">
        <v>2135</v>
      </c>
      <c r="L508" s="8" t="s">
        <v>2135</v>
      </c>
      <c r="M508" s="8" t="s">
        <v>3332</v>
      </c>
      <c r="N508" s="8" t="s">
        <v>3333</v>
      </c>
      <c r="O508" s="8" t="s">
        <v>2135</v>
      </c>
      <c r="P508" s="8" t="s">
        <v>2135</v>
      </c>
      <c r="Q508" s="8" t="s">
        <v>2135</v>
      </c>
      <c r="R508" s="8" t="s">
        <v>2135</v>
      </c>
      <c r="S508" s="8" t="s">
        <v>2135</v>
      </c>
      <c r="T508" s="8" t="s">
        <v>2135</v>
      </c>
      <c r="U508" s="8" t="s">
        <v>11310</v>
      </c>
      <c r="V508" s="8" t="s">
        <v>11311</v>
      </c>
      <c r="W508" s="8" t="s">
        <v>11312</v>
      </c>
      <c r="X508" s="8" t="s">
        <v>11313</v>
      </c>
      <c r="Y508" s="8" t="s">
        <v>11314</v>
      </c>
      <c r="Z508" s="8" t="s">
        <v>11315</v>
      </c>
      <c r="AA508" s="8" t="s">
        <v>11316</v>
      </c>
      <c r="AB508" s="8" t="s">
        <v>11317</v>
      </c>
      <c r="AC508" s="8" t="s">
        <v>2135</v>
      </c>
      <c r="AD508" s="8" t="s">
        <v>2135</v>
      </c>
      <c r="AE508" s="8" t="s">
        <v>2135</v>
      </c>
      <c r="AF508" s="8" t="s">
        <v>2135</v>
      </c>
      <c r="AG508" s="8">
        <v>46.0</v>
      </c>
      <c r="AH508" s="8">
        <v>55.0</v>
      </c>
      <c r="AI508" s="8">
        <v>61.0</v>
      </c>
      <c r="AJ508" s="8">
        <v>2.0</v>
      </c>
      <c r="AK508" s="8">
        <v>53.0</v>
      </c>
      <c r="AL508" s="8" t="s">
        <v>4033</v>
      </c>
      <c r="AM508" s="8" t="s">
        <v>6809</v>
      </c>
      <c r="AN508" s="8" t="s">
        <v>9432</v>
      </c>
      <c r="AO508" s="8" t="s">
        <v>3345</v>
      </c>
      <c r="AP508" s="8" t="s">
        <v>2135</v>
      </c>
      <c r="AQ508" s="8" t="s">
        <v>2135</v>
      </c>
      <c r="AR508" s="8" t="s">
        <v>3347</v>
      </c>
      <c r="AS508" s="8" t="s">
        <v>3348</v>
      </c>
      <c r="AT508" s="8" t="s">
        <v>3556</v>
      </c>
      <c r="AU508" s="8">
        <v>2001.0</v>
      </c>
      <c r="AV508" s="8">
        <v>15.0</v>
      </c>
      <c r="AW508" s="8">
        <v>2.0</v>
      </c>
      <c r="AX508" s="8" t="s">
        <v>2135</v>
      </c>
      <c r="AY508" s="8" t="s">
        <v>2135</v>
      </c>
      <c r="AZ508" s="8" t="s">
        <v>2135</v>
      </c>
      <c r="BA508" s="8" t="s">
        <v>2135</v>
      </c>
      <c r="BB508" s="8">
        <v>438.0</v>
      </c>
      <c r="BC508" s="8">
        <v>446.0</v>
      </c>
      <c r="BD508" s="8" t="s">
        <v>2135</v>
      </c>
      <c r="BE508" s="8" t="s">
        <v>11318</v>
      </c>
      <c r="BF508" s="13" t="str">
        <f>HYPERLINK("http://dx.doi.org/10.1046/j.1523-1739.2001.015002438.x","http://dx.doi.org/10.1046/j.1523-1739.2001.015002438.x")</f>
        <v>http://dx.doi.org/10.1046/j.1523-1739.2001.015002438.x</v>
      </c>
      <c r="BG508" s="8" t="s">
        <v>2135</v>
      </c>
      <c r="BH508" s="8" t="s">
        <v>2135</v>
      </c>
      <c r="BI508" s="8">
        <v>9.0</v>
      </c>
      <c r="BJ508" s="8" t="s">
        <v>3351</v>
      </c>
      <c r="BK508" s="8" t="s">
        <v>3352</v>
      </c>
      <c r="BL508" s="8" t="s">
        <v>3353</v>
      </c>
      <c r="BM508" s="8" t="s">
        <v>11319</v>
      </c>
      <c r="BN508" s="8" t="s">
        <v>2135</v>
      </c>
      <c r="BO508" s="8" t="s">
        <v>2135</v>
      </c>
      <c r="BP508" s="8" t="s">
        <v>2135</v>
      </c>
      <c r="BQ508" s="8" t="s">
        <v>2135</v>
      </c>
      <c r="BR508" s="8" t="s">
        <v>3355</v>
      </c>
      <c r="BS508" s="8" t="s">
        <v>11320</v>
      </c>
      <c r="BT508" s="8" t="s">
        <v>2185</v>
      </c>
      <c r="BU508" s="8" t="s">
        <v>2147</v>
      </c>
      <c r="BW508" s="8" t="s">
        <v>2211</v>
      </c>
      <c r="BX508" s="8" t="s">
        <v>2974</v>
      </c>
      <c r="BY508" s="8" t="s">
        <v>2959</v>
      </c>
      <c r="BZ508" s="8" t="str">
        <f>HYPERLINK("https%3A%2F%2Fwww.webofscience.com%2Fwos%2Fwoscc%2Ffull-record%2FWOS:000168008400019","View Full Record in Web of Science")</f>
        <v>View Full Record in Web of Science</v>
      </c>
    </row>
    <row r="509" ht="12.75" customHeight="1">
      <c r="A509" s="8" t="s">
        <v>3329</v>
      </c>
      <c r="B509" s="8" t="s">
        <v>11321</v>
      </c>
      <c r="C509" s="8" t="s">
        <v>2135</v>
      </c>
      <c r="D509" s="8" t="s">
        <v>2135</v>
      </c>
      <c r="E509" s="8" t="s">
        <v>2135</v>
      </c>
      <c r="F509" s="8" t="s">
        <v>11321</v>
      </c>
      <c r="G509" s="8" t="s">
        <v>2135</v>
      </c>
      <c r="H509" s="8" t="s">
        <v>2135</v>
      </c>
      <c r="I509" s="8" t="s">
        <v>1749</v>
      </c>
      <c r="J509" s="8" t="s">
        <v>10922</v>
      </c>
      <c r="K509" s="8" t="s">
        <v>2135</v>
      </c>
      <c r="L509" s="8" t="s">
        <v>2135</v>
      </c>
      <c r="M509" s="8" t="s">
        <v>3332</v>
      </c>
      <c r="N509" s="8" t="s">
        <v>3333</v>
      </c>
      <c r="O509" s="8" t="s">
        <v>2135</v>
      </c>
      <c r="P509" s="8" t="s">
        <v>2135</v>
      </c>
      <c r="Q509" s="8" t="s">
        <v>2135</v>
      </c>
      <c r="R509" s="8" t="s">
        <v>2135</v>
      </c>
      <c r="S509" s="8" t="s">
        <v>2135</v>
      </c>
      <c r="T509" s="8" t="s">
        <v>11322</v>
      </c>
      <c r="U509" s="8" t="s">
        <v>11323</v>
      </c>
      <c r="V509" s="8" t="s">
        <v>11324</v>
      </c>
      <c r="W509" s="8" t="s">
        <v>11325</v>
      </c>
      <c r="X509" s="8" t="s">
        <v>11326</v>
      </c>
      <c r="Y509" s="8" t="s">
        <v>11327</v>
      </c>
      <c r="Z509" s="8" t="s">
        <v>11328</v>
      </c>
      <c r="AA509" s="8" t="s">
        <v>11329</v>
      </c>
      <c r="AB509" s="8" t="s">
        <v>11330</v>
      </c>
      <c r="AC509" s="8" t="s">
        <v>2135</v>
      </c>
      <c r="AD509" s="8" t="s">
        <v>2135</v>
      </c>
      <c r="AE509" s="8" t="s">
        <v>2135</v>
      </c>
      <c r="AF509" s="8" t="s">
        <v>2135</v>
      </c>
      <c r="AG509" s="8">
        <v>39.0</v>
      </c>
      <c r="AH509" s="8">
        <v>6.0</v>
      </c>
      <c r="AI509" s="8">
        <v>8.0</v>
      </c>
      <c r="AJ509" s="8">
        <v>0.0</v>
      </c>
      <c r="AK509" s="8">
        <v>20.0</v>
      </c>
      <c r="AL509" s="8" t="s">
        <v>3865</v>
      </c>
      <c r="AM509" s="8" t="s">
        <v>3759</v>
      </c>
      <c r="AN509" s="8" t="s">
        <v>3866</v>
      </c>
      <c r="AO509" s="8" t="s">
        <v>10933</v>
      </c>
      <c r="AP509" s="8" t="s">
        <v>10934</v>
      </c>
      <c r="AQ509" s="8" t="s">
        <v>2135</v>
      </c>
      <c r="AR509" s="8" t="s">
        <v>10935</v>
      </c>
      <c r="AS509" s="8" t="s">
        <v>10936</v>
      </c>
      <c r="AT509" s="8" t="s">
        <v>3629</v>
      </c>
      <c r="AU509" s="8">
        <v>2001.0</v>
      </c>
      <c r="AV509" s="8">
        <v>20.0</v>
      </c>
      <c r="AW509" s="8">
        <v>1.0</v>
      </c>
      <c r="AX509" s="8" t="s">
        <v>2135</v>
      </c>
      <c r="AY509" s="8" t="s">
        <v>2135</v>
      </c>
      <c r="AZ509" s="8" t="s">
        <v>2135</v>
      </c>
      <c r="BA509" s="8" t="s">
        <v>2135</v>
      </c>
      <c r="BB509" s="8">
        <v>205.0</v>
      </c>
      <c r="BC509" s="8">
        <v>212.0</v>
      </c>
      <c r="BD509" s="8" t="s">
        <v>2135</v>
      </c>
      <c r="BE509" s="8" t="s">
        <v>11331</v>
      </c>
      <c r="BF509" s="13" t="str">
        <f>HYPERLINK("http://dx.doi.org/10.1002/etc.5620200124","http://dx.doi.org/10.1002/etc.5620200124")</f>
        <v>http://dx.doi.org/10.1002/etc.5620200124</v>
      </c>
      <c r="BG509" s="8" t="s">
        <v>2135</v>
      </c>
      <c r="BH509" s="8" t="s">
        <v>2135</v>
      </c>
      <c r="BI509" s="8">
        <v>8.0</v>
      </c>
      <c r="BJ509" s="8" t="s">
        <v>10206</v>
      </c>
      <c r="BK509" s="8" t="s">
        <v>3352</v>
      </c>
      <c r="BL509" s="8" t="s">
        <v>10207</v>
      </c>
      <c r="BM509" s="8" t="s">
        <v>11332</v>
      </c>
      <c r="BN509" s="8">
        <v>1.135141E7</v>
      </c>
      <c r="BO509" s="8" t="s">
        <v>2135</v>
      </c>
      <c r="BP509" s="8" t="s">
        <v>2135</v>
      </c>
      <c r="BQ509" s="8" t="s">
        <v>2135</v>
      </c>
      <c r="BR509" s="8" t="s">
        <v>3355</v>
      </c>
      <c r="BS509" s="8" t="s">
        <v>11333</v>
      </c>
      <c r="BT509" s="8" t="s">
        <v>2440</v>
      </c>
      <c r="BU509" s="8" t="s">
        <v>2142</v>
      </c>
      <c r="BW509" s="8" t="s">
        <v>2143</v>
      </c>
      <c r="BX509" s="8" t="s">
        <v>2974</v>
      </c>
      <c r="BY509" s="8" t="s">
        <v>2959</v>
      </c>
      <c r="BZ509" s="8" t="str">
        <f>HYPERLINK("https%3A%2F%2Fwww.webofscience.com%2Fwos%2Fwoscc%2Ffull-record%2FWOS:000165937700024","View Full Record in Web of Science")</f>
        <v>View Full Record in Web of Science</v>
      </c>
    </row>
    <row r="510" ht="12.75" customHeight="1">
      <c r="A510" s="8" t="s">
        <v>3329</v>
      </c>
      <c r="B510" s="8" t="s">
        <v>11334</v>
      </c>
      <c r="C510" s="8" t="s">
        <v>2135</v>
      </c>
      <c r="D510" s="8" t="s">
        <v>2135</v>
      </c>
      <c r="E510" s="8" t="s">
        <v>2135</v>
      </c>
      <c r="F510" s="8" t="s">
        <v>11334</v>
      </c>
      <c r="G510" s="8" t="s">
        <v>2135</v>
      </c>
      <c r="H510" s="8" t="s">
        <v>2135</v>
      </c>
      <c r="I510" s="8" t="s">
        <v>1741</v>
      </c>
      <c r="J510" s="8" t="s">
        <v>10922</v>
      </c>
      <c r="K510" s="8" t="s">
        <v>2135</v>
      </c>
      <c r="L510" s="8" t="s">
        <v>2135</v>
      </c>
      <c r="M510" s="8" t="s">
        <v>3332</v>
      </c>
      <c r="N510" s="8" t="s">
        <v>3333</v>
      </c>
      <c r="O510" s="8" t="s">
        <v>2135</v>
      </c>
      <c r="P510" s="8" t="s">
        <v>2135</v>
      </c>
      <c r="Q510" s="8" t="s">
        <v>2135</v>
      </c>
      <c r="R510" s="8" t="s">
        <v>2135</v>
      </c>
      <c r="S510" s="8" t="s">
        <v>2135</v>
      </c>
      <c r="T510" s="8" t="s">
        <v>11335</v>
      </c>
      <c r="U510" s="8" t="s">
        <v>11336</v>
      </c>
      <c r="V510" s="8" t="s">
        <v>11337</v>
      </c>
      <c r="W510" s="8" t="s">
        <v>11338</v>
      </c>
      <c r="X510" s="8" t="s">
        <v>11339</v>
      </c>
      <c r="Y510" s="8" t="s">
        <v>11340</v>
      </c>
      <c r="Z510" s="8" t="s">
        <v>11341</v>
      </c>
      <c r="AA510" s="8" t="s">
        <v>2135</v>
      </c>
      <c r="AB510" s="8" t="s">
        <v>2135</v>
      </c>
      <c r="AC510" s="8" t="s">
        <v>2135</v>
      </c>
      <c r="AD510" s="8" t="s">
        <v>2135</v>
      </c>
      <c r="AE510" s="8" t="s">
        <v>2135</v>
      </c>
      <c r="AF510" s="8" t="s">
        <v>2135</v>
      </c>
      <c r="AG510" s="8">
        <v>29.0</v>
      </c>
      <c r="AH510" s="8">
        <v>42.0</v>
      </c>
      <c r="AI510" s="8">
        <v>47.0</v>
      </c>
      <c r="AJ510" s="8">
        <v>1.0</v>
      </c>
      <c r="AK510" s="8">
        <v>15.0</v>
      </c>
      <c r="AL510" s="8" t="s">
        <v>3865</v>
      </c>
      <c r="AM510" s="8" t="s">
        <v>3759</v>
      </c>
      <c r="AN510" s="8" t="s">
        <v>3866</v>
      </c>
      <c r="AO510" s="8" t="s">
        <v>10933</v>
      </c>
      <c r="AP510" s="8" t="s">
        <v>10934</v>
      </c>
      <c r="AQ510" s="8" t="s">
        <v>2135</v>
      </c>
      <c r="AR510" s="8" t="s">
        <v>10935</v>
      </c>
      <c r="AS510" s="8" t="s">
        <v>10936</v>
      </c>
      <c r="AT510" s="8" t="s">
        <v>3741</v>
      </c>
      <c r="AU510" s="8">
        <v>2000.0</v>
      </c>
      <c r="AV510" s="8">
        <v>19.0</v>
      </c>
      <c r="AW510" s="8">
        <v>12.0</v>
      </c>
      <c r="AX510" s="8" t="s">
        <v>2135</v>
      </c>
      <c r="AY510" s="8" t="s">
        <v>2135</v>
      </c>
      <c r="AZ510" s="8" t="s">
        <v>2135</v>
      </c>
      <c r="BA510" s="8" t="s">
        <v>2135</v>
      </c>
      <c r="BB510" s="8">
        <v>3044.0</v>
      </c>
      <c r="BC510" s="8">
        <v>3051.0</v>
      </c>
      <c r="BD510" s="8" t="s">
        <v>2135</v>
      </c>
      <c r="BE510" s="8" t="s">
        <v>11342</v>
      </c>
      <c r="BF510" s="13" t="str">
        <f>HYPERLINK("http://dx.doi.org/10.1002/etc.5620191226","http://dx.doi.org/10.1002/etc.5620191226")</f>
        <v>http://dx.doi.org/10.1002/etc.5620191226</v>
      </c>
      <c r="BG510" s="8" t="s">
        <v>2135</v>
      </c>
      <c r="BH510" s="8" t="s">
        <v>2135</v>
      </c>
      <c r="BI510" s="8">
        <v>8.0</v>
      </c>
      <c r="BJ510" s="8" t="s">
        <v>10206</v>
      </c>
      <c r="BK510" s="8" t="s">
        <v>3352</v>
      </c>
      <c r="BL510" s="8" t="s">
        <v>10207</v>
      </c>
      <c r="BM510" s="8" t="s">
        <v>11343</v>
      </c>
      <c r="BN510" s="8" t="s">
        <v>2135</v>
      </c>
      <c r="BO510" s="8" t="s">
        <v>2135</v>
      </c>
      <c r="BP510" s="8" t="s">
        <v>2135</v>
      </c>
      <c r="BQ510" s="8" t="s">
        <v>2135</v>
      </c>
      <c r="BR510" s="8" t="s">
        <v>3355</v>
      </c>
      <c r="BS510" s="8" t="s">
        <v>11344</v>
      </c>
      <c r="BT510" s="8" t="s">
        <v>2216</v>
      </c>
      <c r="BU510" s="8" t="s">
        <v>2147</v>
      </c>
      <c r="BV510" s="8" t="s">
        <v>2217</v>
      </c>
      <c r="BW510" s="8" t="s">
        <v>2234</v>
      </c>
      <c r="BX510" s="8" t="s">
        <v>2974</v>
      </c>
      <c r="BY510" s="8" t="s">
        <v>2959</v>
      </c>
      <c r="BZ510" s="8" t="str">
        <f>HYPERLINK("https%3A%2F%2Fwww.webofscience.com%2Fwos%2Fwoscc%2Ffull-record%2FWOS:000166221700026","View Full Record in Web of Science")</f>
        <v>View Full Record in Web of Science</v>
      </c>
    </row>
    <row r="511" ht="12.75" customHeight="1">
      <c r="A511" s="8" t="s">
        <v>3329</v>
      </c>
      <c r="B511" s="8" t="s">
        <v>11345</v>
      </c>
      <c r="C511" s="8" t="s">
        <v>2135</v>
      </c>
      <c r="D511" s="8" t="s">
        <v>2135</v>
      </c>
      <c r="E511" s="8" t="s">
        <v>2135</v>
      </c>
      <c r="F511" s="8" t="s">
        <v>11345</v>
      </c>
      <c r="G511" s="8" t="s">
        <v>2135</v>
      </c>
      <c r="H511" s="8" t="s">
        <v>2135</v>
      </c>
      <c r="I511" s="8" t="s">
        <v>1739</v>
      </c>
      <c r="J511" s="8" t="s">
        <v>11346</v>
      </c>
      <c r="K511" s="8" t="s">
        <v>2135</v>
      </c>
      <c r="L511" s="8" t="s">
        <v>2135</v>
      </c>
      <c r="M511" s="8" t="s">
        <v>3332</v>
      </c>
      <c r="N511" s="8" t="s">
        <v>3333</v>
      </c>
      <c r="O511" s="8" t="s">
        <v>2135</v>
      </c>
      <c r="P511" s="8" t="s">
        <v>2135</v>
      </c>
      <c r="Q511" s="8" t="s">
        <v>2135</v>
      </c>
      <c r="R511" s="8" t="s">
        <v>2135</v>
      </c>
      <c r="S511" s="8" t="s">
        <v>2135</v>
      </c>
      <c r="T511" s="8" t="s">
        <v>2135</v>
      </c>
      <c r="U511" s="8" t="s">
        <v>11347</v>
      </c>
      <c r="V511" s="8" t="s">
        <v>2135</v>
      </c>
      <c r="W511" s="8" t="s">
        <v>11348</v>
      </c>
      <c r="X511" s="8" t="s">
        <v>6565</v>
      </c>
      <c r="Y511" s="8" t="s">
        <v>11349</v>
      </c>
      <c r="Z511" s="8" t="s">
        <v>2135</v>
      </c>
      <c r="AA511" s="8" t="s">
        <v>2135</v>
      </c>
      <c r="AB511" s="8" t="s">
        <v>2135</v>
      </c>
      <c r="AC511" s="8" t="s">
        <v>2135</v>
      </c>
      <c r="AD511" s="8" t="s">
        <v>2135</v>
      </c>
      <c r="AE511" s="8" t="s">
        <v>2135</v>
      </c>
      <c r="AF511" s="8" t="s">
        <v>2135</v>
      </c>
      <c r="AG511" s="8">
        <v>29.0</v>
      </c>
      <c r="AH511" s="8">
        <v>14.0</v>
      </c>
      <c r="AI511" s="8">
        <v>19.0</v>
      </c>
      <c r="AJ511" s="8">
        <v>0.0</v>
      </c>
      <c r="AK511" s="8">
        <v>10.0</v>
      </c>
      <c r="AL511" s="8" t="s">
        <v>11350</v>
      </c>
      <c r="AM511" s="8" t="s">
        <v>11351</v>
      </c>
      <c r="AN511" s="8" t="s">
        <v>11352</v>
      </c>
      <c r="AO511" s="8" t="s">
        <v>11353</v>
      </c>
      <c r="AP511" s="8" t="s">
        <v>2135</v>
      </c>
      <c r="AQ511" s="8" t="s">
        <v>2135</v>
      </c>
      <c r="AR511" s="8" t="s">
        <v>11354</v>
      </c>
      <c r="AS511" s="8" t="s">
        <v>11355</v>
      </c>
      <c r="AT511" s="8" t="s">
        <v>3462</v>
      </c>
      <c r="AU511" s="8">
        <v>2000.0</v>
      </c>
      <c r="AV511" s="8">
        <v>45.0</v>
      </c>
      <c r="AW511" s="8">
        <v>3.0</v>
      </c>
      <c r="AX511" s="8" t="s">
        <v>2135</v>
      </c>
      <c r="AY511" s="8" t="s">
        <v>2135</v>
      </c>
      <c r="AZ511" s="8" t="s">
        <v>2135</v>
      </c>
      <c r="BA511" s="8" t="s">
        <v>2135</v>
      </c>
      <c r="BB511" s="8">
        <v>322.0</v>
      </c>
      <c r="BC511" s="8">
        <v>328.0</v>
      </c>
      <c r="BD511" s="8" t="s">
        <v>2135</v>
      </c>
      <c r="BE511" s="8" t="s">
        <v>11356</v>
      </c>
      <c r="BF511" s="13" t="str">
        <f>HYPERLINK("http://dx.doi.org/10.2307/3672835","http://dx.doi.org/10.2307/3672835")</f>
        <v>http://dx.doi.org/10.2307/3672835</v>
      </c>
      <c r="BG511" s="8" t="s">
        <v>2135</v>
      </c>
      <c r="BH511" s="8" t="s">
        <v>2135</v>
      </c>
      <c r="BI511" s="8">
        <v>7.0</v>
      </c>
      <c r="BJ511" s="8" t="s">
        <v>3558</v>
      </c>
      <c r="BK511" s="8" t="s">
        <v>3352</v>
      </c>
      <c r="BL511" s="8" t="s">
        <v>3353</v>
      </c>
      <c r="BM511" s="8" t="s">
        <v>11357</v>
      </c>
      <c r="BN511" s="8" t="s">
        <v>2135</v>
      </c>
      <c r="BO511" s="8" t="s">
        <v>2135</v>
      </c>
      <c r="BP511" s="8" t="s">
        <v>2135</v>
      </c>
      <c r="BQ511" s="8" t="s">
        <v>2135</v>
      </c>
      <c r="BR511" s="8" t="s">
        <v>3355</v>
      </c>
      <c r="BS511" s="8" t="s">
        <v>11358</v>
      </c>
      <c r="BT511" s="8" t="s">
        <v>2600</v>
      </c>
      <c r="BU511" s="8" t="s">
        <v>2147</v>
      </c>
      <c r="BV511" s="8" t="s">
        <v>2217</v>
      </c>
      <c r="BW511" s="8" t="s">
        <v>2237</v>
      </c>
      <c r="BX511" s="8" t="s">
        <v>2974</v>
      </c>
      <c r="BY511" s="8" t="s">
        <v>2959</v>
      </c>
      <c r="BZ511" s="8" t="str">
        <f>HYPERLINK("https%3A%2F%2Fwww.webofscience.com%2Fwos%2Fwoscc%2Ffull-record%2FWOS:000089747200010","View Full Record in Web of Science")</f>
        <v>View Full Record in Web of Science</v>
      </c>
    </row>
    <row r="512" ht="12.75" customHeight="1">
      <c r="A512" s="8" t="s">
        <v>3329</v>
      </c>
      <c r="B512" s="8" t="s">
        <v>11359</v>
      </c>
      <c r="C512" s="8" t="s">
        <v>2135</v>
      </c>
      <c r="D512" s="8" t="s">
        <v>2135</v>
      </c>
      <c r="E512" s="8" t="s">
        <v>2135</v>
      </c>
      <c r="F512" s="8" t="s">
        <v>11359</v>
      </c>
      <c r="G512" s="8" t="s">
        <v>2135</v>
      </c>
      <c r="H512" s="8" t="s">
        <v>2135</v>
      </c>
      <c r="I512" s="8" t="s">
        <v>1743</v>
      </c>
      <c r="J512" s="8" t="s">
        <v>11360</v>
      </c>
      <c r="K512" s="8" t="s">
        <v>2135</v>
      </c>
      <c r="L512" s="8" t="s">
        <v>2135</v>
      </c>
      <c r="M512" s="8" t="s">
        <v>3332</v>
      </c>
      <c r="N512" s="8" t="s">
        <v>3492</v>
      </c>
      <c r="O512" s="8" t="s">
        <v>2135</v>
      </c>
      <c r="P512" s="8" t="s">
        <v>2135</v>
      </c>
      <c r="Q512" s="8" t="s">
        <v>2135</v>
      </c>
      <c r="R512" s="8" t="s">
        <v>2135</v>
      </c>
      <c r="S512" s="8" t="s">
        <v>2135</v>
      </c>
      <c r="T512" s="8" t="s">
        <v>11361</v>
      </c>
      <c r="U512" s="8" t="s">
        <v>11362</v>
      </c>
      <c r="V512" s="8" t="s">
        <v>11363</v>
      </c>
      <c r="W512" s="8" t="s">
        <v>11364</v>
      </c>
      <c r="X512" s="8" t="s">
        <v>11365</v>
      </c>
      <c r="Y512" s="8" t="s">
        <v>11366</v>
      </c>
      <c r="Z512" s="8" t="s">
        <v>2135</v>
      </c>
      <c r="AA512" s="8" t="s">
        <v>11367</v>
      </c>
      <c r="AB512" s="8" t="s">
        <v>11368</v>
      </c>
      <c r="AC512" s="8" t="s">
        <v>2135</v>
      </c>
      <c r="AD512" s="8" t="s">
        <v>2135</v>
      </c>
      <c r="AE512" s="8" t="s">
        <v>2135</v>
      </c>
      <c r="AF512" s="8" t="s">
        <v>2135</v>
      </c>
      <c r="AG512" s="8">
        <v>327.0</v>
      </c>
      <c r="AH512" s="8">
        <v>625.0</v>
      </c>
      <c r="AI512" s="8">
        <v>729.0</v>
      </c>
      <c r="AJ512" s="8">
        <v>1.0</v>
      </c>
      <c r="AK512" s="8">
        <v>571.0</v>
      </c>
      <c r="AL512" s="8" t="s">
        <v>5073</v>
      </c>
      <c r="AM512" s="8" t="s">
        <v>5074</v>
      </c>
      <c r="AN512" s="8" t="s">
        <v>5488</v>
      </c>
      <c r="AO512" s="8" t="s">
        <v>11369</v>
      </c>
      <c r="AP512" s="8" t="s">
        <v>11370</v>
      </c>
      <c r="AQ512" s="8" t="s">
        <v>2135</v>
      </c>
      <c r="AR512" s="8" t="s">
        <v>11371</v>
      </c>
      <c r="AS512" s="8" t="s">
        <v>11372</v>
      </c>
      <c r="AT512" s="8" t="s">
        <v>2135</v>
      </c>
      <c r="AU512" s="8">
        <v>2000.0</v>
      </c>
      <c r="AV512" s="8">
        <v>30.0</v>
      </c>
      <c r="AW512" s="8">
        <v>1.0</v>
      </c>
      <c r="AX512" s="8" t="s">
        <v>2135</v>
      </c>
      <c r="AY512" s="8" t="s">
        <v>2135</v>
      </c>
      <c r="AZ512" s="8" t="s">
        <v>2135</v>
      </c>
      <c r="BA512" s="8" t="s">
        <v>2135</v>
      </c>
      <c r="BB512" s="8">
        <v>71.0</v>
      </c>
      <c r="BC512" s="8">
        <v>133.0</v>
      </c>
      <c r="BD512" s="8" t="s">
        <v>2135</v>
      </c>
      <c r="BE512" s="8" t="s">
        <v>11373</v>
      </c>
      <c r="BF512" s="13" t="str">
        <f>HYPERLINK("http://dx.doi.org/10.1080/10408440091159176","http://dx.doi.org/10.1080/10408440091159176")</f>
        <v>http://dx.doi.org/10.1080/10408440091159176</v>
      </c>
      <c r="BG512" s="8" t="s">
        <v>2135</v>
      </c>
      <c r="BH512" s="8" t="s">
        <v>2135</v>
      </c>
      <c r="BI512" s="8">
        <v>63.0</v>
      </c>
      <c r="BJ512" s="8" t="s">
        <v>11374</v>
      </c>
      <c r="BK512" s="8" t="s">
        <v>3352</v>
      </c>
      <c r="BL512" s="8" t="s">
        <v>11374</v>
      </c>
      <c r="BM512" s="8" t="s">
        <v>11375</v>
      </c>
      <c r="BN512" s="8">
        <v>1.0680769E7</v>
      </c>
      <c r="BO512" s="8" t="s">
        <v>2135</v>
      </c>
      <c r="BP512" s="8" t="s">
        <v>2135</v>
      </c>
      <c r="BQ512" s="8" t="s">
        <v>2135</v>
      </c>
      <c r="BR512" s="8" t="s">
        <v>3355</v>
      </c>
      <c r="BS512" s="8" t="s">
        <v>11376</v>
      </c>
      <c r="BU512" s="8" t="s">
        <v>2142</v>
      </c>
      <c r="BW512" s="8" t="s">
        <v>2932</v>
      </c>
      <c r="BX512" s="8" t="s">
        <v>2974</v>
      </c>
      <c r="BY512" s="8" t="s">
        <v>2959</v>
      </c>
      <c r="BZ512" s="8" t="str">
        <f>HYPERLINK("https%3A%2F%2Fwww.webofscience.com%2Fwos%2Fwoscc%2Ffull-record%2FWOS:000085738100002","View Full Record in Web of Science")</f>
        <v>View Full Record in Web of Science</v>
      </c>
    </row>
    <row r="513" ht="12.75" customHeight="1">
      <c r="A513" s="8" t="s">
        <v>3329</v>
      </c>
      <c r="B513" s="8" t="s">
        <v>11377</v>
      </c>
      <c r="C513" s="8" t="s">
        <v>2135</v>
      </c>
      <c r="D513" s="8" t="s">
        <v>2135</v>
      </c>
      <c r="E513" s="8" t="s">
        <v>2135</v>
      </c>
      <c r="F513" s="8" t="s">
        <v>11377</v>
      </c>
      <c r="G513" s="8" t="s">
        <v>2135</v>
      </c>
      <c r="H513" s="8" t="s">
        <v>2135</v>
      </c>
      <c r="I513" s="8" t="s">
        <v>1737</v>
      </c>
      <c r="J513" s="8" t="s">
        <v>11378</v>
      </c>
      <c r="K513" s="8" t="s">
        <v>2135</v>
      </c>
      <c r="L513" s="8" t="s">
        <v>2135</v>
      </c>
      <c r="M513" s="8" t="s">
        <v>3332</v>
      </c>
      <c r="N513" s="8" t="s">
        <v>3333</v>
      </c>
      <c r="O513" s="8" t="s">
        <v>2135</v>
      </c>
      <c r="P513" s="8" t="s">
        <v>2135</v>
      </c>
      <c r="Q513" s="8" t="s">
        <v>2135</v>
      </c>
      <c r="R513" s="8" t="s">
        <v>2135</v>
      </c>
      <c r="S513" s="8" t="s">
        <v>2135</v>
      </c>
      <c r="T513" s="8" t="s">
        <v>11379</v>
      </c>
      <c r="U513" s="8" t="s">
        <v>4040</v>
      </c>
      <c r="V513" s="8" t="s">
        <v>11380</v>
      </c>
      <c r="W513" s="8" t="s">
        <v>11381</v>
      </c>
      <c r="X513" s="8" t="s">
        <v>2135</v>
      </c>
      <c r="Y513" s="8" t="s">
        <v>11382</v>
      </c>
      <c r="Z513" s="8" t="s">
        <v>2135</v>
      </c>
      <c r="AA513" s="8" t="s">
        <v>2135</v>
      </c>
      <c r="AB513" s="8" t="s">
        <v>2135</v>
      </c>
      <c r="AC513" s="8" t="s">
        <v>2135</v>
      </c>
      <c r="AD513" s="8" t="s">
        <v>2135</v>
      </c>
      <c r="AE513" s="8" t="s">
        <v>2135</v>
      </c>
      <c r="AF513" s="8" t="s">
        <v>2135</v>
      </c>
      <c r="AG513" s="8">
        <v>18.0</v>
      </c>
      <c r="AH513" s="8">
        <v>2.0</v>
      </c>
      <c r="AI513" s="8">
        <v>2.0</v>
      </c>
      <c r="AJ513" s="8">
        <v>0.0</v>
      </c>
      <c r="AK513" s="8">
        <v>34.0</v>
      </c>
      <c r="AL513" s="8" t="s">
        <v>11383</v>
      </c>
      <c r="AM513" s="8" t="s">
        <v>3624</v>
      </c>
      <c r="AN513" s="8" t="s">
        <v>11384</v>
      </c>
      <c r="AO513" s="8" t="s">
        <v>11385</v>
      </c>
      <c r="AP513" s="8" t="s">
        <v>2135</v>
      </c>
      <c r="AQ513" s="8" t="s">
        <v>2135</v>
      </c>
      <c r="AR513" s="8" t="s">
        <v>11386</v>
      </c>
      <c r="AS513" s="8" t="s">
        <v>11387</v>
      </c>
      <c r="AT513" s="8" t="s">
        <v>3556</v>
      </c>
      <c r="AU513" s="8">
        <v>1999.0</v>
      </c>
      <c r="AV513" s="8">
        <v>13.0</v>
      </c>
      <c r="AW513" s="8">
        <v>2.0</v>
      </c>
      <c r="AX513" s="8" t="s">
        <v>2135</v>
      </c>
      <c r="AY513" s="8" t="s">
        <v>2135</v>
      </c>
      <c r="AZ513" s="8" t="s">
        <v>2135</v>
      </c>
      <c r="BA513" s="8" t="s">
        <v>2135</v>
      </c>
      <c r="BB513" s="8">
        <v>79.0</v>
      </c>
      <c r="BC513" s="8">
        <v>83.0</v>
      </c>
      <c r="BD513" s="8" t="s">
        <v>2135</v>
      </c>
      <c r="BE513" s="8" t="s">
        <v>2135</v>
      </c>
      <c r="BF513" s="8" t="s">
        <v>2135</v>
      </c>
      <c r="BG513" s="8" t="s">
        <v>2135</v>
      </c>
      <c r="BH513" s="8" t="s">
        <v>2135</v>
      </c>
      <c r="BI513" s="8">
        <v>5.0</v>
      </c>
      <c r="BJ513" s="8" t="s">
        <v>11388</v>
      </c>
      <c r="BK513" s="8" t="s">
        <v>3352</v>
      </c>
      <c r="BL513" s="8" t="s">
        <v>4005</v>
      </c>
      <c r="BM513" s="8" t="s">
        <v>11389</v>
      </c>
      <c r="BN513" s="8" t="s">
        <v>2135</v>
      </c>
      <c r="BO513" s="8" t="s">
        <v>2135</v>
      </c>
      <c r="BP513" s="8" t="s">
        <v>2135</v>
      </c>
      <c r="BQ513" s="8" t="s">
        <v>2135</v>
      </c>
      <c r="BR513" s="8" t="s">
        <v>3355</v>
      </c>
      <c r="BS513" s="8" t="s">
        <v>11390</v>
      </c>
      <c r="BT513" s="8" t="s">
        <v>2553</v>
      </c>
      <c r="BU513" s="8" t="s">
        <v>2142</v>
      </c>
      <c r="BW513" s="8" t="s">
        <v>2143</v>
      </c>
      <c r="BX513" s="8" t="s">
        <v>2956</v>
      </c>
      <c r="BY513" s="8" t="s">
        <v>2959</v>
      </c>
      <c r="BZ513" s="8" t="str">
        <f>HYPERLINK("https%3A%2F%2Fwww.webofscience.com%2Fwos%2Fwoscc%2Ffull-record%2FWOS:000080336000001","View Full Record in Web of Science")</f>
        <v>View Full Record in Web of Science</v>
      </c>
    </row>
    <row r="514" ht="12.75" customHeight="1">
      <c r="A514" s="8" t="s">
        <v>3329</v>
      </c>
      <c r="B514" s="8" t="s">
        <v>11391</v>
      </c>
      <c r="C514" s="8" t="s">
        <v>2135</v>
      </c>
      <c r="D514" s="8" t="s">
        <v>2135</v>
      </c>
      <c r="E514" s="8" t="s">
        <v>2135</v>
      </c>
      <c r="F514" s="8" t="s">
        <v>11391</v>
      </c>
      <c r="G514" s="8" t="s">
        <v>2135</v>
      </c>
      <c r="H514" s="8" t="s">
        <v>2135</v>
      </c>
      <c r="I514" s="8" t="s">
        <v>1727</v>
      </c>
      <c r="J514" s="8" t="s">
        <v>10193</v>
      </c>
      <c r="K514" s="8" t="s">
        <v>2135</v>
      </c>
      <c r="L514" s="8" t="s">
        <v>2135</v>
      </c>
      <c r="M514" s="8" t="s">
        <v>3332</v>
      </c>
      <c r="N514" s="8" t="s">
        <v>3333</v>
      </c>
      <c r="O514" s="8" t="s">
        <v>2135</v>
      </c>
      <c r="P514" s="8" t="s">
        <v>2135</v>
      </c>
      <c r="Q514" s="8" t="s">
        <v>2135</v>
      </c>
      <c r="R514" s="8" t="s">
        <v>2135</v>
      </c>
      <c r="S514" s="8" t="s">
        <v>2135</v>
      </c>
      <c r="T514" s="8" t="s">
        <v>2135</v>
      </c>
      <c r="U514" s="8" t="s">
        <v>11392</v>
      </c>
      <c r="V514" s="8" t="s">
        <v>11393</v>
      </c>
      <c r="W514" s="8" t="s">
        <v>11394</v>
      </c>
      <c r="X514" s="8" t="s">
        <v>11395</v>
      </c>
      <c r="Y514" s="8" t="s">
        <v>11396</v>
      </c>
      <c r="Z514" s="8" t="s">
        <v>2135</v>
      </c>
      <c r="AA514" s="8" t="s">
        <v>11397</v>
      </c>
      <c r="AB514" s="8" t="s">
        <v>11398</v>
      </c>
      <c r="AC514" s="8" t="s">
        <v>2135</v>
      </c>
      <c r="AD514" s="8" t="s">
        <v>2135</v>
      </c>
      <c r="AE514" s="8" t="s">
        <v>2135</v>
      </c>
      <c r="AF514" s="8" t="s">
        <v>2135</v>
      </c>
      <c r="AG514" s="8">
        <v>46.0</v>
      </c>
      <c r="AH514" s="8">
        <v>31.0</v>
      </c>
      <c r="AI514" s="8">
        <v>36.0</v>
      </c>
      <c r="AJ514" s="8">
        <v>0.0</v>
      </c>
      <c r="AK514" s="8">
        <v>29.0</v>
      </c>
      <c r="AL514" s="8" t="s">
        <v>11399</v>
      </c>
      <c r="AM514" s="8" t="s">
        <v>3480</v>
      </c>
      <c r="AN514" s="8" t="s">
        <v>11400</v>
      </c>
      <c r="AO514" s="8" t="s">
        <v>10201</v>
      </c>
      <c r="AP514" s="8" t="s">
        <v>2135</v>
      </c>
      <c r="AQ514" s="8" t="s">
        <v>2135</v>
      </c>
      <c r="AR514" s="8" t="s">
        <v>10203</v>
      </c>
      <c r="AS514" s="8" t="s">
        <v>10204</v>
      </c>
      <c r="AT514" s="8" t="s">
        <v>3440</v>
      </c>
      <c r="AU514" s="8">
        <v>1998.0</v>
      </c>
      <c r="AV514" s="8">
        <v>35.0</v>
      </c>
      <c r="AW514" s="8">
        <v>4.0</v>
      </c>
      <c r="AX514" s="8" t="s">
        <v>2135</v>
      </c>
      <c r="AY514" s="8" t="s">
        <v>2135</v>
      </c>
      <c r="AZ514" s="8" t="s">
        <v>2135</v>
      </c>
      <c r="BA514" s="8" t="s">
        <v>2135</v>
      </c>
      <c r="BB514" s="8">
        <v>654.0</v>
      </c>
      <c r="BC514" s="8">
        <v>665.0</v>
      </c>
      <c r="BD514" s="8" t="s">
        <v>2135</v>
      </c>
      <c r="BE514" s="8" t="s">
        <v>11401</v>
      </c>
      <c r="BF514" s="13" t="str">
        <f>HYPERLINK("http://dx.doi.org/10.1007/s002449900428","http://dx.doi.org/10.1007/s002449900428")</f>
        <v>http://dx.doi.org/10.1007/s002449900428</v>
      </c>
      <c r="BG514" s="8" t="s">
        <v>2135</v>
      </c>
      <c r="BH514" s="8" t="s">
        <v>2135</v>
      </c>
      <c r="BI514" s="8">
        <v>12.0</v>
      </c>
      <c r="BJ514" s="8" t="s">
        <v>10206</v>
      </c>
      <c r="BK514" s="8" t="s">
        <v>3352</v>
      </c>
      <c r="BL514" s="8" t="s">
        <v>10207</v>
      </c>
      <c r="BM514" s="8" t="s">
        <v>11402</v>
      </c>
      <c r="BN514" s="8">
        <v>9776784.0</v>
      </c>
      <c r="BO514" s="8" t="s">
        <v>2135</v>
      </c>
      <c r="BP514" s="8" t="s">
        <v>2135</v>
      </c>
      <c r="BQ514" s="8" t="s">
        <v>2135</v>
      </c>
      <c r="BR514" s="8" t="s">
        <v>3355</v>
      </c>
      <c r="BS514" s="8" t="s">
        <v>11403</v>
      </c>
      <c r="BT514" s="8" t="s">
        <v>2440</v>
      </c>
      <c r="BU514" s="8" t="s">
        <v>2142</v>
      </c>
      <c r="BW514" s="8" t="s">
        <v>2447</v>
      </c>
      <c r="BX514" s="8" t="s">
        <v>2974</v>
      </c>
      <c r="BY514" s="8" t="s">
        <v>2959</v>
      </c>
      <c r="BZ514" s="8" t="str">
        <f>HYPERLINK("https%3A%2F%2Fwww.webofscience.com%2Fwos%2Fwoscc%2Ffull-record%2FWOS:000076716400014","View Full Record in Web of Science")</f>
        <v>View Full Record in Web of Science</v>
      </c>
    </row>
    <row r="515" ht="12.75" customHeight="1">
      <c r="A515" s="8" t="s">
        <v>3329</v>
      </c>
      <c r="B515" s="8" t="s">
        <v>11404</v>
      </c>
      <c r="C515" s="8" t="s">
        <v>2135</v>
      </c>
      <c r="D515" s="8" t="s">
        <v>2135</v>
      </c>
      <c r="E515" s="8" t="s">
        <v>2135</v>
      </c>
      <c r="F515" s="8" t="s">
        <v>11404</v>
      </c>
      <c r="G515" s="8" t="s">
        <v>2135</v>
      </c>
      <c r="H515" s="8" t="s">
        <v>2135</v>
      </c>
      <c r="I515" s="8" t="s">
        <v>1731</v>
      </c>
      <c r="J515" s="8" t="s">
        <v>11405</v>
      </c>
      <c r="K515" s="8" t="s">
        <v>2135</v>
      </c>
      <c r="L515" s="8" t="s">
        <v>2135</v>
      </c>
      <c r="M515" s="8" t="s">
        <v>3332</v>
      </c>
      <c r="N515" s="8" t="s">
        <v>3333</v>
      </c>
      <c r="O515" s="8" t="s">
        <v>2135</v>
      </c>
      <c r="P515" s="8" t="s">
        <v>2135</v>
      </c>
      <c r="Q515" s="8" t="s">
        <v>2135</v>
      </c>
      <c r="R515" s="8" t="s">
        <v>2135</v>
      </c>
      <c r="S515" s="8" t="s">
        <v>2135</v>
      </c>
      <c r="T515" s="8" t="s">
        <v>11406</v>
      </c>
      <c r="U515" s="8" t="s">
        <v>11407</v>
      </c>
      <c r="V515" s="8" t="s">
        <v>11408</v>
      </c>
      <c r="W515" s="8" t="s">
        <v>11409</v>
      </c>
      <c r="X515" s="8" t="s">
        <v>11410</v>
      </c>
      <c r="Y515" s="8" t="s">
        <v>11411</v>
      </c>
      <c r="Z515" s="8" t="s">
        <v>11412</v>
      </c>
      <c r="AA515" s="8" t="s">
        <v>11413</v>
      </c>
      <c r="AB515" s="8" t="s">
        <v>11414</v>
      </c>
      <c r="AC515" s="8" t="s">
        <v>2135</v>
      </c>
      <c r="AD515" s="8" t="s">
        <v>2135</v>
      </c>
      <c r="AE515" s="8" t="s">
        <v>2135</v>
      </c>
      <c r="AF515" s="8" t="s">
        <v>2135</v>
      </c>
      <c r="AG515" s="8">
        <v>53.0</v>
      </c>
      <c r="AH515" s="8">
        <v>103.0</v>
      </c>
      <c r="AI515" s="8">
        <v>120.0</v>
      </c>
      <c r="AJ515" s="8">
        <v>1.0</v>
      </c>
      <c r="AK515" s="8">
        <v>25.0</v>
      </c>
      <c r="AL515" s="8" t="s">
        <v>4394</v>
      </c>
      <c r="AM515" s="8" t="s">
        <v>3367</v>
      </c>
      <c r="AN515" s="8" t="s">
        <v>4395</v>
      </c>
      <c r="AO515" s="8" t="s">
        <v>11415</v>
      </c>
      <c r="AP515" s="8" t="s">
        <v>11416</v>
      </c>
      <c r="AQ515" s="8" t="s">
        <v>2135</v>
      </c>
      <c r="AR515" s="8" t="s">
        <v>11417</v>
      </c>
      <c r="AS515" s="8" t="s">
        <v>11418</v>
      </c>
      <c r="AT515" s="8" t="s">
        <v>3580</v>
      </c>
      <c r="AU515" s="8">
        <v>1998.0</v>
      </c>
      <c r="AV515" s="8">
        <v>6.0</v>
      </c>
      <c r="AW515" s="8">
        <v>2.0</v>
      </c>
      <c r="AX515" s="8" t="s">
        <v>2135</v>
      </c>
      <c r="AY515" s="8" t="s">
        <v>2135</v>
      </c>
      <c r="AZ515" s="8" t="s">
        <v>2135</v>
      </c>
      <c r="BA515" s="8" t="s">
        <v>2135</v>
      </c>
      <c r="BB515" s="8">
        <v>91.0</v>
      </c>
      <c r="BC515" s="8">
        <v>102.0</v>
      </c>
      <c r="BD515" s="8" t="s">
        <v>2135</v>
      </c>
      <c r="BE515" s="8" t="s">
        <v>11419</v>
      </c>
      <c r="BF515" s="13" t="str">
        <f>HYPERLINK("http://dx.doi.org/10.1016/S1382-6689(98)00026-X","http://dx.doi.org/10.1016/S1382-6689(98)00026-X")</f>
        <v>http://dx.doi.org/10.1016/S1382-6689(98)00026-X</v>
      </c>
      <c r="BG515" s="8" t="s">
        <v>2135</v>
      </c>
      <c r="BH515" s="8" t="s">
        <v>2135</v>
      </c>
      <c r="BI515" s="8">
        <v>12.0</v>
      </c>
      <c r="BJ515" s="8" t="s">
        <v>11420</v>
      </c>
      <c r="BK515" s="8" t="s">
        <v>3352</v>
      </c>
      <c r="BL515" s="8" t="s">
        <v>11421</v>
      </c>
      <c r="BM515" s="8" t="s">
        <v>11422</v>
      </c>
      <c r="BN515" s="8">
        <v>2.1781885E7</v>
      </c>
      <c r="BO515" s="8" t="s">
        <v>2135</v>
      </c>
      <c r="BP515" s="8" t="s">
        <v>2135</v>
      </c>
      <c r="BQ515" s="8" t="s">
        <v>2135</v>
      </c>
      <c r="BR515" s="8" t="s">
        <v>3355</v>
      </c>
      <c r="BS515" s="8" t="s">
        <v>11423</v>
      </c>
      <c r="BT515" s="8" t="s">
        <v>2307</v>
      </c>
      <c r="BU515" s="8" t="s">
        <v>2142</v>
      </c>
      <c r="BW515" s="8" t="s">
        <v>2143</v>
      </c>
      <c r="BX515" s="8" t="s">
        <v>2974</v>
      </c>
      <c r="BY515" s="8" t="s">
        <v>2959</v>
      </c>
      <c r="BZ515" s="8" t="str">
        <f>HYPERLINK("https%3A%2F%2Fwww.webofscience.com%2Fwos%2Fwoscc%2Ffull-record%2FWOS:000076605500003","View Full Record in Web of Science")</f>
        <v>View Full Record in Web of Science</v>
      </c>
    </row>
    <row r="516" ht="12.75" customHeight="1">
      <c r="A516" s="8" t="s">
        <v>3329</v>
      </c>
      <c r="B516" s="8" t="s">
        <v>11424</v>
      </c>
      <c r="C516" s="8" t="s">
        <v>2135</v>
      </c>
      <c r="D516" s="8" t="s">
        <v>2135</v>
      </c>
      <c r="E516" s="8" t="s">
        <v>2135</v>
      </c>
      <c r="F516" s="8" t="s">
        <v>11424</v>
      </c>
      <c r="G516" s="8" t="s">
        <v>2135</v>
      </c>
      <c r="H516" s="8" t="s">
        <v>2135</v>
      </c>
      <c r="I516" s="8" t="s">
        <v>1729</v>
      </c>
      <c r="J516" s="8" t="s">
        <v>3747</v>
      </c>
      <c r="K516" s="8" t="s">
        <v>2135</v>
      </c>
      <c r="L516" s="8" t="s">
        <v>2135</v>
      </c>
      <c r="M516" s="8" t="s">
        <v>3332</v>
      </c>
      <c r="N516" s="8" t="s">
        <v>3333</v>
      </c>
      <c r="O516" s="8" t="s">
        <v>2135</v>
      </c>
      <c r="P516" s="8" t="s">
        <v>2135</v>
      </c>
      <c r="Q516" s="8" t="s">
        <v>2135</v>
      </c>
      <c r="R516" s="8" t="s">
        <v>2135</v>
      </c>
      <c r="S516" s="8" t="s">
        <v>2135</v>
      </c>
      <c r="T516" s="8" t="s">
        <v>11425</v>
      </c>
      <c r="U516" s="8" t="s">
        <v>11426</v>
      </c>
      <c r="V516" s="8" t="s">
        <v>11427</v>
      </c>
      <c r="W516" s="8" t="s">
        <v>11428</v>
      </c>
      <c r="X516" s="8" t="s">
        <v>2135</v>
      </c>
      <c r="Y516" s="8" t="s">
        <v>11429</v>
      </c>
      <c r="Z516" s="8" t="s">
        <v>2135</v>
      </c>
      <c r="AA516" s="8" t="s">
        <v>2135</v>
      </c>
      <c r="AB516" s="8" t="s">
        <v>2135</v>
      </c>
      <c r="AC516" s="8" t="s">
        <v>2135</v>
      </c>
      <c r="AD516" s="8" t="s">
        <v>2135</v>
      </c>
      <c r="AE516" s="8" t="s">
        <v>2135</v>
      </c>
      <c r="AF516" s="8" t="s">
        <v>2135</v>
      </c>
      <c r="AG516" s="8">
        <v>28.0</v>
      </c>
      <c r="AH516" s="8">
        <v>40.0</v>
      </c>
      <c r="AI516" s="8">
        <v>44.0</v>
      </c>
      <c r="AJ516" s="8">
        <v>2.0</v>
      </c>
      <c r="AK516" s="8">
        <v>20.0</v>
      </c>
      <c r="AL516" s="8" t="s">
        <v>3758</v>
      </c>
      <c r="AM516" s="8" t="s">
        <v>3759</v>
      </c>
      <c r="AN516" s="8" t="s">
        <v>3760</v>
      </c>
      <c r="AO516" s="8" t="s">
        <v>3761</v>
      </c>
      <c r="AP516" s="8" t="s">
        <v>2135</v>
      </c>
      <c r="AQ516" s="8" t="s">
        <v>2135</v>
      </c>
      <c r="AR516" s="8" t="s">
        <v>3763</v>
      </c>
      <c r="AS516" s="8" t="s">
        <v>3764</v>
      </c>
      <c r="AT516" s="8" t="s">
        <v>3462</v>
      </c>
      <c r="AU516" s="8">
        <v>1998.0</v>
      </c>
      <c r="AV516" s="8">
        <v>85.0</v>
      </c>
      <c r="AW516" s="8">
        <v>3.0</v>
      </c>
      <c r="AX516" s="8" t="s">
        <v>2135</v>
      </c>
      <c r="AY516" s="8" t="s">
        <v>2135</v>
      </c>
      <c r="AZ516" s="8" t="s">
        <v>2135</v>
      </c>
      <c r="BA516" s="8" t="s">
        <v>2135</v>
      </c>
      <c r="BB516" s="8">
        <v>233.0</v>
      </c>
      <c r="BC516" s="8">
        <v>240.0</v>
      </c>
      <c r="BD516" s="8" t="s">
        <v>2135</v>
      </c>
      <c r="BE516" s="8" t="s">
        <v>11430</v>
      </c>
      <c r="BF516" s="13" t="str">
        <f>HYPERLINK("http://dx.doi.org/10.1016/S0006-3207(97)00175-4","http://dx.doi.org/10.1016/S0006-3207(97)00175-4")</f>
        <v>http://dx.doi.org/10.1016/S0006-3207(97)00175-4</v>
      </c>
      <c r="BG516" s="8" t="s">
        <v>2135</v>
      </c>
      <c r="BH516" s="8" t="s">
        <v>2135</v>
      </c>
      <c r="BI516" s="8">
        <v>8.0</v>
      </c>
      <c r="BJ516" s="8" t="s">
        <v>3351</v>
      </c>
      <c r="BK516" s="8" t="s">
        <v>3352</v>
      </c>
      <c r="BL516" s="8" t="s">
        <v>3353</v>
      </c>
      <c r="BM516" s="8" t="s">
        <v>11431</v>
      </c>
      <c r="BN516" s="8" t="s">
        <v>2135</v>
      </c>
      <c r="BO516" s="8" t="s">
        <v>2135</v>
      </c>
      <c r="BP516" s="8" t="s">
        <v>2135</v>
      </c>
      <c r="BQ516" s="8" t="s">
        <v>2135</v>
      </c>
      <c r="BR516" s="8" t="s">
        <v>3355</v>
      </c>
      <c r="BS516" s="8" t="s">
        <v>11432</v>
      </c>
      <c r="BT516" s="8" t="s">
        <v>2553</v>
      </c>
      <c r="BU516" s="8" t="s">
        <v>2142</v>
      </c>
      <c r="BW516" s="8" t="s">
        <v>2340</v>
      </c>
      <c r="BX516" s="8" t="s">
        <v>2956</v>
      </c>
      <c r="BY516" s="8" t="s">
        <v>2959</v>
      </c>
      <c r="BZ516" s="8" t="str">
        <f>HYPERLINK("https%3A%2F%2Fwww.webofscience.com%2Fwos%2Fwoscc%2Ffull-record%2FWOS:000075407400003","View Full Record in Web of Science")</f>
        <v>View Full Record in Web of Science</v>
      </c>
    </row>
    <row r="517" ht="12.75" customHeight="1">
      <c r="A517" s="8" t="s">
        <v>3329</v>
      </c>
      <c r="B517" s="8" t="s">
        <v>11433</v>
      </c>
      <c r="C517" s="8" t="s">
        <v>2135</v>
      </c>
      <c r="D517" s="8" t="s">
        <v>2135</v>
      </c>
      <c r="E517" s="8" t="s">
        <v>2135</v>
      </c>
      <c r="F517" s="8" t="s">
        <v>11433</v>
      </c>
      <c r="G517" s="8" t="s">
        <v>2135</v>
      </c>
      <c r="H517" s="8" t="s">
        <v>2135</v>
      </c>
      <c r="I517" s="8" t="s">
        <v>1733</v>
      </c>
      <c r="J517" s="8" t="s">
        <v>11123</v>
      </c>
      <c r="K517" s="8" t="s">
        <v>2135</v>
      </c>
      <c r="L517" s="8" t="s">
        <v>2135</v>
      </c>
      <c r="M517" s="8" t="s">
        <v>3332</v>
      </c>
      <c r="N517" s="8" t="s">
        <v>3333</v>
      </c>
      <c r="O517" s="8" t="s">
        <v>2135</v>
      </c>
      <c r="P517" s="8" t="s">
        <v>2135</v>
      </c>
      <c r="Q517" s="8" t="s">
        <v>2135</v>
      </c>
      <c r="R517" s="8" t="s">
        <v>2135</v>
      </c>
      <c r="S517" s="8" t="s">
        <v>2135</v>
      </c>
      <c r="T517" s="8" t="s">
        <v>11434</v>
      </c>
      <c r="U517" s="8" t="s">
        <v>11435</v>
      </c>
      <c r="V517" s="8" t="s">
        <v>11436</v>
      </c>
      <c r="W517" s="8" t="s">
        <v>11437</v>
      </c>
      <c r="X517" s="8" t="s">
        <v>11438</v>
      </c>
      <c r="Y517" s="8" t="s">
        <v>11439</v>
      </c>
      <c r="Z517" s="8" t="s">
        <v>2135</v>
      </c>
      <c r="AA517" s="8" t="s">
        <v>11003</v>
      </c>
      <c r="AB517" s="8" t="s">
        <v>11004</v>
      </c>
      <c r="AC517" s="8" t="s">
        <v>2135</v>
      </c>
      <c r="AD517" s="8" t="s">
        <v>2135</v>
      </c>
      <c r="AE517" s="8" t="s">
        <v>2135</v>
      </c>
      <c r="AF517" s="8" t="s">
        <v>2135</v>
      </c>
      <c r="AG517" s="8">
        <v>22.0</v>
      </c>
      <c r="AH517" s="8">
        <v>16.0</v>
      </c>
      <c r="AI517" s="8">
        <v>20.0</v>
      </c>
      <c r="AJ517" s="8">
        <v>0.0</v>
      </c>
      <c r="AK517" s="8">
        <v>12.0</v>
      </c>
      <c r="AL517" s="8" t="s">
        <v>4980</v>
      </c>
      <c r="AM517" s="8" t="s">
        <v>4500</v>
      </c>
      <c r="AN517" s="8" t="s">
        <v>11440</v>
      </c>
      <c r="AO517" s="8" t="s">
        <v>11131</v>
      </c>
      <c r="AP517" s="8" t="s">
        <v>2135</v>
      </c>
      <c r="AQ517" s="8" t="s">
        <v>2135</v>
      </c>
      <c r="AR517" s="8" t="s">
        <v>11133</v>
      </c>
      <c r="AS517" s="8" t="s">
        <v>11134</v>
      </c>
      <c r="AT517" s="8" t="s">
        <v>3462</v>
      </c>
      <c r="AU517" s="8">
        <v>1998.0</v>
      </c>
      <c r="AV517" s="8">
        <v>106.0</v>
      </c>
      <c r="AW517" s="8" t="s">
        <v>6706</v>
      </c>
      <c r="AX517" s="8" t="s">
        <v>2135</v>
      </c>
      <c r="AY517" s="8" t="s">
        <v>2135</v>
      </c>
      <c r="AZ517" s="8" t="s">
        <v>2135</v>
      </c>
      <c r="BA517" s="8" t="s">
        <v>2135</v>
      </c>
      <c r="BB517" s="8">
        <v>481.0</v>
      </c>
      <c r="BC517" s="8">
        <v>491.0</v>
      </c>
      <c r="BD517" s="8" t="s">
        <v>2135</v>
      </c>
      <c r="BE517" s="8" t="s">
        <v>11441</v>
      </c>
      <c r="BF517" s="13" t="str">
        <f>HYPERLINK("http://dx.doi.org/10.1023/A:1005016914051","http://dx.doi.org/10.1023/A:1005016914051")</f>
        <v>http://dx.doi.org/10.1023/A:1005016914051</v>
      </c>
      <c r="BG517" s="8" t="s">
        <v>2135</v>
      </c>
      <c r="BH517" s="8" t="s">
        <v>2135</v>
      </c>
      <c r="BI517" s="8">
        <v>11.0</v>
      </c>
      <c r="BJ517" s="8" t="s">
        <v>11137</v>
      </c>
      <c r="BK517" s="8" t="s">
        <v>3352</v>
      </c>
      <c r="BL517" s="8" t="s">
        <v>11138</v>
      </c>
      <c r="BM517" s="8" t="s">
        <v>11442</v>
      </c>
      <c r="BN517" s="8" t="s">
        <v>2135</v>
      </c>
      <c r="BO517" s="8" t="s">
        <v>2135</v>
      </c>
      <c r="BP517" s="8" t="s">
        <v>2135</v>
      </c>
      <c r="BQ517" s="8" t="s">
        <v>2135</v>
      </c>
      <c r="BR517" s="8" t="s">
        <v>3355</v>
      </c>
      <c r="BS517" s="8" t="s">
        <v>11443</v>
      </c>
      <c r="BU517" s="8" t="s">
        <v>2142</v>
      </c>
      <c r="BW517" s="8" t="s">
        <v>2143</v>
      </c>
      <c r="BX517" s="8" t="s">
        <v>2974</v>
      </c>
      <c r="BY517" s="8" t="s">
        <v>2959</v>
      </c>
      <c r="BZ517" s="8" t="str">
        <f>HYPERLINK("https%3A%2F%2Fwww.webofscience.com%2Fwos%2Fwoscc%2Ffull-record%2FWOS:000075807000017","View Full Record in Web of Science")</f>
        <v>View Full Record in Web of Science</v>
      </c>
    </row>
    <row r="518" ht="12.75" customHeight="1">
      <c r="A518" s="8" t="s">
        <v>3329</v>
      </c>
      <c r="B518" s="8" t="s">
        <v>11444</v>
      </c>
      <c r="C518" s="8" t="s">
        <v>2135</v>
      </c>
      <c r="D518" s="8" t="s">
        <v>2135</v>
      </c>
      <c r="E518" s="8" t="s">
        <v>2135</v>
      </c>
      <c r="F518" s="8" t="s">
        <v>11444</v>
      </c>
      <c r="G518" s="8" t="s">
        <v>2135</v>
      </c>
      <c r="H518" s="8" t="s">
        <v>2135</v>
      </c>
      <c r="I518" s="8" t="s">
        <v>1735</v>
      </c>
      <c r="J518" s="8" t="s">
        <v>10676</v>
      </c>
      <c r="K518" s="8" t="s">
        <v>2135</v>
      </c>
      <c r="L518" s="8" t="s">
        <v>2135</v>
      </c>
      <c r="M518" s="8" t="s">
        <v>3332</v>
      </c>
      <c r="N518" s="8" t="s">
        <v>3333</v>
      </c>
      <c r="O518" s="8" t="s">
        <v>2135</v>
      </c>
      <c r="P518" s="8" t="s">
        <v>2135</v>
      </c>
      <c r="Q518" s="8" t="s">
        <v>2135</v>
      </c>
      <c r="R518" s="8" t="s">
        <v>2135</v>
      </c>
      <c r="S518" s="8" t="s">
        <v>2135</v>
      </c>
      <c r="T518" s="8" t="s">
        <v>2135</v>
      </c>
      <c r="U518" s="8" t="s">
        <v>10306</v>
      </c>
      <c r="V518" s="8" t="s">
        <v>11445</v>
      </c>
      <c r="W518" s="8" t="s">
        <v>9981</v>
      </c>
      <c r="X518" s="8" t="s">
        <v>9780</v>
      </c>
      <c r="Y518" s="8" t="s">
        <v>9982</v>
      </c>
      <c r="Z518" s="8" t="s">
        <v>2135</v>
      </c>
      <c r="AA518" s="8" t="s">
        <v>2135</v>
      </c>
      <c r="AB518" s="8" t="s">
        <v>2135</v>
      </c>
      <c r="AC518" s="8" t="s">
        <v>2135</v>
      </c>
      <c r="AD518" s="8" t="s">
        <v>2135</v>
      </c>
      <c r="AE518" s="8" t="s">
        <v>2135</v>
      </c>
      <c r="AF518" s="8" t="s">
        <v>2135</v>
      </c>
      <c r="AG518" s="8">
        <v>10.0</v>
      </c>
      <c r="AH518" s="8">
        <v>21.0</v>
      </c>
      <c r="AI518" s="8">
        <v>22.0</v>
      </c>
      <c r="AJ518" s="8">
        <v>0.0</v>
      </c>
      <c r="AK518" s="8">
        <v>15.0</v>
      </c>
      <c r="AL518" s="8" t="s">
        <v>10180</v>
      </c>
      <c r="AM518" s="8" t="s">
        <v>3759</v>
      </c>
      <c r="AN518" s="8" t="s">
        <v>10181</v>
      </c>
      <c r="AO518" s="8" t="s">
        <v>10689</v>
      </c>
      <c r="AP518" s="8" t="s">
        <v>2135</v>
      </c>
      <c r="AQ518" s="8" t="s">
        <v>2135</v>
      </c>
      <c r="AR518" s="8" t="s">
        <v>10676</v>
      </c>
      <c r="AS518" s="8" t="s">
        <v>10691</v>
      </c>
      <c r="AT518" s="8" t="s">
        <v>3556</v>
      </c>
      <c r="AU518" s="8">
        <v>1998.0</v>
      </c>
      <c r="AV518" s="8">
        <v>36.0</v>
      </c>
      <c r="AW518" s="8">
        <v>9.0</v>
      </c>
      <c r="AX518" s="8" t="s">
        <v>2135</v>
      </c>
      <c r="AY518" s="8" t="s">
        <v>2135</v>
      </c>
      <c r="AZ518" s="8" t="s">
        <v>2135</v>
      </c>
      <c r="BA518" s="8" t="s">
        <v>2135</v>
      </c>
      <c r="BB518" s="8">
        <v>1969.0</v>
      </c>
      <c r="BC518" s="8">
        <v>1971.0</v>
      </c>
      <c r="BD518" s="8" t="s">
        <v>2135</v>
      </c>
      <c r="BE518" s="8" t="s">
        <v>11446</v>
      </c>
      <c r="BF518" s="13" t="str">
        <f>HYPERLINK("http://dx.doi.org/10.1016/S0045-6535(97)10081-9","http://dx.doi.org/10.1016/S0045-6535(97)10081-9")</f>
        <v>http://dx.doi.org/10.1016/S0045-6535(97)10081-9</v>
      </c>
      <c r="BG518" s="8" t="s">
        <v>2135</v>
      </c>
      <c r="BH518" s="8" t="s">
        <v>2135</v>
      </c>
      <c r="BI518" s="8">
        <v>3.0</v>
      </c>
      <c r="BJ518" s="8" t="s">
        <v>6399</v>
      </c>
      <c r="BK518" s="8" t="s">
        <v>3352</v>
      </c>
      <c r="BL518" s="8" t="s">
        <v>3632</v>
      </c>
      <c r="BM518" s="8" t="s">
        <v>11447</v>
      </c>
      <c r="BN518" s="8">
        <v>9532727.0</v>
      </c>
      <c r="BO518" s="8" t="s">
        <v>2135</v>
      </c>
      <c r="BP518" s="8" t="s">
        <v>2135</v>
      </c>
      <c r="BQ518" s="8" t="s">
        <v>2135</v>
      </c>
      <c r="BR518" s="8" t="s">
        <v>3355</v>
      </c>
      <c r="BS518" s="8" t="s">
        <v>11448</v>
      </c>
      <c r="BT518" s="8" t="s">
        <v>2553</v>
      </c>
      <c r="BU518" s="8" t="s">
        <v>2142</v>
      </c>
      <c r="BW518" s="8" t="s">
        <v>2143</v>
      </c>
      <c r="BX518" s="8" t="s">
        <v>2974</v>
      </c>
      <c r="BY518" s="8" t="s">
        <v>2959</v>
      </c>
      <c r="BZ518" s="8" t="str">
        <f>HYPERLINK("https%3A%2F%2Fwww.webofscience.com%2Fwos%2Fwoscc%2Ffull-record%2FWOS:000072474400006","View Full Record in Web of Science")</f>
        <v>View Full Record in Web of Science</v>
      </c>
    </row>
    <row r="519" ht="12.75" customHeight="1">
      <c r="A519" s="8" t="s">
        <v>3329</v>
      </c>
      <c r="B519" s="8" t="s">
        <v>11449</v>
      </c>
      <c r="C519" s="8" t="s">
        <v>2135</v>
      </c>
      <c r="D519" s="8" t="s">
        <v>2135</v>
      </c>
      <c r="E519" s="8" t="s">
        <v>2135</v>
      </c>
      <c r="F519" s="8" t="s">
        <v>11449</v>
      </c>
      <c r="G519" s="8" t="s">
        <v>2135</v>
      </c>
      <c r="H519" s="8" t="s">
        <v>2135</v>
      </c>
      <c r="I519" s="8" t="s">
        <v>1725</v>
      </c>
      <c r="J519" s="8" t="s">
        <v>10498</v>
      </c>
      <c r="K519" s="8" t="s">
        <v>2135</v>
      </c>
      <c r="L519" s="8" t="s">
        <v>2135</v>
      </c>
      <c r="M519" s="8" t="s">
        <v>3332</v>
      </c>
      <c r="N519" s="8" t="s">
        <v>3333</v>
      </c>
      <c r="O519" s="8" t="s">
        <v>2135</v>
      </c>
      <c r="P519" s="8" t="s">
        <v>2135</v>
      </c>
      <c r="Q519" s="8" t="s">
        <v>2135</v>
      </c>
      <c r="R519" s="8" t="s">
        <v>2135</v>
      </c>
      <c r="S519" s="8" t="s">
        <v>2135</v>
      </c>
      <c r="T519" s="8" t="s">
        <v>11450</v>
      </c>
      <c r="U519" s="8" t="s">
        <v>11451</v>
      </c>
      <c r="V519" s="8" t="s">
        <v>11452</v>
      </c>
      <c r="W519" s="8" t="s">
        <v>11453</v>
      </c>
      <c r="X519" s="8" t="s">
        <v>11454</v>
      </c>
      <c r="Y519" s="8" t="s">
        <v>11455</v>
      </c>
      <c r="Z519" s="8" t="s">
        <v>2135</v>
      </c>
      <c r="AA519" s="8" t="s">
        <v>11456</v>
      </c>
      <c r="AB519" s="8" t="s">
        <v>11457</v>
      </c>
      <c r="AC519" s="8" t="s">
        <v>2135</v>
      </c>
      <c r="AD519" s="8" t="s">
        <v>2135</v>
      </c>
      <c r="AE519" s="8" t="s">
        <v>2135</v>
      </c>
      <c r="AF519" s="8" t="s">
        <v>2135</v>
      </c>
      <c r="AG519" s="8">
        <v>40.0</v>
      </c>
      <c r="AH519" s="8">
        <v>66.0</v>
      </c>
      <c r="AI519" s="8">
        <v>70.0</v>
      </c>
      <c r="AJ519" s="8">
        <v>0.0</v>
      </c>
      <c r="AK519" s="8">
        <v>24.0</v>
      </c>
      <c r="AL519" s="8" t="s">
        <v>3758</v>
      </c>
      <c r="AM519" s="8" t="s">
        <v>3759</v>
      </c>
      <c r="AN519" s="8" t="s">
        <v>3760</v>
      </c>
      <c r="AO519" s="8" t="s">
        <v>10510</v>
      </c>
      <c r="AP519" s="8" t="s">
        <v>2135</v>
      </c>
      <c r="AQ519" s="8" t="s">
        <v>2135</v>
      </c>
      <c r="AR519" s="8" t="s">
        <v>10512</v>
      </c>
      <c r="AS519" s="8" t="s">
        <v>10513</v>
      </c>
      <c r="AT519" s="8" t="s">
        <v>2135</v>
      </c>
      <c r="AU519" s="8">
        <v>1998.0</v>
      </c>
      <c r="AV519" s="8">
        <v>103.0</v>
      </c>
      <c r="AW519" s="8">
        <v>1.0</v>
      </c>
      <c r="AX519" s="8" t="s">
        <v>2135</v>
      </c>
      <c r="AY519" s="8" t="s">
        <v>2135</v>
      </c>
      <c r="AZ519" s="8" t="s">
        <v>2135</v>
      </c>
      <c r="BA519" s="8" t="s">
        <v>2135</v>
      </c>
      <c r="BB519" s="8">
        <v>17.0</v>
      </c>
      <c r="BC519" s="8">
        <v>23.0</v>
      </c>
      <c r="BD519" s="8" t="s">
        <v>2135</v>
      </c>
      <c r="BE519" s="8" t="s">
        <v>11458</v>
      </c>
      <c r="BF519" s="13" t="str">
        <f>HYPERLINK("http://dx.doi.org/10.1016/S0269-7491(98)00141-9","http://dx.doi.org/10.1016/S0269-7491(98)00141-9")</f>
        <v>http://dx.doi.org/10.1016/S0269-7491(98)00141-9</v>
      </c>
      <c r="BG519" s="8" t="s">
        <v>2135</v>
      </c>
      <c r="BH519" s="8" t="s">
        <v>2135</v>
      </c>
      <c r="BI519" s="8">
        <v>7.0</v>
      </c>
      <c r="BJ519" s="8" t="s">
        <v>6399</v>
      </c>
      <c r="BK519" s="8" t="s">
        <v>3352</v>
      </c>
      <c r="BL519" s="8" t="s">
        <v>3632</v>
      </c>
      <c r="BM519" s="8" t="s">
        <v>11459</v>
      </c>
      <c r="BN519" s="8" t="s">
        <v>2135</v>
      </c>
      <c r="BO519" s="8" t="s">
        <v>2135</v>
      </c>
      <c r="BP519" s="8" t="s">
        <v>2135</v>
      </c>
      <c r="BQ519" s="8" t="s">
        <v>2135</v>
      </c>
      <c r="BR519" s="8" t="s">
        <v>3355</v>
      </c>
      <c r="BS519" s="8" t="s">
        <v>11460</v>
      </c>
      <c r="BT519" s="8" t="s">
        <v>2553</v>
      </c>
      <c r="BU519" s="8" t="s">
        <v>2142</v>
      </c>
      <c r="BW519" s="8" t="s">
        <v>2587</v>
      </c>
      <c r="BX519" s="8" t="s">
        <v>2956</v>
      </c>
      <c r="BY519" s="8" t="s">
        <v>2959</v>
      </c>
      <c r="BZ519" s="8" t="str">
        <f>HYPERLINK("https%3A%2F%2Fwww.webofscience.com%2Fwos%2Fwoscc%2Ffull-record%2FWOS:000077396900003","View Full Record in Web of Science")</f>
        <v>View Full Record in Web of Science</v>
      </c>
    </row>
    <row r="520" ht="12.75" customHeight="1">
      <c r="A520" s="8" t="s">
        <v>3329</v>
      </c>
      <c r="B520" s="8" t="s">
        <v>11461</v>
      </c>
      <c r="C520" s="8" t="s">
        <v>2135</v>
      </c>
      <c r="D520" s="8" t="s">
        <v>2135</v>
      </c>
      <c r="E520" s="8" t="s">
        <v>2135</v>
      </c>
      <c r="F520" s="8" t="s">
        <v>11461</v>
      </c>
      <c r="G520" s="8" t="s">
        <v>2135</v>
      </c>
      <c r="H520" s="8" t="s">
        <v>2135</v>
      </c>
      <c r="I520" s="8" t="s">
        <v>1723</v>
      </c>
      <c r="J520" s="8" t="s">
        <v>10922</v>
      </c>
      <c r="K520" s="8" t="s">
        <v>2135</v>
      </c>
      <c r="L520" s="8" t="s">
        <v>2135</v>
      </c>
      <c r="M520" s="8" t="s">
        <v>3332</v>
      </c>
      <c r="N520" s="8" t="s">
        <v>3963</v>
      </c>
      <c r="O520" s="8" t="s">
        <v>11462</v>
      </c>
      <c r="P520" s="8" t="s">
        <v>11463</v>
      </c>
      <c r="Q520" s="8" t="s">
        <v>11464</v>
      </c>
      <c r="R520" s="8" t="s">
        <v>11465</v>
      </c>
      <c r="S520" s="8" t="s">
        <v>2135</v>
      </c>
      <c r="T520" s="8" t="s">
        <v>11466</v>
      </c>
      <c r="U520" s="8" t="s">
        <v>11467</v>
      </c>
      <c r="V520" s="8" t="s">
        <v>11468</v>
      </c>
      <c r="W520" s="8" t="s">
        <v>11469</v>
      </c>
      <c r="X520" s="8" t="s">
        <v>11470</v>
      </c>
      <c r="Y520" s="8" t="s">
        <v>11471</v>
      </c>
      <c r="Z520" s="8" t="s">
        <v>2135</v>
      </c>
      <c r="AA520" s="8" t="s">
        <v>11472</v>
      </c>
      <c r="AB520" s="8" t="s">
        <v>11473</v>
      </c>
      <c r="AC520" s="8" t="s">
        <v>2135</v>
      </c>
      <c r="AD520" s="8" t="s">
        <v>2135</v>
      </c>
      <c r="AE520" s="8" t="s">
        <v>2135</v>
      </c>
      <c r="AF520" s="8" t="s">
        <v>2135</v>
      </c>
      <c r="AG520" s="8">
        <v>43.0</v>
      </c>
      <c r="AH520" s="8">
        <v>44.0</v>
      </c>
      <c r="AI520" s="8">
        <v>51.0</v>
      </c>
      <c r="AJ520" s="8">
        <v>0.0</v>
      </c>
      <c r="AK520" s="8">
        <v>19.0</v>
      </c>
      <c r="AL520" s="8" t="s">
        <v>3865</v>
      </c>
      <c r="AM520" s="8" t="s">
        <v>3759</v>
      </c>
      <c r="AN520" s="8" t="s">
        <v>3866</v>
      </c>
      <c r="AO520" s="8" t="s">
        <v>10933</v>
      </c>
      <c r="AP520" s="8" t="s">
        <v>10934</v>
      </c>
      <c r="AQ520" s="8" t="s">
        <v>2135</v>
      </c>
      <c r="AR520" s="8" t="s">
        <v>10935</v>
      </c>
      <c r="AS520" s="8" t="s">
        <v>10936</v>
      </c>
      <c r="AT520" s="8" t="s">
        <v>3462</v>
      </c>
      <c r="AU520" s="8">
        <v>1997.0</v>
      </c>
      <c r="AV520" s="8">
        <v>16.0</v>
      </c>
      <c r="AW520" s="8">
        <v>9.0</v>
      </c>
      <c r="AX520" s="8" t="s">
        <v>2135</v>
      </c>
      <c r="AY520" s="8" t="s">
        <v>2135</v>
      </c>
      <c r="AZ520" s="8" t="s">
        <v>2135</v>
      </c>
      <c r="BA520" s="8" t="s">
        <v>2135</v>
      </c>
      <c r="BB520" s="8">
        <v>1807.0</v>
      </c>
      <c r="BC520" s="8">
        <v>1815.0</v>
      </c>
      <c r="BD520" s="8" t="s">
        <v>2135</v>
      </c>
      <c r="BE520" s="8" t="s">
        <v>11474</v>
      </c>
      <c r="BF520" s="13" t="str">
        <f>HYPERLINK("http://dx.doi.org/10.1002/etc.5620160907","http://dx.doi.org/10.1002/etc.5620160907")</f>
        <v>http://dx.doi.org/10.1002/etc.5620160907</v>
      </c>
      <c r="BG520" s="8" t="s">
        <v>2135</v>
      </c>
      <c r="BH520" s="8" t="s">
        <v>2135</v>
      </c>
      <c r="BI520" s="8">
        <v>9.0</v>
      </c>
      <c r="BJ520" s="8" t="s">
        <v>10206</v>
      </c>
      <c r="BK520" s="8" t="s">
        <v>4418</v>
      </c>
      <c r="BL520" s="8" t="s">
        <v>10207</v>
      </c>
      <c r="BM520" s="8" t="s">
        <v>11475</v>
      </c>
      <c r="BN520" s="8" t="s">
        <v>2135</v>
      </c>
      <c r="BO520" s="8" t="s">
        <v>2135</v>
      </c>
      <c r="BP520" s="8" t="s">
        <v>2135</v>
      </c>
      <c r="BQ520" s="8" t="s">
        <v>2135</v>
      </c>
      <c r="BR520" s="8" t="s">
        <v>3355</v>
      </c>
      <c r="BS520" s="8" t="s">
        <v>11476</v>
      </c>
      <c r="BT520" s="8" t="s">
        <v>2440</v>
      </c>
      <c r="BU520" s="8" t="s">
        <v>2142</v>
      </c>
      <c r="BW520" s="8" t="s">
        <v>2143</v>
      </c>
      <c r="BX520" s="8" t="s">
        <v>2974</v>
      </c>
      <c r="BY520" s="8" t="s">
        <v>2959</v>
      </c>
      <c r="BZ520" s="8" t="str">
        <f>HYPERLINK("https%3A%2F%2Fwww.webofscience.com%2Fwos%2Fwoscc%2Ffull-record%2FWOS:A1997XT30500007","View Full Record in Web of Science")</f>
        <v>View Full Record in Web of Science</v>
      </c>
    </row>
    <row r="521" ht="12.75" customHeight="1">
      <c r="A521" s="8" t="s">
        <v>3329</v>
      </c>
      <c r="B521" s="8" t="s">
        <v>11477</v>
      </c>
      <c r="C521" s="8" t="s">
        <v>2135</v>
      </c>
      <c r="D521" s="8" t="s">
        <v>2135</v>
      </c>
      <c r="E521" s="8" t="s">
        <v>2135</v>
      </c>
      <c r="F521" s="8" t="s">
        <v>11477</v>
      </c>
      <c r="G521" s="8" t="s">
        <v>2135</v>
      </c>
      <c r="H521" s="8" t="s">
        <v>2135</v>
      </c>
      <c r="I521" s="8" t="s">
        <v>1718</v>
      </c>
      <c r="J521" s="8" t="s">
        <v>3331</v>
      </c>
      <c r="K521" s="8" t="s">
        <v>2135</v>
      </c>
      <c r="L521" s="8" t="s">
        <v>2135</v>
      </c>
      <c r="M521" s="8" t="s">
        <v>3332</v>
      </c>
      <c r="N521" s="8" t="s">
        <v>3333</v>
      </c>
      <c r="O521" s="8" t="s">
        <v>2135</v>
      </c>
      <c r="P521" s="8" t="s">
        <v>2135</v>
      </c>
      <c r="Q521" s="8" t="s">
        <v>2135</v>
      </c>
      <c r="R521" s="8" t="s">
        <v>2135</v>
      </c>
      <c r="S521" s="8" t="s">
        <v>2135</v>
      </c>
      <c r="T521" s="8" t="s">
        <v>2135</v>
      </c>
      <c r="U521" s="8" t="s">
        <v>11478</v>
      </c>
      <c r="V521" s="8" t="s">
        <v>11479</v>
      </c>
      <c r="W521" s="8" t="s">
        <v>2135</v>
      </c>
      <c r="X521" s="8" t="s">
        <v>2135</v>
      </c>
      <c r="Y521" s="8" t="s">
        <v>11480</v>
      </c>
      <c r="Z521" s="8" t="s">
        <v>2135</v>
      </c>
      <c r="AA521" s="8" t="s">
        <v>2135</v>
      </c>
      <c r="AB521" s="8" t="s">
        <v>2135</v>
      </c>
      <c r="AC521" s="8" t="s">
        <v>2135</v>
      </c>
      <c r="AD521" s="8" t="s">
        <v>2135</v>
      </c>
      <c r="AE521" s="8" t="s">
        <v>2135</v>
      </c>
      <c r="AF521" s="8" t="s">
        <v>2135</v>
      </c>
      <c r="AG521" s="8">
        <v>55.0</v>
      </c>
      <c r="AH521" s="8">
        <v>36.0</v>
      </c>
      <c r="AI521" s="8">
        <v>41.0</v>
      </c>
      <c r="AJ521" s="8">
        <v>0.0</v>
      </c>
      <c r="AK521" s="8">
        <v>37.0</v>
      </c>
      <c r="AL521" s="8" t="s">
        <v>4033</v>
      </c>
      <c r="AM521" s="8" t="s">
        <v>3343</v>
      </c>
      <c r="AN521" s="8" t="s">
        <v>3344</v>
      </c>
      <c r="AO521" s="8" t="s">
        <v>3345</v>
      </c>
      <c r="AP521" s="8" t="s">
        <v>3346</v>
      </c>
      <c r="AQ521" s="8" t="s">
        <v>2135</v>
      </c>
      <c r="AR521" s="8" t="s">
        <v>3347</v>
      </c>
      <c r="AS521" s="8" t="s">
        <v>3348</v>
      </c>
      <c r="AT521" s="8" t="s">
        <v>3395</v>
      </c>
      <c r="AU521" s="8">
        <v>1997.0</v>
      </c>
      <c r="AV521" s="8">
        <v>11.0</v>
      </c>
      <c r="AW521" s="8">
        <v>4.0</v>
      </c>
      <c r="AX521" s="8" t="s">
        <v>2135</v>
      </c>
      <c r="AY521" s="8" t="s">
        <v>2135</v>
      </c>
      <c r="AZ521" s="8" t="s">
        <v>2135</v>
      </c>
      <c r="BA521" s="8" t="s">
        <v>2135</v>
      </c>
      <c r="BB521" s="8">
        <v>905.0</v>
      </c>
      <c r="BC521" s="8">
        <v>916.0</v>
      </c>
      <c r="BD521" s="8" t="s">
        <v>2135</v>
      </c>
      <c r="BE521" s="8" t="s">
        <v>11481</v>
      </c>
      <c r="BF521" s="13" t="str">
        <f>HYPERLINK("http://dx.doi.org/10.1046/j.1523-1739.1997.96062.x","http://dx.doi.org/10.1046/j.1523-1739.1997.96062.x")</f>
        <v>http://dx.doi.org/10.1046/j.1523-1739.1997.96062.x</v>
      </c>
      <c r="BG521" s="8" t="s">
        <v>2135</v>
      </c>
      <c r="BH521" s="8" t="s">
        <v>2135</v>
      </c>
      <c r="BI521" s="8">
        <v>12.0</v>
      </c>
      <c r="BJ521" s="8" t="s">
        <v>3351</v>
      </c>
      <c r="BK521" s="8" t="s">
        <v>3352</v>
      </c>
      <c r="BL521" s="8" t="s">
        <v>3353</v>
      </c>
      <c r="BM521" s="8" t="s">
        <v>11482</v>
      </c>
      <c r="BN521" s="8" t="s">
        <v>2135</v>
      </c>
      <c r="BO521" s="8" t="s">
        <v>2135</v>
      </c>
      <c r="BP521" s="8" t="s">
        <v>2135</v>
      </c>
      <c r="BQ521" s="8" t="s">
        <v>2135</v>
      </c>
      <c r="BR521" s="8" t="s">
        <v>3355</v>
      </c>
      <c r="BS521" s="8" t="s">
        <v>11483</v>
      </c>
      <c r="BT521" s="8" t="s">
        <v>2600</v>
      </c>
      <c r="BU521" s="8" t="s">
        <v>2147</v>
      </c>
      <c r="BV521" s="8" t="s">
        <v>2217</v>
      </c>
      <c r="BW521" s="8" t="s">
        <v>2237</v>
      </c>
      <c r="BX521" s="8" t="s">
        <v>2974</v>
      </c>
      <c r="BY521" s="8" t="s">
        <v>2959</v>
      </c>
      <c r="BZ521" s="8" t="str">
        <f>HYPERLINK("https%3A%2F%2Fwww.webofscience.com%2Fwos%2Fwoscc%2Ffull-record%2FWOS:A1997XR57100014","View Full Record in Web of Science")</f>
        <v>View Full Record in Web of Science</v>
      </c>
    </row>
    <row r="522" ht="12.75" customHeight="1">
      <c r="A522" s="8" t="s">
        <v>3329</v>
      </c>
      <c r="B522" s="8" t="s">
        <v>11484</v>
      </c>
      <c r="C522" s="8" t="s">
        <v>2135</v>
      </c>
      <c r="D522" s="8" t="s">
        <v>2135</v>
      </c>
      <c r="E522" s="8" t="s">
        <v>2135</v>
      </c>
      <c r="F522" s="8" t="s">
        <v>11484</v>
      </c>
      <c r="G522" s="8" t="s">
        <v>2135</v>
      </c>
      <c r="H522" s="8" t="s">
        <v>2135</v>
      </c>
      <c r="I522" s="8" t="s">
        <v>1720</v>
      </c>
      <c r="J522" s="8" t="s">
        <v>5746</v>
      </c>
      <c r="K522" s="8" t="s">
        <v>2135</v>
      </c>
      <c r="L522" s="8" t="s">
        <v>2135</v>
      </c>
      <c r="M522" s="8" t="s">
        <v>3332</v>
      </c>
      <c r="N522" s="8" t="s">
        <v>3333</v>
      </c>
      <c r="O522" s="8" t="s">
        <v>2135</v>
      </c>
      <c r="P522" s="8" t="s">
        <v>2135</v>
      </c>
      <c r="Q522" s="8" t="s">
        <v>2135</v>
      </c>
      <c r="R522" s="8" t="s">
        <v>2135</v>
      </c>
      <c r="S522" s="8" t="s">
        <v>2135</v>
      </c>
      <c r="T522" s="8" t="s">
        <v>2135</v>
      </c>
      <c r="U522" s="8" t="s">
        <v>11485</v>
      </c>
      <c r="V522" s="8" t="s">
        <v>11486</v>
      </c>
      <c r="W522" s="8" t="s">
        <v>11487</v>
      </c>
      <c r="X522" s="8" t="s">
        <v>11488</v>
      </c>
      <c r="Y522" s="8" t="s">
        <v>11489</v>
      </c>
      <c r="Z522" s="8" t="s">
        <v>2135</v>
      </c>
      <c r="AA522" s="8" t="s">
        <v>2135</v>
      </c>
      <c r="AB522" s="8" t="s">
        <v>2135</v>
      </c>
      <c r="AC522" s="8" t="s">
        <v>2135</v>
      </c>
      <c r="AD522" s="8" t="s">
        <v>2135</v>
      </c>
      <c r="AE522" s="8" t="s">
        <v>2135</v>
      </c>
      <c r="AF522" s="8" t="s">
        <v>2135</v>
      </c>
      <c r="AG522" s="8">
        <v>55.0</v>
      </c>
      <c r="AH522" s="8">
        <v>14.0</v>
      </c>
      <c r="AI522" s="8">
        <v>14.0</v>
      </c>
      <c r="AJ522" s="8">
        <v>0.0</v>
      </c>
      <c r="AK522" s="8">
        <v>11.0</v>
      </c>
      <c r="AL522" s="8" t="s">
        <v>11490</v>
      </c>
      <c r="AM522" s="8" t="s">
        <v>11491</v>
      </c>
      <c r="AN522" s="8" t="s">
        <v>11492</v>
      </c>
      <c r="AO522" s="8" t="s">
        <v>5759</v>
      </c>
      <c r="AP522" s="8" t="s">
        <v>2135</v>
      </c>
      <c r="AQ522" s="8" t="s">
        <v>2135</v>
      </c>
      <c r="AR522" s="8" t="s">
        <v>5746</v>
      </c>
      <c r="AS522" s="8" t="s">
        <v>5761</v>
      </c>
      <c r="AT522" s="8" t="s">
        <v>3349</v>
      </c>
      <c r="AU522" s="8">
        <v>1997.0</v>
      </c>
      <c r="AV522" s="8">
        <v>26.0</v>
      </c>
      <c r="AW522" s="8">
        <v>4.0</v>
      </c>
      <c r="AX522" s="8" t="s">
        <v>2135</v>
      </c>
      <c r="AY522" s="8" t="s">
        <v>2135</v>
      </c>
      <c r="AZ522" s="8" t="s">
        <v>2135</v>
      </c>
      <c r="BA522" s="8" t="s">
        <v>2135</v>
      </c>
      <c r="BB522" s="8">
        <v>196.0</v>
      </c>
      <c r="BC522" s="8">
        <v>201.0</v>
      </c>
      <c r="BD522" s="8" t="s">
        <v>2135</v>
      </c>
      <c r="BE522" s="8" t="s">
        <v>2135</v>
      </c>
      <c r="BF522" s="8" t="s">
        <v>2135</v>
      </c>
      <c r="BG522" s="8" t="s">
        <v>2135</v>
      </c>
      <c r="BH522" s="8" t="s">
        <v>2135</v>
      </c>
      <c r="BI522" s="8">
        <v>6.0</v>
      </c>
      <c r="BJ522" s="8" t="s">
        <v>5763</v>
      </c>
      <c r="BK522" s="8" t="s">
        <v>3352</v>
      </c>
      <c r="BL522" s="8" t="s">
        <v>5764</v>
      </c>
      <c r="BM522" s="8" t="s">
        <v>11493</v>
      </c>
      <c r="BN522" s="8" t="s">
        <v>2135</v>
      </c>
      <c r="BO522" s="8" t="s">
        <v>2135</v>
      </c>
      <c r="BP522" s="8" t="s">
        <v>2135</v>
      </c>
      <c r="BQ522" s="8" t="s">
        <v>2135</v>
      </c>
      <c r="BR522" s="8" t="s">
        <v>3355</v>
      </c>
      <c r="BS522" s="8" t="s">
        <v>11494</v>
      </c>
      <c r="BU522" s="8" t="s">
        <v>2142</v>
      </c>
      <c r="BW522" s="8" t="s">
        <v>2143</v>
      </c>
      <c r="BX522" s="8" t="s">
        <v>2974</v>
      </c>
      <c r="BY522" s="8" t="s">
        <v>2959</v>
      </c>
      <c r="BZ522" s="8" t="str">
        <f>HYPERLINK("https%3A%2F%2Fwww.webofscience.com%2Fwos%2Fwoscc%2Ffull-record%2FWOS:A1997XN84100002","View Full Record in Web of Science")</f>
        <v>View Full Record in Web of Science</v>
      </c>
    </row>
    <row r="523" ht="12.75" customHeight="1">
      <c r="A523" s="8" t="s">
        <v>3329</v>
      </c>
      <c r="B523" s="8" t="s">
        <v>11495</v>
      </c>
      <c r="C523" s="8" t="s">
        <v>2135</v>
      </c>
      <c r="D523" s="8" t="s">
        <v>2135</v>
      </c>
      <c r="E523" s="8" t="s">
        <v>2135</v>
      </c>
      <c r="F523" s="8" t="s">
        <v>11495</v>
      </c>
      <c r="G523" s="8" t="s">
        <v>2135</v>
      </c>
      <c r="H523" s="8" t="s">
        <v>2135</v>
      </c>
      <c r="I523" s="8" t="s">
        <v>1716</v>
      </c>
      <c r="J523" s="8" t="s">
        <v>10922</v>
      </c>
      <c r="K523" s="8" t="s">
        <v>2135</v>
      </c>
      <c r="L523" s="8" t="s">
        <v>2135</v>
      </c>
      <c r="M523" s="8" t="s">
        <v>3332</v>
      </c>
      <c r="N523" s="8" t="s">
        <v>3333</v>
      </c>
      <c r="O523" s="8" t="s">
        <v>2135</v>
      </c>
      <c r="P523" s="8" t="s">
        <v>2135</v>
      </c>
      <c r="Q523" s="8" t="s">
        <v>2135</v>
      </c>
      <c r="R523" s="8" t="s">
        <v>2135</v>
      </c>
      <c r="S523" s="8" t="s">
        <v>2135</v>
      </c>
      <c r="T523" s="8" t="s">
        <v>11496</v>
      </c>
      <c r="U523" s="8" t="s">
        <v>11497</v>
      </c>
      <c r="V523" s="8" t="s">
        <v>11498</v>
      </c>
      <c r="W523" s="8" t="s">
        <v>11499</v>
      </c>
      <c r="X523" s="8" t="s">
        <v>11500</v>
      </c>
      <c r="Y523" s="8" t="s">
        <v>11501</v>
      </c>
      <c r="Z523" s="8" t="s">
        <v>2135</v>
      </c>
      <c r="AA523" s="8" t="s">
        <v>2135</v>
      </c>
      <c r="AB523" s="8" t="s">
        <v>2135</v>
      </c>
      <c r="AC523" s="8" t="s">
        <v>2135</v>
      </c>
      <c r="AD523" s="8" t="s">
        <v>2135</v>
      </c>
      <c r="AE523" s="8" t="s">
        <v>2135</v>
      </c>
      <c r="AF523" s="8" t="s">
        <v>2135</v>
      </c>
      <c r="AG523" s="8">
        <v>82.0</v>
      </c>
      <c r="AH523" s="8">
        <v>14.0</v>
      </c>
      <c r="AI523" s="8">
        <v>17.0</v>
      </c>
      <c r="AJ523" s="8">
        <v>0.0</v>
      </c>
      <c r="AK523" s="8">
        <v>12.0</v>
      </c>
      <c r="AL523" s="8" t="s">
        <v>3865</v>
      </c>
      <c r="AM523" s="8" t="s">
        <v>3759</v>
      </c>
      <c r="AN523" s="8" t="s">
        <v>3866</v>
      </c>
      <c r="AO523" s="8" t="s">
        <v>10933</v>
      </c>
      <c r="AP523" s="8" t="s">
        <v>10934</v>
      </c>
      <c r="AQ523" s="8" t="s">
        <v>2135</v>
      </c>
      <c r="AR523" s="8" t="s">
        <v>10935</v>
      </c>
      <c r="AS523" s="8" t="s">
        <v>10936</v>
      </c>
      <c r="AT523" s="8" t="s">
        <v>3765</v>
      </c>
      <c r="AU523" s="8">
        <v>1997.0</v>
      </c>
      <c r="AV523" s="8">
        <v>16.0</v>
      </c>
      <c r="AW523" s="8">
        <v>5.0</v>
      </c>
      <c r="AX523" s="8" t="s">
        <v>2135</v>
      </c>
      <c r="AY523" s="8" t="s">
        <v>2135</v>
      </c>
      <c r="AZ523" s="8" t="s">
        <v>2135</v>
      </c>
      <c r="BA523" s="8" t="s">
        <v>2135</v>
      </c>
      <c r="BB523" s="8">
        <v>1042.0</v>
      </c>
      <c r="BC523" s="8">
        <v>1050.0</v>
      </c>
      <c r="BD523" s="8" t="s">
        <v>2135</v>
      </c>
      <c r="BE523" s="8" t="s">
        <v>11502</v>
      </c>
      <c r="BF523" s="13" t="str">
        <f>HYPERLINK("http://dx.doi.org/10.1002/etc.5620160526","http://dx.doi.org/10.1002/etc.5620160526")</f>
        <v>http://dx.doi.org/10.1002/etc.5620160526</v>
      </c>
      <c r="BG523" s="8" t="s">
        <v>2135</v>
      </c>
      <c r="BH523" s="8" t="s">
        <v>2135</v>
      </c>
      <c r="BI523" s="8">
        <v>9.0</v>
      </c>
      <c r="BJ523" s="8" t="s">
        <v>10206</v>
      </c>
      <c r="BK523" s="8" t="s">
        <v>3352</v>
      </c>
      <c r="BL523" s="8" t="s">
        <v>10207</v>
      </c>
      <c r="BM523" s="8" t="s">
        <v>11503</v>
      </c>
      <c r="BN523" s="8" t="s">
        <v>2135</v>
      </c>
      <c r="BO523" s="8" t="s">
        <v>2135</v>
      </c>
      <c r="BP523" s="8" t="s">
        <v>2135</v>
      </c>
      <c r="BQ523" s="8" t="s">
        <v>2135</v>
      </c>
      <c r="BR523" s="8" t="s">
        <v>3355</v>
      </c>
      <c r="BS523" s="8" t="s">
        <v>11504</v>
      </c>
      <c r="BT523" s="8" t="s">
        <v>2216</v>
      </c>
      <c r="BU523" s="8" t="s">
        <v>2147</v>
      </c>
      <c r="BV523" s="8" t="s">
        <v>2217</v>
      </c>
      <c r="BW523" s="8" t="s">
        <v>2155</v>
      </c>
      <c r="BX523" s="8" t="s">
        <v>2974</v>
      </c>
      <c r="BY523" s="8" t="s">
        <v>2959</v>
      </c>
      <c r="BZ523" s="8" t="str">
        <f>HYPERLINK("https%3A%2F%2Fwww.webofscience.com%2Fwos%2Fwoscc%2Ffull-record%2FWOS:A1997WX06500026","View Full Record in Web of Science")</f>
        <v>View Full Record in Web of Science</v>
      </c>
    </row>
    <row r="524" ht="12.75" customHeight="1">
      <c r="A524" s="8" t="s">
        <v>3329</v>
      </c>
      <c r="B524" s="8" t="s">
        <v>11505</v>
      </c>
      <c r="C524" s="8" t="s">
        <v>2135</v>
      </c>
      <c r="D524" s="8" t="s">
        <v>2135</v>
      </c>
      <c r="E524" s="8" t="s">
        <v>2135</v>
      </c>
      <c r="F524" s="8" t="s">
        <v>11505</v>
      </c>
      <c r="G524" s="8" t="s">
        <v>2135</v>
      </c>
      <c r="H524" s="8" t="s">
        <v>2135</v>
      </c>
      <c r="I524" s="8" t="s">
        <v>1712</v>
      </c>
      <c r="J524" s="8" t="s">
        <v>3331</v>
      </c>
      <c r="K524" s="8" t="s">
        <v>2135</v>
      </c>
      <c r="L524" s="8" t="s">
        <v>2135</v>
      </c>
      <c r="M524" s="8" t="s">
        <v>3332</v>
      </c>
      <c r="N524" s="8" t="s">
        <v>3333</v>
      </c>
      <c r="O524" s="8" t="s">
        <v>2135</v>
      </c>
      <c r="P524" s="8" t="s">
        <v>2135</v>
      </c>
      <c r="Q524" s="8" t="s">
        <v>2135</v>
      </c>
      <c r="R524" s="8" t="s">
        <v>2135</v>
      </c>
      <c r="S524" s="8" t="s">
        <v>2135</v>
      </c>
      <c r="T524" s="8" t="s">
        <v>2135</v>
      </c>
      <c r="U524" s="8" t="s">
        <v>11506</v>
      </c>
      <c r="V524" s="8" t="s">
        <v>11507</v>
      </c>
      <c r="W524" s="8" t="s">
        <v>11508</v>
      </c>
      <c r="X524" s="8" t="s">
        <v>11509</v>
      </c>
      <c r="Y524" s="8" t="s">
        <v>11510</v>
      </c>
      <c r="Z524" s="8" t="s">
        <v>2135</v>
      </c>
      <c r="AA524" s="8" t="s">
        <v>2135</v>
      </c>
      <c r="AB524" s="8" t="s">
        <v>2135</v>
      </c>
      <c r="AC524" s="8" t="s">
        <v>2135</v>
      </c>
      <c r="AD524" s="8" t="s">
        <v>2135</v>
      </c>
      <c r="AE524" s="8" t="s">
        <v>2135</v>
      </c>
      <c r="AF524" s="8" t="s">
        <v>2135</v>
      </c>
      <c r="AG524" s="8">
        <v>34.0</v>
      </c>
      <c r="AH524" s="8">
        <v>20.0</v>
      </c>
      <c r="AI524" s="8">
        <v>23.0</v>
      </c>
      <c r="AJ524" s="8">
        <v>0.0</v>
      </c>
      <c r="AK524" s="8">
        <v>51.0</v>
      </c>
      <c r="AL524" s="8" t="s">
        <v>4374</v>
      </c>
      <c r="AM524" s="8" t="s">
        <v>6809</v>
      </c>
      <c r="AN524" s="8" t="s">
        <v>11511</v>
      </c>
      <c r="AO524" s="8" t="s">
        <v>3345</v>
      </c>
      <c r="AP524" s="8" t="s">
        <v>2135</v>
      </c>
      <c r="AQ524" s="8" t="s">
        <v>2135</v>
      </c>
      <c r="AR524" s="8" t="s">
        <v>3347</v>
      </c>
      <c r="AS524" s="8" t="s">
        <v>3348</v>
      </c>
      <c r="AT524" s="8" t="s">
        <v>3741</v>
      </c>
      <c r="AU524" s="8">
        <v>1996.0</v>
      </c>
      <c r="AV524" s="8">
        <v>10.0</v>
      </c>
      <c r="AW524" s="8">
        <v>6.0</v>
      </c>
      <c r="AX524" s="8" t="s">
        <v>2135</v>
      </c>
      <c r="AY524" s="8" t="s">
        <v>2135</v>
      </c>
      <c r="AZ524" s="8" t="s">
        <v>2135</v>
      </c>
      <c r="BA524" s="8" t="s">
        <v>2135</v>
      </c>
      <c r="BB524" s="8">
        <v>1528.0</v>
      </c>
      <c r="BC524" s="8">
        <v>1537.0</v>
      </c>
      <c r="BD524" s="8" t="s">
        <v>2135</v>
      </c>
      <c r="BE524" s="8" t="s">
        <v>11512</v>
      </c>
      <c r="BF524" s="13" t="str">
        <f>HYPERLINK("http://dx.doi.org/10.1046/j.1523-1739.1996.10061528.x","http://dx.doi.org/10.1046/j.1523-1739.1996.10061528.x")</f>
        <v>http://dx.doi.org/10.1046/j.1523-1739.1996.10061528.x</v>
      </c>
      <c r="BG524" s="8" t="s">
        <v>2135</v>
      </c>
      <c r="BH524" s="8" t="s">
        <v>2135</v>
      </c>
      <c r="BI524" s="8">
        <v>10.0</v>
      </c>
      <c r="BJ524" s="8" t="s">
        <v>3351</v>
      </c>
      <c r="BK524" s="8" t="s">
        <v>3352</v>
      </c>
      <c r="BL524" s="8" t="s">
        <v>3353</v>
      </c>
      <c r="BM524" s="8" t="s">
        <v>11513</v>
      </c>
      <c r="BN524" s="8" t="s">
        <v>2135</v>
      </c>
      <c r="BO524" s="8" t="s">
        <v>2135</v>
      </c>
      <c r="BP524" s="8" t="s">
        <v>2135</v>
      </c>
      <c r="BQ524" s="8" t="s">
        <v>2135</v>
      </c>
      <c r="BR524" s="8" t="s">
        <v>3355</v>
      </c>
      <c r="BS524" s="8" t="s">
        <v>11514</v>
      </c>
      <c r="BT524" s="8" t="s">
        <v>2600</v>
      </c>
      <c r="BU524" s="8" t="s">
        <v>2147</v>
      </c>
      <c r="BV524" s="8" t="s">
        <v>2217</v>
      </c>
      <c r="BW524" s="8" t="s">
        <v>2237</v>
      </c>
      <c r="BX524" s="8" t="s">
        <v>2974</v>
      </c>
      <c r="BY524" s="8" t="s">
        <v>2959</v>
      </c>
      <c r="BZ524" s="8" t="str">
        <f>HYPERLINK("https%3A%2F%2Fwww.webofscience.com%2Fwos%2Fwoscc%2Ffull-record%2FWOS:A1996VY24500007","View Full Record in Web of Science")</f>
        <v>View Full Record in Web of Science</v>
      </c>
    </row>
    <row r="525" ht="12.75" customHeight="1">
      <c r="A525" s="8" t="s">
        <v>3329</v>
      </c>
      <c r="B525" s="8" t="s">
        <v>11515</v>
      </c>
      <c r="C525" s="8" t="s">
        <v>2135</v>
      </c>
      <c r="D525" s="8" t="s">
        <v>2135</v>
      </c>
      <c r="E525" s="8" t="s">
        <v>2135</v>
      </c>
      <c r="F525" s="8" t="s">
        <v>11515</v>
      </c>
      <c r="G525" s="8" t="s">
        <v>2135</v>
      </c>
      <c r="H525" s="8" t="s">
        <v>2135</v>
      </c>
      <c r="I525" s="8" t="s">
        <v>1714</v>
      </c>
      <c r="J525" s="8" t="s">
        <v>10656</v>
      </c>
      <c r="K525" s="8" t="s">
        <v>2135</v>
      </c>
      <c r="L525" s="8" t="s">
        <v>2135</v>
      </c>
      <c r="M525" s="8" t="s">
        <v>3332</v>
      </c>
      <c r="N525" s="8" t="s">
        <v>3333</v>
      </c>
      <c r="O525" s="8" t="s">
        <v>2135</v>
      </c>
      <c r="P525" s="8" t="s">
        <v>2135</v>
      </c>
      <c r="Q525" s="8" t="s">
        <v>2135</v>
      </c>
      <c r="R525" s="8" t="s">
        <v>2135</v>
      </c>
      <c r="S525" s="8" t="s">
        <v>2135</v>
      </c>
      <c r="T525" s="8" t="s">
        <v>11516</v>
      </c>
      <c r="U525" s="8" t="s">
        <v>11517</v>
      </c>
      <c r="V525" s="8" t="s">
        <v>11518</v>
      </c>
      <c r="W525" s="8" t="s">
        <v>11519</v>
      </c>
      <c r="X525" s="8" t="s">
        <v>11520</v>
      </c>
      <c r="Y525" s="8" t="s">
        <v>11521</v>
      </c>
      <c r="Z525" s="8" t="s">
        <v>2135</v>
      </c>
      <c r="AA525" s="8" t="s">
        <v>2135</v>
      </c>
      <c r="AB525" s="8" t="s">
        <v>2135</v>
      </c>
      <c r="AC525" s="8" t="s">
        <v>2135</v>
      </c>
      <c r="AD525" s="8" t="s">
        <v>2135</v>
      </c>
      <c r="AE525" s="8" t="s">
        <v>2135</v>
      </c>
      <c r="AF525" s="8" t="s">
        <v>2135</v>
      </c>
      <c r="AG525" s="8">
        <v>29.0</v>
      </c>
      <c r="AH525" s="8">
        <v>20.0</v>
      </c>
      <c r="AI525" s="8">
        <v>25.0</v>
      </c>
      <c r="AJ525" s="8">
        <v>0.0</v>
      </c>
      <c r="AK525" s="8">
        <v>7.0</v>
      </c>
      <c r="AL525" s="8" t="s">
        <v>11522</v>
      </c>
      <c r="AM525" s="8" t="s">
        <v>3624</v>
      </c>
      <c r="AN525" s="8" t="s">
        <v>11523</v>
      </c>
      <c r="AO525" s="8" t="s">
        <v>10667</v>
      </c>
      <c r="AP525" s="8" t="s">
        <v>2135</v>
      </c>
      <c r="AQ525" s="8" t="s">
        <v>2135</v>
      </c>
      <c r="AR525" s="8" t="s">
        <v>10656</v>
      </c>
      <c r="AS525" s="8" t="s">
        <v>10669</v>
      </c>
      <c r="AT525" s="8" t="s">
        <v>3556</v>
      </c>
      <c r="AU525" s="8">
        <v>1996.0</v>
      </c>
      <c r="AV525" s="8">
        <v>5.0</v>
      </c>
      <c r="AW525" s="8">
        <v>2.0</v>
      </c>
      <c r="AX525" s="8" t="s">
        <v>2135</v>
      </c>
      <c r="AY525" s="8" t="s">
        <v>2135</v>
      </c>
      <c r="AZ525" s="8" t="s">
        <v>2135</v>
      </c>
      <c r="BA525" s="8" t="s">
        <v>2135</v>
      </c>
      <c r="BB525" s="8">
        <v>103.0</v>
      </c>
      <c r="BC525" s="8">
        <v>114.0</v>
      </c>
      <c r="BD525" s="8" t="s">
        <v>2135</v>
      </c>
      <c r="BE525" s="8" t="s">
        <v>11524</v>
      </c>
      <c r="BF525" s="13" t="str">
        <f>HYPERLINK("http://dx.doi.org/10.1007/BF00119049","http://dx.doi.org/10.1007/BF00119049")</f>
        <v>http://dx.doi.org/10.1007/BF00119049</v>
      </c>
      <c r="BG525" s="8" t="s">
        <v>2135</v>
      </c>
      <c r="BH525" s="8" t="s">
        <v>2135</v>
      </c>
      <c r="BI525" s="8">
        <v>12.0</v>
      </c>
      <c r="BJ525" s="8" t="s">
        <v>10671</v>
      </c>
      <c r="BK525" s="8" t="s">
        <v>3352</v>
      </c>
      <c r="BL525" s="8" t="s">
        <v>10207</v>
      </c>
      <c r="BM525" s="8" t="s">
        <v>11525</v>
      </c>
      <c r="BN525" s="8">
        <v>2.4193574E7</v>
      </c>
      <c r="BO525" s="8" t="s">
        <v>2135</v>
      </c>
      <c r="BP525" s="8" t="s">
        <v>2135</v>
      </c>
      <c r="BQ525" s="8" t="s">
        <v>2135</v>
      </c>
      <c r="BR525" s="8" t="s">
        <v>3355</v>
      </c>
      <c r="BS525" s="8" t="s">
        <v>11526</v>
      </c>
      <c r="BT525" s="8" t="s">
        <v>2600</v>
      </c>
      <c r="BU525" s="8" t="s">
        <v>2147</v>
      </c>
      <c r="BV525" s="8" t="s">
        <v>2217</v>
      </c>
      <c r="BW525" s="8" t="s">
        <v>2790</v>
      </c>
      <c r="BX525" s="8" t="s">
        <v>3030</v>
      </c>
      <c r="BY525" s="8" t="s">
        <v>2959</v>
      </c>
      <c r="BZ525" s="8" t="str">
        <f>HYPERLINK("https%3A%2F%2Fwww.webofscience.com%2Fwos%2Fwoscc%2Ffull-record%2FWOS:A1996UH48000003","View Full Record in Web of Science")</f>
        <v>View Full Record in Web of Science</v>
      </c>
    </row>
    <row r="526" ht="12.75" customHeight="1">
      <c r="A526" s="8" t="s">
        <v>3329</v>
      </c>
      <c r="B526" s="8" t="s">
        <v>11527</v>
      </c>
      <c r="C526" s="8" t="s">
        <v>2135</v>
      </c>
      <c r="D526" s="8" t="s">
        <v>2135</v>
      </c>
      <c r="E526" s="8" t="s">
        <v>2135</v>
      </c>
      <c r="F526" s="8" t="s">
        <v>11527</v>
      </c>
      <c r="G526" s="8" t="s">
        <v>2135</v>
      </c>
      <c r="H526" s="8" t="s">
        <v>2135</v>
      </c>
      <c r="I526" s="8" t="s">
        <v>1710</v>
      </c>
      <c r="J526" s="8" t="s">
        <v>10193</v>
      </c>
      <c r="K526" s="8" t="s">
        <v>2135</v>
      </c>
      <c r="L526" s="8" t="s">
        <v>2135</v>
      </c>
      <c r="M526" s="8" t="s">
        <v>3332</v>
      </c>
      <c r="N526" s="8" t="s">
        <v>3333</v>
      </c>
      <c r="O526" s="8" t="s">
        <v>2135</v>
      </c>
      <c r="P526" s="8" t="s">
        <v>2135</v>
      </c>
      <c r="Q526" s="8" t="s">
        <v>2135</v>
      </c>
      <c r="R526" s="8" t="s">
        <v>2135</v>
      </c>
      <c r="S526" s="8" t="s">
        <v>2135</v>
      </c>
      <c r="T526" s="8" t="s">
        <v>2135</v>
      </c>
      <c r="U526" s="8" t="s">
        <v>11528</v>
      </c>
      <c r="V526" s="8" t="s">
        <v>11529</v>
      </c>
      <c r="W526" s="8" t="s">
        <v>11530</v>
      </c>
      <c r="X526" s="8" t="s">
        <v>11531</v>
      </c>
      <c r="Y526" s="8" t="s">
        <v>2135</v>
      </c>
      <c r="Z526" s="8" t="s">
        <v>2135</v>
      </c>
      <c r="AA526" s="8" t="s">
        <v>11532</v>
      </c>
      <c r="AB526" s="8" t="s">
        <v>11533</v>
      </c>
      <c r="AC526" s="8" t="s">
        <v>2135</v>
      </c>
      <c r="AD526" s="8" t="s">
        <v>2135</v>
      </c>
      <c r="AE526" s="8" t="s">
        <v>2135</v>
      </c>
      <c r="AF526" s="8" t="s">
        <v>2135</v>
      </c>
      <c r="AG526" s="8">
        <v>35.0</v>
      </c>
      <c r="AH526" s="8">
        <v>37.0</v>
      </c>
      <c r="AI526" s="8">
        <v>42.0</v>
      </c>
      <c r="AJ526" s="8">
        <v>1.0</v>
      </c>
      <c r="AK526" s="8">
        <v>20.0</v>
      </c>
      <c r="AL526" s="8" t="s">
        <v>11399</v>
      </c>
      <c r="AM526" s="8" t="s">
        <v>3480</v>
      </c>
      <c r="AN526" s="8" t="s">
        <v>11534</v>
      </c>
      <c r="AO526" s="8" t="s">
        <v>10201</v>
      </c>
      <c r="AP526" s="8" t="s">
        <v>2135</v>
      </c>
      <c r="AQ526" s="8" t="s">
        <v>2135</v>
      </c>
      <c r="AR526" s="8" t="s">
        <v>10203</v>
      </c>
      <c r="AS526" s="8" t="s">
        <v>10204</v>
      </c>
      <c r="AT526" s="8" t="s">
        <v>3580</v>
      </c>
      <c r="AU526" s="8">
        <v>1995.0</v>
      </c>
      <c r="AV526" s="8">
        <v>29.0</v>
      </c>
      <c r="AW526" s="8">
        <v>3.0</v>
      </c>
      <c r="AX526" s="8" t="s">
        <v>2135</v>
      </c>
      <c r="AY526" s="8" t="s">
        <v>2135</v>
      </c>
      <c r="AZ526" s="8" t="s">
        <v>2135</v>
      </c>
      <c r="BA526" s="8" t="s">
        <v>2135</v>
      </c>
      <c r="BB526" s="8">
        <v>418.0</v>
      </c>
      <c r="BC526" s="8">
        <v>423.0</v>
      </c>
      <c r="BD526" s="8" t="s">
        <v>2135</v>
      </c>
      <c r="BE526" s="8" t="s">
        <v>11535</v>
      </c>
      <c r="BF526" s="13" t="str">
        <f>HYPERLINK("http://dx.doi.org/10.1007/BF00212510","http://dx.doi.org/10.1007/BF00212510")</f>
        <v>http://dx.doi.org/10.1007/BF00212510</v>
      </c>
      <c r="BG526" s="8" t="s">
        <v>2135</v>
      </c>
      <c r="BH526" s="8" t="s">
        <v>2135</v>
      </c>
      <c r="BI526" s="8">
        <v>6.0</v>
      </c>
      <c r="BJ526" s="8" t="s">
        <v>10206</v>
      </c>
      <c r="BK526" s="8" t="s">
        <v>3352</v>
      </c>
      <c r="BL526" s="8" t="s">
        <v>10207</v>
      </c>
      <c r="BM526" s="8" t="s">
        <v>11536</v>
      </c>
      <c r="BN526" s="8">
        <v>7487161.0</v>
      </c>
      <c r="BO526" s="8" t="s">
        <v>2135</v>
      </c>
      <c r="BP526" s="8" t="s">
        <v>2135</v>
      </c>
      <c r="BQ526" s="8" t="s">
        <v>2135</v>
      </c>
      <c r="BR526" s="8" t="s">
        <v>3355</v>
      </c>
      <c r="BS526" s="8" t="s">
        <v>11537</v>
      </c>
      <c r="BT526" s="8" t="s">
        <v>2600</v>
      </c>
      <c r="BU526" s="8" t="s">
        <v>2147</v>
      </c>
      <c r="BV526" s="8" t="s">
        <v>2217</v>
      </c>
      <c r="BW526" s="8" t="s">
        <v>2155</v>
      </c>
      <c r="BX526" s="8" t="s">
        <v>2974</v>
      </c>
      <c r="BY526" s="8" t="s">
        <v>2959</v>
      </c>
      <c r="BZ526" s="8" t="str">
        <f>HYPERLINK("https%3A%2F%2Fwww.webofscience.com%2Fwos%2Fwoscc%2Ffull-record%2FWOS:A1995RR14800021","View Full Record in Web of Science")</f>
        <v>View Full Record in Web of Science</v>
      </c>
    </row>
    <row r="527" ht="12.75" customHeight="1">
      <c r="A527" s="8" t="s">
        <v>3329</v>
      </c>
      <c r="B527" s="8" t="s">
        <v>11538</v>
      </c>
      <c r="C527" s="8" t="s">
        <v>2135</v>
      </c>
      <c r="D527" s="8" t="s">
        <v>2135</v>
      </c>
      <c r="E527" s="8" t="s">
        <v>2135</v>
      </c>
      <c r="F527" s="8" t="s">
        <v>11538</v>
      </c>
      <c r="G527" s="8" t="s">
        <v>2135</v>
      </c>
      <c r="H527" s="8" t="s">
        <v>2135</v>
      </c>
      <c r="I527" s="8" t="s">
        <v>1708</v>
      </c>
      <c r="J527" s="8" t="s">
        <v>3380</v>
      </c>
      <c r="K527" s="8" t="s">
        <v>2135</v>
      </c>
      <c r="L527" s="8" t="s">
        <v>2135</v>
      </c>
      <c r="M527" s="8" t="s">
        <v>3332</v>
      </c>
      <c r="N527" s="8" t="s">
        <v>3333</v>
      </c>
      <c r="O527" s="8" t="s">
        <v>2135</v>
      </c>
      <c r="P527" s="8" t="s">
        <v>2135</v>
      </c>
      <c r="Q527" s="8" t="s">
        <v>2135</v>
      </c>
      <c r="R527" s="8" t="s">
        <v>2135</v>
      </c>
      <c r="S527" s="8" t="s">
        <v>2135</v>
      </c>
      <c r="T527" s="8" t="s">
        <v>11539</v>
      </c>
      <c r="U527" s="8" t="s">
        <v>11540</v>
      </c>
      <c r="V527" s="8" t="s">
        <v>11541</v>
      </c>
      <c r="W527" s="8" t="s">
        <v>11542</v>
      </c>
      <c r="X527" s="8" t="s">
        <v>11543</v>
      </c>
      <c r="Y527" s="8" t="s">
        <v>2135</v>
      </c>
      <c r="Z527" s="8" t="s">
        <v>2135</v>
      </c>
      <c r="AA527" s="8" t="s">
        <v>2135</v>
      </c>
      <c r="AB527" s="8" t="s">
        <v>2135</v>
      </c>
      <c r="AC527" s="8" t="s">
        <v>2135</v>
      </c>
      <c r="AD527" s="8" t="s">
        <v>2135</v>
      </c>
      <c r="AE527" s="8" t="s">
        <v>2135</v>
      </c>
      <c r="AF527" s="8" t="s">
        <v>2135</v>
      </c>
      <c r="AG527" s="8">
        <v>16.0</v>
      </c>
      <c r="AH527" s="8">
        <v>30.0</v>
      </c>
      <c r="AI527" s="8">
        <v>38.0</v>
      </c>
      <c r="AJ527" s="8">
        <v>0.0</v>
      </c>
      <c r="AK527" s="8">
        <v>8.0</v>
      </c>
      <c r="AL527" s="8" t="s">
        <v>9371</v>
      </c>
      <c r="AM527" s="8" t="s">
        <v>4538</v>
      </c>
      <c r="AN527" s="8" t="s">
        <v>9372</v>
      </c>
      <c r="AO527" s="8" t="s">
        <v>3392</v>
      </c>
      <c r="AP527" s="8" t="s">
        <v>2135</v>
      </c>
      <c r="AQ527" s="8" t="s">
        <v>2135</v>
      </c>
      <c r="AR527" s="8" t="s">
        <v>3393</v>
      </c>
      <c r="AS527" s="8" t="s">
        <v>3394</v>
      </c>
      <c r="AT527" s="8" t="s">
        <v>3440</v>
      </c>
      <c r="AU527" s="8">
        <v>1994.0</v>
      </c>
      <c r="AV527" s="8">
        <v>75.0</v>
      </c>
      <c r="AW527" s="8">
        <v>4.0</v>
      </c>
      <c r="AX527" s="8" t="s">
        <v>2135</v>
      </c>
      <c r="AY527" s="8" t="s">
        <v>2135</v>
      </c>
      <c r="AZ527" s="8" t="s">
        <v>2135</v>
      </c>
      <c r="BA527" s="8" t="s">
        <v>2135</v>
      </c>
      <c r="BB527" s="8">
        <v>1021.0</v>
      </c>
      <c r="BC527" s="8">
        <v>1032.0</v>
      </c>
      <c r="BD527" s="8" t="s">
        <v>2135</v>
      </c>
      <c r="BE527" s="8" t="s">
        <v>11544</v>
      </c>
      <c r="BF527" s="13" t="str">
        <f>HYPERLINK("http://dx.doi.org/10.2307/1382485","http://dx.doi.org/10.2307/1382485")</f>
        <v>http://dx.doi.org/10.2307/1382485</v>
      </c>
      <c r="BG527" s="8" t="s">
        <v>2135</v>
      </c>
      <c r="BH527" s="8" t="s">
        <v>2135</v>
      </c>
      <c r="BI527" s="8">
        <v>12.0</v>
      </c>
      <c r="BJ527" s="8" t="s">
        <v>3397</v>
      </c>
      <c r="BK527" s="8" t="s">
        <v>3352</v>
      </c>
      <c r="BL527" s="8" t="s">
        <v>3397</v>
      </c>
      <c r="BM527" s="8" t="s">
        <v>11545</v>
      </c>
      <c r="BN527" s="8" t="s">
        <v>2135</v>
      </c>
      <c r="BO527" s="8" t="s">
        <v>2135</v>
      </c>
      <c r="BP527" s="8" t="s">
        <v>2135</v>
      </c>
      <c r="BQ527" s="8" t="s">
        <v>2135</v>
      </c>
      <c r="BR527" s="8" t="s">
        <v>3355</v>
      </c>
      <c r="BS527" s="8" t="s">
        <v>11546</v>
      </c>
      <c r="BT527" s="8" t="s">
        <v>2600</v>
      </c>
      <c r="BU527" s="8" t="s">
        <v>2147</v>
      </c>
      <c r="BV527" s="8" t="s">
        <v>2217</v>
      </c>
      <c r="BW527" s="8" t="s">
        <v>2234</v>
      </c>
      <c r="BX527" s="8" t="s">
        <v>2974</v>
      </c>
      <c r="BY527" s="8" t="s">
        <v>2959</v>
      </c>
      <c r="BZ527" s="8" t="str">
        <f>HYPERLINK("https%3A%2F%2Fwww.webofscience.com%2Fwos%2Fwoscc%2Ffull-record%2FWOS:A1994PU59900024","View Full Record in Web of Science")</f>
        <v>View Full Record in Web of Science</v>
      </c>
    </row>
    <row r="528" ht="12.75" customHeight="1">
      <c r="A528" s="8" t="s">
        <v>3329</v>
      </c>
      <c r="B528" s="8" t="s">
        <v>11547</v>
      </c>
      <c r="C528" s="8" t="s">
        <v>2135</v>
      </c>
      <c r="D528" s="8" t="s">
        <v>2135</v>
      </c>
      <c r="E528" s="8" t="s">
        <v>2135</v>
      </c>
      <c r="F528" s="8" t="s">
        <v>11547</v>
      </c>
      <c r="G528" s="8" t="s">
        <v>2135</v>
      </c>
      <c r="H528" s="8" t="s">
        <v>2135</v>
      </c>
      <c r="I528" s="8" t="s">
        <v>1702</v>
      </c>
      <c r="J528" s="8" t="s">
        <v>10193</v>
      </c>
      <c r="K528" s="8" t="s">
        <v>2135</v>
      </c>
      <c r="L528" s="8" t="s">
        <v>2135</v>
      </c>
      <c r="M528" s="8" t="s">
        <v>3332</v>
      </c>
      <c r="N528" s="8" t="s">
        <v>3333</v>
      </c>
      <c r="O528" s="8" t="s">
        <v>2135</v>
      </c>
      <c r="P528" s="8" t="s">
        <v>2135</v>
      </c>
      <c r="Q528" s="8" t="s">
        <v>2135</v>
      </c>
      <c r="R528" s="8" t="s">
        <v>2135</v>
      </c>
      <c r="S528" s="8" t="s">
        <v>2135</v>
      </c>
      <c r="T528" s="8" t="s">
        <v>2135</v>
      </c>
      <c r="U528" s="8" t="s">
        <v>11548</v>
      </c>
      <c r="V528" s="8" t="s">
        <v>11549</v>
      </c>
      <c r="W528" s="8" t="s">
        <v>11550</v>
      </c>
      <c r="X528" s="8" t="s">
        <v>11551</v>
      </c>
      <c r="Y528" s="8" t="s">
        <v>11552</v>
      </c>
      <c r="Z528" s="8" t="s">
        <v>2135</v>
      </c>
      <c r="AA528" s="8" t="s">
        <v>11553</v>
      </c>
      <c r="AB528" s="8" t="s">
        <v>11554</v>
      </c>
      <c r="AC528" s="8" t="s">
        <v>11555</v>
      </c>
      <c r="AD528" s="8" t="s">
        <v>11556</v>
      </c>
      <c r="AE528" s="8" t="s">
        <v>2135</v>
      </c>
      <c r="AF528" s="8" t="s">
        <v>2135</v>
      </c>
      <c r="AG528" s="8">
        <v>76.0</v>
      </c>
      <c r="AH528" s="8">
        <v>61.0</v>
      </c>
      <c r="AI528" s="8">
        <v>64.0</v>
      </c>
      <c r="AJ528" s="8">
        <v>0.0</v>
      </c>
      <c r="AK528" s="8">
        <v>17.0</v>
      </c>
      <c r="AL528" s="8" t="s">
        <v>11399</v>
      </c>
      <c r="AM528" s="8" t="s">
        <v>3480</v>
      </c>
      <c r="AN528" s="8" t="s">
        <v>11534</v>
      </c>
      <c r="AO528" s="8" t="s">
        <v>10201</v>
      </c>
      <c r="AP528" s="8" t="s">
        <v>2135</v>
      </c>
      <c r="AQ528" s="8" t="s">
        <v>2135</v>
      </c>
      <c r="AR528" s="8" t="s">
        <v>10203</v>
      </c>
      <c r="AS528" s="8" t="s">
        <v>10204</v>
      </c>
      <c r="AT528" s="8" t="s">
        <v>3395</v>
      </c>
      <c r="AU528" s="8">
        <v>1994.0</v>
      </c>
      <c r="AV528" s="8">
        <v>27.0</v>
      </c>
      <c r="AW528" s="8">
        <v>2.0</v>
      </c>
      <c r="AX528" s="8" t="s">
        <v>2135</v>
      </c>
      <c r="AY528" s="8" t="s">
        <v>2135</v>
      </c>
      <c r="AZ528" s="8" t="s">
        <v>2135</v>
      </c>
      <c r="BA528" s="8" t="s">
        <v>2135</v>
      </c>
      <c r="BB528" s="8">
        <v>213.0</v>
      </c>
      <c r="BC528" s="8">
        <v>223.0</v>
      </c>
      <c r="BD528" s="8" t="s">
        <v>2135</v>
      </c>
      <c r="BE528" s="8" t="s">
        <v>2135</v>
      </c>
      <c r="BF528" s="8" t="s">
        <v>2135</v>
      </c>
      <c r="BG528" s="8" t="s">
        <v>2135</v>
      </c>
      <c r="BH528" s="8" t="s">
        <v>2135</v>
      </c>
      <c r="BI528" s="8">
        <v>11.0</v>
      </c>
      <c r="BJ528" s="8" t="s">
        <v>10206</v>
      </c>
      <c r="BK528" s="8" t="s">
        <v>3352</v>
      </c>
      <c r="BL528" s="8" t="s">
        <v>10207</v>
      </c>
      <c r="BM528" s="8" t="s">
        <v>11557</v>
      </c>
      <c r="BN528" s="8">
        <v>8060165.0</v>
      </c>
      <c r="BO528" s="8" t="s">
        <v>2135</v>
      </c>
      <c r="BP528" s="8" t="s">
        <v>2135</v>
      </c>
      <c r="BQ528" s="8" t="s">
        <v>2135</v>
      </c>
      <c r="BR528" s="8" t="s">
        <v>3355</v>
      </c>
      <c r="BS528" s="8" t="s">
        <v>11558</v>
      </c>
      <c r="BT528" s="8" t="s">
        <v>2600</v>
      </c>
      <c r="BU528" s="8" t="s">
        <v>2147</v>
      </c>
      <c r="BV528" s="8" t="s">
        <v>2217</v>
      </c>
      <c r="BW528" s="8" t="s">
        <v>2155</v>
      </c>
      <c r="BX528" s="8" t="s">
        <v>2974</v>
      </c>
      <c r="BY528" s="8" t="s">
        <v>2959</v>
      </c>
      <c r="BZ528" s="8" t="str">
        <f>HYPERLINK("https%3A%2F%2Fwww.webofscience.com%2Fwos%2Fwoscc%2Ffull-record%2FWOS:A1994NT63700010","View Full Record in Web of Science")</f>
        <v>View Full Record in Web of Science</v>
      </c>
    </row>
    <row r="529" ht="12.75" customHeight="1">
      <c r="A529" s="8" t="s">
        <v>3329</v>
      </c>
      <c r="B529" s="8" t="s">
        <v>11559</v>
      </c>
      <c r="C529" s="8" t="s">
        <v>2135</v>
      </c>
      <c r="D529" s="8" t="s">
        <v>2135</v>
      </c>
      <c r="E529" s="8" t="s">
        <v>2135</v>
      </c>
      <c r="F529" s="8" t="s">
        <v>11559</v>
      </c>
      <c r="G529" s="8" t="s">
        <v>2135</v>
      </c>
      <c r="H529" s="8" t="s">
        <v>2135</v>
      </c>
      <c r="I529" s="8" t="s">
        <v>1706</v>
      </c>
      <c r="J529" s="8" t="s">
        <v>7602</v>
      </c>
      <c r="K529" s="8" t="s">
        <v>2135</v>
      </c>
      <c r="L529" s="8" t="s">
        <v>2135</v>
      </c>
      <c r="M529" s="8" t="s">
        <v>3332</v>
      </c>
      <c r="N529" s="8" t="s">
        <v>9357</v>
      </c>
      <c r="O529" s="8" t="s">
        <v>2135</v>
      </c>
      <c r="P529" s="8" t="s">
        <v>2135</v>
      </c>
      <c r="Q529" s="8" t="s">
        <v>2135</v>
      </c>
      <c r="R529" s="8" t="s">
        <v>2135</v>
      </c>
      <c r="S529" s="8" t="s">
        <v>2135</v>
      </c>
      <c r="T529" s="8" t="s">
        <v>11560</v>
      </c>
      <c r="U529" s="8" t="s">
        <v>11561</v>
      </c>
      <c r="V529" s="8" t="s">
        <v>11562</v>
      </c>
      <c r="W529" s="8" t="s">
        <v>11563</v>
      </c>
      <c r="X529" s="8" t="s">
        <v>11564</v>
      </c>
      <c r="Y529" s="8" t="s">
        <v>11565</v>
      </c>
      <c r="Z529" s="8" t="s">
        <v>2135</v>
      </c>
      <c r="AA529" s="8" t="s">
        <v>2135</v>
      </c>
      <c r="AB529" s="8" t="s">
        <v>2135</v>
      </c>
      <c r="AC529" s="8" t="s">
        <v>2135</v>
      </c>
      <c r="AD529" s="8" t="s">
        <v>2135</v>
      </c>
      <c r="AE529" s="8" t="s">
        <v>2135</v>
      </c>
      <c r="AF529" s="8" t="s">
        <v>2135</v>
      </c>
      <c r="AG529" s="8">
        <v>9.0</v>
      </c>
      <c r="AH529" s="8">
        <v>24.0</v>
      </c>
      <c r="AI529" s="8">
        <v>25.0</v>
      </c>
      <c r="AJ529" s="8">
        <v>0.0</v>
      </c>
      <c r="AK529" s="8">
        <v>8.0</v>
      </c>
      <c r="AL529" s="8" t="s">
        <v>9293</v>
      </c>
      <c r="AM529" s="8" t="s">
        <v>3390</v>
      </c>
      <c r="AN529" s="8" t="s">
        <v>9363</v>
      </c>
      <c r="AO529" s="8" t="s">
        <v>7617</v>
      </c>
      <c r="AP529" s="8" t="s">
        <v>2135</v>
      </c>
      <c r="AQ529" s="8" t="s">
        <v>2135</v>
      </c>
      <c r="AR529" s="8" t="s">
        <v>7619</v>
      </c>
      <c r="AS529" s="8" t="s">
        <v>7620</v>
      </c>
      <c r="AT529" s="8" t="s">
        <v>3512</v>
      </c>
      <c r="AU529" s="8">
        <v>1994.0</v>
      </c>
      <c r="AV529" s="8">
        <v>30.0</v>
      </c>
      <c r="AW529" s="8">
        <v>3.0</v>
      </c>
      <c r="AX529" s="8" t="s">
        <v>2135</v>
      </c>
      <c r="AY529" s="8" t="s">
        <v>2135</v>
      </c>
      <c r="AZ529" s="8" t="s">
        <v>2135</v>
      </c>
      <c r="BA529" s="8" t="s">
        <v>2135</v>
      </c>
      <c r="BB529" s="8">
        <v>421.0</v>
      </c>
      <c r="BC529" s="8">
        <v>425.0</v>
      </c>
      <c r="BD529" s="8" t="s">
        <v>2135</v>
      </c>
      <c r="BE529" s="8" t="s">
        <v>11566</v>
      </c>
      <c r="BF529" s="13" t="str">
        <f>HYPERLINK("http://dx.doi.org/10.7589/0090-3558-30.3.421","http://dx.doi.org/10.7589/0090-3558-30.3.421")</f>
        <v>http://dx.doi.org/10.7589/0090-3558-30.3.421</v>
      </c>
      <c r="BG529" s="8" t="s">
        <v>2135</v>
      </c>
      <c r="BH529" s="8" t="s">
        <v>2135</v>
      </c>
      <c r="BI529" s="8">
        <v>5.0</v>
      </c>
      <c r="BJ529" s="8" t="s">
        <v>6958</v>
      </c>
      <c r="BK529" s="8" t="s">
        <v>3352</v>
      </c>
      <c r="BL529" s="8" t="s">
        <v>6958</v>
      </c>
      <c r="BM529" s="8" t="s">
        <v>11567</v>
      </c>
      <c r="BN529" s="8">
        <v>7933287.0</v>
      </c>
      <c r="BO529" s="8" t="s">
        <v>3445</v>
      </c>
      <c r="BP529" s="8" t="s">
        <v>2135</v>
      </c>
      <c r="BQ529" s="8" t="s">
        <v>2135</v>
      </c>
      <c r="BR529" s="8" t="s">
        <v>3355</v>
      </c>
      <c r="BS529" s="8" t="s">
        <v>11568</v>
      </c>
      <c r="BT529" s="8" t="s">
        <v>2600</v>
      </c>
      <c r="BU529" s="8" t="s">
        <v>2147</v>
      </c>
      <c r="BV529" s="8" t="s">
        <v>2217</v>
      </c>
      <c r="BW529" s="8" t="s">
        <v>2234</v>
      </c>
      <c r="BX529" s="8" t="s">
        <v>2974</v>
      </c>
      <c r="BY529" s="8" t="s">
        <v>2959</v>
      </c>
      <c r="BZ529" s="8" t="str">
        <f>HYPERLINK("https%3A%2F%2Fwww.webofscience.com%2Fwos%2Fwoscc%2Ffull-record%2FWOS:A1994NY68400017","View Full Record in Web of Science")</f>
        <v>View Full Record in Web of Science</v>
      </c>
    </row>
    <row r="530" ht="12.75" customHeight="1">
      <c r="A530" s="8" t="s">
        <v>3329</v>
      </c>
      <c r="B530" s="8" t="s">
        <v>11569</v>
      </c>
      <c r="C530" s="8" t="s">
        <v>2135</v>
      </c>
      <c r="D530" s="8" t="s">
        <v>2135</v>
      </c>
      <c r="E530" s="8" t="s">
        <v>2135</v>
      </c>
      <c r="F530" s="8" t="s">
        <v>11569</v>
      </c>
      <c r="G530" s="8" t="s">
        <v>2135</v>
      </c>
      <c r="H530" s="8" t="s">
        <v>2135</v>
      </c>
      <c r="I530" s="8" t="s">
        <v>1700</v>
      </c>
      <c r="J530" s="8" t="s">
        <v>5746</v>
      </c>
      <c r="K530" s="8" t="s">
        <v>2135</v>
      </c>
      <c r="L530" s="8" t="s">
        <v>2135</v>
      </c>
      <c r="M530" s="8" t="s">
        <v>3332</v>
      </c>
      <c r="N530" s="8" t="s">
        <v>3333</v>
      </c>
      <c r="O530" s="8" t="s">
        <v>2135</v>
      </c>
      <c r="P530" s="8" t="s">
        <v>2135</v>
      </c>
      <c r="Q530" s="8" t="s">
        <v>2135</v>
      </c>
      <c r="R530" s="8" t="s">
        <v>2135</v>
      </c>
      <c r="S530" s="8" t="s">
        <v>2135</v>
      </c>
      <c r="T530" s="8" t="s">
        <v>2135</v>
      </c>
      <c r="U530" s="8" t="s">
        <v>11570</v>
      </c>
      <c r="V530" s="8" t="s">
        <v>11571</v>
      </c>
      <c r="W530" s="8" t="s">
        <v>11572</v>
      </c>
      <c r="X530" s="8" t="s">
        <v>2135</v>
      </c>
      <c r="Y530" s="8" t="s">
        <v>11573</v>
      </c>
      <c r="Z530" s="8" t="s">
        <v>2135</v>
      </c>
      <c r="AA530" s="8" t="s">
        <v>11574</v>
      </c>
      <c r="AB530" s="8" t="s">
        <v>2135</v>
      </c>
      <c r="AC530" s="8" t="s">
        <v>2135</v>
      </c>
      <c r="AD530" s="8" t="s">
        <v>2135</v>
      </c>
      <c r="AE530" s="8" t="s">
        <v>2135</v>
      </c>
      <c r="AF530" s="8" t="s">
        <v>2135</v>
      </c>
      <c r="AG530" s="8">
        <v>19.0</v>
      </c>
      <c r="AH530" s="8">
        <v>10.0</v>
      </c>
      <c r="AI530" s="8">
        <v>11.0</v>
      </c>
      <c r="AJ530" s="8">
        <v>0.0</v>
      </c>
      <c r="AK530" s="8">
        <v>2.0</v>
      </c>
      <c r="AL530" s="8" t="s">
        <v>11490</v>
      </c>
      <c r="AM530" s="8" t="s">
        <v>11491</v>
      </c>
      <c r="AN530" s="8" t="s">
        <v>11492</v>
      </c>
      <c r="AO530" s="8" t="s">
        <v>5759</v>
      </c>
      <c r="AP530" s="8" t="s">
        <v>2135</v>
      </c>
      <c r="AQ530" s="8" t="s">
        <v>2135</v>
      </c>
      <c r="AR530" s="8" t="s">
        <v>5746</v>
      </c>
      <c r="AS530" s="8" t="s">
        <v>5761</v>
      </c>
      <c r="AT530" s="8" t="s">
        <v>3512</v>
      </c>
      <c r="AU530" s="8">
        <v>1994.0</v>
      </c>
      <c r="AV530" s="8">
        <v>23.0</v>
      </c>
      <c r="AW530" s="8" t="s">
        <v>11575</v>
      </c>
      <c r="AX530" s="8" t="s">
        <v>2135</v>
      </c>
      <c r="AY530" s="8" t="s">
        <v>2135</v>
      </c>
      <c r="AZ530" s="8" t="s">
        <v>2135</v>
      </c>
      <c r="BA530" s="8" t="s">
        <v>2135</v>
      </c>
      <c r="BB530" s="8">
        <v>294.0</v>
      </c>
      <c r="BC530" s="8">
        <v>295.0</v>
      </c>
      <c r="BD530" s="8" t="s">
        <v>2135</v>
      </c>
      <c r="BE530" s="8" t="s">
        <v>2135</v>
      </c>
      <c r="BF530" s="8" t="s">
        <v>2135</v>
      </c>
      <c r="BG530" s="8" t="s">
        <v>2135</v>
      </c>
      <c r="BH530" s="8" t="s">
        <v>2135</v>
      </c>
      <c r="BI530" s="8">
        <v>2.0</v>
      </c>
      <c r="BJ530" s="8" t="s">
        <v>5763</v>
      </c>
      <c r="BK530" s="8" t="s">
        <v>3352</v>
      </c>
      <c r="BL530" s="8" t="s">
        <v>5764</v>
      </c>
      <c r="BM530" s="8" t="s">
        <v>11576</v>
      </c>
      <c r="BN530" s="8" t="s">
        <v>2135</v>
      </c>
      <c r="BO530" s="8" t="s">
        <v>2135</v>
      </c>
      <c r="BP530" s="8" t="s">
        <v>2135</v>
      </c>
      <c r="BQ530" s="8" t="s">
        <v>2135</v>
      </c>
      <c r="BR530" s="8" t="s">
        <v>3355</v>
      </c>
      <c r="BS530" s="8" t="s">
        <v>11577</v>
      </c>
      <c r="BT530" s="8" t="s">
        <v>2497</v>
      </c>
      <c r="BU530" s="8" t="s">
        <v>2142</v>
      </c>
      <c r="BW530" s="8" t="s">
        <v>2168</v>
      </c>
      <c r="BX530" s="8" t="s">
        <v>2974</v>
      </c>
      <c r="BY530" s="8" t="s">
        <v>2959</v>
      </c>
      <c r="BZ530" s="8" t="str">
        <f>HYPERLINK("https%3A%2F%2Fwww.webofscience.com%2Fwos%2Fwoscc%2Ffull-record%2FWOS:A1994PC01600012","View Full Record in Web of Science")</f>
        <v>View Full Record in Web of Science</v>
      </c>
    </row>
    <row r="531" ht="12.75" customHeight="1">
      <c r="A531" s="8" t="s">
        <v>3329</v>
      </c>
      <c r="B531" s="8" t="s">
        <v>11578</v>
      </c>
      <c r="C531" s="8" t="s">
        <v>2135</v>
      </c>
      <c r="D531" s="8" t="s">
        <v>2135</v>
      </c>
      <c r="E531" s="8" t="s">
        <v>2135</v>
      </c>
      <c r="F531" s="8" t="s">
        <v>11578</v>
      </c>
      <c r="G531" s="8" t="s">
        <v>2135</v>
      </c>
      <c r="H531" s="8" t="s">
        <v>2135</v>
      </c>
      <c r="I531" s="8" t="s">
        <v>1704</v>
      </c>
      <c r="J531" s="8" t="s">
        <v>3831</v>
      </c>
      <c r="K531" s="8" t="s">
        <v>2135</v>
      </c>
      <c r="L531" s="8" t="s">
        <v>2135</v>
      </c>
      <c r="M531" s="8" t="s">
        <v>3332</v>
      </c>
      <c r="N531" s="8" t="s">
        <v>3333</v>
      </c>
      <c r="O531" s="8" t="s">
        <v>2135</v>
      </c>
      <c r="P531" s="8" t="s">
        <v>2135</v>
      </c>
      <c r="Q531" s="8" t="s">
        <v>2135</v>
      </c>
      <c r="R531" s="8" t="s">
        <v>2135</v>
      </c>
      <c r="S531" s="8" t="s">
        <v>2135</v>
      </c>
      <c r="T531" s="8" t="s">
        <v>2135</v>
      </c>
      <c r="U531" s="8" t="s">
        <v>11579</v>
      </c>
      <c r="V531" s="8" t="s">
        <v>11580</v>
      </c>
      <c r="W531" s="8" t="s">
        <v>11581</v>
      </c>
      <c r="X531" s="8" t="s">
        <v>11564</v>
      </c>
      <c r="Y531" s="8" t="s">
        <v>11582</v>
      </c>
      <c r="Z531" s="8" t="s">
        <v>2135</v>
      </c>
      <c r="AA531" s="8" t="s">
        <v>2135</v>
      </c>
      <c r="AB531" s="8" t="s">
        <v>2135</v>
      </c>
      <c r="AC531" s="8" t="s">
        <v>2135</v>
      </c>
      <c r="AD531" s="8" t="s">
        <v>2135</v>
      </c>
      <c r="AE531" s="8" t="s">
        <v>2135</v>
      </c>
      <c r="AF531" s="8" t="s">
        <v>2135</v>
      </c>
      <c r="AG531" s="8">
        <v>14.0</v>
      </c>
      <c r="AH531" s="8">
        <v>39.0</v>
      </c>
      <c r="AI531" s="8">
        <v>43.0</v>
      </c>
      <c r="AJ531" s="8">
        <v>1.0</v>
      </c>
      <c r="AK531" s="8">
        <v>15.0</v>
      </c>
      <c r="AL531" s="8" t="s">
        <v>3843</v>
      </c>
      <c r="AM531" s="8" t="s">
        <v>3844</v>
      </c>
      <c r="AN531" s="8" t="s">
        <v>11249</v>
      </c>
      <c r="AO531" s="8" t="s">
        <v>3846</v>
      </c>
      <c r="AP531" s="8" t="s">
        <v>3847</v>
      </c>
      <c r="AQ531" s="8" t="s">
        <v>2135</v>
      </c>
      <c r="AR531" s="8" t="s">
        <v>3848</v>
      </c>
      <c r="AS531" s="8" t="s">
        <v>3849</v>
      </c>
      <c r="AT531" s="8" t="s">
        <v>3349</v>
      </c>
      <c r="AU531" s="8">
        <v>1994.0</v>
      </c>
      <c r="AV531" s="8">
        <v>72.0</v>
      </c>
      <c r="AW531" s="8">
        <v>6.0</v>
      </c>
      <c r="AX531" s="8" t="s">
        <v>2135</v>
      </c>
      <c r="AY531" s="8" t="s">
        <v>2135</v>
      </c>
      <c r="AZ531" s="8" t="s">
        <v>2135</v>
      </c>
      <c r="BA531" s="8" t="s">
        <v>2135</v>
      </c>
      <c r="BB531" s="8">
        <v>970.0</v>
      </c>
      <c r="BC531" s="8">
        <v>976.0</v>
      </c>
      <c r="BD531" s="8" t="s">
        <v>2135</v>
      </c>
      <c r="BE531" s="8" t="s">
        <v>11583</v>
      </c>
      <c r="BF531" s="13" t="str">
        <f>HYPERLINK("http://dx.doi.org/10.1139/z94-133","http://dx.doi.org/10.1139/z94-133")</f>
        <v>http://dx.doi.org/10.1139/z94-133</v>
      </c>
      <c r="BG531" s="8" t="s">
        <v>2135</v>
      </c>
      <c r="BH531" s="8" t="s">
        <v>2135</v>
      </c>
      <c r="BI531" s="8">
        <v>7.0</v>
      </c>
      <c r="BJ531" s="8" t="s">
        <v>3397</v>
      </c>
      <c r="BK531" s="8" t="s">
        <v>3352</v>
      </c>
      <c r="BL531" s="8" t="s">
        <v>3397</v>
      </c>
      <c r="BM531" s="8" t="s">
        <v>11584</v>
      </c>
      <c r="BN531" s="8" t="s">
        <v>2135</v>
      </c>
      <c r="BO531" s="8" t="s">
        <v>2135</v>
      </c>
      <c r="BP531" s="8" t="s">
        <v>2135</v>
      </c>
      <c r="BQ531" s="8" t="s">
        <v>2135</v>
      </c>
      <c r="BR531" s="8" t="s">
        <v>3355</v>
      </c>
      <c r="BS531" s="8" t="s">
        <v>11585</v>
      </c>
      <c r="BT531" s="8" t="s">
        <v>2600</v>
      </c>
      <c r="BU531" s="8" t="s">
        <v>2147</v>
      </c>
      <c r="BV531" s="8" t="s">
        <v>2217</v>
      </c>
      <c r="BW531" s="8" t="s">
        <v>2234</v>
      </c>
      <c r="BX531" s="8" t="s">
        <v>2974</v>
      </c>
      <c r="BY531" s="8" t="s">
        <v>2959</v>
      </c>
      <c r="BZ531" s="8" t="str">
        <f>HYPERLINK("https%3A%2F%2Fwww.webofscience.com%2Fwos%2Fwoscc%2Ffull-record%2FWOS:A1994PP59100002","View Full Record in Web of Science")</f>
        <v>View Full Record in Web of Science</v>
      </c>
    </row>
    <row r="532" ht="12.75" customHeight="1">
      <c r="A532" s="8" t="s">
        <v>3329</v>
      </c>
      <c r="B532" s="8" t="s">
        <v>11586</v>
      </c>
      <c r="C532" s="8" t="s">
        <v>2135</v>
      </c>
      <c r="D532" s="8" t="s">
        <v>2135</v>
      </c>
      <c r="E532" s="8" t="s">
        <v>2135</v>
      </c>
      <c r="F532" s="8" t="s">
        <v>11586</v>
      </c>
      <c r="G532" s="8" t="s">
        <v>2135</v>
      </c>
      <c r="H532" s="8" t="s">
        <v>2135</v>
      </c>
      <c r="I532" s="8" t="s">
        <v>1696</v>
      </c>
      <c r="J532" s="8" t="s">
        <v>4546</v>
      </c>
      <c r="K532" s="8" t="s">
        <v>2135</v>
      </c>
      <c r="L532" s="8" t="s">
        <v>2135</v>
      </c>
      <c r="M532" s="8" t="s">
        <v>3332</v>
      </c>
      <c r="N532" s="8" t="s">
        <v>3333</v>
      </c>
      <c r="O532" s="8" t="s">
        <v>2135</v>
      </c>
      <c r="P532" s="8" t="s">
        <v>2135</v>
      </c>
      <c r="Q532" s="8" t="s">
        <v>2135</v>
      </c>
      <c r="R532" s="8" t="s">
        <v>2135</v>
      </c>
      <c r="S532" s="8" t="s">
        <v>2135</v>
      </c>
      <c r="T532" s="8" t="s">
        <v>11587</v>
      </c>
      <c r="U532" s="8" t="s">
        <v>2135</v>
      </c>
      <c r="V532" s="8" t="s">
        <v>11588</v>
      </c>
      <c r="W532" s="8" t="s">
        <v>11589</v>
      </c>
      <c r="X532" s="8" t="s">
        <v>11590</v>
      </c>
      <c r="Y532" s="8" t="s">
        <v>11591</v>
      </c>
      <c r="Z532" s="8" t="s">
        <v>2135</v>
      </c>
      <c r="AA532" s="8" t="s">
        <v>2135</v>
      </c>
      <c r="AB532" s="8" t="s">
        <v>2135</v>
      </c>
      <c r="AC532" s="8" t="s">
        <v>2135</v>
      </c>
      <c r="AD532" s="8" t="s">
        <v>2135</v>
      </c>
      <c r="AE532" s="8" t="s">
        <v>2135</v>
      </c>
      <c r="AF532" s="8" t="s">
        <v>2135</v>
      </c>
      <c r="AG532" s="8">
        <v>22.0</v>
      </c>
      <c r="AH532" s="8">
        <v>60.0</v>
      </c>
      <c r="AI532" s="8">
        <v>69.0</v>
      </c>
      <c r="AJ532" s="8">
        <v>1.0</v>
      </c>
      <c r="AK532" s="8">
        <v>47.0</v>
      </c>
      <c r="AL532" s="8" t="s">
        <v>6966</v>
      </c>
      <c r="AM532" s="8" t="s">
        <v>3390</v>
      </c>
      <c r="AN532" s="8" t="s">
        <v>6967</v>
      </c>
      <c r="AO532" s="8" t="s">
        <v>4554</v>
      </c>
      <c r="AP532" s="8" t="s">
        <v>2135</v>
      </c>
      <c r="AQ532" s="8" t="s">
        <v>2135</v>
      </c>
      <c r="AR532" s="8" t="s">
        <v>4556</v>
      </c>
      <c r="AS532" s="8" t="s">
        <v>4557</v>
      </c>
      <c r="AT532" s="8" t="s">
        <v>3580</v>
      </c>
      <c r="AU532" s="8">
        <v>1993.0</v>
      </c>
      <c r="AV532" s="8">
        <v>9.0</v>
      </c>
      <c r="AW532" s="8">
        <v>4.0</v>
      </c>
      <c r="AX532" s="8" t="s">
        <v>2135</v>
      </c>
      <c r="AY532" s="8" t="s">
        <v>2135</v>
      </c>
      <c r="AZ532" s="8" t="s">
        <v>2135</v>
      </c>
      <c r="BA532" s="8" t="s">
        <v>2135</v>
      </c>
      <c r="BB532" s="8">
        <v>343.0</v>
      </c>
      <c r="BC532" s="8">
        <v>359.0</v>
      </c>
      <c r="BD532" s="8" t="s">
        <v>2135</v>
      </c>
      <c r="BE532" s="8" t="s">
        <v>11592</v>
      </c>
      <c r="BF532" s="13" t="str">
        <f>HYPERLINK("http://dx.doi.org/10.1111/j.1748-7692.1993.tb00468.x","http://dx.doi.org/10.1111/j.1748-7692.1993.tb00468.x")</f>
        <v>http://dx.doi.org/10.1111/j.1748-7692.1993.tb00468.x</v>
      </c>
      <c r="BG532" s="8" t="s">
        <v>2135</v>
      </c>
      <c r="BH532" s="8" t="s">
        <v>2135</v>
      </c>
      <c r="BI532" s="8">
        <v>17.0</v>
      </c>
      <c r="BJ532" s="8" t="s">
        <v>4559</v>
      </c>
      <c r="BK532" s="8" t="s">
        <v>3352</v>
      </c>
      <c r="BL532" s="8" t="s">
        <v>4559</v>
      </c>
      <c r="BM532" s="8" t="s">
        <v>11593</v>
      </c>
      <c r="BN532" s="8" t="s">
        <v>2135</v>
      </c>
      <c r="BO532" s="8" t="s">
        <v>2135</v>
      </c>
      <c r="BP532" s="8" t="s">
        <v>2135</v>
      </c>
      <c r="BQ532" s="8" t="s">
        <v>2135</v>
      </c>
      <c r="BR532" s="8" t="s">
        <v>3355</v>
      </c>
      <c r="BS532" s="8" t="s">
        <v>11594</v>
      </c>
      <c r="BT532" s="8" t="s">
        <v>2600</v>
      </c>
      <c r="BU532" s="8" t="s">
        <v>2147</v>
      </c>
      <c r="BV532" s="8" t="s">
        <v>2217</v>
      </c>
      <c r="BW532" s="8" t="s">
        <v>2237</v>
      </c>
      <c r="BX532" s="8" t="s">
        <v>2974</v>
      </c>
      <c r="BY532" s="8" t="s">
        <v>2959</v>
      </c>
      <c r="BZ532" s="8" t="str">
        <f>HYPERLINK("https%3A%2F%2Fwww.webofscience.com%2Fwos%2Fwoscc%2Ffull-record%2FWOS:A1993MH88700001","View Full Record in Web of Science")</f>
        <v>View Full Record in Web of Science</v>
      </c>
    </row>
    <row r="533" ht="12.75" customHeight="1">
      <c r="A533" s="8" t="s">
        <v>3329</v>
      </c>
      <c r="B533" s="8" t="s">
        <v>11595</v>
      </c>
      <c r="C533" s="8" t="s">
        <v>2135</v>
      </c>
      <c r="D533" s="8" t="s">
        <v>2135</v>
      </c>
      <c r="E533" s="8" t="s">
        <v>2135</v>
      </c>
      <c r="F533" s="8" t="s">
        <v>11595</v>
      </c>
      <c r="G533" s="8" t="s">
        <v>2135</v>
      </c>
      <c r="H533" s="8" t="s">
        <v>2135</v>
      </c>
      <c r="I533" s="8" t="s">
        <v>1697</v>
      </c>
      <c r="J533" s="8" t="s">
        <v>7783</v>
      </c>
      <c r="K533" s="8" t="s">
        <v>2135</v>
      </c>
      <c r="L533" s="8" t="s">
        <v>2135</v>
      </c>
      <c r="M533" s="8" t="s">
        <v>3332</v>
      </c>
      <c r="N533" s="8" t="s">
        <v>3333</v>
      </c>
      <c r="O533" s="8" t="s">
        <v>2135</v>
      </c>
      <c r="P533" s="8" t="s">
        <v>2135</v>
      </c>
      <c r="Q533" s="8" t="s">
        <v>2135</v>
      </c>
      <c r="R533" s="8" t="s">
        <v>2135</v>
      </c>
      <c r="S533" s="8" t="s">
        <v>2135</v>
      </c>
      <c r="T533" s="8" t="s">
        <v>11596</v>
      </c>
      <c r="U533" s="8" t="s">
        <v>2135</v>
      </c>
      <c r="V533" s="8" t="s">
        <v>11597</v>
      </c>
      <c r="W533" s="8" t="s">
        <v>11598</v>
      </c>
      <c r="X533" s="8" t="s">
        <v>11599</v>
      </c>
      <c r="Y533" s="8" t="s">
        <v>11600</v>
      </c>
      <c r="Z533" s="8" t="s">
        <v>2135</v>
      </c>
      <c r="AA533" s="8" t="s">
        <v>2135</v>
      </c>
      <c r="AB533" s="8" t="s">
        <v>11601</v>
      </c>
      <c r="AC533" s="8" t="s">
        <v>2135</v>
      </c>
      <c r="AD533" s="8" t="s">
        <v>2135</v>
      </c>
      <c r="AE533" s="8" t="s">
        <v>2135</v>
      </c>
      <c r="AF533" s="8" t="s">
        <v>2135</v>
      </c>
      <c r="AG533" s="8">
        <v>20.0</v>
      </c>
      <c r="AH533" s="8">
        <v>19.0</v>
      </c>
      <c r="AI533" s="8">
        <v>21.0</v>
      </c>
      <c r="AJ533" s="8">
        <v>0.0</v>
      </c>
      <c r="AK533" s="8">
        <v>11.0</v>
      </c>
      <c r="AL533" s="8" t="s">
        <v>3366</v>
      </c>
      <c r="AM533" s="8" t="s">
        <v>3367</v>
      </c>
      <c r="AN533" s="8" t="s">
        <v>3368</v>
      </c>
      <c r="AO533" s="8" t="s">
        <v>7796</v>
      </c>
      <c r="AP533" s="8" t="s">
        <v>2135</v>
      </c>
      <c r="AQ533" s="8" t="s">
        <v>2135</v>
      </c>
      <c r="AR533" s="8" t="s">
        <v>7798</v>
      </c>
      <c r="AS533" s="8" t="s">
        <v>7799</v>
      </c>
      <c r="AT533" s="8" t="s">
        <v>8806</v>
      </c>
      <c r="AU533" s="8">
        <v>1993.0</v>
      </c>
      <c r="AV533" s="8">
        <v>133.0</v>
      </c>
      <c r="AW533" s="8" t="s">
        <v>4482</v>
      </c>
      <c r="AX533" s="8" t="s">
        <v>2135</v>
      </c>
      <c r="AY533" s="8" t="s">
        <v>2135</v>
      </c>
      <c r="AZ533" s="8" t="s">
        <v>2135</v>
      </c>
      <c r="BA533" s="8" t="s">
        <v>2135</v>
      </c>
      <c r="BB533" s="8">
        <v>73.0</v>
      </c>
      <c r="BC533" s="8">
        <v>81.0</v>
      </c>
      <c r="BD533" s="8" t="s">
        <v>2135</v>
      </c>
      <c r="BE533" s="8" t="s">
        <v>11602</v>
      </c>
      <c r="BF533" s="13" t="str">
        <f>HYPERLINK("http://dx.doi.org/10.1016/0048-9697(93)90113-K","http://dx.doi.org/10.1016/0048-9697(93)90113-K")</f>
        <v>http://dx.doi.org/10.1016/0048-9697(93)90113-K</v>
      </c>
      <c r="BG533" s="8" t="s">
        <v>2135</v>
      </c>
      <c r="BH533" s="8" t="s">
        <v>2135</v>
      </c>
      <c r="BI533" s="8">
        <v>9.0</v>
      </c>
      <c r="BJ533" s="8" t="s">
        <v>6399</v>
      </c>
      <c r="BK533" s="8" t="s">
        <v>3352</v>
      </c>
      <c r="BL533" s="8" t="s">
        <v>3632</v>
      </c>
      <c r="BM533" s="8" t="s">
        <v>11603</v>
      </c>
      <c r="BN533" s="8">
        <v>8493510.0</v>
      </c>
      <c r="BO533" s="8" t="s">
        <v>2135</v>
      </c>
      <c r="BP533" s="8" t="s">
        <v>2135</v>
      </c>
      <c r="BQ533" s="8" t="s">
        <v>2135</v>
      </c>
      <c r="BR533" s="8" t="s">
        <v>3355</v>
      </c>
      <c r="BS533" s="8" t="s">
        <v>11604</v>
      </c>
      <c r="BT533" s="8" t="s">
        <v>2307</v>
      </c>
      <c r="BU533" s="8" t="s">
        <v>2142</v>
      </c>
      <c r="BW533" s="8" t="s">
        <v>2143</v>
      </c>
      <c r="BX533" s="8" t="s">
        <v>2958</v>
      </c>
      <c r="BY533" s="8" t="s">
        <v>2959</v>
      </c>
      <c r="BZ533" s="8" t="str">
        <f>HYPERLINK("https%3A%2F%2Fwww.webofscience.com%2Fwos%2Fwoscc%2Ffull-record%2FWOS:A1993LA92200004","View Full Record in Web of Science")</f>
        <v>View Full Record in Web of Science</v>
      </c>
    </row>
    <row r="534" ht="12.75" customHeight="1">
      <c r="A534" s="8" t="s">
        <v>3329</v>
      </c>
      <c r="B534" s="8" t="s">
        <v>11605</v>
      </c>
      <c r="C534" s="8" t="s">
        <v>2135</v>
      </c>
      <c r="D534" s="8" t="s">
        <v>2135</v>
      </c>
      <c r="E534" s="8" t="s">
        <v>2135</v>
      </c>
      <c r="F534" s="8" t="s">
        <v>11605</v>
      </c>
      <c r="G534" s="8" t="s">
        <v>2135</v>
      </c>
      <c r="H534" s="8" t="s">
        <v>2135</v>
      </c>
      <c r="I534" s="8" t="s">
        <v>1698</v>
      </c>
      <c r="J534" s="8" t="s">
        <v>3989</v>
      </c>
      <c r="K534" s="8" t="s">
        <v>2135</v>
      </c>
      <c r="L534" s="8" t="s">
        <v>2135</v>
      </c>
      <c r="M534" s="8" t="s">
        <v>3332</v>
      </c>
      <c r="N534" s="8" t="s">
        <v>3333</v>
      </c>
      <c r="O534" s="8" t="s">
        <v>2135</v>
      </c>
      <c r="P534" s="8" t="s">
        <v>2135</v>
      </c>
      <c r="Q534" s="8" t="s">
        <v>2135</v>
      </c>
      <c r="R534" s="8" t="s">
        <v>2135</v>
      </c>
      <c r="S534" s="8" t="s">
        <v>2135</v>
      </c>
      <c r="T534" s="8" t="s">
        <v>2135</v>
      </c>
      <c r="U534" s="8" t="s">
        <v>2135</v>
      </c>
      <c r="V534" s="8" t="s">
        <v>11606</v>
      </c>
      <c r="W534" s="8" t="s">
        <v>2135</v>
      </c>
      <c r="X534" s="8" t="s">
        <v>2135</v>
      </c>
      <c r="Y534" s="8" t="s">
        <v>11607</v>
      </c>
      <c r="Z534" s="8" t="s">
        <v>2135</v>
      </c>
      <c r="AA534" s="8" t="s">
        <v>2135</v>
      </c>
      <c r="AB534" s="8" t="s">
        <v>2135</v>
      </c>
      <c r="AC534" s="8" t="s">
        <v>2135</v>
      </c>
      <c r="AD534" s="8" t="s">
        <v>2135</v>
      </c>
      <c r="AE534" s="8" t="s">
        <v>2135</v>
      </c>
      <c r="AF534" s="8" t="s">
        <v>2135</v>
      </c>
      <c r="AG534" s="8">
        <v>0.0</v>
      </c>
      <c r="AH534" s="8">
        <v>11.0</v>
      </c>
      <c r="AI534" s="8">
        <v>13.0</v>
      </c>
      <c r="AJ534" s="8">
        <v>0.0</v>
      </c>
      <c r="AK534" s="8">
        <v>9.0</v>
      </c>
      <c r="AL534" s="8" t="s">
        <v>11608</v>
      </c>
      <c r="AM534" s="8" t="s">
        <v>11609</v>
      </c>
      <c r="AN534" s="8" t="s">
        <v>11610</v>
      </c>
      <c r="AO534" s="8" t="s">
        <v>3999</v>
      </c>
      <c r="AP534" s="8" t="s">
        <v>2135</v>
      </c>
      <c r="AQ534" s="8" t="s">
        <v>2135</v>
      </c>
      <c r="AR534" s="8" t="s">
        <v>4001</v>
      </c>
      <c r="AS534" s="8" t="s">
        <v>4002</v>
      </c>
      <c r="AT534" s="8" t="s">
        <v>3721</v>
      </c>
      <c r="AU534" s="8">
        <v>1993.0</v>
      </c>
      <c r="AV534" s="8">
        <v>3.0</v>
      </c>
      <c r="AW534" s="8">
        <v>1.0</v>
      </c>
      <c r="AX534" s="8" t="s">
        <v>2135</v>
      </c>
      <c r="AY534" s="8" t="s">
        <v>2135</v>
      </c>
      <c r="AZ534" s="8" t="s">
        <v>2135</v>
      </c>
      <c r="BA534" s="8" t="s">
        <v>2135</v>
      </c>
      <c r="BB534" s="8">
        <v>43.0</v>
      </c>
      <c r="BC534" s="8">
        <v>51.0</v>
      </c>
      <c r="BD534" s="8" t="s">
        <v>2135</v>
      </c>
      <c r="BE534" s="8" t="s">
        <v>11611</v>
      </c>
      <c r="BF534" s="13" t="str">
        <f>HYPERLINK("http://dx.doi.org/10.1002/aqc.3270030104","http://dx.doi.org/10.1002/aqc.3270030104")</f>
        <v>http://dx.doi.org/10.1002/aqc.3270030104</v>
      </c>
      <c r="BG534" s="8" t="s">
        <v>2135</v>
      </c>
      <c r="BH534" s="8" t="s">
        <v>2135</v>
      </c>
      <c r="BI534" s="8">
        <v>9.0</v>
      </c>
      <c r="BJ534" s="8" t="s">
        <v>4004</v>
      </c>
      <c r="BK534" s="8" t="s">
        <v>3352</v>
      </c>
      <c r="BL534" s="8" t="s">
        <v>4005</v>
      </c>
      <c r="BM534" s="8" t="s">
        <v>11612</v>
      </c>
      <c r="BN534" s="8" t="s">
        <v>2135</v>
      </c>
      <c r="BO534" s="8" t="s">
        <v>2135</v>
      </c>
      <c r="BP534" s="8" t="s">
        <v>2135</v>
      </c>
      <c r="BQ534" s="8" t="s">
        <v>2135</v>
      </c>
      <c r="BR534" s="8" t="s">
        <v>3355</v>
      </c>
      <c r="BS534" s="8" t="s">
        <v>11613</v>
      </c>
      <c r="BT534" s="8" t="s">
        <v>2553</v>
      </c>
      <c r="BU534" s="8" t="s">
        <v>2142</v>
      </c>
      <c r="BW534" s="8" t="s">
        <v>2143</v>
      </c>
      <c r="BX534" s="8" t="s">
        <v>2974</v>
      </c>
      <c r="BY534" s="8" t="s">
        <v>2959</v>
      </c>
      <c r="BZ534" s="8" t="str">
        <f>HYPERLINK("https%3A%2F%2Fwww.webofscience.com%2Fwos%2Fwoscc%2Ffull-record%2FWOS:A1993KY84400003","View Full Record in Web of Science")</f>
        <v>View Full Record in Web of Science</v>
      </c>
    </row>
    <row r="535" ht="12.75" customHeight="1">
      <c r="A535" s="8" t="s">
        <v>3329</v>
      </c>
      <c r="B535" s="8" t="s">
        <v>11595</v>
      </c>
      <c r="C535" s="8" t="s">
        <v>2135</v>
      </c>
      <c r="D535" s="8" t="s">
        <v>2135</v>
      </c>
      <c r="E535" s="8" t="s">
        <v>2135</v>
      </c>
      <c r="F535" s="8" t="s">
        <v>11595</v>
      </c>
      <c r="G535" s="8" t="s">
        <v>2135</v>
      </c>
      <c r="H535" s="8" t="s">
        <v>2135</v>
      </c>
      <c r="I535" s="8" t="s">
        <v>1692</v>
      </c>
      <c r="J535" s="8" t="s">
        <v>10676</v>
      </c>
      <c r="K535" s="8" t="s">
        <v>2135</v>
      </c>
      <c r="L535" s="8" t="s">
        <v>2135</v>
      </c>
      <c r="M535" s="8" t="s">
        <v>3332</v>
      </c>
      <c r="N535" s="8" t="s">
        <v>3333</v>
      </c>
      <c r="O535" s="8" t="s">
        <v>2135</v>
      </c>
      <c r="P535" s="8" t="s">
        <v>2135</v>
      </c>
      <c r="Q535" s="8" t="s">
        <v>2135</v>
      </c>
      <c r="R535" s="8" t="s">
        <v>2135</v>
      </c>
      <c r="S535" s="8" t="s">
        <v>2135</v>
      </c>
      <c r="T535" s="8" t="s">
        <v>2135</v>
      </c>
      <c r="U535" s="8" t="s">
        <v>2135</v>
      </c>
      <c r="V535" s="8" t="s">
        <v>11614</v>
      </c>
      <c r="W535" s="8" t="s">
        <v>11598</v>
      </c>
      <c r="X535" s="8" t="s">
        <v>11599</v>
      </c>
      <c r="Y535" s="8" t="s">
        <v>11600</v>
      </c>
      <c r="Z535" s="8" t="s">
        <v>2135</v>
      </c>
      <c r="AA535" s="8" t="s">
        <v>2135</v>
      </c>
      <c r="AB535" s="8" t="s">
        <v>11601</v>
      </c>
      <c r="AC535" s="8" t="s">
        <v>2135</v>
      </c>
      <c r="AD535" s="8" t="s">
        <v>2135</v>
      </c>
      <c r="AE535" s="8" t="s">
        <v>2135</v>
      </c>
      <c r="AF535" s="8" t="s">
        <v>2135</v>
      </c>
      <c r="AG535" s="8">
        <v>13.0</v>
      </c>
      <c r="AH535" s="8">
        <v>12.0</v>
      </c>
      <c r="AI535" s="8">
        <v>12.0</v>
      </c>
      <c r="AJ535" s="8">
        <v>0.0</v>
      </c>
      <c r="AK535" s="8">
        <v>7.0</v>
      </c>
      <c r="AL535" s="8" t="s">
        <v>10180</v>
      </c>
      <c r="AM535" s="8" t="s">
        <v>3759</v>
      </c>
      <c r="AN535" s="8" t="s">
        <v>11615</v>
      </c>
      <c r="AO535" s="8" t="s">
        <v>10689</v>
      </c>
      <c r="AP535" s="8" t="s">
        <v>2135</v>
      </c>
      <c r="AQ535" s="8" t="s">
        <v>2135</v>
      </c>
      <c r="AR535" s="8" t="s">
        <v>10676</v>
      </c>
      <c r="AS535" s="8" t="s">
        <v>10691</v>
      </c>
      <c r="AT535" s="8" t="s">
        <v>3462</v>
      </c>
      <c r="AU535" s="8">
        <v>1992.0</v>
      </c>
      <c r="AV535" s="8">
        <v>25.0</v>
      </c>
      <c r="AW535" s="8">
        <v>6.0</v>
      </c>
      <c r="AX535" s="8" t="s">
        <v>2135</v>
      </c>
      <c r="AY535" s="8" t="s">
        <v>2135</v>
      </c>
      <c r="AZ535" s="8" t="s">
        <v>2135</v>
      </c>
      <c r="BA535" s="8" t="s">
        <v>2135</v>
      </c>
      <c r="BB535" s="8">
        <v>865.0</v>
      </c>
      <c r="BC535" s="8">
        <v>867.0</v>
      </c>
      <c r="BD535" s="8" t="s">
        <v>2135</v>
      </c>
      <c r="BE535" s="8" t="s">
        <v>11616</v>
      </c>
      <c r="BF535" s="13" t="str">
        <f>HYPERLINK("http://dx.doi.org/10.1016/0045-6535(92)90077-5","http://dx.doi.org/10.1016/0045-6535(92)90077-5")</f>
        <v>http://dx.doi.org/10.1016/0045-6535(92)90077-5</v>
      </c>
      <c r="BG535" s="8" t="s">
        <v>2135</v>
      </c>
      <c r="BH535" s="8" t="s">
        <v>2135</v>
      </c>
      <c r="BI535" s="8">
        <v>3.0</v>
      </c>
      <c r="BJ535" s="8" t="s">
        <v>6399</v>
      </c>
      <c r="BK535" s="8" t="s">
        <v>3352</v>
      </c>
      <c r="BL535" s="8" t="s">
        <v>3632</v>
      </c>
      <c r="BM535" s="8" t="s">
        <v>11617</v>
      </c>
      <c r="BN535" s="8" t="s">
        <v>2135</v>
      </c>
      <c r="BO535" s="8" t="s">
        <v>2135</v>
      </c>
      <c r="BP535" s="8" t="s">
        <v>2135</v>
      </c>
      <c r="BQ535" s="8" t="s">
        <v>2135</v>
      </c>
      <c r="BR535" s="8" t="s">
        <v>3355</v>
      </c>
      <c r="BS535" s="8" t="s">
        <v>11618</v>
      </c>
      <c r="BT535" s="8" t="s">
        <v>2307</v>
      </c>
      <c r="BU535" s="8" t="s">
        <v>2142</v>
      </c>
      <c r="BW535" s="8" t="s">
        <v>2143</v>
      </c>
      <c r="BX535" s="8" t="s">
        <v>2974</v>
      </c>
      <c r="BY535" s="8" t="s">
        <v>2959</v>
      </c>
      <c r="BZ535" s="8" t="str">
        <f>HYPERLINK("https%3A%2F%2Fwww.webofscience.com%2Fwos%2Fwoscc%2Ffull-record%2FWOS:A1992JZ55100013","View Full Record in Web of Science")</f>
        <v>View Full Record in Web of Science</v>
      </c>
    </row>
    <row r="536" ht="12.75" customHeight="1">
      <c r="A536" s="8" t="s">
        <v>3329</v>
      </c>
      <c r="B536" s="8" t="s">
        <v>11619</v>
      </c>
      <c r="C536" s="8" t="s">
        <v>2135</v>
      </c>
      <c r="D536" s="8" t="s">
        <v>2135</v>
      </c>
      <c r="E536" s="8" t="s">
        <v>2135</v>
      </c>
      <c r="F536" s="8" t="s">
        <v>11619</v>
      </c>
      <c r="G536" s="8" t="s">
        <v>2135</v>
      </c>
      <c r="H536" s="8" t="s">
        <v>2135</v>
      </c>
      <c r="I536" s="8" t="s">
        <v>1694</v>
      </c>
      <c r="J536" s="8" t="s">
        <v>11123</v>
      </c>
      <c r="K536" s="8" t="s">
        <v>2135</v>
      </c>
      <c r="L536" s="8" t="s">
        <v>2135</v>
      </c>
      <c r="M536" s="8" t="s">
        <v>3332</v>
      </c>
      <c r="N536" s="8" t="s">
        <v>3333</v>
      </c>
      <c r="O536" s="8" t="s">
        <v>2135</v>
      </c>
      <c r="P536" s="8" t="s">
        <v>2135</v>
      </c>
      <c r="Q536" s="8" t="s">
        <v>2135</v>
      </c>
      <c r="R536" s="8" t="s">
        <v>2135</v>
      </c>
      <c r="S536" s="8" t="s">
        <v>2135</v>
      </c>
      <c r="T536" s="8" t="s">
        <v>2135</v>
      </c>
      <c r="U536" s="8" t="s">
        <v>11620</v>
      </c>
      <c r="V536" s="8" t="s">
        <v>11621</v>
      </c>
      <c r="W536" s="8" t="s">
        <v>2135</v>
      </c>
      <c r="X536" s="8" t="s">
        <v>2135</v>
      </c>
      <c r="Y536" s="8" t="s">
        <v>11600</v>
      </c>
      <c r="Z536" s="8" t="s">
        <v>2135</v>
      </c>
      <c r="AA536" s="8" t="s">
        <v>2135</v>
      </c>
      <c r="AB536" s="8" t="s">
        <v>2135</v>
      </c>
      <c r="AC536" s="8" t="s">
        <v>2135</v>
      </c>
      <c r="AD536" s="8" t="s">
        <v>2135</v>
      </c>
      <c r="AE536" s="8" t="s">
        <v>2135</v>
      </c>
      <c r="AF536" s="8" t="s">
        <v>2135</v>
      </c>
      <c r="AG536" s="8">
        <v>24.0</v>
      </c>
      <c r="AH536" s="8">
        <v>26.0</v>
      </c>
      <c r="AI536" s="8">
        <v>28.0</v>
      </c>
      <c r="AJ536" s="8">
        <v>0.0</v>
      </c>
      <c r="AK536" s="8">
        <v>21.0</v>
      </c>
      <c r="AL536" s="8" t="s">
        <v>4980</v>
      </c>
      <c r="AM536" s="8" t="s">
        <v>4500</v>
      </c>
      <c r="AN536" s="8" t="s">
        <v>11440</v>
      </c>
      <c r="AO536" s="8" t="s">
        <v>11131</v>
      </c>
      <c r="AP536" s="8" t="s">
        <v>2135</v>
      </c>
      <c r="AQ536" s="8" t="s">
        <v>2135</v>
      </c>
      <c r="AR536" s="8" t="s">
        <v>11133</v>
      </c>
      <c r="AS536" s="8" t="s">
        <v>11134</v>
      </c>
      <c r="AT536" s="8" t="s">
        <v>3462</v>
      </c>
      <c r="AU536" s="8">
        <v>1992.0</v>
      </c>
      <c r="AV536" s="8">
        <v>64.0</v>
      </c>
      <c r="AW536" s="8" t="s">
        <v>6706</v>
      </c>
      <c r="AX536" s="8" t="s">
        <v>2135</v>
      </c>
      <c r="AY536" s="8" t="s">
        <v>2135</v>
      </c>
      <c r="AZ536" s="8" t="s">
        <v>2135</v>
      </c>
      <c r="BA536" s="8" t="s">
        <v>2135</v>
      </c>
      <c r="BB536" s="8">
        <v>617.0</v>
      </c>
      <c r="BC536" s="8">
        <v>626.0</v>
      </c>
      <c r="BD536" s="8" t="s">
        <v>2135</v>
      </c>
      <c r="BE536" s="8" t="s">
        <v>11622</v>
      </c>
      <c r="BF536" s="13" t="str">
        <f>HYPERLINK("http://dx.doi.org/10.1007/BF00483370","http://dx.doi.org/10.1007/BF00483370")</f>
        <v>http://dx.doi.org/10.1007/BF00483370</v>
      </c>
      <c r="BG536" s="8" t="s">
        <v>2135</v>
      </c>
      <c r="BH536" s="8" t="s">
        <v>2135</v>
      </c>
      <c r="BI536" s="8">
        <v>10.0</v>
      </c>
      <c r="BJ536" s="8" t="s">
        <v>11137</v>
      </c>
      <c r="BK536" s="8" t="s">
        <v>3352</v>
      </c>
      <c r="BL536" s="8" t="s">
        <v>11138</v>
      </c>
      <c r="BM536" s="8" t="s">
        <v>11623</v>
      </c>
      <c r="BN536" s="8" t="s">
        <v>2135</v>
      </c>
      <c r="BO536" s="8" t="s">
        <v>2135</v>
      </c>
      <c r="BP536" s="8" t="s">
        <v>2135</v>
      </c>
      <c r="BQ536" s="8" t="s">
        <v>2135</v>
      </c>
      <c r="BR536" s="8" t="s">
        <v>3355</v>
      </c>
      <c r="BS536" s="8" t="s">
        <v>11624</v>
      </c>
      <c r="BT536" s="8" t="s">
        <v>2553</v>
      </c>
      <c r="BU536" s="8" t="s">
        <v>2142</v>
      </c>
      <c r="BW536" s="8" t="s">
        <v>2143</v>
      </c>
      <c r="BX536" s="8" t="s">
        <v>2958</v>
      </c>
      <c r="BY536" s="8" t="s">
        <v>2959</v>
      </c>
      <c r="BZ536" s="8" t="str">
        <f>HYPERLINK("https%3A%2F%2Fwww.webofscience.com%2Fwos%2Fwoscc%2Ffull-record%2FWOS:A1992JX04700015","View Full Record in Web of Science")</f>
        <v>View Full Record in Web of Science</v>
      </c>
    </row>
    <row r="537" ht="12.75" customHeight="1">
      <c r="A537" s="8" t="s">
        <v>3329</v>
      </c>
      <c r="B537" s="8" t="s">
        <v>11625</v>
      </c>
      <c r="C537" s="8" t="s">
        <v>2135</v>
      </c>
      <c r="D537" s="8" t="s">
        <v>2135</v>
      </c>
      <c r="E537" s="8" t="s">
        <v>2135</v>
      </c>
      <c r="F537" s="8" t="s">
        <v>11625</v>
      </c>
      <c r="G537" s="8" t="s">
        <v>2135</v>
      </c>
      <c r="H537" s="8" t="s">
        <v>2135</v>
      </c>
      <c r="I537" s="8" t="s">
        <v>1690</v>
      </c>
      <c r="J537" s="8" t="s">
        <v>3448</v>
      </c>
      <c r="K537" s="8" t="s">
        <v>2135</v>
      </c>
      <c r="L537" s="8" t="s">
        <v>2135</v>
      </c>
      <c r="M537" s="8" t="s">
        <v>3332</v>
      </c>
      <c r="N537" s="8" t="s">
        <v>9357</v>
      </c>
      <c r="O537" s="8" t="s">
        <v>2135</v>
      </c>
      <c r="P537" s="8" t="s">
        <v>2135</v>
      </c>
      <c r="Q537" s="8" t="s">
        <v>2135</v>
      </c>
      <c r="R537" s="8" t="s">
        <v>2135</v>
      </c>
      <c r="S537" s="8" t="s">
        <v>2135</v>
      </c>
      <c r="T537" s="8" t="s">
        <v>11626</v>
      </c>
      <c r="U537" s="8" t="s">
        <v>2135</v>
      </c>
      <c r="V537" s="8" t="s">
        <v>11627</v>
      </c>
      <c r="W537" s="8" t="s">
        <v>11628</v>
      </c>
      <c r="X537" s="8" t="s">
        <v>2135</v>
      </c>
      <c r="Y537" s="8" t="s">
        <v>11629</v>
      </c>
      <c r="Z537" s="8" t="s">
        <v>2135</v>
      </c>
      <c r="AA537" s="8" t="s">
        <v>2135</v>
      </c>
      <c r="AB537" s="8" t="s">
        <v>2135</v>
      </c>
      <c r="AC537" s="8" t="s">
        <v>2135</v>
      </c>
      <c r="AD537" s="8" t="s">
        <v>2135</v>
      </c>
      <c r="AE537" s="8" t="s">
        <v>2135</v>
      </c>
      <c r="AF537" s="8" t="s">
        <v>2135</v>
      </c>
      <c r="AG537" s="8">
        <v>8.0</v>
      </c>
      <c r="AH537" s="8">
        <v>4.0</v>
      </c>
      <c r="AI537" s="8">
        <v>4.0</v>
      </c>
      <c r="AJ537" s="8">
        <v>0.0</v>
      </c>
      <c r="AK537" s="8">
        <v>8.0</v>
      </c>
      <c r="AL537" s="8" t="s">
        <v>3455</v>
      </c>
      <c r="AM537" s="8" t="s">
        <v>3456</v>
      </c>
      <c r="AN537" s="8" t="s">
        <v>3457</v>
      </c>
      <c r="AO537" s="8" t="s">
        <v>3458</v>
      </c>
      <c r="AP537" s="8" t="s">
        <v>2135</v>
      </c>
      <c r="AQ537" s="8" t="s">
        <v>2135</v>
      </c>
      <c r="AR537" s="8" t="s">
        <v>3460</v>
      </c>
      <c r="AS537" s="8" t="s">
        <v>3461</v>
      </c>
      <c r="AT537" s="8" t="s">
        <v>3721</v>
      </c>
      <c r="AU537" s="8">
        <v>1992.0</v>
      </c>
      <c r="AV537" s="8">
        <v>22.0</v>
      </c>
      <c r="AW537" s="8">
        <v>1.0</v>
      </c>
      <c r="AX537" s="8" t="s">
        <v>2135</v>
      </c>
      <c r="AY537" s="8" t="s">
        <v>2135</v>
      </c>
      <c r="AZ537" s="8" t="s">
        <v>2135</v>
      </c>
      <c r="BA537" s="8" t="s">
        <v>2135</v>
      </c>
      <c r="BB537" s="8">
        <v>29.0</v>
      </c>
      <c r="BC537" s="8">
        <v>31.0</v>
      </c>
      <c r="BD537" s="8" t="s">
        <v>2135</v>
      </c>
      <c r="BE537" s="8" t="s">
        <v>2135</v>
      </c>
      <c r="BF537" s="8" t="s">
        <v>2135</v>
      </c>
      <c r="BG537" s="8" t="s">
        <v>2135</v>
      </c>
      <c r="BH537" s="8" t="s">
        <v>2135</v>
      </c>
      <c r="BI537" s="8">
        <v>3.0</v>
      </c>
      <c r="BJ537" s="8" t="s">
        <v>3442</v>
      </c>
      <c r="BK537" s="8" t="s">
        <v>3352</v>
      </c>
      <c r="BL537" s="8" t="s">
        <v>3443</v>
      </c>
      <c r="BM537" s="8" t="s">
        <v>11630</v>
      </c>
      <c r="BN537" s="8" t="s">
        <v>2135</v>
      </c>
      <c r="BO537" s="8" t="s">
        <v>2135</v>
      </c>
      <c r="BP537" s="8" t="s">
        <v>2135</v>
      </c>
      <c r="BQ537" s="8" t="s">
        <v>2135</v>
      </c>
      <c r="BR537" s="8" t="s">
        <v>3355</v>
      </c>
      <c r="BS537" s="8" t="s">
        <v>11631</v>
      </c>
      <c r="BU537" s="8" t="s">
        <v>2136</v>
      </c>
      <c r="BW537" s="8" t="s">
        <v>2937</v>
      </c>
      <c r="BX537" s="8" t="s">
        <v>2958</v>
      </c>
      <c r="BY537" s="8" t="s">
        <v>2959</v>
      </c>
      <c r="BZ537" s="8" t="str">
        <f>HYPERLINK("https%3A%2F%2Fwww.webofscience.com%2Fwos%2Fwoscc%2Ffull-record%2FWOS:A1992HQ39800006","View Full Record in Web of Science")</f>
        <v>View Full Record in Web of Science</v>
      </c>
    </row>
    <row r="538" ht="12.75" customHeight="1">
      <c r="A538" s="8" t="s">
        <v>3329</v>
      </c>
      <c r="B538" s="8" t="s">
        <v>11632</v>
      </c>
      <c r="C538" s="8" t="s">
        <v>2135</v>
      </c>
      <c r="D538" s="8" t="s">
        <v>2135</v>
      </c>
      <c r="E538" s="8" t="s">
        <v>2135</v>
      </c>
      <c r="F538" s="8" t="s">
        <v>11632</v>
      </c>
      <c r="G538" s="8" t="s">
        <v>2135</v>
      </c>
      <c r="H538" s="8" t="s">
        <v>2135</v>
      </c>
      <c r="I538" s="8" t="s">
        <v>1688</v>
      </c>
      <c r="J538" s="8" t="s">
        <v>11633</v>
      </c>
      <c r="K538" s="8" t="s">
        <v>2135</v>
      </c>
      <c r="L538" s="8" t="s">
        <v>2135</v>
      </c>
      <c r="M538" s="8" t="s">
        <v>3332</v>
      </c>
      <c r="N538" s="8" t="s">
        <v>3963</v>
      </c>
      <c r="O538" s="8" t="s">
        <v>11634</v>
      </c>
      <c r="P538" s="8" t="s">
        <v>11635</v>
      </c>
      <c r="Q538" s="8" t="s">
        <v>11636</v>
      </c>
      <c r="R538" s="8" t="s">
        <v>2135</v>
      </c>
      <c r="S538" s="8" t="s">
        <v>2135</v>
      </c>
      <c r="T538" s="8" t="s">
        <v>2135</v>
      </c>
      <c r="U538" s="8" t="s">
        <v>11637</v>
      </c>
      <c r="V538" s="8" t="s">
        <v>11638</v>
      </c>
      <c r="W538" s="8" t="s">
        <v>2135</v>
      </c>
      <c r="X538" s="8" t="s">
        <v>2135</v>
      </c>
      <c r="Y538" s="8" t="s">
        <v>11639</v>
      </c>
      <c r="Z538" s="8" t="s">
        <v>2135</v>
      </c>
      <c r="AA538" s="8" t="s">
        <v>2135</v>
      </c>
      <c r="AB538" s="8" t="s">
        <v>2135</v>
      </c>
      <c r="AC538" s="8" t="s">
        <v>2135</v>
      </c>
      <c r="AD538" s="8" t="s">
        <v>2135</v>
      </c>
      <c r="AE538" s="8" t="s">
        <v>2135</v>
      </c>
      <c r="AF538" s="8" t="s">
        <v>2135</v>
      </c>
      <c r="AG538" s="8">
        <v>105.0</v>
      </c>
      <c r="AH538" s="8">
        <v>99.0</v>
      </c>
      <c r="AI538" s="8">
        <v>108.0</v>
      </c>
      <c r="AJ538" s="8">
        <v>0.0</v>
      </c>
      <c r="AK538" s="8">
        <v>30.0</v>
      </c>
      <c r="AL538" s="8" t="s">
        <v>11640</v>
      </c>
      <c r="AM538" s="8" t="s">
        <v>7218</v>
      </c>
      <c r="AN538" s="8" t="s">
        <v>11641</v>
      </c>
      <c r="AO538" s="8" t="s">
        <v>11642</v>
      </c>
      <c r="AP538" s="8" t="s">
        <v>2135</v>
      </c>
      <c r="AQ538" s="8" t="s">
        <v>2135</v>
      </c>
      <c r="AR538" s="8" t="s">
        <v>11643</v>
      </c>
      <c r="AS538" s="8" t="s">
        <v>11644</v>
      </c>
      <c r="AT538" s="8" t="s">
        <v>2135</v>
      </c>
      <c r="AU538" s="8">
        <v>1991.0</v>
      </c>
      <c r="AV538" s="8">
        <v>33.0</v>
      </c>
      <c r="AW538" s="8">
        <v>4.0</v>
      </c>
      <c r="AX538" s="8" t="s">
        <v>2135</v>
      </c>
      <c r="AY538" s="8" t="s">
        <v>2135</v>
      </c>
      <c r="AZ538" s="8" t="s">
        <v>2135</v>
      </c>
      <c r="BA538" s="8" t="s">
        <v>2135</v>
      </c>
      <c r="BB538" s="8">
        <v>549.0</v>
      </c>
      <c r="BC538" s="8">
        <v>585.0</v>
      </c>
      <c r="BD538" s="8" t="s">
        <v>2135</v>
      </c>
      <c r="BE538" s="8" t="s">
        <v>11645</v>
      </c>
      <c r="BF538" s="13" t="str">
        <f>HYPERLINK("http://dx.doi.org/10.1080/15287399109531540","http://dx.doi.org/10.1080/15287399109531540")</f>
        <v>http://dx.doi.org/10.1080/15287399109531540</v>
      </c>
      <c r="BG538" s="8" t="s">
        <v>2135</v>
      </c>
      <c r="BH538" s="8" t="s">
        <v>2135</v>
      </c>
      <c r="BI538" s="8">
        <v>37.0</v>
      </c>
      <c r="BJ538" s="8" t="s">
        <v>11646</v>
      </c>
      <c r="BK538" s="8" t="s">
        <v>3983</v>
      </c>
      <c r="BL538" s="8" t="s">
        <v>11647</v>
      </c>
      <c r="BM538" s="8" t="s">
        <v>11648</v>
      </c>
      <c r="BN538" s="8">
        <v>1908526.0</v>
      </c>
      <c r="BO538" s="8" t="s">
        <v>2135</v>
      </c>
      <c r="BP538" s="8" t="s">
        <v>2135</v>
      </c>
      <c r="BQ538" s="8" t="s">
        <v>2135</v>
      </c>
      <c r="BR538" s="8" t="s">
        <v>3355</v>
      </c>
      <c r="BS538" s="8" t="s">
        <v>11649</v>
      </c>
      <c r="BT538" s="8" t="s">
        <v>2600</v>
      </c>
      <c r="BU538" s="8" t="s">
        <v>2147</v>
      </c>
      <c r="BV538" s="8" t="s">
        <v>2217</v>
      </c>
      <c r="BW538" s="8" t="s">
        <v>2796</v>
      </c>
      <c r="BX538" s="8" t="s">
        <v>2974</v>
      </c>
      <c r="BY538" s="8" t="s">
        <v>2959</v>
      </c>
      <c r="BZ538" s="8" t="str">
        <f>HYPERLINK("https%3A%2F%2Fwww.webofscience.com%2Fwos%2Fwoscc%2Ffull-record%2FWOS:A1991GD12600007","View Full Record in Web of Science")</f>
        <v>View Full Record in Web of Science</v>
      </c>
    </row>
    <row r="539" ht="12.75" customHeight="1">
      <c r="A539" s="8" t="s">
        <v>3329</v>
      </c>
      <c r="B539" s="8" t="s">
        <v>11650</v>
      </c>
      <c r="C539" s="8" t="s">
        <v>2135</v>
      </c>
      <c r="D539" s="8" t="s">
        <v>2135</v>
      </c>
      <c r="E539" s="8" t="s">
        <v>2135</v>
      </c>
      <c r="F539" s="8" t="s">
        <v>11650</v>
      </c>
      <c r="G539" s="8" t="s">
        <v>2135</v>
      </c>
      <c r="H539" s="8" t="s">
        <v>2135</v>
      </c>
      <c r="I539" s="8" t="s">
        <v>1667</v>
      </c>
      <c r="J539" s="8" t="s">
        <v>3796</v>
      </c>
      <c r="K539" s="8" t="s">
        <v>2135</v>
      </c>
      <c r="L539" s="8" t="s">
        <v>2135</v>
      </c>
      <c r="M539" s="8" t="s">
        <v>3332</v>
      </c>
      <c r="N539" s="8" t="s">
        <v>3333</v>
      </c>
      <c r="O539" s="8" t="s">
        <v>2135</v>
      </c>
      <c r="P539" s="8" t="s">
        <v>2135</v>
      </c>
      <c r="Q539" s="8" t="s">
        <v>2135</v>
      </c>
      <c r="R539" s="8" t="s">
        <v>2135</v>
      </c>
      <c r="S539" s="8" t="s">
        <v>2135</v>
      </c>
      <c r="T539" s="8" t="s">
        <v>2135</v>
      </c>
      <c r="U539" s="8" t="s">
        <v>2135</v>
      </c>
      <c r="V539" s="8" t="s">
        <v>2135</v>
      </c>
      <c r="W539" s="8" t="s">
        <v>2135</v>
      </c>
      <c r="X539" s="8" t="s">
        <v>2135</v>
      </c>
      <c r="Y539" s="8" t="s">
        <v>11651</v>
      </c>
      <c r="Z539" s="8" t="s">
        <v>2135</v>
      </c>
      <c r="AA539" s="8" t="s">
        <v>2135</v>
      </c>
      <c r="AB539" s="8" t="s">
        <v>2135</v>
      </c>
      <c r="AC539" s="8" t="s">
        <v>2135</v>
      </c>
      <c r="AD539" s="8" t="s">
        <v>2135</v>
      </c>
      <c r="AE539" s="8" t="s">
        <v>2135</v>
      </c>
      <c r="AF539" s="8" t="s">
        <v>2135</v>
      </c>
      <c r="AG539" s="8">
        <v>50.0</v>
      </c>
      <c r="AH539" s="8">
        <v>38.0</v>
      </c>
      <c r="AI539" s="8">
        <v>43.0</v>
      </c>
      <c r="AJ539" s="8">
        <v>0.0</v>
      </c>
      <c r="AK539" s="8">
        <v>4.0</v>
      </c>
      <c r="AL539" s="8" t="s">
        <v>4044</v>
      </c>
      <c r="AM539" s="8" t="s">
        <v>3759</v>
      </c>
      <c r="AN539" s="8" t="s">
        <v>4045</v>
      </c>
      <c r="AO539" s="8" t="s">
        <v>3808</v>
      </c>
      <c r="AP539" s="8" t="s">
        <v>2135</v>
      </c>
      <c r="AQ539" s="8" t="s">
        <v>2135</v>
      </c>
      <c r="AR539" s="8" t="s">
        <v>3810</v>
      </c>
      <c r="AS539" s="8" t="s">
        <v>3811</v>
      </c>
      <c r="AT539" s="8" t="s">
        <v>2135</v>
      </c>
      <c r="AU539" s="8">
        <v>1983.0</v>
      </c>
      <c r="AV539" s="8">
        <v>13.0</v>
      </c>
      <c r="AW539" s="8">
        <v>1.0</v>
      </c>
      <c r="AX539" s="8" t="s">
        <v>2135</v>
      </c>
      <c r="AY539" s="8" t="s">
        <v>2135</v>
      </c>
      <c r="AZ539" s="8" t="s">
        <v>2135</v>
      </c>
      <c r="BA539" s="8" t="s">
        <v>2135</v>
      </c>
      <c r="BB539" s="8">
        <v>11.0</v>
      </c>
      <c r="BC539" s="8">
        <v>23.0</v>
      </c>
      <c r="BD539" s="8" t="s">
        <v>2135</v>
      </c>
      <c r="BE539" s="8" t="s">
        <v>11652</v>
      </c>
      <c r="BF539" s="13" t="str">
        <f>HYPERLINK("http://dx.doi.org/10.1111/j.1365-2907.1983.tb00260.x","http://dx.doi.org/10.1111/j.1365-2907.1983.tb00260.x")</f>
        <v>http://dx.doi.org/10.1111/j.1365-2907.1983.tb00260.x</v>
      </c>
      <c r="BG539" s="8" t="s">
        <v>2135</v>
      </c>
      <c r="BH539" s="8" t="s">
        <v>2135</v>
      </c>
      <c r="BI539" s="8">
        <v>13.0</v>
      </c>
      <c r="BJ539" s="8" t="s">
        <v>3442</v>
      </c>
      <c r="BK539" s="8" t="s">
        <v>3352</v>
      </c>
      <c r="BL539" s="8" t="s">
        <v>3443</v>
      </c>
      <c r="BM539" s="8" t="s">
        <v>11653</v>
      </c>
      <c r="BN539" s="8" t="s">
        <v>2135</v>
      </c>
      <c r="BO539" s="8" t="s">
        <v>2135</v>
      </c>
      <c r="BP539" s="8" t="s">
        <v>2135</v>
      </c>
      <c r="BQ539" s="8" t="s">
        <v>2135</v>
      </c>
      <c r="BR539" s="8" t="s">
        <v>3355</v>
      </c>
      <c r="BS539" s="8" t="s">
        <v>11654</v>
      </c>
      <c r="BT539" s="8" t="s">
        <v>2553</v>
      </c>
      <c r="BU539" s="8" t="s">
        <v>2142</v>
      </c>
      <c r="BW539" s="8" t="s">
        <v>2143</v>
      </c>
      <c r="BX539" s="8" t="s">
        <v>2956</v>
      </c>
      <c r="BY539" s="8" t="s">
        <v>2959</v>
      </c>
      <c r="BZ539" s="8" t="str">
        <f>HYPERLINK("https%3A%2F%2Fwww.webofscience.com%2Fwos%2Fwoscc%2Ffull-record%2FWOS:A1983QM15200002","View Full Record in Web of Science")</f>
        <v>View Full Record in Web of Science</v>
      </c>
    </row>
    <row r="540" ht="12.75" customHeight="1">
      <c r="A540" s="8" t="s">
        <v>3329</v>
      </c>
      <c r="B540" s="8" t="s">
        <v>11655</v>
      </c>
      <c r="C540" s="8" t="s">
        <v>2135</v>
      </c>
      <c r="D540" s="8" t="s">
        <v>2135</v>
      </c>
      <c r="E540" s="8" t="s">
        <v>2135</v>
      </c>
      <c r="F540" s="8" t="s">
        <v>11655</v>
      </c>
      <c r="G540" s="8" t="s">
        <v>2135</v>
      </c>
      <c r="H540" s="8" t="s">
        <v>2135</v>
      </c>
      <c r="I540" s="8" t="s">
        <v>1686</v>
      </c>
      <c r="J540" s="8" t="s">
        <v>3747</v>
      </c>
      <c r="K540" s="8" t="s">
        <v>2135</v>
      </c>
      <c r="L540" s="8" t="s">
        <v>2135</v>
      </c>
      <c r="M540" s="8" t="s">
        <v>3332</v>
      </c>
      <c r="N540" s="8" t="s">
        <v>3333</v>
      </c>
      <c r="O540" s="8" t="s">
        <v>2135</v>
      </c>
      <c r="P540" s="8" t="s">
        <v>2135</v>
      </c>
      <c r="Q540" s="8" t="s">
        <v>2135</v>
      </c>
      <c r="R540" s="8" t="s">
        <v>2135</v>
      </c>
      <c r="S540" s="8" t="s">
        <v>2135</v>
      </c>
      <c r="T540" s="8" t="s">
        <v>2135</v>
      </c>
      <c r="U540" s="8" t="s">
        <v>2135</v>
      </c>
      <c r="V540" s="8" t="s">
        <v>11656</v>
      </c>
      <c r="W540" s="8" t="s">
        <v>11657</v>
      </c>
      <c r="X540" s="8" t="s">
        <v>11658</v>
      </c>
      <c r="Y540" s="8" t="s">
        <v>11659</v>
      </c>
      <c r="Z540" s="8" t="s">
        <v>2135</v>
      </c>
      <c r="AA540" s="8" t="s">
        <v>2135</v>
      </c>
      <c r="AB540" s="8" t="s">
        <v>2135</v>
      </c>
      <c r="AC540" s="8" t="s">
        <v>2135</v>
      </c>
      <c r="AD540" s="8" t="s">
        <v>2135</v>
      </c>
      <c r="AE540" s="8" t="s">
        <v>2135</v>
      </c>
      <c r="AF540" s="8" t="s">
        <v>2135</v>
      </c>
      <c r="AG540" s="8">
        <v>20.0</v>
      </c>
      <c r="AH540" s="8">
        <v>28.0</v>
      </c>
      <c r="AI540" s="8">
        <v>31.0</v>
      </c>
      <c r="AJ540" s="8">
        <v>0.0</v>
      </c>
      <c r="AK540" s="8">
        <v>8.0</v>
      </c>
      <c r="AL540" s="8" t="s">
        <v>3758</v>
      </c>
      <c r="AM540" s="8" t="s">
        <v>3893</v>
      </c>
      <c r="AN540" s="8" t="s">
        <v>3894</v>
      </c>
      <c r="AO540" s="8" t="s">
        <v>3761</v>
      </c>
      <c r="AP540" s="8" t="s">
        <v>3762</v>
      </c>
      <c r="AQ540" s="8" t="s">
        <v>2135</v>
      </c>
      <c r="AR540" s="8" t="s">
        <v>3763</v>
      </c>
      <c r="AS540" s="8" t="s">
        <v>3764</v>
      </c>
      <c r="AT540" s="8" t="s">
        <v>2135</v>
      </c>
      <c r="AU540" s="8">
        <v>1982.0</v>
      </c>
      <c r="AV540" s="8">
        <v>23.0</v>
      </c>
      <c r="AW540" s="8">
        <v>4.0</v>
      </c>
      <c r="AX540" s="8" t="s">
        <v>2135</v>
      </c>
      <c r="AY540" s="8" t="s">
        <v>2135</v>
      </c>
      <c r="AZ540" s="8" t="s">
        <v>2135</v>
      </c>
      <c r="BA540" s="8" t="s">
        <v>2135</v>
      </c>
      <c r="BB540" s="8">
        <v>261.0</v>
      </c>
      <c r="BC540" s="8">
        <v>272.0</v>
      </c>
      <c r="BD540" s="8" t="s">
        <v>2135</v>
      </c>
      <c r="BE540" s="8" t="s">
        <v>11660</v>
      </c>
      <c r="BF540" s="13" t="str">
        <f>HYPERLINK("http://dx.doi.org/10.1016/0006-3207(82)90082-9","http://dx.doi.org/10.1016/0006-3207(82)90082-9")</f>
        <v>http://dx.doi.org/10.1016/0006-3207(82)90082-9</v>
      </c>
      <c r="BG540" s="8" t="s">
        <v>2135</v>
      </c>
      <c r="BH540" s="8" t="s">
        <v>2135</v>
      </c>
      <c r="BI540" s="8">
        <v>12.0</v>
      </c>
      <c r="BJ540" s="8" t="s">
        <v>3351</v>
      </c>
      <c r="BK540" s="8" t="s">
        <v>3352</v>
      </c>
      <c r="BL540" s="8" t="s">
        <v>3353</v>
      </c>
      <c r="BM540" s="8" t="s">
        <v>11661</v>
      </c>
      <c r="BN540" s="8" t="s">
        <v>2135</v>
      </c>
      <c r="BO540" s="8" t="s">
        <v>2135</v>
      </c>
      <c r="BP540" s="8" t="s">
        <v>2135</v>
      </c>
      <c r="BQ540" s="8" t="s">
        <v>2135</v>
      </c>
      <c r="BR540" s="8" t="s">
        <v>3355</v>
      </c>
      <c r="BS540" s="8" t="s">
        <v>11662</v>
      </c>
      <c r="BT540" s="8" t="s">
        <v>2600</v>
      </c>
      <c r="BU540" s="8" t="s">
        <v>2147</v>
      </c>
      <c r="BV540" s="8" t="s">
        <v>2217</v>
      </c>
      <c r="BW540" s="8" t="s">
        <v>2237</v>
      </c>
      <c r="BX540" s="8" t="s">
        <v>2974</v>
      </c>
      <c r="BY540" s="8" t="s">
        <v>2959</v>
      </c>
      <c r="BZ540" s="8" t="str">
        <f>HYPERLINK("https%3A%2F%2Fwww.webofscience.com%2Fwos%2Fwoscc%2Ffull-record%2FWOS:A1982PB99700002","View Full Record in Web of Science")</f>
        <v>View Full Record in Web of Science</v>
      </c>
    </row>
    <row r="541" ht="12.75" customHeight="1">
      <c r="A541" s="8" t="s">
        <v>3329</v>
      </c>
      <c r="B541" s="8" t="s">
        <v>11663</v>
      </c>
      <c r="C541" s="8" t="s">
        <v>2135</v>
      </c>
      <c r="D541" s="8" t="s">
        <v>2135</v>
      </c>
      <c r="E541" s="8" t="s">
        <v>2135</v>
      </c>
      <c r="F541" s="8" t="s">
        <v>11663</v>
      </c>
      <c r="G541" s="8" t="s">
        <v>2135</v>
      </c>
      <c r="H541" s="8" t="s">
        <v>2135</v>
      </c>
      <c r="I541" s="8" t="s">
        <v>1684</v>
      </c>
      <c r="J541" s="8" t="s">
        <v>3747</v>
      </c>
      <c r="K541" s="8" t="s">
        <v>2135</v>
      </c>
      <c r="L541" s="8" t="s">
        <v>2135</v>
      </c>
      <c r="M541" s="8" t="s">
        <v>3332</v>
      </c>
      <c r="N541" s="8" t="s">
        <v>3333</v>
      </c>
      <c r="O541" s="8" t="s">
        <v>2135</v>
      </c>
      <c r="P541" s="8" t="s">
        <v>2135</v>
      </c>
      <c r="Q541" s="8" t="s">
        <v>2135</v>
      </c>
      <c r="R541" s="8" t="s">
        <v>2135</v>
      </c>
      <c r="S541" s="8" t="s">
        <v>2135</v>
      </c>
      <c r="T541" s="8" t="s">
        <v>2135</v>
      </c>
      <c r="U541" s="8" t="s">
        <v>2135</v>
      </c>
      <c r="V541" s="8" t="s">
        <v>11664</v>
      </c>
      <c r="W541" s="8" t="s">
        <v>11665</v>
      </c>
      <c r="X541" s="8" t="s">
        <v>11666</v>
      </c>
      <c r="Y541" s="8" t="s">
        <v>11667</v>
      </c>
      <c r="Z541" s="8" t="s">
        <v>2135</v>
      </c>
      <c r="AA541" s="8" t="s">
        <v>2135</v>
      </c>
      <c r="AB541" s="8" t="s">
        <v>2135</v>
      </c>
      <c r="AC541" s="8" t="s">
        <v>2135</v>
      </c>
      <c r="AD541" s="8" t="s">
        <v>2135</v>
      </c>
      <c r="AE541" s="8" t="s">
        <v>2135</v>
      </c>
      <c r="AF541" s="8" t="s">
        <v>2135</v>
      </c>
      <c r="AG541" s="8">
        <v>13.0</v>
      </c>
      <c r="AH541" s="8">
        <v>18.0</v>
      </c>
      <c r="AI541" s="8">
        <v>19.0</v>
      </c>
      <c r="AJ541" s="8">
        <v>0.0</v>
      </c>
      <c r="AK541" s="8">
        <v>5.0</v>
      </c>
      <c r="AL541" s="8" t="s">
        <v>3758</v>
      </c>
      <c r="AM541" s="8" t="s">
        <v>3893</v>
      </c>
      <c r="AN541" s="8" t="s">
        <v>3894</v>
      </c>
      <c r="AO541" s="8" t="s">
        <v>3761</v>
      </c>
      <c r="AP541" s="8" t="s">
        <v>3762</v>
      </c>
      <c r="AQ541" s="8" t="s">
        <v>2135</v>
      </c>
      <c r="AR541" s="8" t="s">
        <v>3763</v>
      </c>
      <c r="AS541" s="8" t="s">
        <v>3764</v>
      </c>
      <c r="AT541" s="8" t="s">
        <v>2135</v>
      </c>
      <c r="AU541" s="8">
        <v>1981.0</v>
      </c>
      <c r="AV541" s="8">
        <v>20.0</v>
      </c>
      <c r="AW541" s="8">
        <v>4.0</v>
      </c>
      <c r="AX541" s="8" t="s">
        <v>2135</v>
      </c>
      <c r="AY541" s="8" t="s">
        <v>2135</v>
      </c>
      <c r="AZ541" s="8" t="s">
        <v>2135</v>
      </c>
      <c r="BA541" s="8" t="s">
        <v>2135</v>
      </c>
      <c r="BB541" s="8">
        <v>311.0</v>
      </c>
      <c r="BC541" s="8">
        <v>321.0</v>
      </c>
      <c r="BD541" s="8" t="s">
        <v>2135</v>
      </c>
      <c r="BE541" s="8" t="s">
        <v>11668</v>
      </c>
      <c r="BF541" s="13" t="str">
        <f>HYPERLINK("http://dx.doi.org/10.1016/0006-3207(81)90017-3","http://dx.doi.org/10.1016/0006-3207(81)90017-3")</f>
        <v>http://dx.doi.org/10.1016/0006-3207(81)90017-3</v>
      </c>
      <c r="BG541" s="8" t="s">
        <v>2135</v>
      </c>
      <c r="BH541" s="8" t="s">
        <v>2135</v>
      </c>
      <c r="BI541" s="8">
        <v>11.0</v>
      </c>
      <c r="BJ541" s="8" t="s">
        <v>3351</v>
      </c>
      <c r="BK541" s="8" t="s">
        <v>3352</v>
      </c>
      <c r="BL541" s="8" t="s">
        <v>3353</v>
      </c>
      <c r="BM541" s="8" t="s">
        <v>11669</v>
      </c>
      <c r="BN541" s="8" t="s">
        <v>2135</v>
      </c>
      <c r="BO541" s="8" t="s">
        <v>2135</v>
      </c>
      <c r="BP541" s="8" t="s">
        <v>2135</v>
      </c>
      <c r="BQ541" s="8" t="s">
        <v>2135</v>
      </c>
      <c r="BR541" s="8" t="s">
        <v>3355</v>
      </c>
      <c r="BS541" s="8" t="s">
        <v>11670</v>
      </c>
      <c r="BT541" s="8" t="s">
        <v>2553</v>
      </c>
      <c r="BU541" s="8" t="s">
        <v>2142</v>
      </c>
      <c r="BW541" s="8" t="s">
        <v>2143</v>
      </c>
      <c r="BX541" s="8" t="s">
        <v>2974</v>
      </c>
      <c r="BY541" s="8" t="s">
        <v>2959</v>
      </c>
      <c r="BZ541" s="8" t="str">
        <f>HYPERLINK("https%3A%2F%2Fwww.webofscience.com%2Fwos%2Fwoscc%2Ffull-record%2FWOS:A1981LY76200005","View Full Record in Web of Science")</f>
        <v>View Full Record in Web of Science</v>
      </c>
    </row>
    <row r="542" ht="12.75" customHeight="1">
      <c r="A542" s="8" t="s">
        <v>3329</v>
      </c>
      <c r="B542" s="8" t="s">
        <v>11671</v>
      </c>
      <c r="C542" s="8" t="s">
        <v>2135</v>
      </c>
      <c r="D542" s="8" t="s">
        <v>2135</v>
      </c>
      <c r="E542" s="8" t="s">
        <v>2135</v>
      </c>
      <c r="F542" s="8" t="s">
        <v>11671</v>
      </c>
      <c r="G542" s="8" t="s">
        <v>2135</v>
      </c>
      <c r="H542" s="8" t="s">
        <v>2135</v>
      </c>
      <c r="I542" s="8" t="s">
        <v>1682</v>
      </c>
      <c r="J542" s="8" t="s">
        <v>3855</v>
      </c>
      <c r="K542" s="8" t="s">
        <v>2135</v>
      </c>
      <c r="L542" s="8" t="s">
        <v>2135</v>
      </c>
      <c r="M542" s="8" t="s">
        <v>3332</v>
      </c>
      <c r="N542" s="8" t="s">
        <v>3333</v>
      </c>
      <c r="O542" s="8" t="s">
        <v>2135</v>
      </c>
      <c r="P542" s="8" t="s">
        <v>2135</v>
      </c>
      <c r="Q542" s="8" t="s">
        <v>2135</v>
      </c>
      <c r="R542" s="8" t="s">
        <v>2135</v>
      </c>
      <c r="S542" s="8" t="s">
        <v>2135</v>
      </c>
      <c r="T542" s="8" t="s">
        <v>2135</v>
      </c>
      <c r="U542" s="8" t="s">
        <v>2135</v>
      </c>
      <c r="V542" s="8" t="s">
        <v>11672</v>
      </c>
      <c r="W542" s="8" t="s">
        <v>11673</v>
      </c>
      <c r="X542" s="8" t="s">
        <v>2135</v>
      </c>
      <c r="Y542" s="8" t="s">
        <v>11674</v>
      </c>
      <c r="Z542" s="8" t="s">
        <v>2135</v>
      </c>
      <c r="AA542" s="8" t="s">
        <v>2135</v>
      </c>
      <c r="AB542" s="8" t="s">
        <v>2135</v>
      </c>
      <c r="AC542" s="8" t="s">
        <v>2135</v>
      </c>
      <c r="AD542" s="8" t="s">
        <v>2135</v>
      </c>
      <c r="AE542" s="8" t="s">
        <v>2135</v>
      </c>
      <c r="AF542" s="8" t="s">
        <v>2135</v>
      </c>
      <c r="AG542" s="8">
        <v>52.0</v>
      </c>
      <c r="AH542" s="8">
        <v>91.0</v>
      </c>
      <c r="AI542" s="8">
        <v>98.0</v>
      </c>
      <c r="AJ542" s="8">
        <v>0.0</v>
      </c>
      <c r="AK542" s="8">
        <v>43.0</v>
      </c>
      <c r="AL542" s="8" t="s">
        <v>3865</v>
      </c>
      <c r="AM542" s="8" t="s">
        <v>3759</v>
      </c>
      <c r="AN542" s="8" t="s">
        <v>3866</v>
      </c>
      <c r="AO542" s="8" t="s">
        <v>3867</v>
      </c>
      <c r="AP542" s="8" t="s">
        <v>3868</v>
      </c>
      <c r="AQ542" s="8" t="s">
        <v>2135</v>
      </c>
      <c r="AR542" s="8" t="s">
        <v>3869</v>
      </c>
      <c r="AS542" s="8" t="s">
        <v>3870</v>
      </c>
      <c r="AT542" s="8" t="s">
        <v>2135</v>
      </c>
      <c r="AU542" s="8">
        <v>1978.0</v>
      </c>
      <c r="AV542" s="8">
        <v>10.0</v>
      </c>
      <c r="AW542" s="8">
        <v>3.0</v>
      </c>
      <c r="AX542" s="8" t="s">
        <v>2135</v>
      </c>
      <c r="AY542" s="8" t="s">
        <v>2135</v>
      </c>
      <c r="AZ542" s="8" t="s">
        <v>2135</v>
      </c>
      <c r="BA542" s="8" t="s">
        <v>2135</v>
      </c>
      <c r="BB542" s="8">
        <v>305.0</v>
      </c>
      <c r="BC542" s="8">
        <v>328.0</v>
      </c>
      <c r="BD542" s="8" t="s">
        <v>2135</v>
      </c>
      <c r="BE542" s="8" t="s">
        <v>11675</v>
      </c>
      <c r="BF542" s="13" t="str">
        <f>HYPERLINK("http://dx.doi.org/10.1111/j.1095-8312.1978.tb00018.x","http://dx.doi.org/10.1111/j.1095-8312.1978.tb00018.x")</f>
        <v>http://dx.doi.org/10.1111/j.1095-8312.1978.tb00018.x</v>
      </c>
      <c r="BG542" s="8" t="s">
        <v>2135</v>
      </c>
      <c r="BH542" s="8" t="s">
        <v>2135</v>
      </c>
      <c r="BI542" s="8">
        <v>24.0</v>
      </c>
      <c r="BJ542" s="8" t="s">
        <v>3872</v>
      </c>
      <c r="BK542" s="8" t="s">
        <v>3352</v>
      </c>
      <c r="BL542" s="8" t="s">
        <v>3872</v>
      </c>
      <c r="BM542" s="8" t="s">
        <v>11676</v>
      </c>
      <c r="BN542" s="8" t="s">
        <v>2135</v>
      </c>
      <c r="BO542" s="8" t="s">
        <v>2135</v>
      </c>
      <c r="BP542" s="8" t="s">
        <v>2135</v>
      </c>
      <c r="BQ542" s="8" t="s">
        <v>2135</v>
      </c>
      <c r="BR542" s="8" t="s">
        <v>3355</v>
      </c>
      <c r="BS542" s="8" t="s">
        <v>11677</v>
      </c>
      <c r="BT542" s="8" t="s">
        <v>2553</v>
      </c>
      <c r="BU542" s="8" t="s">
        <v>2142</v>
      </c>
      <c r="BW542" s="8" t="s">
        <v>2143</v>
      </c>
      <c r="BX542" s="8" t="s">
        <v>3030</v>
      </c>
      <c r="BY542" s="8" t="s">
        <v>2959</v>
      </c>
      <c r="BZ542" s="8" t="str">
        <f>HYPERLINK("https%3A%2F%2Fwww.webofscience.com%2Fwos%2Fwoscc%2Ffull-record%2FWOS:A1978FR48200003","View Full Record in Web of Science")</f>
        <v>View Full Record in Web of Science</v>
      </c>
    </row>
    <row r="543" ht="12.75" customHeight="1">
      <c r="A543" s="8" t="s">
        <v>3329</v>
      </c>
      <c r="B543" s="8" t="s">
        <v>11678</v>
      </c>
      <c r="C543" s="8" t="s">
        <v>2135</v>
      </c>
      <c r="D543" s="8" t="s">
        <v>2135</v>
      </c>
      <c r="E543" s="8" t="s">
        <v>2135</v>
      </c>
      <c r="F543" s="8" t="s">
        <v>11679</v>
      </c>
      <c r="G543" s="8" t="s">
        <v>2135</v>
      </c>
      <c r="H543" s="8" t="s">
        <v>2135</v>
      </c>
      <c r="I543" s="8" t="s">
        <v>1539</v>
      </c>
      <c r="J543" s="8" t="s">
        <v>11680</v>
      </c>
      <c r="K543" s="8" t="s">
        <v>2135</v>
      </c>
      <c r="L543" s="8" t="s">
        <v>2135</v>
      </c>
      <c r="M543" s="8" t="s">
        <v>3332</v>
      </c>
      <c r="N543" s="8" t="s">
        <v>3333</v>
      </c>
      <c r="O543" s="8" t="s">
        <v>2135</v>
      </c>
      <c r="P543" s="8" t="s">
        <v>2135</v>
      </c>
      <c r="Q543" s="8" t="s">
        <v>2135</v>
      </c>
      <c r="R543" s="8" t="s">
        <v>2135</v>
      </c>
      <c r="S543" s="8" t="s">
        <v>2135</v>
      </c>
      <c r="T543" s="8" t="s">
        <v>11681</v>
      </c>
      <c r="U543" s="8" t="s">
        <v>11682</v>
      </c>
      <c r="V543" s="8" t="s">
        <v>11683</v>
      </c>
      <c r="W543" s="8" t="s">
        <v>11684</v>
      </c>
      <c r="X543" s="8" t="s">
        <v>11685</v>
      </c>
      <c r="Y543" s="8" t="s">
        <v>11686</v>
      </c>
      <c r="Z543" s="8" t="s">
        <v>11687</v>
      </c>
      <c r="AA543" s="8" t="s">
        <v>2135</v>
      </c>
      <c r="AB543" s="8" t="s">
        <v>2135</v>
      </c>
      <c r="AC543" s="8" t="s">
        <v>11688</v>
      </c>
      <c r="AD543" s="8" t="s">
        <v>11688</v>
      </c>
      <c r="AE543" s="8" t="s">
        <v>11689</v>
      </c>
      <c r="AF543" s="8" t="s">
        <v>2135</v>
      </c>
      <c r="AG543" s="8">
        <v>55.0</v>
      </c>
      <c r="AH543" s="8">
        <v>8.0</v>
      </c>
      <c r="AI543" s="8">
        <v>8.0</v>
      </c>
      <c r="AJ543" s="8">
        <v>0.0</v>
      </c>
      <c r="AK543" s="8">
        <v>1.0</v>
      </c>
      <c r="AL543" s="8" t="s">
        <v>3865</v>
      </c>
      <c r="AM543" s="8" t="s">
        <v>3759</v>
      </c>
      <c r="AN543" s="8" t="s">
        <v>3866</v>
      </c>
      <c r="AO543" s="8" t="s">
        <v>11690</v>
      </c>
      <c r="AP543" s="8" t="s">
        <v>2135</v>
      </c>
      <c r="AQ543" s="8" t="s">
        <v>2135</v>
      </c>
      <c r="AR543" s="8" t="s">
        <v>11691</v>
      </c>
      <c r="AS543" s="8" t="s">
        <v>11692</v>
      </c>
      <c r="AT543" s="8" t="s">
        <v>11693</v>
      </c>
      <c r="AU543" s="8">
        <v>2020.0</v>
      </c>
      <c r="AV543" s="8">
        <v>8.0</v>
      </c>
      <c r="AW543" s="8" t="s">
        <v>2135</v>
      </c>
      <c r="AX543" s="8" t="s">
        <v>2135</v>
      </c>
      <c r="AY543" s="8" t="s">
        <v>2135</v>
      </c>
      <c r="AZ543" s="8" t="s">
        <v>2135</v>
      </c>
      <c r="BA543" s="8" t="s">
        <v>2135</v>
      </c>
      <c r="BB543" s="8" t="s">
        <v>2135</v>
      </c>
      <c r="BC543" s="8" t="s">
        <v>2135</v>
      </c>
      <c r="BD543" s="8" t="s">
        <v>11694</v>
      </c>
      <c r="BE543" s="8" t="s">
        <v>11695</v>
      </c>
      <c r="BF543" s="13" t="str">
        <f t="shared" ref="BF543:BF544" si="1">HYPERLINK("http://dx.doi.org/10.1093/conphys/coz116","http://dx.doi.org/10.1093/conphys/coz116")</f>
        <v>http://dx.doi.org/10.1093/conphys/coz116</v>
      </c>
      <c r="BG543" s="8" t="s">
        <v>2135</v>
      </c>
      <c r="BH543" s="8" t="s">
        <v>2135</v>
      </c>
      <c r="BI543" s="8">
        <v>11.0</v>
      </c>
      <c r="BJ543" s="8" t="s">
        <v>11696</v>
      </c>
      <c r="BK543" s="8" t="s">
        <v>3352</v>
      </c>
      <c r="BL543" s="8" t="s">
        <v>11697</v>
      </c>
      <c r="BM543" s="8" t="s">
        <v>11698</v>
      </c>
      <c r="BN543" s="8" t="s">
        <v>2135</v>
      </c>
      <c r="BO543" s="8" t="s">
        <v>3659</v>
      </c>
      <c r="BP543" s="8" t="s">
        <v>2135</v>
      </c>
      <c r="BQ543" s="8" t="s">
        <v>2135</v>
      </c>
      <c r="BR543" s="8" t="s">
        <v>3355</v>
      </c>
      <c r="BS543" s="8" t="s">
        <v>11699</v>
      </c>
      <c r="BT543" s="8" t="s">
        <v>2600</v>
      </c>
      <c r="BU543" s="8" t="s">
        <v>2147</v>
      </c>
      <c r="BV543" s="8" t="s">
        <v>2217</v>
      </c>
      <c r="BW543" s="8" t="s">
        <v>2237</v>
      </c>
      <c r="BZ543" s="8" t="str">
        <f>HYPERLINK("https%3A%2F%2Fwww.webofscience.com%2Fwos%2Fwoscc%2Ffull-record%2FWOS:000521167600001","View Full Record in Web of Science")</f>
        <v>View Full Record in Web of Science</v>
      </c>
    </row>
    <row r="544" ht="12.75" customHeight="1">
      <c r="A544" s="8" t="s">
        <v>3329</v>
      </c>
      <c r="B544" s="8" t="s">
        <v>11678</v>
      </c>
      <c r="C544" s="8" t="s">
        <v>2135</v>
      </c>
      <c r="D544" s="8" t="s">
        <v>2135</v>
      </c>
      <c r="E544" s="8" t="s">
        <v>2135</v>
      </c>
      <c r="F544" s="8" t="s">
        <v>11679</v>
      </c>
      <c r="G544" s="8" t="s">
        <v>2135</v>
      </c>
      <c r="H544" s="8" t="s">
        <v>2135</v>
      </c>
      <c r="I544" s="8" t="s">
        <v>1539</v>
      </c>
      <c r="J544" s="8" t="s">
        <v>11680</v>
      </c>
      <c r="K544" s="8" t="s">
        <v>2135</v>
      </c>
      <c r="L544" s="8" t="s">
        <v>2135</v>
      </c>
      <c r="M544" s="8" t="s">
        <v>3332</v>
      </c>
      <c r="N544" s="8" t="s">
        <v>3333</v>
      </c>
      <c r="O544" s="8" t="s">
        <v>2135</v>
      </c>
      <c r="P544" s="8" t="s">
        <v>2135</v>
      </c>
      <c r="Q544" s="8" t="s">
        <v>2135</v>
      </c>
      <c r="R544" s="8" t="s">
        <v>2135</v>
      </c>
      <c r="S544" s="8" t="s">
        <v>2135</v>
      </c>
      <c r="T544" s="8" t="s">
        <v>11681</v>
      </c>
      <c r="U544" s="8" t="s">
        <v>11682</v>
      </c>
      <c r="V544" s="8" t="s">
        <v>11700</v>
      </c>
      <c r="W544" s="8" t="s">
        <v>11701</v>
      </c>
      <c r="X544" s="8" t="s">
        <v>11685</v>
      </c>
      <c r="Y544" s="8" t="s">
        <v>11702</v>
      </c>
      <c r="Z544" s="8" t="s">
        <v>11687</v>
      </c>
      <c r="AA544" s="8" t="s">
        <v>2135</v>
      </c>
      <c r="AB544" s="8" t="s">
        <v>2135</v>
      </c>
      <c r="AC544" s="8" t="s">
        <v>11703</v>
      </c>
      <c r="AD544" s="8" t="s">
        <v>11703</v>
      </c>
      <c r="AE544" s="8" t="s">
        <v>11689</v>
      </c>
      <c r="AF544" s="8" t="s">
        <v>2135</v>
      </c>
      <c r="AG544" s="8">
        <v>55.0</v>
      </c>
      <c r="AH544" s="8">
        <v>0.0</v>
      </c>
      <c r="AI544" s="8">
        <v>0.0</v>
      </c>
      <c r="AJ544" s="8">
        <v>0.0</v>
      </c>
      <c r="AK544" s="8">
        <v>1.0</v>
      </c>
      <c r="AL544" s="8" t="s">
        <v>3865</v>
      </c>
      <c r="AM544" s="8" t="s">
        <v>3759</v>
      </c>
      <c r="AN544" s="8" t="s">
        <v>3866</v>
      </c>
      <c r="AO544" s="8" t="s">
        <v>11690</v>
      </c>
      <c r="AP544" s="8" t="s">
        <v>2135</v>
      </c>
      <c r="AQ544" s="8" t="s">
        <v>2135</v>
      </c>
      <c r="AR544" s="8" t="s">
        <v>11691</v>
      </c>
      <c r="AS544" s="8" t="s">
        <v>11692</v>
      </c>
      <c r="AT544" s="8" t="s">
        <v>9953</v>
      </c>
      <c r="AU544" s="8">
        <v>2020.0</v>
      </c>
      <c r="AV544" s="8">
        <v>8.0</v>
      </c>
      <c r="AW544" s="8">
        <v>1.0</v>
      </c>
      <c r="AX544" s="8" t="s">
        <v>2135</v>
      </c>
      <c r="AY544" s="8" t="s">
        <v>2135</v>
      </c>
      <c r="AZ544" s="8" t="s">
        <v>2135</v>
      </c>
      <c r="BA544" s="8" t="s">
        <v>2135</v>
      </c>
      <c r="BB544" s="8" t="s">
        <v>2135</v>
      </c>
      <c r="BC544" s="8" t="s">
        <v>2135</v>
      </c>
      <c r="BD544" s="8" t="s">
        <v>11694</v>
      </c>
      <c r="BE544" s="8" t="s">
        <v>11695</v>
      </c>
      <c r="BF544" s="13" t="str">
        <f t="shared" si="1"/>
        <v>http://dx.doi.org/10.1093/conphys/coz116</v>
      </c>
      <c r="BG544" s="8" t="s">
        <v>2135</v>
      </c>
      <c r="BH544" s="8" t="s">
        <v>2135</v>
      </c>
      <c r="BI544" s="8">
        <v>11.0</v>
      </c>
      <c r="BJ544" s="8" t="s">
        <v>11696</v>
      </c>
      <c r="BK544" s="8" t="s">
        <v>3352</v>
      </c>
      <c r="BL544" s="8" t="s">
        <v>11697</v>
      </c>
      <c r="BM544" s="8" t="s">
        <v>11704</v>
      </c>
      <c r="BN544" s="8" t="s">
        <v>2135</v>
      </c>
      <c r="BO544" s="8" t="s">
        <v>3659</v>
      </c>
      <c r="BP544" s="8" t="s">
        <v>2135</v>
      </c>
      <c r="BQ544" s="8" t="s">
        <v>2135</v>
      </c>
      <c r="BR544" s="8" t="s">
        <v>3355</v>
      </c>
      <c r="BS544" s="8" t="s">
        <v>11705</v>
      </c>
      <c r="BT544" s="8" t="s">
        <v>2600</v>
      </c>
      <c r="BU544" s="8" t="s">
        <v>2147</v>
      </c>
      <c r="BV544" s="8" t="s">
        <v>2217</v>
      </c>
      <c r="BW544" s="8" t="s">
        <v>2237</v>
      </c>
      <c r="BZ544" s="8" t="str">
        <f>HYPERLINK("https%3A%2F%2Fwww.webofscience.com%2Fwos%2Fwoscc%2Ffull-record%2FWOS:001288620600001","View Full Record in Web of Science")</f>
        <v>View Full Record in Web of Science</v>
      </c>
    </row>
    <row r="545" ht="12.75" customHeight="1">
      <c r="A545" s="8" t="s">
        <v>3329</v>
      </c>
      <c r="B545" s="8" t="s">
        <v>11706</v>
      </c>
      <c r="C545" s="8" t="s">
        <v>2135</v>
      </c>
      <c r="D545" s="8" t="s">
        <v>2135</v>
      </c>
      <c r="E545" s="8" t="s">
        <v>2135</v>
      </c>
      <c r="F545" s="8" t="s">
        <v>11707</v>
      </c>
      <c r="G545" s="8" t="s">
        <v>2135</v>
      </c>
      <c r="H545" s="8" t="s">
        <v>2135</v>
      </c>
      <c r="I545" s="8" t="s">
        <v>1535</v>
      </c>
      <c r="J545" s="8" t="s">
        <v>4864</v>
      </c>
      <c r="K545" s="8" t="s">
        <v>2135</v>
      </c>
      <c r="L545" s="8" t="s">
        <v>2135</v>
      </c>
      <c r="M545" s="8" t="s">
        <v>3332</v>
      </c>
      <c r="N545" s="8" t="s">
        <v>3333</v>
      </c>
      <c r="O545" s="8" t="s">
        <v>2135</v>
      </c>
      <c r="P545" s="8" t="s">
        <v>2135</v>
      </c>
      <c r="Q545" s="8" t="s">
        <v>2135</v>
      </c>
      <c r="R545" s="8" t="s">
        <v>2135</v>
      </c>
      <c r="S545" s="8" t="s">
        <v>2135</v>
      </c>
      <c r="T545" s="8" t="s">
        <v>11708</v>
      </c>
      <c r="U545" s="8" t="s">
        <v>11709</v>
      </c>
      <c r="V545" s="8" t="s">
        <v>11710</v>
      </c>
      <c r="W545" s="8" t="s">
        <v>11711</v>
      </c>
      <c r="X545" s="8" t="s">
        <v>11712</v>
      </c>
      <c r="Y545" s="8" t="s">
        <v>11713</v>
      </c>
      <c r="Z545" s="8" t="s">
        <v>11687</v>
      </c>
      <c r="AA545" s="8" t="s">
        <v>2135</v>
      </c>
      <c r="AB545" s="8" t="s">
        <v>11714</v>
      </c>
      <c r="AC545" s="8" t="s">
        <v>11715</v>
      </c>
      <c r="AD545" s="8" t="s">
        <v>11716</v>
      </c>
      <c r="AE545" s="8" t="s">
        <v>11717</v>
      </c>
      <c r="AF545" s="8" t="s">
        <v>2135</v>
      </c>
      <c r="AG545" s="8">
        <v>62.0</v>
      </c>
      <c r="AH545" s="8">
        <v>24.0</v>
      </c>
      <c r="AI545" s="8">
        <v>27.0</v>
      </c>
      <c r="AJ545" s="8">
        <v>3.0</v>
      </c>
      <c r="AK545" s="8">
        <v>60.0</v>
      </c>
      <c r="AL545" s="8" t="s">
        <v>3342</v>
      </c>
      <c r="AM545" s="8" t="s">
        <v>3343</v>
      </c>
      <c r="AN545" s="8" t="s">
        <v>3344</v>
      </c>
      <c r="AO545" s="8" t="s">
        <v>4873</v>
      </c>
      <c r="AP545" s="8" t="s">
        <v>4874</v>
      </c>
      <c r="AQ545" s="8" t="s">
        <v>2135</v>
      </c>
      <c r="AR545" s="8" t="s">
        <v>4875</v>
      </c>
      <c r="AS545" s="8" t="s">
        <v>4876</v>
      </c>
      <c r="AT545" s="8" t="s">
        <v>3395</v>
      </c>
      <c r="AU545" s="8">
        <v>2019.0</v>
      </c>
      <c r="AV545" s="8">
        <v>22.0</v>
      </c>
      <c r="AW545" s="8">
        <v>4.0</v>
      </c>
      <c r="AX545" s="8" t="s">
        <v>2135</v>
      </c>
      <c r="AY545" s="8" t="s">
        <v>2135</v>
      </c>
      <c r="AZ545" s="8" t="s">
        <v>2135</v>
      </c>
      <c r="BA545" s="8" t="s">
        <v>2135</v>
      </c>
      <c r="BB545" s="8">
        <v>331.0</v>
      </c>
      <c r="BC545" s="8">
        <v>340.0</v>
      </c>
      <c r="BD545" s="8" t="s">
        <v>2135</v>
      </c>
      <c r="BE545" s="8" t="s">
        <v>11718</v>
      </c>
      <c r="BF545" s="13" t="str">
        <f>HYPERLINK("http://dx.doi.org/10.1111/acv.12466","http://dx.doi.org/10.1111/acv.12466")</f>
        <v>http://dx.doi.org/10.1111/acv.12466</v>
      </c>
      <c r="BG545" s="8" t="s">
        <v>2135</v>
      </c>
      <c r="BH545" s="8" t="s">
        <v>2135</v>
      </c>
      <c r="BI545" s="8">
        <v>10.0</v>
      </c>
      <c r="BJ545" s="8" t="s">
        <v>3558</v>
      </c>
      <c r="BK545" s="8" t="s">
        <v>3352</v>
      </c>
      <c r="BL545" s="8" t="s">
        <v>3353</v>
      </c>
      <c r="BM545" s="8" t="s">
        <v>11719</v>
      </c>
      <c r="BN545" s="8" t="s">
        <v>2135</v>
      </c>
      <c r="BO545" s="8" t="s">
        <v>2135</v>
      </c>
      <c r="BP545" s="8" t="s">
        <v>2135</v>
      </c>
      <c r="BQ545" s="8" t="s">
        <v>2135</v>
      </c>
      <c r="BR545" s="8" t="s">
        <v>3355</v>
      </c>
      <c r="BS545" s="8" t="s">
        <v>11720</v>
      </c>
      <c r="BT545" s="8" t="s">
        <v>2600</v>
      </c>
      <c r="BU545" s="8" t="s">
        <v>2147</v>
      </c>
      <c r="BV545" s="8" t="s">
        <v>2217</v>
      </c>
      <c r="BW545" s="8" t="s">
        <v>2601</v>
      </c>
      <c r="BZ545" s="8" t="str">
        <f>HYPERLINK("https%3A%2F%2Fwww.webofscience.com%2Fwos%2Fwoscc%2Ffull-record%2FWOS:000476919200006","View Full Record in Web of Science")</f>
        <v>View Full Record in Web of Science</v>
      </c>
    </row>
    <row r="546" ht="12.75" customHeight="1">
      <c r="A546" s="8" t="s">
        <v>3329</v>
      </c>
      <c r="B546" s="8" t="s">
        <v>11721</v>
      </c>
      <c r="C546" s="8" t="s">
        <v>2135</v>
      </c>
      <c r="D546" s="8" t="s">
        <v>2135</v>
      </c>
      <c r="E546" s="8" t="s">
        <v>2135</v>
      </c>
      <c r="F546" s="8" t="s">
        <v>11722</v>
      </c>
      <c r="G546" s="8" t="s">
        <v>2135</v>
      </c>
      <c r="H546" s="8" t="s">
        <v>2135</v>
      </c>
      <c r="I546" s="8" t="s">
        <v>1537</v>
      </c>
      <c r="J546" s="8" t="s">
        <v>11723</v>
      </c>
      <c r="K546" s="8" t="s">
        <v>2135</v>
      </c>
      <c r="L546" s="8" t="s">
        <v>2135</v>
      </c>
      <c r="M546" s="8" t="s">
        <v>3332</v>
      </c>
      <c r="N546" s="8" t="s">
        <v>3333</v>
      </c>
      <c r="O546" s="8" t="s">
        <v>2135</v>
      </c>
      <c r="P546" s="8" t="s">
        <v>2135</v>
      </c>
      <c r="Q546" s="8" t="s">
        <v>2135</v>
      </c>
      <c r="R546" s="8" t="s">
        <v>2135</v>
      </c>
      <c r="S546" s="8" t="s">
        <v>2135</v>
      </c>
      <c r="T546" s="8" t="s">
        <v>11724</v>
      </c>
      <c r="U546" s="8" t="s">
        <v>11725</v>
      </c>
      <c r="V546" s="8" t="s">
        <v>11726</v>
      </c>
      <c r="W546" s="8" t="s">
        <v>11727</v>
      </c>
      <c r="X546" s="8" t="s">
        <v>11728</v>
      </c>
      <c r="Y546" s="8" t="s">
        <v>11729</v>
      </c>
      <c r="Z546" s="8" t="s">
        <v>11730</v>
      </c>
      <c r="AA546" s="8" t="s">
        <v>11731</v>
      </c>
      <c r="AB546" s="8" t="s">
        <v>11732</v>
      </c>
      <c r="AC546" s="8" t="s">
        <v>11733</v>
      </c>
      <c r="AD546" s="8" t="s">
        <v>11734</v>
      </c>
      <c r="AE546" s="8" t="s">
        <v>11735</v>
      </c>
      <c r="AF546" s="8" t="s">
        <v>2135</v>
      </c>
      <c r="AG546" s="8">
        <v>53.0</v>
      </c>
      <c r="AH546" s="8">
        <v>2.0</v>
      </c>
      <c r="AI546" s="8">
        <v>2.0</v>
      </c>
      <c r="AJ546" s="8">
        <v>0.0</v>
      </c>
      <c r="AK546" s="8">
        <v>6.0</v>
      </c>
      <c r="AL546" s="8" t="s">
        <v>5073</v>
      </c>
      <c r="AM546" s="8" t="s">
        <v>5074</v>
      </c>
      <c r="AN546" s="8" t="s">
        <v>5488</v>
      </c>
      <c r="AO546" s="8" t="s">
        <v>11736</v>
      </c>
      <c r="AP546" s="8" t="s">
        <v>11737</v>
      </c>
      <c r="AQ546" s="8" t="s">
        <v>2135</v>
      </c>
      <c r="AR546" s="8" t="s">
        <v>11738</v>
      </c>
      <c r="AS546" s="8" t="s">
        <v>11739</v>
      </c>
      <c r="AT546" s="8" t="s">
        <v>5492</v>
      </c>
      <c r="AU546" s="8">
        <v>2019.0</v>
      </c>
      <c r="AV546" s="8">
        <v>31.0</v>
      </c>
      <c r="AW546" s="8">
        <v>1.0</v>
      </c>
      <c r="AX546" s="8" t="s">
        <v>2135</v>
      </c>
      <c r="AY546" s="8" t="s">
        <v>2135</v>
      </c>
      <c r="AZ546" s="8" t="s">
        <v>2135</v>
      </c>
      <c r="BA546" s="8" t="s">
        <v>2135</v>
      </c>
      <c r="BB546" s="8">
        <v>59.0</v>
      </c>
      <c r="BC546" s="8">
        <v>72.0</v>
      </c>
      <c r="BD546" s="8" t="s">
        <v>2135</v>
      </c>
      <c r="BE546" s="8" t="s">
        <v>11740</v>
      </c>
      <c r="BF546" s="13" t="str">
        <f>HYPERLINK("http://dx.doi.org/10.1080/03949370.2018.1486887","http://dx.doi.org/10.1080/03949370.2018.1486887")</f>
        <v>http://dx.doi.org/10.1080/03949370.2018.1486887</v>
      </c>
      <c r="BG546" s="8" t="s">
        <v>2135</v>
      </c>
      <c r="BH546" s="8" t="s">
        <v>2135</v>
      </c>
      <c r="BI546" s="8">
        <v>14.0</v>
      </c>
      <c r="BJ546" s="8" t="s">
        <v>11741</v>
      </c>
      <c r="BK546" s="8" t="s">
        <v>3352</v>
      </c>
      <c r="BL546" s="8" t="s">
        <v>11741</v>
      </c>
      <c r="BM546" s="8" t="s">
        <v>11742</v>
      </c>
      <c r="BN546" s="8" t="s">
        <v>2135</v>
      </c>
      <c r="BO546" s="8" t="s">
        <v>2135</v>
      </c>
      <c r="BP546" s="8" t="s">
        <v>2135</v>
      </c>
      <c r="BQ546" s="8" t="s">
        <v>2135</v>
      </c>
      <c r="BR546" s="8" t="s">
        <v>3355</v>
      </c>
      <c r="BS546" s="8" t="s">
        <v>11743</v>
      </c>
      <c r="BT546" s="8" t="s">
        <v>2213</v>
      </c>
      <c r="BU546" s="8" t="s">
        <v>2142</v>
      </c>
      <c r="BW546" s="8" t="s">
        <v>2214</v>
      </c>
      <c r="BZ546" s="8" t="str">
        <f>HYPERLINK("https%3A%2F%2Fwww.webofscience.com%2Fwos%2Fwoscc%2Ffull-record%2FWOS:000452773800005","View Full Record in Web of Science")</f>
        <v>View Full Record in Web of Science</v>
      </c>
    </row>
    <row r="547" ht="12.75" customHeight="1">
      <c r="A547" s="8" t="s">
        <v>3329</v>
      </c>
      <c r="B547" s="8" t="s">
        <v>11744</v>
      </c>
      <c r="C547" s="8" t="s">
        <v>2135</v>
      </c>
      <c r="D547" s="8" t="s">
        <v>2135</v>
      </c>
      <c r="E547" s="8" t="s">
        <v>2135</v>
      </c>
      <c r="F547" s="8" t="s">
        <v>11745</v>
      </c>
      <c r="G547" s="8" t="s">
        <v>2135</v>
      </c>
      <c r="H547" s="8" t="s">
        <v>2135</v>
      </c>
      <c r="I547" s="8" t="s">
        <v>1533</v>
      </c>
      <c r="J547" s="8" t="s">
        <v>3331</v>
      </c>
      <c r="K547" s="8" t="s">
        <v>2135</v>
      </c>
      <c r="L547" s="8" t="s">
        <v>2135</v>
      </c>
      <c r="M547" s="8" t="s">
        <v>3332</v>
      </c>
      <c r="N547" s="8" t="s">
        <v>3333</v>
      </c>
      <c r="O547" s="8" t="s">
        <v>2135</v>
      </c>
      <c r="P547" s="8" t="s">
        <v>2135</v>
      </c>
      <c r="Q547" s="8" t="s">
        <v>2135</v>
      </c>
      <c r="R547" s="8" t="s">
        <v>2135</v>
      </c>
      <c r="S547" s="8" t="s">
        <v>2135</v>
      </c>
      <c r="T547" s="8" t="s">
        <v>11746</v>
      </c>
      <c r="U547" s="8" t="s">
        <v>11747</v>
      </c>
      <c r="V547" s="8" t="s">
        <v>11748</v>
      </c>
      <c r="W547" s="8" t="s">
        <v>11749</v>
      </c>
      <c r="X547" s="8" t="s">
        <v>11750</v>
      </c>
      <c r="Y547" s="8" t="s">
        <v>11751</v>
      </c>
      <c r="Z547" s="8" t="s">
        <v>11752</v>
      </c>
      <c r="AA547" s="8" t="s">
        <v>2135</v>
      </c>
      <c r="AB547" s="8" t="s">
        <v>11753</v>
      </c>
      <c r="AC547" s="8" t="s">
        <v>11754</v>
      </c>
      <c r="AD547" s="8" t="s">
        <v>11755</v>
      </c>
      <c r="AE547" s="8" t="s">
        <v>11756</v>
      </c>
      <c r="AF547" s="8" t="s">
        <v>2135</v>
      </c>
      <c r="AG547" s="8">
        <v>66.0</v>
      </c>
      <c r="AH547" s="8">
        <v>43.0</v>
      </c>
      <c r="AI547" s="8">
        <v>51.0</v>
      </c>
      <c r="AJ547" s="8">
        <v>2.0</v>
      </c>
      <c r="AK547" s="8">
        <v>71.0</v>
      </c>
      <c r="AL547" s="8" t="s">
        <v>3342</v>
      </c>
      <c r="AM547" s="8" t="s">
        <v>3343</v>
      </c>
      <c r="AN547" s="8" t="s">
        <v>3344</v>
      </c>
      <c r="AO547" s="8" t="s">
        <v>3345</v>
      </c>
      <c r="AP547" s="8" t="s">
        <v>3346</v>
      </c>
      <c r="AQ547" s="8" t="s">
        <v>2135</v>
      </c>
      <c r="AR547" s="8" t="s">
        <v>3347</v>
      </c>
      <c r="AS547" s="8" t="s">
        <v>3348</v>
      </c>
      <c r="AT547" s="8" t="s">
        <v>3741</v>
      </c>
      <c r="AU547" s="8">
        <v>2018.0</v>
      </c>
      <c r="AV547" s="8">
        <v>32.0</v>
      </c>
      <c r="AW547" s="8">
        <v>6.0</v>
      </c>
      <c r="AX547" s="8" t="s">
        <v>2135</v>
      </c>
      <c r="AY547" s="8" t="s">
        <v>2135</v>
      </c>
      <c r="AZ547" s="8" t="s">
        <v>2135</v>
      </c>
      <c r="BA547" s="8" t="s">
        <v>2135</v>
      </c>
      <c r="BB547" s="8">
        <v>1301.0</v>
      </c>
      <c r="BC547" s="8">
        <v>1312.0</v>
      </c>
      <c r="BD547" s="8" t="s">
        <v>2135</v>
      </c>
      <c r="BE547" s="8" t="s">
        <v>11757</v>
      </c>
      <c r="BF547" s="13" t="str">
        <f>HYPERLINK("http://dx.doi.org/10.1111/cobi.13157","http://dx.doi.org/10.1111/cobi.13157")</f>
        <v>http://dx.doi.org/10.1111/cobi.13157</v>
      </c>
      <c r="BG547" s="8" t="s">
        <v>2135</v>
      </c>
      <c r="BH547" s="8" t="s">
        <v>2135</v>
      </c>
      <c r="BI547" s="8">
        <v>12.0</v>
      </c>
      <c r="BJ547" s="8" t="s">
        <v>3351</v>
      </c>
      <c r="BK547" s="8" t="s">
        <v>3352</v>
      </c>
      <c r="BL547" s="8" t="s">
        <v>3353</v>
      </c>
      <c r="BM547" s="8" t="s">
        <v>11758</v>
      </c>
      <c r="BN547" s="8">
        <v>2.9935028E7</v>
      </c>
      <c r="BO547" s="8" t="s">
        <v>3583</v>
      </c>
      <c r="BP547" s="8" t="s">
        <v>2135</v>
      </c>
      <c r="BQ547" s="8" t="s">
        <v>2135</v>
      </c>
      <c r="BR547" s="8" t="s">
        <v>3355</v>
      </c>
      <c r="BS547" s="8" t="s">
        <v>11759</v>
      </c>
      <c r="BU547" s="8" t="s">
        <v>2142</v>
      </c>
      <c r="BW547" s="8" t="s">
        <v>2218</v>
      </c>
      <c r="BZ547" s="8" t="str">
        <f>HYPERLINK("https%3A%2F%2Fwww.webofscience.com%2Fwos%2Fwoscc%2Ffull-record%2FWOS:000449856900008","View Full Record in Web of Science")</f>
        <v>View Full Record in Web of Science</v>
      </c>
    </row>
    <row r="548" ht="12.75" customHeight="1">
      <c r="A548" s="8" t="s">
        <v>3329</v>
      </c>
      <c r="B548" s="8" t="s">
        <v>11760</v>
      </c>
      <c r="C548" s="8" t="s">
        <v>2135</v>
      </c>
      <c r="D548" s="8" t="s">
        <v>2135</v>
      </c>
      <c r="E548" s="8" t="s">
        <v>2135</v>
      </c>
      <c r="F548" s="8" t="s">
        <v>11761</v>
      </c>
      <c r="G548" s="8" t="s">
        <v>2135</v>
      </c>
      <c r="H548" s="8" t="s">
        <v>2135</v>
      </c>
      <c r="I548" s="8" t="s">
        <v>1531</v>
      </c>
      <c r="J548" s="8" t="s">
        <v>5135</v>
      </c>
      <c r="K548" s="8" t="s">
        <v>2135</v>
      </c>
      <c r="L548" s="8" t="s">
        <v>2135</v>
      </c>
      <c r="M548" s="8" t="s">
        <v>3332</v>
      </c>
      <c r="N548" s="8" t="s">
        <v>10759</v>
      </c>
      <c r="O548" s="8" t="s">
        <v>2135</v>
      </c>
      <c r="P548" s="8" t="s">
        <v>2135</v>
      </c>
      <c r="Q548" s="8" t="s">
        <v>2135</v>
      </c>
      <c r="R548" s="8" t="s">
        <v>2135</v>
      </c>
      <c r="S548" s="8" t="s">
        <v>2135</v>
      </c>
      <c r="T548" s="8" t="s">
        <v>2135</v>
      </c>
      <c r="U548" s="8" t="s">
        <v>11762</v>
      </c>
      <c r="V548" s="8" t="s">
        <v>2135</v>
      </c>
      <c r="W548" s="8" t="s">
        <v>11763</v>
      </c>
      <c r="X548" s="8" t="s">
        <v>11764</v>
      </c>
      <c r="Y548" s="8" t="s">
        <v>11765</v>
      </c>
      <c r="Z548" s="8" t="s">
        <v>5446</v>
      </c>
      <c r="AA548" s="8" t="s">
        <v>2135</v>
      </c>
      <c r="AB548" s="8" t="s">
        <v>2135</v>
      </c>
      <c r="AC548" s="8" t="s">
        <v>2135</v>
      </c>
      <c r="AD548" s="8" t="s">
        <v>2135</v>
      </c>
      <c r="AE548" s="8" t="s">
        <v>2135</v>
      </c>
      <c r="AF548" s="8" t="s">
        <v>2135</v>
      </c>
      <c r="AG548" s="8">
        <v>15.0</v>
      </c>
      <c r="AH548" s="8">
        <v>7.0</v>
      </c>
      <c r="AI548" s="8">
        <v>7.0</v>
      </c>
      <c r="AJ548" s="8">
        <v>0.0</v>
      </c>
      <c r="AK548" s="8">
        <v>12.0</v>
      </c>
      <c r="AL548" s="8" t="s">
        <v>3479</v>
      </c>
      <c r="AM548" s="8" t="s">
        <v>4500</v>
      </c>
      <c r="AN548" s="8" t="s">
        <v>4501</v>
      </c>
      <c r="AO548" s="8" t="s">
        <v>5148</v>
      </c>
      <c r="AP548" s="8" t="s">
        <v>5149</v>
      </c>
      <c r="AQ548" s="8" t="s">
        <v>2135</v>
      </c>
      <c r="AR548" s="8" t="s">
        <v>5150</v>
      </c>
      <c r="AS548" s="8" t="s">
        <v>5151</v>
      </c>
      <c r="AT548" s="8" t="s">
        <v>3629</v>
      </c>
      <c r="AU548" s="8">
        <v>2018.0</v>
      </c>
      <c r="AV548" s="8">
        <v>27.0</v>
      </c>
      <c r="AW548" s="8">
        <v>1.0</v>
      </c>
      <c r="AX548" s="8" t="s">
        <v>2135</v>
      </c>
      <c r="AY548" s="8" t="s">
        <v>2135</v>
      </c>
      <c r="AZ548" s="8" t="s">
        <v>2135</v>
      </c>
      <c r="BA548" s="8" t="s">
        <v>2135</v>
      </c>
      <c r="BB548" s="8">
        <v>269.0</v>
      </c>
      <c r="BC548" s="8">
        <v>271.0</v>
      </c>
      <c r="BD548" s="8" t="s">
        <v>2135</v>
      </c>
      <c r="BE548" s="8" t="s">
        <v>11766</v>
      </c>
      <c r="BF548" s="13" t="str">
        <f>HYPERLINK("http://dx.doi.org/10.1007/s10531-017-1419-4","http://dx.doi.org/10.1007/s10531-017-1419-4")</f>
        <v>http://dx.doi.org/10.1007/s10531-017-1419-4</v>
      </c>
      <c r="BG548" s="8" t="s">
        <v>2135</v>
      </c>
      <c r="BH548" s="8" t="s">
        <v>2135</v>
      </c>
      <c r="BI548" s="8">
        <v>3.0</v>
      </c>
      <c r="BJ548" s="8" t="s">
        <v>3351</v>
      </c>
      <c r="BK548" s="8" t="s">
        <v>3352</v>
      </c>
      <c r="BL548" s="8" t="s">
        <v>3353</v>
      </c>
      <c r="BM548" s="8" t="s">
        <v>11767</v>
      </c>
      <c r="BN548" s="8" t="s">
        <v>2135</v>
      </c>
      <c r="BO548" s="8" t="s">
        <v>2135</v>
      </c>
      <c r="BP548" s="8" t="s">
        <v>2135</v>
      </c>
      <c r="BQ548" s="8" t="s">
        <v>2135</v>
      </c>
      <c r="BR548" s="8" t="s">
        <v>3355</v>
      </c>
      <c r="BS548" s="8" t="s">
        <v>11768</v>
      </c>
      <c r="BU548" s="8" t="s">
        <v>2142</v>
      </c>
      <c r="BW548" s="8" t="s">
        <v>2168</v>
      </c>
      <c r="BZ548" s="8" t="str">
        <f>HYPERLINK("https%3A%2F%2Fwww.webofscience.com%2Fwos%2Fwoscc%2Ffull-record%2FWOS:000419149800015","View Full Record in Web of Science")</f>
        <v>View Full Record in Web of Science</v>
      </c>
    </row>
    <row r="549" ht="12.75" customHeight="1">
      <c r="A549" s="8" t="s">
        <v>3329</v>
      </c>
      <c r="B549" s="8" t="s">
        <v>11769</v>
      </c>
      <c r="C549" s="8" t="s">
        <v>2135</v>
      </c>
      <c r="D549" s="8" t="s">
        <v>2135</v>
      </c>
      <c r="E549" s="8" t="s">
        <v>2135</v>
      </c>
      <c r="F549" s="8" t="s">
        <v>11770</v>
      </c>
      <c r="G549" s="8" t="s">
        <v>2135</v>
      </c>
      <c r="H549" s="8" t="s">
        <v>2135</v>
      </c>
      <c r="I549" s="8" t="s">
        <v>1529</v>
      </c>
      <c r="J549" s="8" t="s">
        <v>3380</v>
      </c>
      <c r="K549" s="8" t="s">
        <v>2135</v>
      </c>
      <c r="L549" s="8" t="s">
        <v>2135</v>
      </c>
      <c r="M549" s="8" t="s">
        <v>3332</v>
      </c>
      <c r="N549" s="8" t="s">
        <v>3333</v>
      </c>
      <c r="O549" s="8" t="s">
        <v>2135</v>
      </c>
      <c r="P549" s="8" t="s">
        <v>2135</v>
      </c>
      <c r="Q549" s="8" t="s">
        <v>2135</v>
      </c>
      <c r="R549" s="8" t="s">
        <v>2135</v>
      </c>
      <c r="S549" s="8" t="s">
        <v>2135</v>
      </c>
      <c r="T549" s="8" t="s">
        <v>11771</v>
      </c>
      <c r="U549" s="8" t="s">
        <v>11772</v>
      </c>
      <c r="V549" s="8" t="s">
        <v>11773</v>
      </c>
      <c r="W549" s="8" t="s">
        <v>11774</v>
      </c>
      <c r="X549" s="8" t="s">
        <v>11775</v>
      </c>
      <c r="Y549" s="8" t="s">
        <v>11776</v>
      </c>
      <c r="Z549" s="8" t="s">
        <v>11777</v>
      </c>
      <c r="AA549" s="8" t="s">
        <v>11778</v>
      </c>
      <c r="AB549" s="8" t="s">
        <v>11779</v>
      </c>
      <c r="AC549" s="8" t="s">
        <v>2135</v>
      </c>
      <c r="AD549" s="8" t="s">
        <v>2135</v>
      </c>
      <c r="AE549" s="8" t="s">
        <v>2135</v>
      </c>
      <c r="AF549" s="8" t="s">
        <v>2135</v>
      </c>
      <c r="AG549" s="8">
        <v>68.0</v>
      </c>
      <c r="AH549" s="8">
        <v>3.0</v>
      </c>
      <c r="AI549" s="8">
        <v>4.0</v>
      </c>
      <c r="AJ549" s="8">
        <v>0.0</v>
      </c>
      <c r="AK549" s="8">
        <v>42.0</v>
      </c>
      <c r="AL549" s="8" t="s">
        <v>3921</v>
      </c>
      <c r="AM549" s="8" t="s">
        <v>3922</v>
      </c>
      <c r="AN549" s="8" t="s">
        <v>3923</v>
      </c>
      <c r="AO549" s="8" t="s">
        <v>3392</v>
      </c>
      <c r="AP549" s="8" t="s">
        <v>4022</v>
      </c>
      <c r="AQ549" s="8" t="s">
        <v>2135</v>
      </c>
      <c r="AR549" s="8" t="s">
        <v>3393</v>
      </c>
      <c r="AS549" s="8" t="s">
        <v>3394</v>
      </c>
      <c r="AT549" s="8" t="s">
        <v>11780</v>
      </c>
      <c r="AU549" s="8">
        <v>2017.0</v>
      </c>
      <c r="AV549" s="8">
        <v>98.0</v>
      </c>
      <c r="AW549" s="8">
        <v>5.0</v>
      </c>
      <c r="AX549" s="8" t="s">
        <v>2135</v>
      </c>
      <c r="AY549" s="8" t="s">
        <v>2135</v>
      </c>
      <c r="AZ549" s="8" t="s">
        <v>2135</v>
      </c>
      <c r="BA549" s="8" t="s">
        <v>2135</v>
      </c>
      <c r="BB549" s="8">
        <v>1489.0</v>
      </c>
      <c r="BC549" s="8">
        <v>1496.0</v>
      </c>
      <c r="BD549" s="8" t="s">
        <v>2135</v>
      </c>
      <c r="BE549" s="8" t="s">
        <v>11781</v>
      </c>
      <c r="BF549" s="13" t="str">
        <f>HYPERLINK("http://dx.doi.org/10.1093/jmammal/gyx075","http://dx.doi.org/10.1093/jmammal/gyx075")</f>
        <v>http://dx.doi.org/10.1093/jmammal/gyx075</v>
      </c>
      <c r="BG549" s="8" t="s">
        <v>2135</v>
      </c>
      <c r="BH549" s="8" t="s">
        <v>2135</v>
      </c>
      <c r="BI549" s="8">
        <v>8.0</v>
      </c>
      <c r="BJ549" s="8" t="s">
        <v>3397</v>
      </c>
      <c r="BK549" s="8" t="s">
        <v>3352</v>
      </c>
      <c r="BL549" s="8" t="s">
        <v>3397</v>
      </c>
      <c r="BM549" s="8" t="s">
        <v>11782</v>
      </c>
      <c r="BN549" s="8" t="s">
        <v>2135</v>
      </c>
      <c r="BO549" s="8" t="s">
        <v>3445</v>
      </c>
      <c r="BP549" s="8" t="s">
        <v>2135</v>
      </c>
      <c r="BQ549" s="8" t="s">
        <v>2135</v>
      </c>
      <c r="BR549" s="8" t="s">
        <v>3355</v>
      </c>
      <c r="BS549" s="8" t="s">
        <v>11783</v>
      </c>
      <c r="BT549" s="8" t="s">
        <v>2600</v>
      </c>
      <c r="BU549" s="8" t="s">
        <v>2147</v>
      </c>
      <c r="BV549" s="8" t="s">
        <v>2217</v>
      </c>
      <c r="BW549" s="8" t="s">
        <v>2221</v>
      </c>
      <c r="BZ549" s="8" t="str">
        <f>HYPERLINK("https%3A%2F%2Fwww.webofscience.com%2Fwos%2Fwoscc%2Ffull-record%2FWOS:000412166100026","View Full Record in Web of Science")</f>
        <v>View Full Record in Web of Science</v>
      </c>
    </row>
    <row r="550" ht="12.75" customHeight="1">
      <c r="A550" s="8" t="s">
        <v>3329</v>
      </c>
      <c r="B550" s="8" t="s">
        <v>11784</v>
      </c>
      <c r="C550" s="8" t="s">
        <v>2135</v>
      </c>
      <c r="D550" s="8" t="s">
        <v>2135</v>
      </c>
      <c r="E550" s="8" t="s">
        <v>2135</v>
      </c>
      <c r="F550" s="8" t="s">
        <v>11785</v>
      </c>
      <c r="G550" s="8" t="s">
        <v>2135</v>
      </c>
      <c r="H550" s="8" t="s">
        <v>2135</v>
      </c>
      <c r="I550" s="8" t="s">
        <v>1525</v>
      </c>
      <c r="J550" s="8" t="s">
        <v>5399</v>
      </c>
      <c r="K550" s="8" t="s">
        <v>2135</v>
      </c>
      <c r="L550" s="8" t="s">
        <v>2135</v>
      </c>
      <c r="M550" s="8" t="s">
        <v>3332</v>
      </c>
      <c r="N550" s="8" t="s">
        <v>3333</v>
      </c>
      <c r="O550" s="8" t="s">
        <v>2135</v>
      </c>
      <c r="P550" s="8" t="s">
        <v>2135</v>
      </c>
      <c r="Q550" s="8" t="s">
        <v>2135</v>
      </c>
      <c r="R550" s="8" t="s">
        <v>2135</v>
      </c>
      <c r="S550" s="8" t="s">
        <v>2135</v>
      </c>
      <c r="T550" s="8" t="s">
        <v>11786</v>
      </c>
      <c r="U550" s="8" t="s">
        <v>11787</v>
      </c>
      <c r="V550" s="8" t="s">
        <v>11788</v>
      </c>
      <c r="W550" s="8" t="s">
        <v>11789</v>
      </c>
      <c r="X550" s="8" t="s">
        <v>11790</v>
      </c>
      <c r="Y550" s="8" t="s">
        <v>11791</v>
      </c>
      <c r="Z550" s="8" t="s">
        <v>11792</v>
      </c>
      <c r="AA550" s="8" t="s">
        <v>10897</v>
      </c>
      <c r="AB550" s="8" t="s">
        <v>11793</v>
      </c>
      <c r="AC550" s="8" t="s">
        <v>11794</v>
      </c>
      <c r="AD550" s="8" t="s">
        <v>11795</v>
      </c>
      <c r="AE550" s="8" t="s">
        <v>11796</v>
      </c>
      <c r="AF550" s="8" t="s">
        <v>2135</v>
      </c>
      <c r="AG550" s="8">
        <v>106.0</v>
      </c>
      <c r="AH550" s="8">
        <v>28.0</v>
      </c>
      <c r="AI550" s="8">
        <v>37.0</v>
      </c>
      <c r="AJ550" s="8">
        <v>0.0</v>
      </c>
      <c r="AK550" s="8">
        <v>40.0</v>
      </c>
      <c r="AL550" s="8" t="s">
        <v>3342</v>
      </c>
      <c r="AM550" s="8" t="s">
        <v>3343</v>
      </c>
      <c r="AN550" s="8" t="s">
        <v>3344</v>
      </c>
      <c r="AO550" s="8" t="s">
        <v>5412</v>
      </c>
      <c r="AP550" s="8" t="s">
        <v>2135</v>
      </c>
      <c r="AQ550" s="8" t="s">
        <v>2135</v>
      </c>
      <c r="AR550" s="8" t="s">
        <v>5399</v>
      </c>
      <c r="AS550" s="8" t="s">
        <v>5413</v>
      </c>
      <c r="AT550" s="8" t="s">
        <v>3580</v>
      </c>
      <c r="AU550" s="8">
        <v>2016.0</v>
      </c>
      <c r="AV550" s="8">
        <v>7.0</v>
      </c>
      <c r="AW550" s="8">
        <v>10.0</v>
      </c>
      <c r="AX550" s="8" t="s">
        <v>2135</v>
      </c>
      <c r="AY550" s="8" t="s">
        <v>2135</v>
      </c>
      <c r="AZ550" s="8" t="s">
        <v>2135</v>
      </c>
      <c r="BA550" s="8" t="s">
        <v>2135</v>
      </c>
      <c r="BB550" s="8" t="s">
        <v>2135</v>
      </c>
      <c r="BC550" s="8" t="s">
        <v>2135</v>
      </c>
      <c r="BD550" s="8" t="s">
        <v>2135</v>
      </c>
      <c r="BE550" s="8" t="s">
        <v>11797</v>
      </c>
      <c r="BF550" s="13" t="str">
        <f>HYPERLINK("http://dx.doi.org/10.1002/ecs2.1489","http://dx.doi.org/10.1002/ecs2.1489")</f>
        <v>http://dx.doi.org/10.1002/ecs2.1489</v>
      </c>
      <c r="BG550" s="8" t="s">
        <v>2135</v>
      </c>
      <c r="BH550" s="8" t="s">
        <v>2135</v>
      </c>
      <c r="BI550" s="8">
        <v>20.0</v>
      </c>
      <c r="BJ550" s="8" t="s">
        <v>3681</v>
      </c>
      <c r="BK550" s="8" t="s">
        <v>3352</v>
      </c>
      <c r="BL550" s="8" t="s">
        <v>3632</v>
      </c>
      <c r="BM550" s="8" t="s">
        <v>11798</v>
      </c>
      <c r="BN550" s="8" t="s">
        <v>2135</v>
      </c>
      <c r="BO550" s="8" t="s">
        <v>5131</v>
      </c>
      <c r="BP550" s="8" t="s">
        <v>2135</v>
      </c>
      <c r="BQ550" s="8" t="s">
        <v>2135</v>
      </c>
      <c r="BR550" s="8" t="s">
        <v>3355</v>
      </c>
      <c r="BS550" s="8" t="s">
        <v>11799</v>
      </c>
      <c r="BT550" s="8" t="s">
        <v>2600</v>
      </c>
      <c r="BU550" s="8" t="s">
        <v>2147</v>
      </c>
      <c r="BV550" s="8" t="s">
        <v>2217</v>
      </c>
      <c r="BW550" s="8" t="s">
        <v>2237</v>
      </c>
      <c r="BZ550" s="8" t="str">
        <f>HYPERLINK("https%3A%2F%2Fwww.webofscience.com%2Fwos%2Fwoscc%2Ffull-record%2FWOS:000387216300028","View Full Record in Web of Science")</f>
        <v>View Full Record in Web of Science</v>
      </c>
    </row>
    <row r="551" ht="12.75" customHeight="1">
      <c r="A551" s="8" t="s">
        <v>3329</v>
      </c>
      <c r="B551" s="8" t="s">
        <v>11800</v>
      </c>
      <c r="C551" s="8" t="s">
        <v>2135</v>
      </c>
      <c r="D551" s="8" t="s">
        <v>2135</v>
      </c>
      <c r="E551" s="8" t="s">
        <v>2135</v>
      </c>
      <c r="F551" s="8" t="s">
        <v>11801</v>
      </c>
      <c r="G551" s="8" t="s">
        <v>2135</v>
      </c>
      <c r="H551" s="8" t="s">
        <v>2135</v>
      </c>
      <c r="I551" s="8" t="s">
        <v>1527</v>
      </c>
      <c r="J551" s="8" t="s">
        <v>4546</v>
      </c>
      <c r="K551" s="8" t="s">
        <v>2135</v>
      </c>
      <c r="L551" s="8" t="s">
        <v>2135</v>
      </c>
      <c r="M551" s="8" t="s">
        <v>3332</v>
      </c>
      <c r="N551" s="8" t="s">
        <v>3333</v>
      </c>
      <c r="O551" s="8" t="s">
        <v>2135</v>
      </c>
      <c r="P551" s="8" t="s">
        <v>2135</v>
      </c>
      <c r="Q551" s="8" t="s">
        <v>2135</v>
      </c>
      <c r="R551" s="8" t="s">
        <v>2135</v>
      </c>
      <c r="S551" s="8" t="s">
        <v>2135</v>
      </c>
      <c r="T551" s="8" t="s">
        <v>2135</v>
      </c>
      <c r="U551" s="8" t="s">
        <v>11802</v>
      </c>
      <c r="V551" s="8" t="s">
        <v>2135</v>
      </c>
      <c r="W551" s="8" t="s">
        <v>11803</v>
      </c>
      <c r="X551" s="8" t="s">
        <v>11804</v>
      </c>
      <c r="Y551" s="8" t="s">
        <v>11805</v>
      </c>
      <c r="Z551" s="8" t="s">
        <v>11806</v>
      </c>
      <c r="AA551" s="8" t="s">
        <v>11807</v>
      </c>
      <c r="AB551" s="8" t="s">
        <v>2135</v>
      </c>
      <c r="AC551" s="8" t="s">
        <v>11808</v>
      </c>
      <c r="AD551" s="8" t="s">
        <v>11809</v>
      </c>
      <c r="AE551" s="8" t="s">
        <v>11810</v>
      </c>
      <c r="AF551" s="8" t="s">
        <v>2135</v>
      </c>
      <c r="AG551" s="8">
        <v>27.0</v>
      </c>
      <c r="AH551" s="8">
        <v>5.0</v>
      </c>
      <c r="AI551" s="8">
        <v>5.0</v>
      </c>
      <c r="AJ551" s="8">
        <v>0.0</v>
      </c>
      <c r="AK551" s="8">
        <v>29.0</v>
      </c>
      <c r="AL551" s="8" t="s">
        <v>4033</v>
      </c>
      <c r="AM551" s="8" t="s">
        <v>3343</v>
      </c>
      <c r="AN551" s="8" t="s">
        <v>3344</v>
      </c>
      <c r="AO551" s="8" t="s">
        <v>4554</v>
      </c>
      <c r="AP551" s="8" t="s">
        <v>4555</v>
      </c>
      <c r="AQ551" s="8" t="s">
        <v>2135</v>
      </c>
      <c r="AR551" s="8" t="s">
        <v>4556</v>
      </c>
      <c r="AS551" s="8" t="s">
        <v>4557</v>
      </c>
      <c r="AT551" s="8" t="s">
        <v>3556</v>
      </c>
      <c r="AU551" s="8">
        <v>2016.0</v>
      </c>
      <c r="AV551" s="8">
        <v>32.0</v>
      </c>
      <c r="AW551" s="8">
        <v>2.0</v>
      </c>
      <c r="AX551" s="8" t="s">
        <v>2135</v>
      </c>
      <c r="AY551" s="8" t="s">
        <v>2135</v>
      </c>
      <c r="AZ551" s="8" t="s">
        <v>2135</v>
      </c>
      <c r="BA551" s="8" t="s">
        <v>2135</v>
      </c>
      <c r="BB551" s="8">
        <v>753.0</v>
      </c>
      <c r="BC551" s="8">
        <v>764.0</v>
      </c>
      <c r="BD551" s="8" t="s">
        <v>2135</v>
      </c>
      <c r="BE551" s="8" t="s">
        <v>11811</v>
      </c>
      <c r="BF551" s="13" t="str">
        <f>HYPERLINK("http://dx.doi.org/10.1111/mms.12275","http://dx.doi.org/10.1111/mms.12275")</f>
        <v>http://dx.doi.org/10.1111/mms.12275</v>
      </c>
      <c r="BG551" s="8" t="s">
        <v>2135</v>
      </c>
      <c r="BH551" s="8" t="s">
        <v>2135</v>
      </c>
      <c r="BI551" s="8">
        <v>12.0</v>
      </c>
      <c r="BJ551" s="8" t="s">
        <v>4559</v>
      </c>
      <c r="BK551" s="8" t="s">
        <v>3352</v>
      </c>
      <c r="BL551" s="8" t="s">
        <v>4559</v>
      </c>
      <c r="BM551" s="8" t="s">
        <v>11812</v>
      </c>
      <c r="BN551" s="8" t="s">
        <v>2135</v>
      </c>
      <c r="BO551" s="8" t="s">
        <v>2135</v>
      </c>
      <c r="BP551" s="8" t="s">
        <v>2135</v>
      </c>
      <c r="BQ551" s="8" t="s">
        <v>2135</v>
      </c>
      <c r="BR551" s="8" t="s">
        <v>3355</v>
      </c>
      <c r="BS551" s="8" t="s">
        <v>11813</v>
      </c>
      <c r="BT551" s="8" t="s">
        <v>2600</v>
      </c>
      <c r="BU551" s="8" t="s">
        <v>2147</v>
      </c>
      <c r="BV551" s="8" t="s">
        <v>2217</v>
      </c>
      <c r="BW551" s="8" t="s">
        <v>2237</v>
      </c>
      <c r="BZ551" s="8" t="str">
        <f>HYPERLINK("https%3A%2F%2Fwww.webofscience.com%2Fwos%2Fwoscc%2Ffull-record%2FWOS:000374349200018","View Full Record in Web of Science")</f>
        <v>View Full Record in Web of Science</v>
      </c>
    </row>
    <row r="552" ht="12.75" customHeight="1">
      <c r="A552" s="8" t="s">
        <v>3329</v>
      </c>
      <c r="B552" s="8" t="s">
        <v>11814</v>
      </c>
      <c r="C552" s="8" t="s">
        <v>2135</v>
      </c>
      <c r="D552" s="8" t="s">
        <v>2135</v>
      </c>
      <c r="E552" s="8" t="s">
        <v>2135</v>
      </c>
      <c r="F552" s="8" t="s">
        <v>11815</v>
      </c>
      <c r="G552" s="8" t="s">
        <v>2135</v>
      </c>
      <c r="H552" s="8" t="s">
        <v>2135</v>
      </c>
      <c r="I552" s="8" t="s">
        <v>1521</v>
      </c>
      <c r="J552" s="8" t="s">
        <v>3941</v>
      </c>
      <c r="K552" s="8" t="s">
        <v>2135</v>
      </c>
      <c r="L552" s="8" t="s">
        <v>2135</v>
      </c>
      <c r="M552" s="8" t="s">
        <v>3332</v>
      </c>
      <c r="N552" s="8" t="s">
        <v>3333</v>
      </c>
      <c r="O552" s="8" t="s">
        <v>2135</v>
      </c>
      <c r="P552" s="8" t="s">
        <v>2135</v>
      </c>
      <c r="Q552" s="8" t="s">
        <v>2135</v>
      </c>
      <c r="R552" s="8" t="s">
        <v>2135</v>
      </c>
      <c r="S552" s="8" t="s">
        <v>2135</v>
      </c>
      <c r="T552" s="8" t="s">
        <v>11816</v>
      </c>
      <c r="U552" s="8" t="s">
        <v>11817</v>
      </c>
      <c r="V552" s="8" t="s">
        <v>11818</v>
      </c>
      <c r="W552" s="8" t="s">
        <v>11819</v>
      </c>
      <c r="X552" s="8" t="s">
        <v>11820</v>
      </c>
      <c r="Y552" s="8" t="s">
        <v>11821</v>
      </c>
      <c r="Z552" s="8" t="s">
        <v>11822</v>
      </c>
      <c r="AA552" s="8" t="s">
        <v>11823</v>
      </c>
      <c r="AB552" s="8" t="s">
        <v>11824</v>
      </c>
      <c r="AC552" s="8" t="s">
        <v>11825</v>
      </c>
      <c r="AD552" s="8" t="s">
        <v>11826</v>
      </c>
      <c r="AE552" s="8" t="s">
        <v>11827</v>
      </c>
      <c r="AF552" s="8" t="s">
        <v>2135</v>
      </c>
      <c r="AG552" s="8">
        <v>109.0</v>
      </c>
      <c r="AH552" s="8">
        <v>52.0</v>
      </c>
      <c r="AI552" s="8">
        <v>57.0</v>
      </c>
      <c r="AJ552" s="8">
        <v>2.0</v>
      </c>
      <c r="AK552" s="8">
        <v>124.0</v>
      </c>
      <c r="AL552" s="8" t="s">
        <v>3921</v>
      </c>
      <c r="AM552" s="8" t="s">
        <v>3922</v>
      </c>
      <c r="AN552" s="8" t="s">
        <v>3923</v>
      </c>
      <c r="AO552" s="8" t="s">
        <v>3953</v>
      </c>
      <c r="AP552" s="8" t="s">
        <v>3954</v>
      </c>
      <c r="AQ552" s="8" t="s">
        <v>2135</v>
      </c>
      <c r="AR552" s="8" t="s">
        <v>3955</v>
      </c>
      <c r="AS552" s="8" t="s">
        <v>3956</v>
      </c>
      <c r="AT552" s="8" t="s">
        <v>9740</v>
      </c>
      <c r="AU552" s="8">
        <v>2015.0</v>
      </c>
      <c r="AV552" s="8">
        <v>106.0</v>
      </c>
      <c r="AW552" s="8">
        <v>5.0</v>
      </c>
      <c r="AX552" s="8" t="s">
        <v>2135</v>
      </c>
      <c r="AY552" s="8" t="s">
        <v>2135</v>
      </c>
      <c r="AZ552" s="8" t="s">
        <v>2135</v>
      </c>
      <c r="BA552" s="8" t="s">
        <v>2135</v>
      </c>
      <c r="BB552" s="8">
        <v>581.0</v>
      </c>
      <c r="BC552" s="8">
        <v>592.0</v>
      </c>
      <c r="BD552" s="8" t="s">
        <v>2135</v>
      </c>
      <c r="BE552" s="8" t="s">
        <v>11828</v>
      </c>
      <c r="BF552" s="13" t="str">
        <f>HYPERLINK("http://dx.doi.org/10.1093/jhered/esv041","http://dx.doi.org/10.1093/jhered/esv041")</f>
        <v>http://dx.doi.org/10.1093/jhered/esv041</v>
      </c>
      <c r="BG552" s="8" t="s">
        <v>2135</v>
      </c>
      <c r="BH552" s="8" t="s">
        <v>2135</v>
      </c>
      <c r="BI552" s="8">
        <v>12.0</v>
      </c>
      <c r="BJ552" s="8" t="s">
        <v>3958</v>
      </c>
      <c r="BK552" s="8" t="s">
        <v>3352</v>
      </c>
      <c r="BL552" s="8" t="s">
        <v>3958</v>
      </c>
      <c r="BM552" s="8" t="s">
        <v>11829</v>
      </c>
      <c r="BN552" s="8">
        <v>2.6304983E7</v>
      </c>
      <c r="BO552" s="8" t="s">
        <v>3560</v>
      </c>
      <c r="BP552" s="8" t="s">
        <v>2135</v>
      </c>
      <c r="BQ552" s="8" t="s">
        <v>2135</v>
      </c>
      <c r="BR552" s="8" t="s">
        <v>3355</v>
      </c>
      <c r="BS552" s="8" t="s">
        <v>11830</v>
      </c>
      <c r="BT552" s="8" t="s">
        <v>2600</v>
      </c>
      <c r="BU552" s="8" t="s">
        <v>2147</v>
      </c>
      <c r="BV552" s="8" t="s">
        <v>2217</v>
      </c>
      <c r="BW552" s="8" t="s">
        <v>2601</v>
      </c>
      <c r="BZ552" s="8" t="str">
        <f>HYPERLINK("https%3A%2F%2Fwww.webofscience.com%2Fwos%2Fwoscc%2Ffull-record%2FWOS:000361764100001","View Full Record in Web of Science")</f>
        <v>View Full Record in Web of Science</v>
      </c>
    </row>
    <row r="553" ht="12.75" customHeight="1">
      <c r="A553" s="8" t="s">
        <v>3329</v>
      </c>
      <c r="B553" s="8" t="s">
        <v>11831</v>
      </c>
      <c r="C553" s="8" t="s">
        <v>2135</v>
      </c>
      <c r="D553" s="8" t="s">
        <v>2135</v>
      </c>
      <c r="E553" s="8" t="s">
        <v>2135</v>
      </c>
      <c r="F553" s="8" t="s">
        <v>11832</v>
      </c>
      <c r="G553" s="8" t="s">
        <v>2135</v>
      </c>
      <c r="H553" s="8" t="s">
        <v>2135</v>
      </c>
      <c r="I553" s="8" t="s">
        <v>1519</v>
      </c>
      <c r="J553" s="8" t="s">
        <v>11833</v>
      </c>
      <c r="K553" s="8" t="s">
        <v>2135</v>
      </c>
      <c r="L553" s="8" t="s">
        <v>2135</v>
      </c>
      <c r="M553" s="8" t="s">
        <v>3332</v>
      </c>
      <c r="N553" s="8" t="s">
        <v>3333</v>
      </c>
      <c r="O553" s="8" t="s">
        <v>2135</v>
      </c>
      <c r="P553" s="8" t="s">
        <v>2135</v>
      </c>
      <c r="Q553" s="8" t="s">
        <v>2135</v>
      </c>
      <c r="R553" s="8" t="s">
        <v>2135</v>
      </c>
      <c r="S553" s="8" t="s">
        <v>2135</v>
      </c>
      <c r="T553" s="8" t="s">
        <v>2135</v>
      </c>
      <c r="U553" s="8" t="s">
        <v>11834</v>
      </c>
      <c r="V553" s="8" t="s">
        <v>11835</v>
      </c>
      <c r="W553" s="8" t="s">
        <v>11836</v>
      </c>
      <c r="X553" s="8" t="s">
        <v>11837</v>
      </c>
      <c r="Y553" s="8" t="s">
        <v>11838</v>
      </c>
      <c r="Z553" s="8" t="s">
        <v>11839</v>
      </c>
      <c r="AA553" s="8" t="s">
        <v>11840</v>
      </c>
      <c r="AB553" s="8" t="s">
        <v>11841</v>
      </c>
      <c r="AC553" s="8" t="s">
        <v>11842</v>
      </c>
      <c r="AD553" s="8" t="s">
        <v>11843</v>
      </c>
      <c r="AE553" s="8" t="s">
        <v>11844</v>
      </c>
      <c r="AF553" s="8" t="s">
        <v>2135</v>
      </c>
      <c r="AG553" s="8">
        <v>86.0</v>
      </c>
      <c r="AH553" s="8">
        <v>23.0</v>
      </c>
      <c r="AI553" s="8">
        <v>23.0</v>
      </c>
      <c r="AJ553" s="8">
        <v>0.0</v>
      </c>
      <c r="AK553" s="8">
        <v>53.0</v>
      </c>
      <c r="AL553" s="8" t="s">
        <v>8577</v>
      </c>
      <c r="AM553" s="8" t="s">
        <v>3624</v>
      </c>
      <c r="AN553" s="8" t="s">
        <v>8578</v>
      </c>
      <c r="AO553" s="8" t="s">
        <v>11845</v>
      </c>
      <c r="AP553" s="8" t="s">
        <v>2135</v>
      </c>
      <c r="AQ553" s="8" t="s">
        <v>2135</v>
      </c>
      <c r="AR553" s="8" t="s">
        <v>11846</v>
      </c>
      <c r="AS553" s="8" t="s">
        <v>11847</v>
      </c>
      <c r="AT553" s="8" t="s">
        <v>11848</v>
      </c>
      <c r="AU553" s="8">
        <v>2015.0</v>
      </c>
      <c r="AV553" s="8">
        <v>15.0</v>
      </c>
      <c r="AW553" s="8" t="s">
        <v>2135</v>
      </c>
      <c r="AX553" s="8" t="s">
        <v>2135</v>
      </c>
      <c r="AY553" s="8" t="s">
        <v>2135</v>
      </c>
      <c r="AZ553" s="8" t="s">
        <v>2135</v>
      </c>
      <c r="BA553" s="8" t="s">
        <v>2135</v>
      </c>
      <c r="BB553" s="8" t="s">
        <v>2135</v>
      </c>
      <c r="BC553" s="8" t="s">
        <v>2135</v>
      </c>
      <c r="BD553" s="8">
        <v>141.0</v>
      </c>
      <c r="BE553" s="8" t="s">
        <v>11849</v>
      </c>
      <c r="BF553" s="13" t="str">
        <f>HYPERLINK("http://dx.doi.org/10.1186/s12862-015-0427-9","http://dx.doi.org/10.1186/s12862-015-0427-9")</f>
        <v>http://dx.doi.org/10.1186/s12862-015-0427-9</v>
      </c>
      <c r="BG553" s="8" t="s">
        <v>2135</v>
      </c>
      <c r="BH553" s="8" t="s">
        <v>2135</v>
      </c>
      <c r="BI553" s="8">
        <v>15.0</v>
      </c>
      <c r="BJ553" s="8" t="s">
        <v>3958</v>
      </c>
      <c r="BK553" s="8" t="s">
        <v>3352</v>
      </c>
      <c r="BL553" s="8" t="s">
        <v>3958</v>
      </c>
      <c r="BM553" s="8" t="s">
        <v>11850</v>
      </c>
      <c r="BN553" s="8">
        <v>2.6183103E7</v>
      </c>
      <c r="BO553" s="8" t="s">
        <v>3659</v>
      </c>
      <c r="BP553" s="8" t="s">
        <v>2135</v>
      </c>
      <c r="BQ553" s="8" t="s">
        <v>2135</v>
      </c>
      <c r="BR553" s="8" t="s">
        <v>3355</v>
      </c>
      <c r="BS553" s="8" t="s">
        <v>11851</v>
      </c>
      <c r="BU553" s="8" t="s">
        <v>2142</v>
      </c>
      <c r="BW553" s="8" t="s">
        <v>2168</v>
      </c>
      <c r="BZ553" s="8" t="str">
        <f>HYPERLINK("https%3A%2F%2Fwww.webofscience.com%2Fwos%2Fwoscc%2Ffull-record%2FWOS:000357972000002","View Full Record in Web of Science")</f>
        <v>View Full Record in Web of Science</v>
      </c>
    </row>
    <row r="554" ht="12.75" customHeight="1">
      <c r="A554" s="8" t="s">
        <v>3329</v>
      </c>
      <c r="B554" s="8" t="s">
        <v>11852</v>
      </c>
      <c r="C554" s="8" t="s">
        <v>2135</v>
      </c>
      <c r="D554" s="8" t="s">
        <v>2135</v>
      </c>
      <c r="E554" s="8" t="s">
        <v>2135</v>
      </c>
      <c r="F554" s="8" t="s">
        <v>11853</v>
      </c>
      <c r="G554" s="8" t="s">
        <v>2135</v>
      </c>
      <c r="H554" s="8" t="s">
        <v>2135</v>
      </c>
      <c r="I554" s="8" t="s">
        <v>1523</v>
      </c>
      <c r="J554" s="8" t="s">
        <v>11854</v>
      </c>
      <c r="K554" s="8" t="s">
        <v>2135</v>
      </c>
      <c r="L554" s="8" t="s">
        <v>2135</v>
      </c>
      <c r="M554" s="8" t="s">
        <v>3332</v>
      </c>
      <c r="N554" s="8" t="s">
        <v>3333</v>
      </c>
      <c r="O554" s="8" t="s">
        <v>2135</v>
      </c>
      <c r="P554" s="8" t="s">
        <v>2135</v>
      </c>
      <c r="Q554" s="8" t="s">
        <v>2135</v>
      </c>
      <c r="R554" s="8" t="s">
        <v>2135</v>
      </c>
      <c r="S554" s="8" t="s">
        <v>2135</v>
      </c>
      <c r="T554" s="8" t="s">
        <v>11855</v>
      </c>
      <c r="U554" s="8" t="s">
        <v>11856</v>
      </c>
      <c r="V554" s="8" t="s">
        <v>11857</v>
      </c>
      <c r="W554" s="8" t="s">
        <v>11858</v>
      </c>
      <c r="X554" s="8" t="s">
        <v>11859</v>
      </c>
      <c r="Y554" s="8" t="s">
        <v>11860</v>
      </c>
      <c r="Z554" s="8" t="s">
        <v>11861</v>
      </c>
      <c r="AA554" s="8" t="s">
        <v>6617</v>
      </c>
      <c r="AB554" s="8" t="s">
        <v>6618</v>
      </c>
      <c r="AC554" s="8" t="s">
        <v>11862</v>
      </c>
      <c r="AD554" s="8" t="s">
        <v>11863</v>
      </c>
      <c r="AE554" s="8" t="s">
        <v>11864</v>
      </c>
      <c r="AF554" s="8" t="s">
        <v>2135</v>
      </c>
      <c r="AG554" s="8">
        <v>54.0</v>
      </c>
      <c r="AH554" s="8">
        <v>9.0</v>
      </c>
      <c r="AI554" s="8">
        <v>11.0</v>
      </c>
      <c r="AJ554" s="8">
        <v>0.0</v>
      </c>
      <c r="AK554" s="8">
        <v>68.0</v>
      </c>
      <c r="AL554" s="8" t="s">
        <v>3479</v>
      </c>
      <c r="AM554" s="8" t="s">
        <v>3480</v>
      </c>
      <c r="AN554" s="8" t="s">
        <v>3739</v>
      </c>
      <c r="AO554" s="8" t="s">
        <v>11865</v>
      </c>
      <c r="AP554" s="8" t="s">
        <v>11866</v>
      </c>
      <c r="AQ554" s="8" t="s">
        <v>2135</v>
      </c>
      <c r="AR554" s="8" t="s">
        <v>11854</v>
      </c>
      <c r="AS554" s="8" t="s">
        <v>11867</v>
      </c>
      <c r="AT554" s="8" t="s">
        <v>3721</v>
      </c>
      <c r="AU554" s="8">
        <v>2015.0</v>
      </c>
      <c r="AV554" s="8">
        <v>177.0</v>
      </c>
      <c r="AW554" s="8">
        <v>3.0</v>
      </c>
      <c r="AX554" s="8" t="s">
        <v>2135</v>
      </c>
      <c r="AY554" s="8" t="s">
        <v>2135</v>
      </c>
      <c r="AZ554" s="8" t="s">
        <v>2135</v>
      </c>
      <c r="BA554" s="8" t="s">
        <v>2135</v>
      </c>
      <c r="BB554" s="8">
        <v>645.0</v>
      </c>
      <c r="BC554" s="8">
        <v>655.0</v>
      </c>
      <c r="BD554" s="8" t="s">
        <v>2135</v>
      </c>
      <c r="BE554" s="8" t="s">
        <v>11868</v>
      </c>
      <c r="BF554" s="13" t="str">
        <f>HYPERLINK("http://dx.doi.org/10.1007/s00442-014-3149-6","http://dx.doi.org/10.1007/s00442-014-3149-6")</f>
        <v>http://dx.doi.org/10.1007/s00442-014-3149-6</v>
      </c>
      <c r="BG554" s="8" t="s">
        <v>2135</v>
      </c>
      <c r="BH554" s="8" t="s">
        <v>2135</v>
      </c>
      <c r="BI554" s="8">
        <v>11.0</v>
      </c>
      <c r="BJ554" s="8" t="s">
        <v>3681</v>
      </c>
      <c r="BK554" s="8" t="s">
        <v>3352</v>
      </c>
      <c r="BL554" s="8" t="s">
        <v>3632</v>
      </c>
      <c r="BM554" s="8" t="s">
        <v>11869</v>
      </c>
      <c r="BN554" s="8">
        <v>2.5416538E7</v>
      </c>
      <c r="BO554" s="8" t="s">
        <v>2135</v>
      </c>
      <c r="BP554" s="8" t="s">
        <v>2135</v>
      </c>
      <c r="BQ554" s="8" t="s">
        <v>2135</v>
      </c>
      <c r="BR554" s="8" t="s">
        <v>3355</v>
      </c>
      <c r="BS554" s="8" t="s">
        <v>11870</v>
      </c>
      <c r="BT554" s="8" t="s">
        <v>2600</v>
      </c>
      <c r="BU554" s="8" t="s">
        <v>2147</v>
      </c>
      <c r="BV554" s="8" t="s">
        <v>2217</v>
      </c>
      <c r="BW554" s="8" t="s">
        <v>2237</v>
      </c>
      <c r="BZ554" s="8" t="str">
        <f>HYPERLINK("https%3A%2F%2Fwww.webofscience.com%2Fwos%2Fwoscc%2Ffull-record%2FWOS:000350033500003","View Full Record in Web of Science")</f>
        <v>View Full Record in Web of Science</v>
      </c>
    </row>
    <row r="555" ht="12.75" customHeight="1">
      <c r="A555" s="8" t="s">
        <v>3329</v>
      </c>
      <c r="B555" s="8" t="s">
        <v>11871</v>
      </c>
      <c r="C555" s="8" t="s">
        <v>2135</v>
      </c>
      <c r="D555" s="8" t="s">
        <v>2135</v>
      </c>
      <c r="E555" s="8" t="s">
        <v>2135</v>
      </c>
      <c r="F555" s="8" t="s">
        <v>11872</v>
      </c>
      <c r="G555" s="8" t="s">
        <v>2135</v>
      </c>
      <c r="H555" s="8" t="s">
        <v>2135</v>
      </c>
      <c r="I555" s="8" t="s">
        <v>1515</v>
      </c>
      <c r="J555" s="8" t="s">
        <v>11873</v>
      </c>
      <c r="K555" s="8" t="s">
        <v>2135</v>
      </c>
      <c r="L555" s="8" t="s">
        <v>2135</v>
      </c>
      <c r="M555" s="8" t="s">
        <v>3332</v>
      </c>
      <c r="N555" s="8" t="s">
        <v>3333</v>
      </c>
      <c r="O555" s="8" t="s">
        <v>2135</v>
      </c>
      <c r="P555" s="8" t="s">
        <v>2135</v>
      </c>
      <c r="Q555" s="8" t="s">
        <v>2135</v>
      </c>
      <c r="R555" s="8" t="s">
        <v>2135</v>
      </c>
      <c r="S555" s="8" t="s">
        <v>2135</v>
      </c>
      <c r="T555" s="8" t="s">
        <v>2135</v>
      </c>
      <c r="U555" s="8" t="s">
        <v>11874</v>
      </c>
      <c r="V555" s="8" t="s">
        <v>11875</v>
      </c>
      <c r="W555" s="8" t="s">
        <v>11876</v>
      </c>
      <c r="X555" s="8" t="s">
        <v>11877</v>
      </c>
      <c r="Y555" s="8" t="s">
        <v>11878</v>
      </c>
      <c r="Z555" s="8" t="s">
        <v>11879</v>
      </c>
      <c r="AA555" s="8" t="s">
        <v>11880</v>
      </c>
      <c r="AB555" s="8" t="s">
        <v>11881</v>
      </c>
      <c r="AC555" s="8" t="s">
        <v>11882</v>
      </c>
      <c r="AD555" s="8" t="s">
        <v>11882</v>
      </c>
      <c r="AE555" s="8" t="s">
        <v>11883</v>
      </c>
      <c r="AF555" s="8" t="s">
        <v>2135</v>
      </c>
      <c r="AG555" s="8">
        <v>48.0</v>
      </c>
      <c r="AH555" s="8">
        <v>8.0</v>
      </c>
      <c r="AI555" s="8">
        <v>8.0</v>
      </c>
      <c r="AJ555" s="8">
        <v>1.0</v>
      </c>
      <c r="AK555" s="8">
        <v>27.0</v>
      </c>
      <c r="AL555" s="8" t="s">
        <v>4686</v>
      </c>
      <c r="AM555" s="8" t="s">
        <v>3480</v>
      </c>
      <c r="AN555" s="8" t="s">
        <v>4687</v>
      </c>
      <c r="AO555" s="8" t="s">
        <v>11884</v>
      </c>
      <c r="AP555" s="8" t="s">
        <v>11885</v>
      </c>
      <c r="AQ555" s="8" t="s">
        <v>2135</v>
      </c>
      <c r="AR555" s="8" t="s">
        <v>11886</v>
      </c>
      <c r="AS555" s="8" t="s">
        <v>11887</v>
      </c>
      <c r="AT555" s="8" t="s">
        <v>3741</v>
      </c>
      <c r="AU555" s="8">
        <v>2014.0</v>
      </c>
      <c r="AV555" s="8">
        <v>41.0</v>
      </c>
      <c r="AW555" s="8">
        <v>7.0</v>
      </c>
      <c r="AX555" s="8" t="s">
        <v>2135</v>
      </c>
      <c r="AY555" s="8" t="s">
        <v>2135</v>
      </c>
      <c r="AZ555" s="8" t="s">
        <v>2135</v>
      </c>
      <c r="BA555" s="8" t="s">
        <v>2135</v>
      </c>
      <c r="BB555" s="8">
        <v>620.0</v>
      </c>
      <c r="BC555" s="8">
        <v>628.0</v>
      </c>
      <c r="BD555" s="8" t="s">
        <v>2135</v>
      </c>
      <c r="BE555" s="8" t="s">
        <v>11888</v>
      </c>
      <c r="BF555" s="13" t="str">
        <f>HYPERLINK("http://dx.doi.org/10.1134/S1062359014070036","http://dx.doi.org/10.1134/S1062359014070036")</f>
        <v>http://dx.doi.org/10.1134/S1062359014070036</v>
      </c>
      <c r="BG555" s="8" t="s">
        <v>2135</v>
      </c>
      <c r="BH555" s="8" t="s">
        <v>2135</v>
      </c>
      <c r="BI555" s="8">
        <v>9.0</v>
      </c>
      <c r="BJ555" s="8" t="s">
        <v>3982</v>
      </c>
      <c r="BK555" s="8" t="s">
        <v>3352</v>
      </c>
      <c r="BL555" s="8" t="s">
        <v>3984</v>
      </c>
      <c r="BM555" s="8" t="s">
        <v>11889</v>
      </c>
      <c r="BN555" s="8" t="s">
        <v>2135</v>
      </c>
      <c r="BO555" s="8" t="s">
        <v>2135</v>
      </c>
      <c r="BP555" s="8" t="s">
        <v>2135</v>
      </c>
      <c r="BQ555" s="8" t="s">
        <v>2135</v>
      </c>
      <c r="BR555" s="8" t="s">
        <v>3355</v>
      </c>
      <c r="BS555" s="8" t="s">
        <v>11890</v>
      </c>
      <c r="BU555" s="8" t="s">
        <v>2142</v>
      </c>
      <c r="BW555" s="8" t="s">
        <v>2168</v>
      </c>
      <c r="BZ555" s="8" t="str">
        <f>HYPERLINK("https%3A%2F%2Fwww.webofscience.com%2Fwos%2Fwoscc%2Ffull-record%2FWOS:000345398600006","View Full Record in Web of Science")</f>
        <v>View Full Record in Web of Science</v>
      </c>
    </row>
    <row r="556" ht="12.75" customHeight="1">
      <c r="A556" s="8" t="s">
        <v>3329</v>
      </c>
      <c r="B556" s="8" t="s">
        <v>11891</v>
      </c>
      <c r="C556" s="8" t="s">
        <v>2135</v>
      </c>
      <c r="D556" s="8" t="s">
        <v>2135</v>
      </c>
      <c r="E556" s="8" t="s">
        <v>2135</v>
      </c>
      <c r="F556" s="8" t="s">
        <v>11892</v>
      </c>
      <c r="G556" s="8" t="s">
        <v>2135</v>
      </c>
      <c r="H556" s="8" t="s">
        <v>2135</v>
      </c>
      <c r="I556" s="8" t="s">
        <v>1517</v>
      </c>
      <c r="J556" s="8" t="s">
        <v>4162</v>
      </c>
      <c r="K556" s="8" t="s">
        <v>2135</v>
      </c>
      <c r="L556" s="8" t="s">
        <v>2135</v>
      </c>
      <c r="M556" s="8" t="s">
        <v>3332</v>
      </c>
      <c r="N556" s="8" t="s">
        <v>3333</v>
      </c>
      <c r="O556" s="8" t="s">
        <v>2135</v>
      </c>
      <c r="P556" s="8" t="s">
        <v>2135</v>
      </c>
      <c r="Q556" s="8" t="s">
        <v>2135</v>
      </c>
      <c r="R556" s="8" t="s">
        <v>2135</v>
      </c>
      <c r="S556" s="8" t="s">
        <v>2135</v>
      </c>
      <c r="T556" s="8" t="s">
        <v>11893</v>
      </c>
      <c r="U556" s="8" t="s">
        <v>11894</v>
      </c>
      <c r="V556" s="8" t="s">
        <v>11895</v>
      </c>
      <c r="W556" s="8" t="s">
        <v>11896</v>
      </c>
      <c r="X556" s="8" t="s">
        <v>11897</v>
      </c>
      <c r="Y556" s="8" t="s">
        <v>11898</v>
      </c>
      <c r="Z556" s="8" t="s">
        <v>7422</v>
      </c>
      <c r="AA556" s="8" t="s">
        <v>11899</v>
      </c>
      <c r="AB556" s="8" t="s">
        <v>11900</v>
      </c>
      <c r="AC556" s="8" t="s">
        <v>11901</v>
      </c>
      <c r="AD556" s="8" t="s">
        <v>11901</v>
      </c>
      <c r="AE556" s="8" t="s">
        <v>11902</v>
      </c>
      <c r="AF556" s="8" t="s">
        <v>2135</v>
      </c>
      <c r="AG556" s="8">
        <v>36.0</v>
      </c>
      <c r="AH556" s="8">
        <v>39.0</v>
      </c>
      <c r="AI556" s="8">
        <v>43.0</v>
      </c>
      <c r="AJ556" s="8">
        <v>0.0</v>
      </c>
      <c r="AK556" s="8">
        <v>228.0</v>
      </c>
      <c r="AL556" s="8" t="s">
        <v>3342</v>
      </c>
      <c r="AM556" s="8" t="s">
        <v>3343</v>
      </c>
      <c r="AN556" s="8" t="s">
        <v>3344</v>
      </c>
      <c r="AO556" s="8" t="s">
        <v>4175</v>
      </c>
      <c r="AP556" s="8" t="s">
        <v>4176</v>
      </c>
      <c r="AQ556" s="8" t="s">
        <v>2135</v>
      </c>
      <c r="AR556" s="8" t="s">
        <v>4177</v>
      </c>
      <c r="AS556" s="8" t="s">
        <v>4178</v>
      </c>
      <c r="AT556" s="8" t="s">
        <v>3440</v>
      </c>
      <c r="AU556" s="8">
        <v>2014.0</v>
      </c>
      <c r="AV556" s="8">
        <v>78.0</v>
      </c>
      <c r="AW556" s="8">
        <v>8.0</v>
      </c>
      <c r="AX556" s="8" t="s">
        <v>2135</v>
      </c>
      <c r="AY556" s="8" t="s">
        <v>2135</v>
      </c>
      <c r="AZ556" s="8" t="s">
        <v>2135</v>
      </c>
      <c r="BA556" s="8" t="s">
        <v>2135</v>
      </c>
      <c r="BB556" s="8">
        <v>1499.0</v>
      </c>
      <c r="BC556" s="8">
        <v>1504.0</v>
      </c>
      <c r="BD556" s="8" t="s">
        <v>2135</v>
      </c>
      <c r="BE556" s="8" t="s">
        <v>11903</v>
      </c>
      <c r="BF556" s="13" t="str">
        <f>HYPERLINK("http://dx.doi.org/10.1002/jwmg.785","http://dx.doi.org/10.1002/jwmg.785")</f>
        <v>http://dx.doi.org/10.1002/jwmg.785</v>
      </c>
      <c r="BG556" s="8" t="s">
        <v>2135</v>
      </c>
      <c r="BH556" s="8" t="s">
        <v>2135</v>
      </c>
      <c r="BI556" s="8">
        <v>6.0</v>
      </c>
      <c r="BJ556" s="8" t="s">
        <v>3442</v>
      </c>
      <c r="BK556" s="8" t="s">
        <v>3352</v>
      </c>
      <c r="BL556" s="8" t="s">
        <v>3443</v>
      </c>
      <c r="BM556" s="8" t="s">
        <v>11904</v>
      </c>
      <c r="BN556" s="8" t="s">
        <v>2135</v>
      </c>
      <c r="BO556" s="8" t="s">
        <v>2135</v>
      </c>
      <c r="BP556" s="8" t="s">
        <v>2135</v>
      </c>
      <c r="BQ556" s="8" t="s">
        <v>2135</v>
      </c>
      <c r="BR556" s="8" t="s">
        <v>3355</v>
      </c>
      <c r="BS556" s="8" t="s">
        <v>11905</v>
      </c>
      <c r="BT556" s="8" t="s">
        <v>2600</v>
      </c>
      <c r="BU556" s="8" t="s">
        <v>2147</v>
      </c>
      <c r="BV556" s="8" t="s">
        <v>2217</v>
      </c>
      <c r="BW556" s="8" t="s">
        <v>2224</v>
      </c>
      <c r="BZ556" s="8" t="str">
        <f>HYPERLINK("https%3A%2F%2Fwww.webofscience.com%2Fwos%2Fwoscc%2Ffull-record%2FWOS:000344382900019","View Full Record in Web of Science")</f>
        <v>View Full Record in Web of Science</v>
      </c>
    </row>
    <row r="557" ht="12.75" customHeight="1">
      <c r="A557" s="8" t="s">
        <v>3329</v>
      </c>
      <c r="B557" s="8" t="s">
        <v>11906</v>
      </c>
      <c r="C557" s="8" t="s">
        <v>2135</v>
      </c>
      <c r="D557" s="8" t="s">
        <v>2135</v>
      </c>
      <c r="E557" s="8" t="s">
        <v>2135</v>
      </c>
      <c r="F557" s="8" t="s">
        <v>11907</v>
      </c>
      <c r="G557" s="8" t="s">
        <v>2135</v>
      </c>
      <c r="H557" s="8" t="s">
        <v>2135</v>
      </c>
      <c r="I557" s="8" t="s">
        <v>1513</v>
      </c>
      <c r="J557" s="8" t="s">
        <v>4612</v>
      </c>
      <c r="K557" s="8" t="s">
        <v>2135</v>
      </c>
      <c r="L557" s="8" t="s">
        <v>2135</v>
      </c>
      <c r="M557" s="8" t="s">
        <v>3332</v>
      </c>
      <c r="N557" s="8" t="s">
        <v>3333</v>
      </c>
      <c r="O557" s="8" t="s">
        <v>2135</v>
      </c>
      <c r="P557" s="8" t="s">
        <v>2135</v>
      </c>
      <c r="Q557" s="8" t="s">
        <v>2135</v>
      </c>
      <c r="R557" s="8" t="s">
        <v>2135</v>
      </c>
      <c r="S557" s="8" t="s">
        <v>2135</v>
      </c>
      <c r="T557" s="8" t="s">
        <v>11908</v>
      </c>
      <c r="U557" s="8" t="s">
        <v>11909</v>
      </c>
      <c r="V557" s="8" t="s">
        <v>11910</v>
      </c>
      <c r="W557" s="8" t="s">
        <v>11911</v>
      </c>
      <c r="X557" s="8" t="s">
        <v>11912</v>
      </c>
      <c r="Y557" s="8" t="s">
        <v>11913</v>
      </c>
      <c r="Z557" s="8" t="s">
        <v>6121</v>
      </c>
      <c r="AA557" s="8" t="s">
        <v>4274</v>
      </c>
      <c r="AB557" s="8" t="s">
        <v>4275</v>
      </c>
      <c r="AC557" s="8" t="s">
        <v>11914</v>
      </c>
      <c r="AD557" s="8" t="s">
        <v>11915</v>
      </c>
      <c r="AE557" s="8" t="s">
        <v>11916</v>
      </c>
      <c r="AF557" s="8" t="s">
        <v>2135</v>
      </c>
      <c r="AG557" s="8">
        <v>88.0</v>
      </c>
      <c r="AH557" s="8">
        <v>37.0</v>
      </c>
      <c r="AI557" s="8">
        <v>44.0</v>
      </c>
      <c r="AJ557" s="8">
        <v>1.0</v>
      </c>
      <c r="AK557" s="8">
        <v>57.0</v>
      </c>
      <c r="AL557" s="8" t="s">
        <v>3479</v>
      </c>
      <c r="AM557" s="8" t="s">
        <v>4500</v>
      </c>
      <c r="AN557" s="8" t="s">
        <v>4501</v>
      </c>
      <c r="AO557" s="8" t="s">
        <v>4626</v>
      </c>
      <c r="AP557" s="8" t="s">
        <v>4627</v>
      </c>
      <c r="AQ557" s="8" t="s">
        <v>2135</v>
      </c>
      <c r="AR557" s="8" t="s">
        <v>4628</v>
      </c>
      <c r="AS557" s="8" t="s">
        <v>4629</v>
      </c>
      <c r="AT557" s="8" t="s">
        <v>3485</v>
      </c>
      <c r="AU557" s="8">
        <v>2014.0</v>
      </c>
      <c r="AV557" s="8">
        <v>15.0</v>
      </c>
      <c r="AW557" s="8">
        <v>1.0</v>
      </c>
      <c r="AX557" s="8" t="s">
        <v>2135</v>
      </c>
      <c r="AY557" s="8" t="s">
        <v>2135</v>
      </c>
      <c r="AZ557" s="8" t="s">
        <v>2135</v>
      </c>
      <c r="BA557" s="8" t="s">
        <v>2135</v>
      </c>
      <c r="BB557" s="8">
        <v>123.0</v>
      </c>
      <c r="BC557" s="8">
        <v>136.0</v>
      </c>
      <c r="BD557" s="8" t="s">
        <v>2135</v>
      </c>
      <c r="BE557" s="8" t="s">
        <v>11917</v>
      </c>
      <c r="BF557" s="13" t="str">
        <f>HYPERLINK("http://dx.doi.org/10.1007/s10592-013-0525-4","http://dx.doi.org/10.1007/s10592-013-0525-4")</f>
        <v>http://dx.doi.org/10.1007/s10592-013-0525-4</v>
      </c>
      <c r="BG557" s="8" t="s">
        <v>2135</v>
      </c>
      <c r="BH557" s="8" t="s">
        <v>2135</v>
      </c>
      <c r="BI557" s="8">
        <v>14.0</v>
      </c>
      <c r="BJ557" s="8" t="s">
        <v>4631</v>
      </c>
      <c r="BK557" s="8" t="s">
        <v>3352</v>
      </c>
      <c r="BL557" s="8" t="s">
        <v>4632</v>
      </c>
      <c r="BM557" s="8" t="s">
        <v>11918</v>
      </c>
      <c r="BN557" s="8" t="s">
        <v>2135</v>
      </c>
      <c r="BO557" s="8" t="s">
        <v>2135</v>
      </c>
      <c r="BP557" s="8" t="s">
        <v>2135</v>
      </c>
      <c r="BQ557" s="8" t="s">
        <v>2135</v>
      </c>
      <c r="BR557" s="8" t="s">
        <v>3355</v>
      </c>
      <c r="BS557" s="8" t="s">
        <v>11919</v>
      </c>
      <c r="BT557" s="8" t="s">
        <v>2600</v>
      </c>
      <c r="BU557" s="8" t="s">
        <v>2147</v>
      </c>
      <c r="BV557" s="8" t="s">
        <v>2217</v>
      </c>
      <c r="BW557" s="8" t="s">
        <v>2224</v>
      </c>
      <c r="BZ557" s="8" t="str">
        <f>HYPERLINK("https%3A%2F%2Fwww.webofscience.com%2Fwos%2Fwoscc%2Ffull-record%2FWOS:000332372300010","View Full Record in Web of Science")</f>
        <v>View Full Record in Web of Science</v>
      </c>
    </row>
    <row r="558" ht="12.75" customHeight="1">
      <c r="A558" s="8" t="s">
        <v>3329</v>
      </c>
      <c r="B558" s="8" t="s">
        <v>11920</v>
      </c>
      <c r="C558" s="8" t="s">
        <v>2135</v>
      </c>
      <c r="D558" s="8" t="s">
        <v>2135</v>
      </c>
      <c r="E558" s="8" t="s">
        <v>2135</v>
      </c>
      <c r="F558" s="8" t="s">
        <v>11921</v>
      </c>
      <c r="G558" s="8" t="s">
        <v>2135</v>
      </c>
      <c r="H558" s="8" t="s">
        <v>2135</v>
      </c>
      <c r="I558" s="8" t="s">
        <v>1511</v>
      </c>
      <c r="J558" s="8" t="s">
        <v>4422</v>
      </c>
      <c r="K558" s="8" t="s">
        <v>2135</v>
      </c>
      <c r="L558" s="8" t="s">
        <v>2135</v>
      </c>
      <c r="M558" s="8" t="s">
        <v>3332</v>
      </c>
      <c r="N558" s="8" t="s">
        <v>3333</v>
      </c>
      <c r="O558" s="8" t="s">
        <v>2135</v>
      </c>
      <c r="P558" s="8" t="s">
        <v>2135</v>
      </c>
      <c r="Q558" s="8" t="s">
        <v>2135</v>
      </c>
      <c r="R558" s="8" t="s">
        <v>2135</v>
      </c>
      <c r="S558" s="8" t="s">
        <v>2135</v>
      </c>
      <c r="T558" s="8" t="s">
        <v>11922</v>
      </c>
      <c r="U558" s="8" t="s">
        <v>11923</v>
      </c>
      <c r="V558" s="8" t="s">
        <v>11924</v>
      </c>
      <c r="W558" s="8" t="s">
        <v>11925</v>
      </c>
      <c r="X558" s="8" t="s">
        <v>11926</v>
      </c>
      <c r="Y558" s="8" t="s">
        <v>11927</v>
      </c>
      <c r="Z558" s="8" t="s">
        <v>11928</v>
      </c>
      <c r="AA558" s="8" t="s">
        <v>11929</v>
      </c>
      <c r="AB558" s="8" t="s">
        <v>11930</v>
      </c>
      <c r="AC558" s="8" t="s">
        <v>11931</v>
      </c>
      <c r="AD558" s="8" t="s">
        <v>11932</v>
      </c>
      <c r="AE558" s="8" t="s">
        <v>11933</v>
      </c>
      <c r="AF558" s="8" t="s">
        <v>2135</v>
      </c>
      <c r="AG558" s="8">
        <v>114.0</v>
      </c>
      <c r="AH558" s="8">
        <v>26.0</v>
      </c>
      <c r="AI558" s="8">
        <v>27.0</v>
      </c>
      <c r="AJ558" s="8">
        <v>3.0</v>
      </c>
      <c r="AK558" s="8">
        <v>88.0</v>
      </c>
      <c r="AL558" s="8" t="s">
        <v>3342</v>
      </c>
      <c r="AM558" s="8" t="s">
        <v>3343</v>
      </c>
      <c r="AN558" s="8" t="s">
        <v>3344</v>
      </c>
      <c r="AO558" s="8" t="s">
        <v>4429</v>
      </c>
      <c r="AP558" s="8" t="s">
        <v>6676</v>
      </c>
      <c r="AQ558" s="8" t="s">
        <v>2135</v>
      </c>
      <c r="AR558" s="8" t="s">
        <v>4430</v>
      </c>
      <c r="AS558" s="8" t="s">
        <v>4431</v>
      </c>
      <c r="AT558" s="8" t="s">
        <v>3580</v>
      </c>
      <c r="AU558" s="8">
        <v>2013.0</v>
      </c>
      <c r="AV558" s="8">
        <v>22.0</v>
      </c>
      <c r="AW558" s="8">
        <v>20.0</v>
      </c>
      <c r="AX558" s="8" t="s">
        <v>2135</v>
      </c>
      <c r="AY558" s="8" t="s">
        <v>2135</v>
      </c>
      <c r="AZ558" s="8" t="s">
        <v>2135</v>
      </c>
      <c r="BA558" s="8" t="s">
        <v>2135</v>
      </c>
      <c r="BB558" s="8">
        <v>5130.0</v>
      </c>
      <c r="BC558" s="8">
        <v>5147.0</v>
      </c>
      <c r="BD558" s="8" t="s">
        <v>2135</v>
      </c>
      <c r="BE558" s="8" t="s">
        <v>11934</v>
      </c>
      <c r="BF558" s="13" t="str">
        <f>HYPERLINK("http://dx.doi.org/10.1111/mec.12456","http://dx.doi.org/10.1111/mec.12456")</f>
        <v>http://dx.doi.org/10.1111/mec.12456</v>
      </c>
      <c r="BG558" s="8" t="s">
        <v>2135</v>
      </c>
      <c r="BH558" s="8" t="s">
        <v>2135</v>
      </c>
      <c r="BI558" s="8">
        <v>18.0</v>
      </c>
      <c r="BJ558" s="8" t="s">
        <v>4433</v>
      </c>
      <c r="BK558" s="8" t="s">
        <v>3352</v>
      </c>
      <c r="BL558" s="8" t="s">
        <v>4434</v>
      </c>
      <c r="BM558" s="8" t="s">
        <v>11935</v>
      </c>
      <c r="BN558" s="8">
        <v>2.4050727E7</v>
      </c>
      <c r="BO558" s="8" t="s">
        <v>2135</v>
      </c>
      <c r="BP558" s="8" t="s">
        <v>2135</v>
      </c>
      <c r="BQ558" s="8" t="s">
        <v>2135</v>
      </c>
      <c r="BR558" s="8" t="s">
        <v>3355</v>
      </c>
      <c r="BS558" s="8" t="s">
        <v>11936</v>
      </c>
      <c r="BT558" s="8" t="s">
        <v>2553</v>
      </c>
      <c r="BU558" s="8" t="s">
        <v>2142</v>
      </c>
      <c r="BW558" s="8" t="s">
        <v>2340</v>
      </c>
      <c r="BZ558" s="8" t="str">
        <f>HYPERLINK("https%3A%2F%2Fwww.webofscience.com%2Fwos%2Fwoscc%2Ffull-record%2FWOS:000325550000007","View Full Record in Web of Science")</f>
        <v>View Full Record in Web of Science</v>
      </c>
    </row>
    <row r="559" ht="12.75" customHeight="1">
      <c r="A559" s="8" t="s">
        <v>3329</v>
      </c>
      <c r="B559" s="8" t="s">
        <v>11937</v>
      </c>
      <c r="C559" s="8" t="s">
        <v>2135</v>
      </c>
      <c r="D559" s="8" t="s">
        <v>2135</v>
      </c>
      <c r="E559" s="8" t="s">
        <v>2135</v>
      </c>
      <c r="F559" s="8" t="s">
        <v>11938</v>
      </c>
      <c r="G559" s="8" t="s">
        <v>2135</v>
      </c>
      <c r="H559" s="8" t="s">
        <v>2135</v>
      </c>
      <c r="I559" s="8" t="s">
        <v>1509</v>
      </c>
      <c r="J559" s="8" t="s">
        <v>3831</v>
      </c>
      <c r="K559" s="8" t="s">
        <v>2135</v>
      </c>
      <c r="L559" s="8" t="s">
        <v>2135</v>
      </c>
      <c r="M559" s="8" t="s">
        <v>3332</v>
      </c>
      <c r="N559" s="8" t="s">
        <v>3333</v>
      </c>
      <c r="O559" s="8" t="s">
        <v>2135</v>
      </c>
      <c r="P559" s="8" t="s">
        <v>2135</v>
      </c>
      <c r="Q559" s="8" t="s">
        <v>2135</v>
      </c>
      <c r="R559" s="8" t="s">
        <v>2135</v>
      </c>
      <c r="S559" s="8" t="s">
        <v>2135</v>
      </c>
      <c r="T559" s="8" t="s">
        <v>11939</v>
      </c>
      <c r="U559" s="8" t="s">
        <v>11940</v>
      </c>
      <c r="V559" s="8" t="s">
        <v>11941</v>
      </c>
      <c r="W559" s="8" t="s">
        <v>11942</v>
      </c>
      <c r="X559" s="8" t="s">
        <v>11943</v>
      </c>
      <c r="Y559" s="8" t="s">
        <v>11944</v>
      </c>
      <c r="Z559" s="8" t="s">
        <v>11945</v>
      </c>
      <c r="AA559" s="8" t="s">
        <v>2135</v>
      </c>
      <c r="AB559" s="8" t="s">
        <v>11946</v>
      </c>
      <c r="AC559" s="8" t="s">
        <v>11947</v>
      </c>
      <c r="AD559" s="8" t="s">
        <v>11947</v>
      </c>
      <c r="AE559" s="8" t="s">
        <v>11948</v>
      </c>
      <c r="AF559" s="8" t="s">
        <v>2135</v>
      </c>
      <c r="AG559" s="8">
        <v>43.0</v>
      </c>
      <c r="AH559" s="8">
        <v>10.0</v>
      </c>
      <c r="AI559" s="8">
        <v>12.0</v>
      </c>
      <c r="AJ559" s="8">
        <v>4.0</v>
      </c>
      <c r="AK559" s="8">
        <v>72.0</v>
      </c>
      <c r="AL559" s="8" t="s">
        <v>3843</v>
      </c>
      <c r="AM559" s="8" t="s">
        <v>3844</v>
      </c>
      <c r="AN559" s="8" t="s">
        <v>3845</v>
      </c>
      <c r="AO559" s="8" t="s">
        <v>3846</v>
      </c>
      <c r="AP559" s="8" t="s">
        <v>3847</v>
      </c>
      <c r="AQ559" s="8" t="s">
        <v>2135</v>
      </c>
      <c r="AR559" s="8" t="s">
        <v>3848</v>
      </c>
      <c r="AS559" s="8" t="s">
        <v>3849</v>
      </c>
      <c r="AT559" s="8" t="s">
        <v>3765</v>
      </c>
      <c r="AU559" s="8">
        <v>2012.0</v>
      </c>
      <c r="AV559" s="8">
        <v>90.0</v>
      </c>
      <c r="AW559" s="8">
        <v>5.0</v>
      </c>
      <c r="AX559" s="8" t="s">
        <v>2135</v>
      </c>
      <c r="AY559" s="8" t="s">
        <v>2135</v>
      </c>
      <c r="AZ559" s="8" t="s">
        <v>2135</v>
      </c>
      <c r="BA559" s="8" t="s">
        <v>2135</v>
      </c>
      <c r="BB559" s="8">
        <v>630.0</v>
      </c>
      <c r="BC559" s="8">
        <v>639.0</v>
      </c>
      <c r="BD559" s="8" t="s">
        <v>2135</v>
      </c>
      <c r="BE559" s="8" t="s">
        <v>11949</v>
      </c>
      <c r="BF559" s="13" t="str">
        <f>HYPERLINK("http://dx.doi.org/10.1139/Z2012-029","http://dx.doi.org/10.1139/Z2012-029")</f>
        <v>http://dx.doi.org/10.1139/Z2012-029</v>
      </c>
      <c r="BG559" s="8" t="s">
        <v>2135</v>
      </c>
      <c r="BH559" s="8" t="s">
        <v>2135</v>
      </c>
      <c r="BI559" s="8">
        <v>10.0</v>
      </c>
      <c r="BJ559" s="8" t="s">
        <v>3397</v>
      </c>
      <c r="BK559" s="8" t="s">
        <v>3352</v>
      </c>
      <c r="BL559" s="8" t="s">
        <v>3397</v>
      </c>
      <c r="BM559" s="8" t="s">
        <v>11950</v>
      </c>
      <c r="BN559" s="8" t="s">
        <v>2135</v>
      </c>
      <c r="BO559" s="8" t="s">
        <v>2135</v>
      </c>
      <c r="BP559" s="8" t="s">
        <v>2135</v>
      </c>
      <c r="BQ559" s="8" t="s">
        <v>2135</v>
      </c>
      <c r="BR559" s="8" t="s">
        <v>3355</v>
      </c>
      <c r="BS559" s="8" t="s">
        <v>11951</v>
      </c>
      <c r="BT559" s="8" t="s">
        <v>2216</v>
      </c>
      <c r="BU559" s="8" t="s">
        <v>2147</v>
      </c>
      <c r="BV559" s="8" t="s">
        <v>2217</v>
      </c>
      <c r="BW559" s="8" t="s">
        <v>2256</v>
      </c>
      <c r="BZ559" s="8" t="str">
        <f>HYPERLINK("https%3A%2F%2Fwww.webofscience.com%2Fwos%2Fwoscc%2Ffull-record%2FWOS:000304733000010","View Full Record in Web of Science")</f>
        <v>View Full Record in Web of Science</v>
      </c>
    </row>
    <row r="560" ht="12.75" customHeight="1">
      <c r="A560" s="8" t="s">
        <v>3329</v>
      </c>
      <c r="B560" s="8" t="s">
        <v>11952</v>
      </c>
      <c r="C560" s="8" t="s">
        <v>2135</v>
      </c>
      <c r="D560" s="8" t="s">
        <v>2135</v>
      </c>
      <c r="E560" s="8" t="s">
        <v>2135</v>
      </c>
      <c r="F560" s="8" t="s">
        <v>11953</v>
      </c>
      <c r="G560" s="8" t="s">
        <v>2135</v>
      </c>
      <c r="H560" s="8" t="s">
        <v>2135</v>
      </c>
      <c r="I560" s="8" t="s">
        <v>1507</v>
      </c>
      <c r="J560" s="8" t="s">
        <v>3380</v>
      </c>
      <c r="K560" s="8" t="s">
        <v>2135</v>
      </c>
      <c r="L560" s="8" t="s">
        <v>2135</v>
      </c>
      <c r="M560" s="8" t="s">
        <v>3332</v>
      </c>
      <c r="N560" s="8" t="s">
        <v>3333</v>
      </c>
      <c r="O560" s="8" t="s">
        <v>2135</v>
      </c>
      <c r="P560" s="8" t="s">
        <v>2135</v>
      </c>
      <c r="Q560" s="8" t="s">
        <v>2135</v>
      </c>
      <c r="R560" s="8" t="s">
        <v>2135</v>
      </c>
      <c r="S560" s="8" t="s">
        <v>2135</v>
      </c>
      <c r="T560" s="8" t="s">
        <v>11954</v>
      </c>
      <c r="U560" s="8" t="s">
        <v>11955</v>
      </c>
      <c r="V560" s="8" t="s">
        <v>11956</v>
      </c>
      <c r="W560" s="8" t="s">
        <v>11957</v>
      </c>
      <c r="X560" s="8" t="s">
        <v>11958</v>
      </c>
      <c r="Y560" s="8" t="s">
        <v>11959</v>
      </c>
      <c r="Z560" s="8" t="s">
        <v>11960</v>
      </c>
      <c r="AA560" s="8" t="s">
        <v>11961</v>
      </c>
      <c r="AB560" s="8" t="s">
        <v>11962</v>
      </c>
      <c r="AC560" s="8" t="s">
        <v>11963</v>
      </c>
      <c r="AD560" s="8" t="s">
        <v>11964</v>
      </c>
      <c r="AE560" s="8" t="s">
        <v>11965</v>
      </c>
      <c r="AF560" s="8" t="s">
        <v>2135</v>
      </c>
      <c r="AG560" s="8">
        <v>47.0</v>
      </c>
      <c r="AH560" s="8">
        <v>12.0</v>
      </c>
      <c r="AI560" s="8">
        <v>16.0</v>
      </c>
      <c r="AJ560" s="8">
        <v>0.0</v>
      </c>
      <c r="AK560" s="8">
        <v>55.0</v>
      </c>
      <c r="AL560" s="8" t="s">
        <v>3921</v>
      </c>
      <c r="AM560" s="8" t="s">
        <v>3922</v>
      </c>
      <c r="AN560" s="8" t="s">
        <v>3923</v>
      </c>
      <c r="AO560" s="8" t="s">
        <v>3392</v>
      </c>
      <c r="AP560" s="8" t="s">
        <v>4022</v>
      </c>
      <c r="AQ560" s="8" t="s">
        <v>2135</v>
      </c>
      <c r="AR560" s="8" t="s">
        <v>3393</v>
      </c>
      <c r="AS560" s="8" t="s">
        <v>3394</v>
      </c>
      <c r="AT560" s="8" t="s">
        <v>7462</v>
      </c>
      <c r="AU560" s="8">
        <v>2011.0</v>
      </c>
      <c r="AV560" s="8">
        <v>92.0</v>
      </c>
      <c r="AW560" s="8">
        <v>4.0</v>
      </c>
      <c r="AX560" s="8" t="s">
        <v>2135</v>
      </c>
      <c r="AY560" s="8" t="s">
        <v>2135</v>
      </c>
      <c r="AZ560" s="8" t="s">
        <v>2135</v>
      </c>
      <c r="BA560" s="8" t="s">
        <v>2135</v>
      </c>
      <c r="BB560" s="8">
        <v>732.0</v>
      </c>
      <c r="BC560" s="8">
        <v>741.0</v>
      </c>
      <c r="BD560" s="8" t="s">
        <v>2135</v>
      </c>
      <c r="BE560" s="8" t="s">
        <v>11966</v>
      </c>
      <c r="BF560" s="13" t="str">
        <f>HYPERLINK("http://dx.doi.org/10.1644/10-MAMM-S-061.1","http://dx.doi.org/10.1644/10-MAMM-S-061.1")</f>
        <v>http://dx.doi.org/10.1644/10-MAMM-S-061.1</v>
      </c>
      <c r="BG560" s="8" t="s">
        <v>2135</v>
      </c>
      <c r="BH560" s="8" t="s">
        <v>2135</v>
      </c>
      <c r="BI560" s="8">
        <v>10.0</v>
      </c>
      <c r="BJ560" s="8" t="s">
        <v>3397</v>
      </c>
      <c r="BK560" s="8" t="s">
        <v>3352</v>
      </c>
      <c r="BL560" s="8" t="s">
        <v>3397</v>
      </c>
      <c r="BM560" s="8" t="s">
        <v>7464</v>
      </c>
      <c r="BN560" s="8" t="s">
        <v>2135</v>
      </c>
      <c r="BO560" s="8" t="s">
        <v>2135</v>
      </c>
      <c r="BP560" s="8" t="s">
        <v>2135</v>
      </c>
      <c r="BQ560" s="8" t="s">
        <v>2135</v>
      </c>
      <c r="BR560" s="8" t="s">
        <v>3355</v>
      </c>
      <c r="BS560" s="8" t="s">
        <v>11967</v>
      </c>
      <c r="BT560" s="8" t="s">
        <v>2600</v>
      </c>
      <c r="BU560" s="8" t="s">
        <v>2147</v>
      </c>
      <c r="BV560" s="8" t="s">
        <v>2217</v>
      </c>
      <c r="BW560" s="8" t="s">
        <v>2601</v>
      </c>
      <c r="BZ560" s="8" t="str">
        <f>HYPERLINK("https%3A%2F%2Fwww.webofscience.com%2Fwos%2Fwoscc%2Ffull-record%2FWOS:000294314900005","View Full Record in Web of Science")</f>
        <v>View Full Record in Web of Science</v>
      </c>
    </row>
    <row r="561" ht="12.75" customHeight="1">
      <c r="A561" s="8" t="s">
        <v>3329</v>
      </c>
      <c r="B561" s="8" t="s">
        <v>11968</v>
      </c>
      <c r="C561" s="8" t="s">
        <v>2135</v>
      </c>
      <c r="D561" s="8" t="s">
        <v>2135</v>
      </c>
      <c r="E561" s="8" t="s">
        <v>2135</v>
      </c>
      <c r="F561" s="8" t="s">
        <v>11969</v>
      </c>
      <c r="G561" s="8" t="s">
        <v>2135</v>
      </c>
      <c r="H561" s="8" t="s">
        <v>2135</v>
      </c>
      <c r="I561" s="8" t="s">
        <v>1503</v>
      </c>
      <c r="J561" s="8" t="s">
        <v>3941</v>
      </c>
      <c r="K561" s="8" t="s">
        <v>2135</v>
      </c>
      <c r="L561" s="8" t="s">
        <v>2135</v>
      </c>
      <c r="M561" s="8" t="s">
        <v>3332</v>
      </c>
      <c r="N561" s="8" t="s">
        <v>3333</v>
      </c>
      <c r="O561" s="8" t="s">
        <v>2135</v>
      </c>
      <c r="P561" s="8" t="s">
        <v>2135</v>
      </c>
      <c r="Q561" s="8" t="s">
        <v>2135</v>
      </c>
      <c r="R561" s="8" t="s">
        <v>2135</v>
      </c>
      <c r="S561" s="8" t="s">
        <v>2135</v>
      </c>
      <c r="T561" s="8" t="s">
        <v>2135</v>
      </c>
      <c r="U561" s="8" t="s">
        <v>11970</v>
      </c>
      <c r="V561" s="8" t="s">
        <v>11971</v>
      </c>
      <c r="W561" s="8" t="s">
        <v>11972</v>
      </c>
      <c r="X561" s="8" t="s">
        <v>11973</v>
      </c>
      <c r="Y561" s="8" t="s">
        <v>11974</v>
      </c>
      <c r="Z561" s="8" t="s">
        <v>11975</v>
      </c>
      <c r="AA561" s="8" t="s">
        <v>2135</v>
      </c>
      <c r="AB561" s="8" t="s">
        <v>11976</v>
      </c>
      <c r="AC561" s="8" t="s">
        <v>2135</v>
      </c>
      <c r="AD561" s="8" t="s">
        <v>2135</v>
      </c>
      <c r="AE561" s="8" t="s">
        <v>2135</v>
      </c>
      <c r="AF561" s="8" t="s">
        <v>2135</v>
      </c>
      <c r="AG561" s="8">
        <v>12.0</v>
      </c>
      <c r="AH561" s="8">
        <v>15.0</v>
      </c>
      <c r="AI561" s="8">
        <v>18.0</v>
      </c>
      <c r="AJ561" s="8">
        <v>0.0</v>
      </c>
      <c r="AK561" s="8">
        <v>9.0</v>
      </c>
      <c r="AL561" s="8" t="s">
        <v>3921</v>
      </c>
      <c r="AM561" s="8" t="s">
        <v>3922</v>
      </c>
      <c r="AN561" s="8" t="s">
        <v>3923</v>
      </c>
      <c r="AO561" s="8" t="s">
        <v>3953</v>
      </c>
      <c r="AP561" s="8" t="s">
        <v>3954</v>
      </c>
      <c r="AQ561" s="8" t="s">
        <v>2135</v>
      </c>
      <c r="AR561" s="8" t="s">
        <v>3955</v>
      </c>
      <c r="AS561" s="8" t="s">
        <v>3956</v>
      </c>
      <c r="AT561" s="8" t="s">
        <v>4820</v>
      </c>
      <c r="AU561" s="8">
        <v>2008.0</v>
      </c>
      <c r="AV561" s="8">
        <v>99.0</v>
      </c>
      <c r="AW561" s="8">
        <v>2.0</v>
      </c>
      <c r="AX561" s="8" t="s">
        <v>2135</v>
      </c>
      <c r="AY561" s="8" t="s">
        <v>2135</v>
      </c>
      <c r="AZ561" s="8" t="s">
        <v>2135</v>
      </c>
      <c r="BA561" s="8" t="s">
        <v>2135</v>
      </c>
      <c r="BB561" s="8">
        <v>198.0</v>
      </c>
      <c r="BC561" s="8">
        <v>201.0</v>
      </c>
      <c r="BD561" s="8" t="s">
        <v>2135</v>
      </c>
      <c r="BE561" s="8" t="s">
        <v>11977</v>
      </c>
      <c r="BF561" s="13" t="str">
        <f>HYPERLINK("http://dx.doi.org/10.1093/jhered/esm117","http://dx.doi.org/10.1093/jhered/esm117")</f>
        <v>http://dx.doi.org/10.1093/jhered/esm117</v>
      </c>
      <c r="BG561" s="8" t="s">
        <v>2135</v>
      </c>
      <c r="BH561" s="8" t="s">
        <v>2135</v>
      </c>
      <c r="BI561" s="8">
        <v>4.0</v>
      </c>
      <c r="BJ561" s="8" t="s">
        <v>3958</v>
      </c>
      <c r="BK561" s="8" t="s">
        <v>3352</v>
      </c>
      <c r="BL561" s="8" t="s">
        <v>3958</v>
      </c>
      <c r="BM561" s="8" t="s">
        <v>11978</v>
      </c>
      <c r="BN561" s="8">
        <v>1.8310615E7</v>
      </c>
      <c r="BO561" s="8" t="s">
        <v>3445</v>
      </c>
      <c r="BP561" s="8" t="s">
        <v>2135</v>
      </c>
      <c r="BQ561" s="8" t="s">
        <v>2135</v>
      </c>
      <c r="BR561" s="8" t="s">
        <v>3355</v>
      </c>
      <c r="BS561" s="8" t="s">
        <v>11979</v>
      </c>
      <c r="BT561" s="8" t="s">
        <v>2146</v>
      </c>
      <c r="BU561" s="8" t="s">
        <v>2147</v>
      </c>
      <c r="BW561" s="8" t="s">
        <v>2148</v>
      </c>
      <c r="BZ561" s="8" t="str">
        <f>HYPERLINK("https%3A%2F%2Fwww.webofscience.com%2Fwos%2Fwoscc%2Ffull-record%2FWOS:000254294700016","View Full Record in Web of Science")</f>
        <v>View Full Record in Web of Science</v>
      </c>
    </row>
    <row r="562" ht="12.75" customHeight="1">
      <c r="A562" s="8" t="s">
        <v>3329</v>
      </c>
      <c r="B562" s="8" t="s">
        <v>11980</v>
      </c>
      <c r="C562" s="8" t="s">
        <v>2135</v>
      </c>
      <c r="D562" s="8" t="s">
        <v>2135</v>
      </c>
      <c r="E562" s="8" t="s">
        <v>2135</v>
      </c>
      <c r="F562" s="8" t="s">
        <v>11981</v>
      </c>
      <c r="G562" s="8" t="s">
        <v>2135</v>
      </c>
      <c r="H562" s="8" t="s">
        <v>2135</v>
      </c>
      <c r="I562" s="8" t="s">
        <v>1499</v>
      </c>
      <c r="J562" s="8" t="s">
        <v>4612</v>
      </c>
      <c r="K562" s="8" t="s">
        <v>2135</v>
      </c>
      <c r="L562" s="8" t="s">
        <v>2135</v>
      </c>
      <c r="M562" s="8" t="s">
        <v>3332</v>
      </c>
      <c r="N562" s="8" t="s">
        <v>3333</v>
      </c>
      <c r="O562" s="8" t="s">
        <v>2135</v>
      </c>
      <c r="P562" s="8" t="s">
        <v>2135</v>
      </c>
      <c r="Q562" s="8" t="s">
        <v>2135</v>
      </c>
      <c r="R562" s="8" t="s">
        <v>2135</v>
      </c>
      <c r="S562" s="8" t="s">
        <v>2135</v>
      </c>
      <c r="T562" s="8" t="s">
        <v>11982</v>
      </c>
      <c r="U562" s="8" t="s">
        <v>11983</v>
      </c>
      <c r="V562" s="8" t="s">
        <v>11984</v>
      </c>
      <c r="W562" s="8" t="s">
        <v>11985</v>
      </c>
      <c r="X562" s="8" t="s">
        <v>11986</v>
      </c>
      <c r="Y562" s="8" t="s">
        <v>11987</v>
      </c>
      <c r="Z562" s="8" t="s">
        <v>9051</v>
      </c>
      <c r="AA562" s="8" t="s">
        <v>2135</v>
      </c>
      <c r="AB562" s="8" t="s">
        <v>2135</v>
      </c>
      <c r="AC562" s="8" t="s">
        <v>2135</v>
      </c>
      <c r="AD562" s="8" t="s">
        <v>2135</v>
      </c>
      <c r="AE562" s="8" t="s">
        <v>2135</v>
      </c>
      <c r="AF562" s="8" t="s">
        <v>2135</v>
      </c>
      <c r="AG562" s="8">
        <v>69.0</v>
      </c>
      <c r="AH562" s="8">
        <v>49.0</v>
      </c>
      <c r="AI562" s="8">
        <v>62.0</v>
      </c>
      <c r="AJ562" s="8">
        <v>2.0</v>
      </c>
      <c r="AK562" s="8">
        <v>121.0</v>
      </c>
      <c r="AL562" s="8" t="s">
        <v>3479</v>
      </c>
      <c r="AM562" s="8" t="s">
        <v>4500</v>
      </c>
      <c r="AN562" s="8" t="s">
        <v>4501</v>
      </c>
      <c r="AO562" s="8" t="s">
        <v>4626</v>
      </c>
      <c r="AP562" s="8" t="s">
        <v>4627</v>
      </c>
      <c r="AQ562" s="8" t="s">
        <v>2135</v>
      </c>
      <c r="AR562" s="8" t="s">
        <v>4628</v>
      </c>
      <c r="AS562" s="8" t="s">
        <v>4629</v>
      </c>
      <c r="AT562" s="8" t="s">
        <v>2135</v>
      </c>
      <c r="AU562" s="8">
        <v>2008.0</v>
      </c>
      <c r="AV562" s="8">
        <v>9.0</v>
      </c>
      <c r="AW562" s="8">
        <v>2.0</v>
      </c>
      <c r="AX562" s="8" t="s">
        <v>2135</v>
      </c>
      <c r="AY562" s="8" t="s">
        <v>2135</v>
      </c>
      <c r="AZ562" s="8" t="s">
        <v>2135</v>
      </c>
      <c r="BA562" s="8" t="s">
        <v>2135</v>
      </c>
      <c r="BB562" s="8">
        <v>389.0</v>
      </c>
      <c r="BC562" s="8">
        <v>399.0</v>
      </c>
      <c r="BD562" s="8" t="s">
        <v>2135</v>
      </c>
      <c r="BE562" s="8" t="s">
        <v>11988</v>
      </c>
      <c r="BF562" s="13" t="str">
        <f>HYPERLINK("http://dx.doi.org/10.1007/s10592-007-9351-x","http://dx.doi.org/10.1007/s10592-007-9351-x")</f>
        <v>http://dx.doi.org/10.1007/s10592-007-9351-x</v>
      </c>
      <c r="BG562" s="8" t="s">
        <v>2135</v>
      </c>
      <c r="BH562" s="8" t="s">
        <v>2135</v>
      </c>
      <c r="BI562" s="8">
        <v>11.0</v>
      </c>
      <c r="BJ562" s="8" t="s">
        <v>4631</v>
      </c>
      <c r="BK562" s="8" t="s">
        <v>3352</v>
      </c>
      <c r="BL562" s="8" t="s">
        <v>4632</v>
      </c>
      <c r="BM562" s="8" t="s">
        <v>11989</v>
      </c>
      <c r="BN562" s="8" t="s">
        <v>2135</v>
      </c>
      <c r="BO562" s="8" t="s">
        <v>2135</v>
      </c>
      <c r="BP562" s="8" t="s">
        <v>2135</v>
      </c>
      <c r="BQ562" s="8" t="s">
        <v>2135</v>
      </c>
      <c r="BR562" s="8" t="s">
        <v>3355</v>
      </c>
      <c r="BS562" s="8" t="s">
        <v>11990</v>
      </c>
      <c r="BT562" s="8" t="s">
        <v>2600</v>
      </c>
      <c r="BU562" s="8" t="s">
        <v>2147</v>
      </c>
      <c r="BV562" s="8" t="s">
        <v>2217</v>
      </c>
      <c r="BW562" s="8" t="s">
        <v>2601</v>
      </c>
      <c r="BZ562" s="8" t="str">
        <f>HYPERLINK("https%3A%2F%2Fwww.webofscience.com%2Fwos%2Fwoscc%2Ffull-record%2FWOS:000254242400014","View Full Record in Web of Science")</f>
        <v>View Full Record in Web of Science</v>
      </c>
    </row>
    <row r="563" ht="12.75" customHeight="1">
      <c r="A563" s="8" t="s">
        <v>3329</v>
      </c>
      <c r="B563" s="8" t="s">
        <v>11991</v>
      </c>
      <c r="C563" s="8" t="s">
        <v>2135</v>
      </c>
      <c r="D563" s="8" t="s">
        <v>2135</v>
      </c>
      <c r="E563" s="8" t="s">
        <v>2135</v>
      </c>
      <c r="F563" s="8" t="s">
        <v>11992</v>
      </c>
      <c r="G563" s="8" t="s">
        <v>2135</v>
      </c>
      <c r="H563" s="8" t="s">
        <v>2135</v>
      </c>
      <c r="I563" s="8" t="s">
        <v>1501</v>
      </c>
      <c r="J563" s="8" t="s">
        <v>11993</v>
      </c>
      <c r="K563" s="8" t="s">
        <v>2135</v>
      </c>
      <c r="L563" s="8" t="s">
        <v>2135</v>
      </c>
      <c r="M563" s="8" t="s">
        <v>3332</v>
      </c>
      <c r="N563" s="8" t="s">
        <v>3333</v>
      </c>
      <c r="O563" s="8" t="s">
        <v>2135</v>
      </c>
      <c r="P563" s="8" t="s">
        <v>2135</v>
      </c>
      <c r="Q563" s="8" t="s">
        <v>2135</v>
      </c>
      <c r="R563" s="8" t="s">
        <v>2135</v>
      </c>
      <c r="S563" s="8" t="s">
        <v>2135</v>
      </c>
      <c r="T563" s="8" t="s">
        <v>11994</v>
      </c>
      <c r="U563" s="8" t="s">
        <v>11995</v>
      </c>
      <c r="V563" s="8" t="s">
        <v>11996</v>
      </c>
      <c r="W563" s="8" t="s">
        <v>11997</v>
      </c>
      <c r="X563" s="8" t="s">
        <v>11998</v>
      </c>
      <c r="Y563" s="8" t="s">
        <v>11999</v>
      </c>
      <c r="Z563" s="8" t="s">
        <v>12000</v>
      </c>
      <c r="AA563" s="8" t="s">
        <v>12001</v>
      </c>
      <c r="AB563" s="8" t="s">
        <v>12002</v>
      </c>
      <c r="AC563" s="8" t="s">
        <v>2135</v>
      </c>
      <c r="AD563" s="8" t="s">
        <v>2135</v>
      </c>
      <c r="AE563" s="8" t="s">
        <v>2135</v>
      </c>
      <c r="AF563" s="8" t="s">
        <v>2135</v>
      </c>
      <c r="AG563" s="8">
        <v>17.0</v>
      </c>
      <c r="AH563" s="8">
        <v>5.0</v>
      </c>
      <c r="AI563" s="8">
        <v>6.0</v>
      </c>
      <c r="AJ563" s="8">
        <v>1.0</v>
      </c>
      <c r="AK563" s="8">
        <v>16.0</v>
      </c>
      <c r="AL563" s="8" t="s">
        <v>4686</v>
      </c>
      <c r="AM563" s="8" t="s">
        <v>12003</v>
      </c>
      <c r="AN563" s="8" t="s">
        <v>12004</v>
      </c>
      <c r="AO563" s="8" t="s">
        <v>12005</v>
      </c>
      <c r="AP563" s="8" t="s">
        <v>12006</v>
      </c>
      <c r="AQ563" s="8" t="s">
        <v>2135</v>
      </c>
      <c r="AR563" s="8" t="s">
        <v>12007</v>
      </c>
      <c r="AS563" s="8" t="s">
        <v>12008</v>
      </c>
      <c r="AT563" s="8" t="s">
        <v>3629</v>
      </c>
      <c r="AU563" s="8">
        <v>2008.0</v>
      </c>
      <c r="AV563" s="8">
        <v>39.0</v>
      </c>
      <c r="AW563" s="8">
        <v>1.0</v>
      </c>
      <c r="AX563" s="8" t="s">
        <v>2135</v>
      </c>
      <c r="AY563" s="8" t="s">
        <v>2135</v>
      </c>
      <c r="AZ563" s="8" t="s">
        <v>2135</v>
      </c>
      <c r="BA563" s="8" t="s">
        <v>2135</v>
      </c>
      <c r="BB563" s="8">
        <v>41.0</v>
      </c>
      <c r="BC563" s="8">
        <v>47.0</v>
      </c>
      <c r="BD563" s="8" t="s">
        <v>2135</v>
      </c>
      <c r="BE563" s="8" t="s">
        <v>12009</v>
      </c>
      <c r="BF563" s="13" t="str">
        <f>HYPERLINK("http://dx.doi.org/10.1134/S1067413608010074","http://dx.doi.org/10.1134/S1067413608010074")</f>
        <v>http://dx.doi.org/10.1134/S1067413608010074</v>
      </c>
      <c r="BG563" s="8" t="s">
        <v>2135</v>
      </c>
      <c r="BH563" s="8" t="s">
        <v>2135</v>
      </c>
      <c r="BI563" s="8">
        <v>7.0</v>
      </c>
      <c r="BJ563" s="8" t="s">
        <v>3681</v>
      </c>
      <c r="BK563" s="8" t="s">
        <v>3352</v>
      </c>
      <c r="BL563" s="8" t="s">
        <v>3632</v>
      </c>
      <c r="BM563" s="8" t="s">
        <v>12010</v>
      </c>
      <c r="BN563" s="8" t="s">
        <v>2135</v>
      </c>
      <c r="BO563" s="8" t="s">
        <v>2135</v>
      </c>
      <c r="BP563" s="8" t="s">
        <v>2135</v>
      </c>
      <c r="BQ563" s="8" t="s">
        <v>2135</v>
      </c>
      <c r="BR563" s="8" t="s">
        <v>3355</v>
      </c>
      <c r="BS563" s="8" t="s">
        <v>12011</v>
      </c>
      <c r="BT563" s="8" t="s">
        <v>2487</v>
      </c>
      <c r="BU563" s="8" t="s">
        <v>2142</v>
      </c>
      <c r="BW563" s="8" t="s">
        <v>2237</v>
      </c>
      <c r="BZ563" s="8" t="str">
        <f>HYPERLINK("https%3A%2F%2Fwww.webofscience.com%2Fwos%2Fwoscc%2Ffull-record%2FWOS:000252695100007","View Full Record in Web of Science")</f>
        <v>View Full Record in Web of Science</v>
      </c>
    </row>
    <row r="564" ht="12.75" customHeight="1">
      <c r="A564" s="8" t="s">
        <v>3329</v>
      </c>
      <c r="B564" s="8" t="s">
        <v>12012</v>
      </c>
      <c r="C564" s="8" t="s">
        <v>2135</v>
      </c>
      <c r="D564" s="8" t="s">
        <v>2135</v>
      </c>
      <c r="E564" s="8" t="s">
        <v>2135</v>
      </c>
      <c r="F564" s="8" t="s">
        <v>12013</v>
      </c>
      <c r="G564" s="8" t="s">
        <v>2135</v>
      </c>
      <c r="H564" s="8" t="s">
        <v>2135</v>
      </c>
      <c r="I564" s="8" t="s">
        <v>1495</v>
      </c>
      <c r="J564" s="8" t="s">
        <v>4612</v>
      </c>
      <c r="K564" s="8" t="s">
        <v>2135</v>
      </c>
      <c r="L564" s="8" t="s">
        <v>2135</v>
      </c>
      <c r="M564" s="8" t="s">
        <v>3332</v>
      </c>
      <c r="N564" s="8" t="s">
        <v>3333</v>
      </c>
      <c r="O564" s="8" t="s">
        <v>2135</v>
      </c>
      <c r="P564" s="8" t="s">
        <v>2135</v>
      </c>
      <c r="Q564" s="8" t="s">
        <v>2135</v>
      </c>
      <c r="R564" s="8" t="s">
        <v>2135</v>
      </c>
      <c r="S564" s="8" t="s">
        <v>2135</v>
      </c>
      <c r="T564" s="8" t="s">
        <v>12014</v>
      </c>
      <c r="U564" s="8" t="s">
        <v>12015</v>
      </c>
      <c r="V564" s="8" t="s">
        <v>12016</v>
      </c>
      <c r="W564" s="8" t="s">
        <v>12017</v>
      </c>
      <c r="X564" s="8" t="s">
        <v>12018</v>
      </c>
      <c r="Y564" s="8" t="s">
        <v>12019</v>
      </c>
      <c r="Z564" s="8" t="s">
        <v>6673</v>
      </c>
      <c r="AA564" s="8" t="s">
        <v>2135</v>
      </c>
      <c r="AB564" s="8" t="s">
        <v>2135</v>
      </c>
      <c r="AC564" s="8" t="s">
        <v>2135</v>
      </c>
      <c r="AD564" s="8" t="s">
        <v>2135</v>
      </c>
      <c r="AE564" s="8" t="s">
        <v>2135</v>
      </c>
      <c r="AF564" s="8" t="s">
        <v>2135</v>
      </c>
      <c r="AG564" s="8">
        <v>27.0</v>
      </c>
      <c r="AH564" s="8">
        <v>20.0</v>
      </c>
      <c r="AI564" s="8">
        <v>21.0</v>
      </c>
      <c r="AJ564" s="8">
        <v>0.0</v>
      </c>
      <c r="AK564" s="8">
        <v>30.0</v>
      </c>
      <c r="AL564" s="8" t="s">
        <v>3479</v>
      </c>
      <c r="AM564" s="8" t="s">
        <v>4500</v>
      </c>
      <c r="AN564" s="8" t="s">
        <v>4501</v>
      </c>
      <c r="AO564" s="8" t="s">
        <v>4626</v>
      </c>
      <c r="AP564" s="8" t="s">
        <v>2135</v>
      </c>
      <c r="AQ564" s="8" t="s">
        <v>2135</v>
      </c>
      <c r="AR564" s="8" t="s">
        <v>4628</v>
      </c>
      <c r="AS564" s="8" t="s">
        <v>4629</v>
      </c>
      <c r="AT564" s="8" t="s">
        <v>3395</v>
      </c>
      <c r="AU564" s="8">
        <v>2007.0</v>
      </c>
      <c r="AV564" s="8">
        <v>8.0</v>
      </c>
      <c r="AW564" s="8">
        <v>4.0</v>
      </c>
      <c r="AX564" s="8" t="s">
        <v>2135</v>
      </c>
      <c r="AY564" s="8" t="s">
        <v>2135</v>
      </c>
      <c r="AZ564" s="8" t="s">
        <v>2135</v>
      </c>
      <c r="BA564" s="8" t="s">
        <v>2135</v>
      </c>
      <c r="BB564" s="8">
        <v>843.0</v>
      </c>
      <c r="BC564" s="8">
        <v>852.0</v>
      </c>
      <c r="BD564" s="8" t="s">
        <v>2135</v>
      </c>
      <c r="BE564" s="8" t="s">
        <v>12020</v>
      </c>
      <c r="BF564" s="13" t="str">
        <f>HYPERLINK("http://dx.doi.org/10.1007/s10592-006-9231-9","http://dx.doi.org/10.1007/s10592-006-9231-9")</f>
        <v>http://dx.doi.org/10.1007/s10592-006-9231-9</v>
      </c>
      <c r="BG564" s="8" t="s">
        <v>2135</v>
      </c>
      <c r="BH564" s="8" t="s">
        <v>2135</v>
      </c>
      <c r="BI564" s="8">
        <v>10.0</v>
      </c>
      <c r="BJ564" s="8" t="s">
        <v>4631</v>
      </c>
      <c r="BK564" s="8" t="s">
        <v>3352</v>
      </c>
      <c r="BL564" s="8" t="s">
        <v>4632</v>
      </c>
      <c r="BM564" s="8" t="s">
        <v>12021</v>
      </c>
      <c r="BN564" s="8" t="s">
        <v>2135</v>
      </c>
      <c r="BO564" s="8" t="s">
        <v>2135</v>
      </c>
      <c r="BP564" s="8" t="s">
        <v>2135</v>
      </c>
      <c r="BQ564" s="8" t="s">
        <v>2135</v>
      </c>
      <c r="BR564" s="8" t="s">
        <v>3355</v>
      </c>
      <c r="BS564" s="8" t="s">
        <v>12022</v>
      </c>
      <c r="BU564" s="8" t="s">
        <v>2142</v>
      </c>
      <c r="BW564" s="8" t="s">
        <v>2218</v>
      </c>
      <c r="BZ564" s="8" t="str">
        <f>HYPERLINK("https%3A%2F%2Fwww.webofscience.com%2Fwos%2Fwoscc%2Ffull-record%2FWOS:000248300300007","View Full Record in Web of Science")</f>
        <v>View Full Record in Web of Science</v>
      </c>
    </row>
    <row r="565" ht="12.75" customHeight="1">
      <c r="A565" s="8" t="s">
        <v>3329</v>
      </c>
      <c r="B565" s="8" t="s">
        <v>12023</v>
      </c>
      <c r="C565" s="8" t="s">
        <v>2135</v>
      </c>
      <c r="D565" s="8" t="s">
        <v>2135</v>
      </c>
      <c r="E565" s="8" t="s">
        <v>2135</v>
      </c>
      <c r="F565" s="8" t="s">
        <v>12024</v>
      </c>
      <c r="G565" s="8" t="s">
        <v>2135</v>
      </c>
      <c r="H565" s="8" t="s">
        <v>2135</v>
      </c>
      <c r="I565" s="8" t="s">
        <v>1497</v>
      </c>
      <c r="J565" s="8" t="s">
        <v>4773</v>
      </c>
      <c r="K565" s="8" t="s">
        <v>2135</v>
      </c>
      <c r="L565" s="8" t="s">
        <v>2135</v>
      </c>
      <c r="M565" s="8" t="s">
        <v>3332</v>
      </c>
      <c r="N565" s="8" t="s">
        <v>3333</v>
      </c>
      <c r="O565" s="8" t="s">
        <v>2135</v>
      </c>
      <c r="P565" s="8" t="s">
        <v>2135</v>
      </c>
      <c r="Q565" s="8" t="s">
        <v>2135</v>
      </c>
      <c r="R565" s="8" t="s">
        <v>2135</v>
      </c>
      <c r="S565" s="8" t="s">
        <v>2135</v>
      </c>
      <c r="T565" s="8" t="s">
        <v>12025</v>
      </c>
      <c r="U565" s="8" t="s">
        <v>12026</v>
      </c>
      <c r="V565" s="8" t="s">
        <v>12027</v>
      </c>
      <c r="W565" s="8" t="s">
        <v>12028</v>
      </c>
      <c r="X565" s="8" t="s">
        <v>12029</v>
      </c>
      <c r="Y565" s="8" t="s">
        <v>12030</v>
      </c>
      <c r="Z565" s="8" t="s">
        <v>12031</v>
      </c>
      <c r="AA565" s="8" t="s">
        <v>12032</v>
      </c>
      <c r="AB565" s="8" t="s">
        <v>12033</v>
      </c>
      <c r="AC565" s="8" t="s">
        <v>2135</v>
      </c>
      <c r="AD565" s="8" t="s">
        <v>2135</v>
      </c>
      <c r="AE565" s="8" t="s">
        <v>2135</v>
      </c>
      <c r="AF565" s="8" t="s">
        <v>2135</v>
      </c>
      <c r="AG565" s="8">
        <v>58.0</v>
      </c>
      <c r="AH565" s="8">
        <v>33.0</v>
      </c>
      <c r="AI565" s="8">
        <v>35.0</v>
      </c>
      <c r="AJ565" s="8">
        <v>0.0</v>
      </c>
      <c r="AK565" s="8">
        <v>48.0</v>
      </c>
      <c r="AL565" s="8" t="s">
        <v>3342</v>
      </c>
      <c r="AM565" s="8" t="s">
        <v>3343</v>
      </c>
      <c r="AN565" s="8" t="s">
        <v>3344</v>
      </c>
      <c r="AO565" s="8" t="s">
        <v>4783</v>
      </c>
      <c r="AP565" s="8" t="s">
        <v>4784</v>
      </c>
      <c r="AQ565" s="8" t="s">
        <v>2135</v>
      </c>
      <c r="AR565" s="8" t="s">
        <v>4785</v>
      </c>
      <c r="AS565" s="8" t="s">
        <v>4786</v>
      </c>
      <c r="AT565" s="8" t="s">
        <v>3765</v>
      </c>
      <c r="AU565" s="8">
        <v>2007.0</v>
      </c>
      <c r="AV565" s="8">
        <v>272.0</v>
      </c>
      <c r="AW565" s="8">
        <v>1.0</v>
      </c>
      <c r="AX565" s="8" t="s">
        <v>2135</v>
      </c>
      <c r="AY565" s="8" t="s">
        <v>2135</v>
      </c>
      <c r="AZ565" s="8" t="s">
        <v>2135</v>
      </c>
      <c r="BA565" s="8" t="s">
        <v>2135</v>
      </c>
      <c r="BB565" s="8">
        <v>1.0</v>
      </c>
      <c r="BC565" s="8">
        <v>9.0</v>
      </c>
      <c r="BD565" s="8" t="s">
        <v>2135</v>
      </c>
      <c r="BE565" s="8" t="s">
        <v>12034</v>
      </c>
      <c r="BF565" s="13" t="str">
        <f>HYPERLINK("http://dx.doi.org/10.1111/j.1469-7998.2006.00259.x","http://dx.doi.org/10.1111/j.1469-7998.2006.00259.x")</f>
        <v>http://dx.doi.org/10.1111/j.1469-7998.2006.00259.x</v>
      </c>
      <c r="BG565" s="8" t="s">
        <v>2135</v>
      </c>
      <c r="BH565" s="8" t="s">
        <v>2135</v>
      </c>
      <c r="BI565" s="8">
        <v>9.0</v>
      </c>
      <c r="BJ565" s="8" t="s">
        <v>3397</v>
      </c>
      <c r="BK565" s="8" t="s">
        <v>3352</v>
      </c>
      <c r="BL565" s="8" t="s">
        <v>3397</v>
      </c>
      <c r="BM565" s="8" t="s">
        <v>12035</v>
      </c>
      <c r="BN565" s="8" t="s">
        <v>2135</v>
      </c>
      <c r="BO565" s="8" t="s">
        <v>2135</v>
      </c>
      <c r="BP565" s="8" t="s">
        <v>2135</v>
      </c>
      <c r="BQ565" s="8" t="s">
        <v>2135</v>
      </c>
      <c r="BR565" s="8" t="s">
        <v>3355</v>
      </c>
      <c r="BS565" s="8" t="s">
        <v>12036</v>
      </c>
      <c r="BU565" s="8" t="s">
        <v>2142</v>
      </c>
      <c r="BW565" s="8" t="s">
        <v>2143</v>
      </c>
      <c r="BZ565" s="8" t="str">
        <f>HYPERLINK("https%3A%2F%2Fwww.webofscience.com%2Fwos%2Fwoscc%2Ffull-record%2FWOS:000245745300001","View Full Record in Web of Science")</f>
        <v>View Full Record in Web of Science</v>
      </c>
    </row>
    <row r="566" ht="12.75" customHeight="1">
      <c r="A566" s="8" t="s">
        <v>3329</v>
      </c>
      <c r="B566" s="8" t="s">
        <v>12037</v>
      </c>
      <c r="C566" s="8" t="s">
        <v>2135</v>
      </c>
      <c r="D566" s="8" t="s">
        <v>2135</v>
      </c>
      <c r="E566" s="8" t="s">
        <v>2135</v>
      </c>
      <c r="F566" s="8" t="s">
        <v>12038</v>
      </c>
      <c r="G566" s="8" t="s">
        <v>2135</v>
      </c>
      <c r="H566" s="8" t="s">
        <v>2135</v>
      </c>
      <c r="I566" s="8" t="s">
        <v>1493</v>
      </c>
      <c r="J566" s="8" t="s">
        <v>6481</v>
      </c>
      <c r="K566" s="8" t="s">
        <v>2135</v>
      </c>
      <c r="L566" s="8" t="s">
        <v>2135</v>
      </c>
      <c r="M566" s="8" t="s">
        <v>3332</v>
      </c>
      <c r="N566" s="8" t="s">
        <v>3333</v>
      </c>
      <c r="O566" s="8" t="s">
        <v>2135</v>
      </c>
      <c r="P566" s="8" t="s">
        <v>2135</v>
      </c>
      <c r="Q566" s="8" t="s">
        <v>2135</v>
      </c>
      <c r="R566" s="8" t="s">
        <v>2135</v>
      </c>
      <c r="S566" s="8" t="s">
        <v>2135</v>
      </c>
      <c r="T566" s="8" t="s">
        <v>12039</v>
      </c>
      <c r="U566" s="8" t="s">
        <v>12040</v>
      </c>
      <c r="V566" s="8" t="s">
        <v>12041</v>
      </c>
      <c r="W566" s="8" t="s">
        <v>12042</v>
      </c>
      <c r="X566" s="8" t="s">
        <v>12043</v>
      </c>
      <c r="Y566" s="8" t="s">
        <v>12044</v>
      </c>
      <c r="Z566" s="8" t="s">
        <v>12045</v>
      </c>
      <c r="AA566" s="8" t="s">
        <v>2135</v>
      </c>
      <c r="AB566" s="8" t="s">
        <v>2135</v>
      </c>
      <c r="AC566" s="8" t="s">
        <v>2135</v>
      </c>
      <c r="AD566" s="8" t="s">
        <v>2135</v>
      </c>
      <c r="AE566" s="8" t="s">
        <v>2135</v>
      </c>
      <c r="AF566" s="8" t="s">
        <v>2135</v>
      </c>
      <c r="AG566" s="8">
        <v>77.0</v>
      </c>
      <c r="AH566" s="8">
        <v>16.0</v>
      </c>
      <c r="AI566" s="8">
        <v>22.0</v>
      </c>
      <c r="AJ566" s="8">
        <v>2.0</v>
      </c>
      <c r="AK566" s="8">
        <v>165.0</v>
      </c>
      <c r="AL566" s="8" t="s">
        <v>3479</v>
      </c>
      <c r="AM566" s="8" t="s">
        <v>4500</v>
      </c>
      <c r="AN566" s="8" t="s">
        <v>4501</v>
      </c>
      <c r="AO566" s="8" t="s">
        <v>6493</v>
      </c>
      <c r="AP566" s="8" t="s">
        <v>6494</v>
      </c>
      <c r="AQ566" s="8" t="s">
        <v>2135</v>
      </c>
      <c r="AR566" s="8" t="s">
        <v>6481</v>
      </c>
      <c r="AS566" s="8" t="s">
        <v>6495</v>
      </c>
      <c r="AT566" s="8" t="s">
        <v>3721</v>
      </c>
      <c r="AU566" s="8">
        <v>2007.0</v>
      </c>
      <c r="AV566" s="8">
        <v>579.0</v>
      </c>
      <c r="AW566" s="8" t="s">
        <v>2135</v>
      </c>
      <c r="AX566" s="8" t="s">
        <v>2135</v>
      </c>
      <c r="AY566" s="8" t="s">
        <v>2135</v>
      </c>
      <c r="AZ566" s="8" t="s">
        <v>2135</v>
      </c>
      <c r="BA566" s="8" t="s">
        <v>2135</v>
      </c>
      <c r="BB566" s="8">
        <v>233.0</v>
      </c>
      <c r="BC566" s="8">
        <v>249.0</v>
      </c>
      <c r="BD566" s="8" t="s">
        <v>2135</v>
      </c>
      <c r="BE566" s="8" t="s">
        <v>12046</v>
      </c>
      <c r="BF566" s="13" t="str">
        <f>HYPERLINK("http://dx.doi.org/10.1007/s10750-006-0403-x","http://dx.doi.org/10.1007/s10750-006-0403-x")</f>
        <v>http://dx.doi.org/10.1007/s10750-006-0403-x</v>
      </c>
      <c r="BG566" s="8" t="s">
        <v>2135</v>
      </c>
      <c r="BH566" s="8" t="s">
        <v>2135</v>
      </c>
      <c r="BI566" s="8">
        <v>17.0</v>
      </c>
      <c r="BJ566" s="8" t="s">
        <v>6497</v>
      </c>
      <c r="BK566" s="8" t="s">
        <v>3352</v>
      </c>
      <c r="BL566" s="8" t="s">
        <v>6497</v>
      </c>
      <c r="BM566" s="8" t="s">
        <v>12047</v>
      </c>
      <c r="BN566" s="8" t="s">
        <v>2135</v>
      </c>
      <c r="BO566" s="8" t="s">
        <v>2135</v>
      </c>
      <c r="BP566" s="8" t="s">
        <v>2135</v>
      </c>
      <c r="BQ566" s="8" t="s">
        <v>2135</v>
      </c>
      <c r="BR566" s="8" t="s">
        <v>3355</v>
      </c>
      <c r="BS566" s="8" t="s">
        <v>12048</v>
      </c>
      <c r="BT566" s="8" t="s">
        <v>2600</v>
      </c>
      <c r="BU566" s="8" t="s">
        <v>2147</v>
      </c>
      <c r="BV566" s="8" t="s">
        <v>2217</v>
      </c>
      <c r="BW566" s="8" t="s">
        <v>2237</v>
      </c>
      <c r="BZ566" s="8" t="str">
        <f>HYPERLINK("https%3A%2F%2Fwww.webofscience.com%2Fwos%2Fwoscc%2Ffull-record%2FWOS:000244187200019","View Full Record in Web of Science")</f>
        <v>View Full Record in Web of Science</v>
      </c>
    </row>
    <row r="567" ht="12.75" customHeight="1">
      <c r="A567" s="8" t="s">
        <v>3329</v>
      </c>
      <c r="B567" s="8" t="s">
        <v>12049</v>
      </c>
      <c r="C567" s="8" t="s">
        <v>2135</v>
      </c>
      <c r="D567" s="8" t="s">
        <v>2135</v>
      </c>
      <c r="E567" s="8" t="s">
        <v>2135</v>
      </c>
      <c r="F567" s="8" t="s">
        <v>12050</v>
      </c>
      <c r="G567" s="8" t="s">
        <v>2135</v>
      </c>
      <c r="H567" s="8" t="s">
        <v>2135</v>
      </c>
      <c r="I567" s="8" t="s">
        <v>1487</v>
      </c>
      <c r="J567" s="8" t="s">
        <v>3428</v>
      </c>
      <c r="K567" s="8" t="s">
        <v>2135</v>
      </c>
      <c r="L567" s="8" t="s">
        <v>2135</v>
      </c>
      <c r="M567" s="8" t="s">
        <v>3332</v>
      </c>
      <c r="N567" s="8" t="s">
        <v>3333</v>
      </c>
      <c r="O567" s="8" t="s">
        <v>2135</v>
      </c>
      <c r="P567" s="8" t="s">
        <v>2135</v>
      </c>
      <c r="Q567" s="8" t="s">
        <v>2135</v>
      </c>
      <c r="R567" s="8" t="s">
        <v>2135</v>
      </c>
      <c r="S567" s="8" t="s">
        <v>2135</v>
      </c>
      <c r="T567" s="8" t="s">
        <v>12051</v>
      </c>
      <c r="U567" s="8" t="s">
        <v>12052</v>
      </c>
      <c r="V567" s="8" t="s">
        <v>12053</v>
      </c>
      <c r="W567" s="8" t="s">
        <v>12054</v>
      </c>
      <c r="X567" s="8" t="s">
        <v>12055</v>
      </c>
      <c r="Y567" s="8" t="s">
        <v>12056</v>
      </c>
      <c r="Z567" s="8" t="s">
        <v>12057</v>
      </c>
      <c r="AA567" s="8" t="s">
        <v>12058</v>
      </c>
      <c r="AB567" s="8" t="s">
        <v>12059</v>
      </c>
      <c r="AC567" s="8" t="s">
        <v>2135</v>
      </c>
      <c r="AD567" s="8" t="s">
        <v>2135</v>
      </c>
      <c r="AE567" s="8" t="s">
        <v>2135</v>
      </c>
      <c r="AF567" s="8" t="s">
        <v>2135</v>
      </c>
      <c r="AG567" s="8">
        <v>51.0</v>
      </c>
      <c r="AH567" s="8">
        <v>37.0</v>
      </c>
      <c r="AI567" s="8">
        <v>45.0</v>
      </c>
      <c r="AJ567" s="8">
        <v>0.0</v>
      </c>
      <c r="AK567" s="8">
        <v>29.0</v>
      </c>
      <c r="AL567" s="8" t="s">
        <v>3342</v>
      </c>
      <c r="AM567" s="8" t="s">
        <v>3343</v>
      </c>
      <c r="AN567" s="8" t="s">
        <v>3344</v>
      </c>
      <c r="AO567" s="8" t="s">
        <v>3436</v>
      </c>
      <c r="AP567" s="8" t="s">
        <v>3437</v>
      </c>
      <c r="AQ567" s="8" t="s">
        <v>2135</v>
      </c>
      <c r="AR567" s="8" t="s">
        <v>3438</v>
      </c>
      <c r="AS567" s="8" t="s">
        <v>3439</v>
      </c>
      <c r="AT567" s="8" t="s">
        <v>3512</v>
      </c>
      <c r="AU567" s="8">
        <v>2006.0</v>
      </c>
      <c r="AV567" s="8">
        <v>75.0</v>
      </c>
      <c r="AW567" s="8">
        <v>4.0</v>
      </c>
      <c r="AX567" s="8" t="s">
        <v>2135</v>
      </c>
      <c r="AY567" s="8" t="s">
        <v>2135</v>
      </c>
      <c r="AZ567" s="8" t="s">
        <v>2135</v>
      </c>
      <c r="BA567" s="8" t="s">
        <v>2135</v>
      </c>
      <c r="BB567" s="8">
        <v>978.0</v>
      </c>
      <c r="BC567" s="8">
        <v>989.0</v>
      </c>
      <c r="BD567" s="8" t="s">
        <v>2135</v>
      </c>
      <c r="BE567" s="8" t="s">
        <v>12060</v>
      </c>
      <c r="BF567" s="13" t="str">
        <f>HYPERLINK("http://dx.doi.org/10.1111/j.1365-2656.2006.01117.x","http://dx.doi.org/10.1111/j.1365-2656.2006.01117.x")</f>
        <v>http://dx.doi.org/10.1111/j.1365-2656.2006.01117.x</v>
      </c>
      <c r="BG567" s="8" t="s">
        <v>2135</v>
      </c>
      <c r="BH567" s="8" t="s">
        <v>2135</v>
      </c>
      <c r="BI567" s="8">
        <v>12.0</v>
      </c>
      <c r="BJ567" s="8" t="s">
        <v>3442</v>
      </c>
      <c r="BK567" s="8" t="s">
        <v>3352</v>
      </c>
      <c r="BL567" s="8" t="s">
        <v>3443</v>
      </c>
      <c r="BM567" s="8" t="s">
        <v>12061</v>
      </c>
      <c r="BN567" s="8">
        <v>1.7009761E7</v>
      </c>
      <c r="BO567" s="8" t="s">
        <v>3445</v>
      </c>
      <c r="BP567" s="8" t="s">
        <v>2135</v>
      </c>
      <c r="BQ567" s="8" t="s">
        <v>2135</v>
      </c>
      <c r="BR567" s="8" t="s">
        <v>3355</v>
      </c>
      <c r="BS567" s="8" t="s">
        <v>12062</v>
      </c>
      <c r="BT567" s="8" t="s">
        <v>2600</v>
      </c>
      <c r="BU567" s="8" t="s">
        <v>2147</v>
      </c>
      <c r="BV567" s="8" t="s">
        <v>2217</v>
      </c>
      <c r="BW567" s="8" t="s">
        <v>2237</v>
      </c>
      <c r="BZ567" s="8" t="str">
        <f>HYPERLINK("https%3A%2F%2Fwww.webofscience.com%2Fwos%2Fwoscc%2Ffull-record%2FWOS:000238486600015","View Full Record in Web of Science")</f>
        <v>View Full Record in Web of Science</v>
      </c>
    </row>
    <row r="568" ht="12.75" customHeight="1">
      <c r="A568" s="8" t="s">
        <v>3329</v>
      </c>
      <c r="B568" s="8" t="s">
        <v>12063</v>
      </c>
      <c r="C568" s="8" t="s">
        <v>2135</v>
      </c>
      <c r="D568" s="8" t="s">
        <v>2135</v>
      </c>
      <c r="E568" s="8" t="s">
        <v>2135</v>
      </c>
      <c r="F568" s="8" t="s">
        <v>12064</v>
      </c>
      <c r="G568" s="8" t="s">
        <v>2135</v>
      </c>
      <c r="H568" s="8" t="s">
        <v>2135</v>
      </c>
      <c r="I568" s="8" t="s">
        <v>1491</v>
      </c>
      <c r="J568" s="8" t="s">
        <v>4612</v>
      </c>
      <c r="K568" s="8" t="s">
        <v>2135</v>
      </c>
      <c r="L568" s="8" t="s">
        <v>2135</v>
      </c>
      <c r="M568" s="8" t="s">
        <v>3332</v>
      </c>
      <c r="N568" s="8" t="s">
        <v>3333</v>
      </c>
      <c r="O568" s="8" t="s">
        <v>2135</v>
      </c>
      <c r="P568" s="8" t="s">
        <v>2135</v>
      </c>
      <c r="Q568" s="8" t="s">
        <v>2135</v>
      </c>
      <c r="R568" s="8" t="s">
        <v>2135</v>
      </c>
      <c r="S568" s="8" t="s">
        <v>2135</v>
      </c>
      <c r="T568" s="8" t="s">
        <v>12065</v>
      </c>
      <c r="U568" s="8" t="s">
        <v>12066</v>
      </c>
      <c r="V568" s="8" t="s">
        <v>12067</v>
      </c>
      <c r="W568" s="8" t="s">
        <v>12068</v>
      </c>
      <c r="X568" s="8" t="s">
        <v>12069</v>
      </c>
      <c r="Y568" s="8" t="s">
        <v>12070</v>
      </c>
      <c r="Z568" s="8" t="s">
        <v>12071</v>
      </c>
      <c r="AA568" s="8" t="s">
        <v>12072</v>
      </c>
      <c r="AB568" s="8" t="s">
        <v>12073</v>
      </c>
      <c r="AC568" s="8" t="s">
        <v>2135</v>
      </c>
      <c r="AD568" s="8" t="s">
        <v>2135</v>
      </c>
      <c r="AE568" s="8" t="s">
        <v>2135</v>
      </c>
      <c r="AF568" s="8" t="s">
        <v>2135</v>
      </c>
      <c r="AG568" s="8">
        <v>67.0</v>
      </c>
      <c r="AH568" s="8">
        <v>50.0</v>
      </c>
      <c r="AI568" s="8">
        <v>56.0</v>
      </c>
      <c r="AJ568" s="8">
        <v>0.0</v>
      </c>
      <c r="AK568" s="8">
        <v>68.0</v>
      </c>
      <c r="AL568" s="8" t="s">
        <v>3479</v>
      </c>
      <c r="AM568" s="8" t="s">
        <v>4500</v>
      </c>
      <c r="AN568" s="8" t="s">
        <v>4501</v>
      </c>
      <c r="AO568" s="8" t="s">
        <v>4626</v>
      </c>
      <c r="AP568" s="8" t="s">
        <v>4627</v>
      </c>
      <c r="AQ568" s="8" t="s">
        <v>2135</v>
      </c>
      <c r="AR568" s="8" t="s">
        <v>4628</v>
      </c>
      <c r="AS568" s="8" t="s">
        <v>4629</v>
      </c>
      <c r="AT568" s="8" t="s">
        <v>3556</v>
      </c>
      <c r="AU568" s="8">
        <v>2006.0</v>
      </c>
      <c r="AV568" s="8">
        <v>7.0</v>
      </c>
      <c r="AW568" s="8">
        <v>2.0</v>
      </c>
      <c r="AX568" s="8" t="s">
        <v>2135</v>
      </c>
      <c r="AY568" s="8" t="s">
        <v>2135</v>
      </c>
      <c r="AZ568" s="8" t="s">
        <v>2135</v>
      </c>
      <c r="BA568" s="8" t="s">
        <v>2135</v>
      </c>
      <c r="BB568" s="8">
        <v>197.0</v>
      </c>
      <c r="BC568" s="8">
        <v>211.0</v>
      </c>
      <c r="BD568" s="8" t="s">
        <v>2135</v>
      </c>
      <c r="BE568" s="8" t="s">
        <v>12074</v>
      </c>
      <c r="BF568" s="13" t="str">
        <f>HYPERLINK("http://dx.doi.org/10.1007/s10592-006-9126-9","http://dx.doi.org/10.1007/s10592-006-9126-9")</f>
        <v>http://dx.doi.org/10.1007/s10592-006-9126-9</v>
      </c>
      <c r="BG568" s="8" t="s">
        <v>2135</v>
      </c>
      <c r="BH568" s="8" t="s">
        <v>2135</v>
      </c>
      <c r="BI568" s="8">
        <v>15.0</v>
      </c>
      <c r="BJ568" s="8" t="s">
        <v>4631</v>
      </c>
      <c r="BK568" s="8" t="s">
        <v>3352</v>
      </c>
      <c r="BL568" s="8" t="s">
        <v>4632</v>
      </c>
      <c r="BM568" s="8" t="s">
        <v>12075</v>
      </c>
      <c r="BN568" s="8" t="s">
        <v>2135</v>
      </c>
      <c r="BO568" s="8" t="s">
        <v>2135</v>
      </c>
      <c r="BP568" s="8" t="s">
        <v>2135</v>
      </c>
      <c r="BQ568" s="8" t="s">
        <v>2135</v>
      </c>
      <c r="BR568" s="8" t="s">
        <v>3355</v>
      </c>
      <c r="BS568" s="8" t="s">
        <v>12076</v>
      </c>
      <c r="BU568" s="8" t="s">
        <v>2147</v>
      </c>
      <c r="BV568" s="8" t="s">
        <v>2217</v>
      </c>
      <c r="BW568" s="8" t="s">
        <v>2218</v>
      </c>
      <c r="BZ568" s="8" t="str">
        <f>HYPERLINK("https%3A%2F%2Fwww.webofscience.com%2Fwos%2Fwoscc%2Ffull-record%2FWOS:000238026300003","View Full Record in Web of Science")</f>
        <v>View Full Record in Web of Science</v>
      </c>
    </row>
    <row r="569" ht="12.75" customHeight="1">
      <c r="A569" s="8" t="s">
        <v>3329</v>
      </c>
      <c r="B569" s="8" t="s">
        <v>12077</v>
      </c>
      <c r="C569" s="8" t="s">
        <v>2135</v>
      </c>
      <c r="D569" s="8" t="s">
        <v>2135</v>
      </c>
      <c r="E569" s="8" t="s">
        <v>2135</v>
      </c>
      <c r="F569" s="8" t="s">
        <v>12077</v>
      </c>
      <c r="G569" s="8" t="s">
        <v>2135</v>
      </c>
      <c r="H569" s="8" t="s">
        <v>2135</v>
      </c>
      <c r="I569" s="8" t="s">
        <v>1484</v>
      </c>
      <c r="J569" s="8" t="s">
        <v>3380</v>
      </c>
      <c r="K569" s="8" t="s">
        <v>2135</v>
      </c>
      <c r="L569" s="8" t="s">
        <v>2135</v>
      </c>
      <c r="M569" s="8" t="s">
        <v>3332</v>
      </c>
      <c r="N569" s="8" t="s">
        <v>3333</v>
      </c>
      <c r="O569" s="8" t="s">
        <v>2135</v>
      </c>
      <c r="P569" s="8" t="s">
        <v>2135</v>
      </c>
      <c r="Q569" s="8" t="s">
        <v>2135</v>
      </c>
      <c r="R569" s="8" t="s">
        <v>2135</v>
      </c>
      <c r="S569" s="8" t="s">
        <v>2135</v>
      </c>
      <c r="T569" s="8" t="s">
        <v>12078</v>
      </c>
      <c r="U569" s="8" t="s">
        <v>12079</v>
      </c>
      <c r="V569" s="8" t="s">
        <v>12080</v>
      </c>
      <c r="W569" s="8" t="s">
        <v>12081</v>
      </c>
      <c r="X569" s="8" t="s">
        <v>12082</v>
      </c>
      <c r="Y569" s="8" t="s">
        <v>12083</v>
      </c>
      <c r="Z569" s="8" t="s">
        <v>12084</v>
      </c>
      <c r="AA569" s="8" t="s">
        <v>2135</v>
      </c>
      <c r="AB569" s="8" t="s">
        <v>12085</v>
      </c>
      <c r="AC569" s="8" t="s">
        <v>2135</v>
      </c>
      <c r="AD569" s="8" t="s">
        <v>2135</v>
      </c>
      <c r="AE569" s="8" t="s">
        <v>2135</v>
      </c>
      <c r="AF569" s="8" t="s">
        <v>2135</v>
      </c>
      <c r="AG569" s="8">
        <v>56.0</v>
      </c>
      <c r="AH569" s="8">
        <v>12.0</v>
      </c>
      <c r="AI569" s="8">
        <v>14.0</v>
      </c>
      <c r="AJ569" s="8">
        <v>1.0</v>
      </c>
      <c r="AK569" s="8">
        <v>31.0</v>
      </c>
      <c r="AL569" s="8" t="s">
        <v>3921</v>
      </c>
      <c r="AM569" s="8" t="s">
        <v>3922</v>
      </c>
      <c r="AN569" s="8" t="s">
        <v>3923</v>
      </c>
      <c r="AO569" s="8" t="s">
        <v>3392</v>
      </c>
      <c r="AP569" s="8" t="s">
        <v>4022</v>
      </c>
      <c r="AQ569" s="8" t="s">
        <v>2135</v>
      </c>
      <c r="AR569" s="8" t="s">
        <v>3393</v>
      </c>
      <c r="AS569" s="8" t="s">
        <v>3394</v>
      </c>
      <c r="AT569" s="8" t="s">
        <v>3556</v>
      </c>
      <c r="AU569" s="8">
        <v>2006.0</v>
      </c>
      <c r="AV569" s="8">
        <v>87.0</v>
      </c>
      <c r="AW569" s="8">
        <v>2.0</v>
      </c>
      <c r="AX569" s="8" t="s">
        <v>2135</v>
      </c>
      <c r="AY569" s="8" t="s">
        <v>2135</v>
      </c>
      <c r="AZ569" s="8" t="s">
        <v>2135</v>
      </c>
      <c r="BA569" s="8" t="s">
        <v>2135</v>
      </c>
      <c r="BB569" s="8">
        <v>272.0</v>
      </c>
      <c r="BC569" s="8">
        <v>280.0</v>
      </c>
      <c r="BD569" s="8" t="s">
        <v>2135</v>
      </c>
      <c r="BE569" s="8" t="s">
        <v>12086</v>
      </c>
      <c r="BF569" s="13" t="str">
        <f>HYPERLINK("http://dx.doi.org/10.1644/05-MAMM-A-243R1.1","http://dx.doi.org/10.1644/05-MAMM-A-243R1.1")</f>
        <v>http://dx.doi.org/10.1644/05-MAMM-A-243R1.1</v>
      </c>
      <c r="BG569" s="8" t="s">
        <v>2135</v>
      </c>
      <c r="BH569" s="8" t="s">
        <v>2135</v>
      </c>
      <c r="BI569" s="8">
        <v>9.0</v>
      </c>
      <c r="BJ569" s="8" t="s">
        <v>3397</v>
      </c>
      <c r="BK569" s="8" t="s">
        <v>3352</v>
      </c>
      <c r="BL569" s="8" t="s">
        <v>3397</v>
      </c>
      <c r="BM569" s="8" t="s">
        <v>12087</v>
      </c>
      <c r="BN569" s="8" t="s">
        <v>2135</v>
      </c>
      <c r="BO569" s="8" t="s">
        <v>2135</v>
      </c>
      <c r="BP569" s="8" t="s">
        <v>2135</v>
      </c>
      <c r="BQ569" s="8" t="s">
        <v>2135</v>
      </c>
      <c r="BR569" s="8" t="s">
        <v>3355</v>
      </c>
      <c r="BS569" s="8" t="s">
        <v>12088</v>
      </c>
      <c r="BT569" s="8" t="s">
        <v>2600</v>
      </c>
      <c r="BU569" s="8" t="s">
        <v>2147</v>
      </c>
      <c r="BV569" s="8" t="s">
        <v>2217</v>
      </c>
      <c r="BW569" s="8" t="s">
        <v>2221</v>
      </c>
      <c r="BZ569" s="8" t="str">
        <f>HYPERLINK("https%3A%2F%2Fwww.webofscience.com%2Fwos%2Fwoscc%2Ffull-record%2FWOS:000237125800010","View Full Record in Web of Science")</f>
        <v>View Full Record in Web of Science</v>
      </c>
    </row>
    <row r="570" ht="12.75" customHeight="1">
      <c r="A570" s="8" t="s">
        <v>3329</v>
      </c>
      <c r="B570" s="8" t="s">
        <v>12089</v>
      </c>
      <c r="C570" s="8" t="s">
        <v>2135</v>
      </c>
      <c r="D570" s="8" t="s">
        <v>2135</v>
      </c>
      <c r="E570" s="8" t="s">
        <v>2135</v>
      </c>
      <c r="F570" s="8" t="s">
        <v>12089</v>
      </c>
      <c r="G570" s="8" t="s">
        <v>2135</v>
      </c>
      <c r="H570" s="8" t="s">
        <v>2135</v>
      </c>
      <c r="I570" s="8" t="s">
        <v>1489</v>
      </c>
      <c r="J570" s="8" t="s">
        <v>11854</v>
      </c>
      <c r="K570" s="8" t="s">
        <v>2135</v>
      </c>
      <c r="L570" s="8" t="s">
        <v>2135</v>
      </c>
      <c r="M570" s="8" t="s">
        <v>3332</v>
      </c>
      <c r="N570" s="8" t="s">
        <v>3333</v>
      </c>
      <c r="O570" s="8" t="s">
        <v>2135</v>
      </c>
      <c r="P570" s="8" t="s">
        <v>2135</v>
      </c>
      <c r="Q570" s="8" t="s">
        <v>2135</v>
      </c>
      <c r="R570" s="8" t="s">
        <v>2135</v>
      </c>
      <c r="S570" s="8" t="s">
        <v>2135</v>
      </c>
      <c r="T570" s="8" t="s">
        <v>12090</v>
      </c>
      <c r="U570" s="8" t="s">
        <v>12091</v>
      </c>
      <c r="V570" s="8" t="s">
        <v>12092</v>
      </c>
      <c r="W570" s="8" t="s">
        <v>12093</v>
      </c>
      <c r="X570" s="8" t="s">
        <v>12043</v>
      </c>
      <c r="Y570" s="8" t="s">
        <v>12094</v>
      </c>
      <c r="Z570" s="8" t="s">
        <v>12095</v>
      </c>
      <c r="AA570" s="8" t="s">
        <v>2135</v>
      </c>
      <c r="AB570" s="8" t="s">
        <v>2135</v>
      </c>
      <c r="AC570" s="8" t="s">
        <v>2135</v>
      </c>
      <c r="AD570" s="8" t="s">
        <v>2135</v>
      </c>
      <c r="AE570" s="8" t="s">
        <v>2135</v>
      </c>
      <c r="AF570" s="8" t="s">
        <v>2135</v>
      </c>
      <c r="AG570" s="8">
        <v>49.0</v>
      </c>
      <c r="AH570" s="8">
        <v>75.0</v>
      </c>
      <c r="AI570" s="8">
        <v>101.0</v>
      </c>
      <c r="AJ570" s="8">
        <v>2.0</v>
      </c>
      <c r="AK570" s="8">
        <v>193.0</v>
      </c>
      <c r="AL570" s="8" t="s">
        <v>3479</v>
      </c>
      <c r="AM570" s="8" t="s">
        <v>3480</v>
      </c>
      <c r="AN570" s="8" t="s">
        <v>3739</v>
      </c>
      <c r="AO570" s="8" t="s">
        <v>11865</v>
      </c>
      <c r="AP570" s="8" t="s">
        <v>11866</v>
      </c>
      <c r="AQ570" s="8" t="s">
        <v>2135</v>
      </c>
      <c r="AR570" s="8" t="s">
        <v>11854</v>
      </c>
      <c r="AS570" s="8" t="s">
        <v>11867</v>
      </c>
      <c r="AT570" s="8" t="s">
        <v>3629</v>
      </c>
      <c r="AU570" s="8">
        <v>2006.0</v>
      </c>
      <c r="AV570" s="8">
        <v>146.0</v>
      </c>
      <c r="AW570" s="8">
        <v>4.0</v>
      </c>
      <c r="AX570" s="8" t="s">
        <v>2135</v>
      </c>
      <c r="AY570" s="8" t="s">
        <v>2135</v>
      </c>
      <c r="AZ570" s="8" t="s">
        <v>2135</v>
      </c>
      <c r="BA570" s="8" t="s">
        <v>2135</v>
      </c>
      <c r="BB570" s="8">
        <v>623.0</v>
      </c>
      <c r="BC570" s="8">
        <v>631.0</v>
      </c>
      <c r="BD570" s="8" t="s">
        <v>2135</v>
      </c>
      <c r="BE570" s="8" t="s">
        <v>12096</v>
      </c>
      <c r="BF570" s="13" t="str">
        <f>HYPERLINK("http://dx.doi.org/10.1007/s00442-005-0230-1","http://dx.doi.org/10.1007/s00442-005-0230-1")</f>
        <v>http://dx.doi.org/10.1007/s00442-005-0230-1</v>
      </c>
      <c r="BG570" s="8" t="s">
        <v>2135</v>
      </c>
      <c r="BH570" s="8" t="s">
        <v>2135</v>
      </c>
      <c r="BI570" s="8">
        <v>9.0</v>
      </c>
      <c r="BJ570" s="8" t="s">
        <v>3681</v>
      </c>
      <c r="BK570" s="8" t="s">
        <v>3352</v>
      </c>
      <c r="BL570" s="8" t="s">
        <v>3632</v>
      </c>
      <c r="BM570" s="8" t="s">
        <v>12097</v>
      </c>
      <c r="BN570" s="8">
        <v>1.6193296E7</v>
      </c>
      <c r="BO570" s="8" t="s">
        <v>2135</v>
      </c>
      <c r="BP570" s="8" t="s">
        <v>2135</v>
      </c>
      <c r="BQ570" s="8" t="s">
        <v>2135</v>
      </c>
      <c r="BR570" s="8" t="s">
        <v>3355</v>
      </c>
      <c r="BS570" s="8" t="s">
        <v>12098</v>
      </c>
      <c r="BT570" s="8" t="s">
        <v>2600</v>
      </c>
      <c r="BU570" s="8" t="s">
        <v>2147</v>
      </c>
      <c r="BV570" s="8" t="s">
        <v>2217</v>
      </c>
      <c r="BW570" s="8" t="s">
        <v>2237</v>
      </c>
      <c r="BZ570" s="8" t="str">
        <f>HYPERLINK("https%3A%2F%2Fwww.webofscience.com%2Fwos%2Fwoscc%2Ffull-record%2FWOS:000234145300014","View Full Record in Web of Science")</f>
        <v>View Full Record in Web of Science</v>
      </c>
    </row>
    <row r="571" ht="12.75" customHeight="1">
      <c r="A571" s="8" t="s">
        <v>3329</v>
      </c>
      <c r="B571" s="8" t="s">
        <v>12099</v>
      </c>
      <c r="C571" s="8" t="s">
        <v>2135</v>
      </c>
      <c r="D571" s="8" t="s">
        <v>2135</v>
      </c>
      <c r="E571" s="8" t="s">
        <v>2135</v>
      </c>
      <c r="F571" s="8" t="s">
        <v>12099</v>
      </c>
      <c r="G571" s="8" t="s">
        <v>2135</v>
      </c>
      <c r="H571" s="8" t="s">
        <v>2135</v>
      </c>
      <c r="I571" s="8" t="s">
        <v>1482</v>
      </c>
      <c r="J571" s="8" t="s">
        <v>12100</v>
      </c>
      <c r="K571" s="8" t="s">
        <v>2135</v>
      </c>
      <c r="L571" s="8" t="s">
        <v>2135</v>
      </c>
      <c r="M571" s="8" t="s">
        <v>3332</v>
      </c>
      <c r="N571" s="8" t="s">
        <v>8008</v>
      </c>
      <c r="O571" s="8" t="s">
        <v>2135</v>
      </c>
      <c r="P571" s="8" t="s">
        <v>2135</v>
      </c>
      <c r="Q571" s="8" t="s">
        <v>2135</v>
      </c>
      <c r="R571" s="8" t="s">
        <v>2135</v>
      </c>
      <c r="S571" s="8" t="s">
        <v>2135</v>
      </c>
      <c r="T571" s="8" t="s">
        <v>12101</v>
      </c>
      <c r="U571" s="8" t="s">
        <v>12102</v>
      </c>
      <c r="V571" s="8" t="s">
        <v>12103</v>
      </c>
      <c r="W571" s="8" t="s">
        <v>12104</v>
      </c>
      <c r="X571" s="8" t="s">
        <v>12105</v>
      </c>
      <c r="Y571" s="8" t="s">
        <v>12106</v>
      </c>
      <c r="Z571" s="8" t="s">
        <v>12107</v>
      </c>
      <c r="AA571" s="8" t="s">
        <v>2135</v>
      </c>
      <c r="AB571" s="8" t="s">
        <v>2135</v>
      </c>
      <c r="AC571" s="8" t="s">
        <v>2135</v>
      </c>
      <c r="AD571" s="8" t="s">
        <v>2135</v>
      </c>
      <c r="AE571" s="8" t="s">
        <v>2135</v>
      </c>
      <c r="AF571" s="8" t="s">
        <v>2135</v>
      </c>
      <c r="AG571" s="8">
        <v>85.0</v>
      </c>
      <c r="AH571" s="8">
        <v>12.0</v>
      </c>
      <c r="AI571" s="8">
        <v>15.0</v>
      </c>
      <c r="AJ571" s="8">
        <v>0.0</v>
      </c>
      <c r="AK571" s="8">
        <v>30.0</v>
      </c>
      <c r="AL571" s="8" t="s">
        <v>3342</v>
      </c>
      <c r="AM571" s="8" t="s">
        <v>3343</v>
      </c>
      <c r="AN571" s="8" t="s">
        <v>3344</v>
      </c>
      <c r="AO571" s="8" t="s">
        <v>12108</v>
      </c>
      <c r="AP571" s="8" t="s">
        <v>12109</v>
      </c>
      <c r="AQ571" s="8" t="s">
        <v>2135</v>
      </c>
      <c r="AR571" s="8" t="s">
        <v>12110</v>
      </c>
      <c r="AS571" s="8" t="s">
        <v>12111</v>
      </c>
      <c r="AT571" s="8" t="s">
        <v>3440</v>
      </c>
      <c r="AU571" s="8">
        <v>2005.0</v>
      </c>
      <c r="AV571" s="8">
        <v>14.0</v>
      </c>
      <c r="AW571" s="8" t="s">
        <v>2135</v>
      </c>
      <c r="AX571" s="8" t="s">
        <v>2135</v>
      </c>
      <c r="AY571" s="8">
        <v>1.0</v>
      </c>
      <c r="AZ571" s="8" t="s">
        <v>2135</v>
      </c>
      <c r="BA571" s="8" t="s">
        <v>2135</v>
      </c>
      <c r="BB571" s="8">
        <v>277.0</v>
      </c>
      <c r="BC571" s="8">
        <v>291.0</v>
      </c>
      <c r="BD571" s="8" t="s">
        <v>2135</v>
      </c>
      <c r="BE571" s="8" t="s">
        <v>12112</v>
      </c>
      <c r="BF571" s="13" t="str">
        <f>HYPERLINK("http://dx.doi.org/10.1111/j.1365-2419.2005.00377.x","http://dx.doi.org/10.1111/j.1365-2419.2005.00377.x")</f>
        <v>http://dx.doi.org/10.1111/j.1365-2419.2005.00377.x</v>
      </c>
      <c r="BG571" s="8" t="s">
        <v>2135</v>
      </c>
      <c r="BH571" s="8" t="s">
        <v>2135</v>
      </c>
      <c r="BI571" s="8">
        <v>15.0</v>
      </c>
      <c r="BJ571" s="8" t="s">
        <v>12113</v>
      </c>
      <c r="BK571" s="8" t="s">
        <v>3352</v>
      </c>
      <c r="BL571" s="8" t="s">
        <v>12113</v>
      </c>
      <c r="BM571" s="8" t="s">
        <v>12114</v>
      </c>
      <c r="BN571" s="8" t="s">
        <v>2135</v>
      </c>
      <c r="BO571" s="8" t="s">
        <v>2135</v>
      </c>
      <c r="BP571" s="8" t="s">
        <v>2135</v>
      </c>
      <c r="BQ571" s="8" t="s">
        <v>2135</v>
      </c>
      <c r="BR571" s="8" t="s">
        <v>3355</v>
      </c>
      <c r="BS571" s="8" t="s">
        <v>12115</v>
      </c>
      <c r="BT571" s="8" t="s">
        <v>2600</v>
      </c>
      <c r="BU571" s="8" t="s">
        <v>2147</v>
      </c>
      <c r="BV571" s="8" t="s">
        <v>2217</v>
      </c>
      <c r="BW571" s="8" t="s">
        <v>2237</v>
      </c>
      <c r="BZ571" s="8" t="str">
        <f>HYPERLINK("https%3A%2F%2Fwww.webofscience.com%2Fwos%2Fwoscc%2Ffull-record%2FWOS:000232149300018","View Full Record in Web of Science")</f>
        <v>View Full Record in Web of Science</v>
      </c>
    </row>
    <row r="572" ht="12.75" customHeight="1">
      <c r="A572" s="8" t="s">
        <v>3329</v>
      </c>
      <c r="B572" s="8" t="s">
        <v>12116</v>
      </c>
      <c r="C572" s="8" t="s">
        <v>2135</v>
      </c>
      <c r="D572" s="8" t="s">
        <v>2135</v>
      </c>
      <c r="E572" s="8" t="s">
        <v>2135</v>
      </c>
      <c r="F572" s="8" t="s">
        <v>12116</v>
      </c>
      <c r="G572" s="8" t="s">
        <v>2135</v>
      </c>
      <c r="H572" s="8" t="s">
        <v>2135</v>
      </c>
      <c r="I572" s="8" t="s">
        <v>1477</v>
      </c>
      <c r="J572" s="8" t="s">
        <v>4422</v>
      </c>
      <c r="K572" s="8" t="s">
        <v>2135</v>
      </c>
      <c r="L572" s="8" t="s">
        <v>2135</v>
      </c>
      <c r="M572" s="8" t="s">
        <v>3332</v>
      </c>
      <c r="N572" s="8" t="s">
        <v>3333</v>
      </c>
      <c r="O572" s="8" t="s">
        <v>2135</v>
      </c>
      <c r="P572" s="8" t="s">
        <v>2135</v>
      </c>
      <c r="Q572" s="8" t="s">
        <v>2135</v>
      </c>
      <c r="R572" s="8" t="s">
        <v>2135</v>
      </c>
      <c r="S572" s="8" t="s">
        <v>2135</v>
      </c>
      <c r="T572" s="8" t="s">
        <v>12117</v>
      </c>
      <c r="U572" s="8" t="s">
        <v>12118</v>
      </c>
      <c r="V572" s="8" t="s">
        <v>12119</v>
      </c>
      <c r="W572" s="8" t="s">
        <v>12120</v>
      </c>
      <c r="X572" s="8" t="s">
        <v>12121</v>
      </c>
      <c r="Y572" s="8" t="s">
        <v>12122</v>
      </c>
      <c r="Z572" s="8" t="s">
        <v>12123</v>
      </c>
      <c r="AA572" s="8" t="s">
        <v>12124</v>
      </c>
      <c r="AB572" s="8" t="s">
        <v>12125</v>
      </c>
      <c r="AC572" s="8" t="s">
        <v>2135</v>
      </c>
      <c r="AD572" s="8" t="s">
        <v>2135</v>
      </c>
      <c r="AE572" s="8" t="s">
        <v>2135</v>
      </c>
      <c r="AF572" s="8" t="s">
        <v>2135</v>
      </c>
      <c r="AG572" s="8">
        <v>73.0</v>
      </c>
      <c r="AH572" s="8">
        <v>57.0</v>
      </c>
      <c r="AI572" s="8">
        <v>63.0</v>
      </c>
      <c r="AJ572" s="8">
        <v>0.0</v>
      </c>
      <c r="AK572" s="8">
        <v>43.0</v>
      </c>
      <c r="AL572" s="8" t="s">
        <v>3342</v>
      </c>
      <c r="AM572" s="8" t="s">
        <v>3343</v>
      </c>
      <c r="AN572" s="8" t="s">
        <v>3344</v>
      </c>
      <c r="AO572" s="8" t="s">
        <v>4429</v>
      </c>
      <c r="AP572" s="8" t="s">
        <v>6676</v>
      </c>
      <c r="AQ572" s="8" t="s">
        <v>2135</v>
      </c>
      <c r="AR572" s="8" t="s">
        <v>4430</v>
      </c>
      <c r="AS572" s="8" t="s">
        <v>4431</v>
      </c>
      <c r="AT572" s="8" t="s">
        <v>3512</v>
      </c>
      <c r="AU572" s="8">
        <v>2005.0</v>
      </c>
      <c r="AV572" s="8">
        <v>14.0</v>
      </c>
      <c r="AW572" s="8">
        <v>8.0</v>
      </c>
      <c r="AX572" s="8" t="s">
        <v>2135</v>
      </c>
      <c r="AY572" s="8" t="s">
        <v>2135</v>
      </c>
      <c r="AZ572" s="8" t="s">
        <v>2135</v>
      </c>
      <c r="BA572" s="8" t="s">
        <v>2135</v>
      </c>
      <c r="BB572" s="8">
        <v>2373.0</v>
      </c>
      <c r="BC572" s="8">
        <v>2388.0</v>
      </c>
      <c r="BD572" s="8" t="s">
        <v>2135</v>
      </c>
      <c r="BE572" s="8" t="s">
        <v>12126</v>
      </c>
      <c r="BF572" s="13" t="str">
        <f>HYPERLINK("http://dx.doi.org/10.1111/j.1365-294X.2005.02597.x","http://dx.doi.org/10.1111/j.1365-294X.2005.02597.x")</f>
        <v>http://dx.doi.org/10.1111/j.1365-294X.2005.02597.x</v>
      </c>
      <c r="BG572" s="8" t="s">
        <v>2135</v>
      </c>
      <c r="BH572" s="8" t="s">
        <v>2135</v>
      </c>
      <c r="BI572" s="8">
        <v>16.0</v>
      </c>
      <c r="BJ572" s="8" t="s">
        <v>4433</v>
      </c>
      <c r="BK572" s="8" t="s">
        <v>3352</v>
      </c>
      <c r="BL572" s="8" t="s">
        <v>4434</v>
      </c>
      <c r="BM572" s="8" t="s">
        <v>12127</v>
      </c>
      <c r="BN572" s="8">
        <v>1.5969721E7</v>
      </c>
      <c r="BO572" s="8" t="s">
        <v>3560</v>
      </c>
      <c r="BP572" s="8" t="s">
        <v>2135</v>
      </c>
      <c r="BQ572" s="8" t="s">
        <v>2135</v>
      </c>
      <c r="BR572" s="8" t="s">
        <v>3355</v>
      </c>
      <c r="BS572" s="8" t="s">
        <v>12128</v>
      </c>
      <c r="BU572" s="8" t="s">
        <v>2142</v>
      </c>
      <c r="BW572" s="8" t="s">
        <v>2168</v>
      </c>
      <c r="BZ572" s="8" t="str">
        <f>HYPERLINK("https%3A%2F%2Fwww.webofscience.com%2Fwos%2Fwoscc%2Ffull-record%2FWOS:000229961500011","View Full Record in Web of Science")</f>
        <v>View Full Record in Web of Science</v>
      </c>
    </row>
    <row r="573" ht="12.75" customHeight="1">
      <c r="A573" s="8" t="s">
        <v>3329</v>
      </c>
      <c r="B573" s="8" t="s">
        <v>12129</v>
      </c>
      <c r="C573" s="8" t="s">
        <v>2135</v>
      </c>
      <c r="D573" s="8" t="s">
        <v>2135</v>
      </c>
      <c r="E573" s="8" t="s">
        <v>2135</v>
      </c>
      <c r="F573" s="8" t="s">
        <v>12129</v>
      </c>
      <c r="G573" s="8" t="s">
        <v>2135</v>
      </c>
      <c r="H573" s="8" t="s">
        <v>2135</v>
      </c>
      <c r="I573" s="8" t="s">
        <v>1479</v>
      </c>
      <c r="J573" s="8" t="s">
        <v>4986</v>
      </c>
      <c r="K573" s="8" t="s">
        <v>2135</v>
      </c>
      <c r="L573" s="8" t="s">
        <v>2135</v>
      </c>
      <c r="M573" s="8" t="s">
        <v>3332</v>
      </c>
      <c r="N573" s="8" t="s">
        <v>3333</v>
      </c>
      <c r="O573" s="8" t="s">
        <v>2135</v>
      </c>
      <c r="P573" s="8" t="s">
        <v>2135</v>
      </c>
      <c r="Q573" s="8" t="s">
        <v>2135</v>
      </c>
      <c r="R573" s="8" t="s">
        <v>2135</v>
      </c>
      <c r="S573" s="8" t="s">
        <v>2135</v>
      </c>
      <c r="T573" s="8" t="s">
        <v>12130</v>
      </c>
      <c r="U573" s="8" t="s">
        <v>12131</v>
      </c>
      <c r="V573" s="8" t="s">
        <v>12132</v>
      </c>
      <c r="W573" s="8" t="s">
        <v>12133</v>
      </c>
      <c r="X573" s="8" t="s">
        <v>12134</v>
      </c>
      <c r="Y573" s="8" t="s">
        <v>12135</v>
      </c>
      <c r="Z573" s="8" t="s">
        <v>12136</v>
      </c>
      <c r="AA573" s="8" t="s">
        <v>2135</v>
      </c>
      <c r="AB573" s="8" t="s">
        <v>2135</v>
      </c>
      <c r="AC573" s="8" t="s">
        <v>2135</v>
      </c>
      <c r="AD573" s="8" t="s">
        <v>2135</v>
      </c>
      <c r="AE573" s="8" t="s">
        <v>2135</v>
      </c>
      <c r="AF573" s="8" t="s">
        <v>2135</v>
      </c>
      <c r="AG573" s="8">
        <v>61.0</v>
      </c>
      <c r="AH573" s="8">
        <v>8.0</v>
      </c>
      <c r="AI573" s="8">
        <v>8.0</v>
      </c>
      <c r="AJ573" s="8">
        <v>2.0</v>
      </c>
      <c r="AK573" s="8">
        <v>26.0</v>
      </c>
      <c r="AL573" s="8" t="s">
        <v>4998</v>
      </c>
      <c r="AM573" s="8" t="s">
        <v>4999</v>
      </c>
      <c r="AN573" s="8" t="s">
        <v>5000</v>
      </c>
      <c r="AO573" s="8" t="s">
        <v>5001</v>
      </c>
      <c r="AP573" s="8" t="s">
        <v>5002</v>
      </c>
      <c r="AQ573" s="8" t="s">
        <v>2135</v>
      </c>
      <c r="AR573" s="8" t="s">
        <v>4986</v>
      </c>
      <c r="AS573" s="8" t="s">
        <v>5003</v>
      </c>
      <c r="AT573" s="8" t="s">
        <v>2135</v>
      </c>
      <c r="AU573" s="8">
        <v>2005.0</v>
      </c>
      <c r="AV573" s="8">
        <v>69.0</v>
      </c>
      <c r="AW573" s="8">
        <v>2.0</v>
      </c>
      <c r="AX573" s="8" t="s">
        <v>2135</v>
      </c>
      <c r="AY573" s="8" t="s">
        <v>2135</v>
      </c>
      <c r="AZ573" s="8" t="s">
        <v>2135</v>
      </c>
      <c r="BA573" s="8" t="s">
        <v>2135</v>
      </c>
      <c r="BB573" s="8">
        <v>211.0</v>
      </c>
      <c r="BC573" s="8">
        <v>222.0</v>
      </c>
      <c r="BD573" s="8" t="s">
        <v>2135</v>
      </c>
      <c r="BE573" s="8" t="s">
        <v>12137</v>
      </c>
      <c r="BF573" s="13" t="str">
        <f>HYPERLINK("http://dx.doi.org/10.1515/mamm.2005.018","http://dx.doi.org/10.1515/mamm.2005.018")</f>
        <v>http://dx.doi.org/10.1515/mamm.2005.018</v>
      </c>
      <c r="BG573" s="8" t="s">
        <v>2135</v>
      </c>
      <c r="BH573" s="8" t="s">
        <v>2135</v>
      </c>
      <c r="BI573" s="8">
        <v>12.0</v>
      </c>
      <c r="BJ573" s="8" t="s">
        <v>3397</v>
      </c>
      <c r="BK573" s="8" t="s">
        <v>3352</v>
      </c>
      <c r="BL573" s="8" t="s">
        <v>3397</v>
      </c>
      <c r="BM573" s="8" t="s">
        <v>12138</v>
      </c>
      <c r="BN573" s="8" t="s">
        <v>2135</v>
      </c>
      <c r="BO573" s="8" t="s">
        <v>2135</v>
      </c>
      <c r="BP573" s="8" t="s">
        <v>2135</v>
      </c>
      <c r="BQ573" s="8" t="s">
        <v>2135</v>
      </c>
      <c r="BR573" s="8" t="s">
        <v>3355</v>
      </c>
      <c r="BS573" s="8" t="s">
        <v>12139</v>
      </c>
      <c r="BT573" s="8" t="s">
        <v>2417</v>
      </c>
      <c r="BU573" s="8" t="s">
        <v>2142</v>
      </c>
      <c r="BW573" s="8" t="s">
        <v>2340</v>
      </c>
      <c r="BZ573" s="8" t="str">
        <f>HYPERLINK("https%3A%2F%2Fwww.webofscience.com%2Fwos%2Fwoscc%2Ffull-record%2FWOS:000230541000006","View Full Record in Web of Science")</f>
        <v>View Full Record in Web of Science</v>
      </c>
    </row>
    <row r="574" ht="12.75" customHeight="1">
      <c r="A574" s="8" t="s">
        <v>3329</v>
      </c>
      <c r="B574" s="8" t="s">
        <v>12140</v>
      </c>
      <c r="C574" s="8" t="s">
        <v>2135</v>
      </c>
      <c r="D574" s="8" t="s">
        <v>2135</v>
      </c>
      <c r="E574" s="8" t="s">
        <v>2135</v>
      </c>
      <c r="F574" s="8" t="s">
        <v>12140</v>
      </c>
      <c r="G574" s="8" t="s">
        <v>2135</v>
      </c>
      <c r="H574" s="8" t="s">
        <v>2135</v>
      </c>
      <c r="I574" s="8" t="s">
        <v>1475</v>
      </c>
      <c r="J574" s="8" t="s">
        <v>5135</v>
      </c>
      <c r="K574" s="8" t="s">
        <v>2135</v>
      </c>
      <c r="L574" s="8" t="s">
        <v>2135</v>
      </c>
      <c r="M574" s="8" t="s">
        <v>3332</v>
      </c>
      <c r="N574" s="8" t="s">
        <v>3333</v>
      </c>
      <c r="O574" s="8" t="s">
        <v>2135</v>
      </c>
      <c r="P574" s="8" t="s">
        <v>2135</v>
      </c>
      <c r="Q574" s="8" t="s">
        <v>2135</v>
      </c>
      <c r="R574" s="8" t="s">
        <v>2135</v>
      </c>
      <c r="S574" s="8" t="s">
        <v>2135</v>
      </c>
      <c r="T574" s="8" t="s">
        <v>12141</v>
      </c>
      <c r="U574" s="8" t="s">
        <v>12142</v>
      </c>
      <c r="V574" s="8" t="s">
        <v>12143</v>
      </c>
      <c r="W574" s="8" t="s">
        <v>12144</v>
      </c>
      <c r="X574" s="8" t="s">
        <v>12145</v>
      </c>
      <c r="Y574" s="8" t="s">
        <v>12146</v>
      </c>
      <c r="Z574" s="8" t="s">
        <v>9352</v>
      </c>
      <c r="AA574" s="8" t="s">
        <v>2135</v>
      </c>
      <c r="AB574" s="8" t="s">
        <v>2135</v>
      </c>
      <c r="AC574" s="8" t="s">
        <v>2135</v>
      </c>
      <c r="AD574" s="8" t="s">
        <v>2135</v>
      </c>
      <c r="AE574" s="8" t="s">
        <v>2135</v>
      </c>
      <c r="AF574" s="8" t="s">
        <v>2135</v>
      </c>
      <c r="AG574" s="8">
        <v>41.0</v>
      </c>
      <c r="AH574" s="8">
        <v>10.0</v>
      </c>
      <c r="AI574" s="8">
        <v>11.0</v>
      </c>
      <c r="AJ574" s="8">
        <v>0.0</v>
      </c>
      <c r="AK574" s="8">
        <v>22.0</v>
      </c>
      <c r="AL574" s="8" t="s">
        <v>3479</v>
      </c>
      <c r="AM574" s="8" t="s">
        <v>4500</v>
      </c>
      <c r="AN574" s="8" t="s">
        <v>4501</v>
      </c>
      <c r="AO574" s="8" t="s">
        <v>5148</v>
      </c>
      <c r="AP574" s="8" t="s">
        <v>2135</v>
      </c>
      <c r="AQ574" s="8" t="s">
        <v>2135</v>
      </c>
      <c r="AR574" s="8" t="s">
        <v>5150</v>
      </c>
      <c r="AS574" s="8" t="s">
        <v>5151</v>
      </c>
      <c r="AT574" s="8" t="s">
        <v>3629</v>
      </c>
      <c r="AU574" s="8">
        <v>2005.0</v>
      </c>
      <c r="AV574" s="8">
        <v>14.0</v>
      </c>
      <c r="AW574" s="8">
        <v>1.0</v>
      </c>
      <c r="AX574" s="8" t="s">
        <v>2135</v>
      </c>
      <c r="AY574" s="8" t="s">
        <v>2135</v>
      </c>
      <c r="AZ574" s="8" t="s">
        <v>2135</v>
      </c>
      <c r="BA574" s="8" t="s">
        <v>2135</v>
      </c>
      <c r="BB574" s="8">
        <v>251.0</v>
      </c>
      <c r="BC574" s="8">
        <v>259.0</v>
      </c>
      <c r="BD574" s="8" t="s">
        <v>2135</v>
      </c>
      <c r="BE574" s="8" t="s">
        <v>12147</v>
      </c>
      <c r="BF574" s="13" t="str">
        <f>HYPERLINK("http://dx.doi.org/10.1007/s10531-005-5051-3","http://dx.doi.org/10.1007/s10531-005-5051-3")</f>
        <v>http://dx.doi.org/10.1007/s10531-005-5051-3</v>
      </c>
      <c r="BG574" s="8" t="s">
        <v>2135</v>
      </c>
      <c r="BH574" s="8" t="s">
        <v>2135</v>
      </c>
      <c r="BI574" s="8">
        <v>9.0</v>
      </c>
      <c r="BJ574" s="8" t="s">
        <v>3351</v>
      </c>
      <c r="BK574" s="8" t="s">
        <v>3352</v>
      </c>
      <c r="BL574" s="8" t="s">
        <v>3353</v>
      </c>
      <c r="BM574" s="8" t="s">
        <v>12148</v>
      </c>
      <c r="BN574" s="8" t="s">
        <v>2135</v>
      </c>
      <c r="BO574" s="8" t="s">
        <v>2135</v>
      </c>
      <c r="BP574" s="8" t="s">
        <v>2135</v>
      </c>
      <c r="BQ574" s="8" t="s">
        <v>2135</v>
      </c>
      <c r="BR574" s="8" t="s">
        <v>3355</v>
      </c>
      <c r="BS574" s="8" t="s">
        <v>12149</v>
      </c>
      <c r="BU574" s="8" t="s">
        <v>2142</v>
      </c>
      <c r="BW574" s="8" t="s">
        <v>2168</v>
      </c>
      <c r="BZ574" s="8" t="str">
        <f>HYPERLINK("https%3A%2F%2Fwww.webofscience.com%2Fwos%2Fwoscc%2Ffull-record%2FWOS:000226929700013","View Full Record in Web of Science")</f>
        <v>View Full Record in Web of Science</v>
      </c>
    </row>
    <row r="575" ht="12.75" customHeight="1">
      <c r="A575" s="8" t="s">
        <v>3329</v>
      </c>
      <c r="B575" s="8" t="s">
        <v>12150</v>
      </c>
      <c r="C575" s="8" t="s">
        <v>2135</v>
      </c>
      <c r="D575" s="8" t="s">
        <v>2135</v>
      </c>
      <c r="E575" s="8" t="s">
        <v>2135</v>
      </c>
      <c r="F575" s="8" t="s">
        <v>12150</v>
      </c>
      <c r="G575" s="8" t="s">
        <v>2135</v>
      </c>
      <c r="H575" s="8" t="s">
        <v>2135</v>
      </c>
      <c r="I575" s="8" t="s">
        <v>1473</v>
      </c>
      <c r="J575" s="8" t="s">
        <v>3331</v>
      </c>
      <c r="K575" s="8" t="s">
        <v>2135</v>
      </c>
      <c r="L575" s="8" t="s">
        <v>2135</v>
      </c>
      <c r="M575" s="8" t="s">
        <v>3332</v>
      </c>
      <c r="N575" s="8" t="s">
        <v>3333</v>
      </c>
      <c r="O575" s="8" t="s">
        <v>2135</v>
      </c>
      <c r="P575" s="8" t="s">
        <v>2135</v>
      </c>
      <c r="Q575" s="8" t="s">
        <v>2135</v>
      </c>
      <c r="R575" s="8" t="s">
        <v>2135</v>
      </c>
      <c r="S575" s="8" t="s">
        <v>2135</v>
      </c>
      <c r="T575" s="8" t="s">
        <v>12151</v>
      </c>
      <c r="U575" s="8" t="s">
        <v>12152</v>
      </c>
      <c r="V575" s="8" t="s">
        <v>12153</v>
      </c>
      <c r="W575" s="8" t="s">
        <v>12154</v>
      </c>
      <c r="X575" s="8" t="s">
        <v>12155</v>
      </c>
      <c r="Y575" s="8" t="s">
        <v>12156</v>
      </c>
      <c r="Z575" s="8" t="s">
        <v>12157</v>
      </c>
      <c r="AA575" s="8" t="s">
        <v>2135</v>
      </c>
      <c r="AB575" s="8" t="s">
        <v>12158</v>
      </c>
      <c r="AC575" s="8" t="s">
        <v>2135</v>
      </c>
      <c r="AD575" s="8" t="s">
        <v>2135</v>
      </c>
      <c r="AE575" s="8" t="s">
        <v>2135</v>
      </c>
      <c r="AF575" s="8" t="s">
        <v>2135</v>
      </c>
      <c r="AG575" s="8">
        <v>60.0</v>
      </c>
      <c r="AH575" s="8">
        <v>101.0</v>
      </c>
      <c r="AI575" s="8">
        <v>111.0</v>
      </c>
      <c r="AJ575" s="8">
        <v>1.0</v>
      </c>
      <c r="AK575" s="8">
        <v>69.0</v>
      </c>
      <c r="AL575" s="8" t="s">
        <v>3342</v>
      </c>
      <c r="AM575" s="8" t="s">
        <v>3343</v>
      </c>
      <c r="AN575" s="8" t="s">
        <v>3344</v>
      </c>
      <c r="AO575" s="8" t="s">
        <v>3345</v>
      </c>
      <c r="AP575" s="8" t="s">
        <v>3346</v>
      </c>
      <c r="AQ575" s="8" t="s">
        <v>2135</v>
      </c>
      <c r="AR575" s="8" t="s">
        <v>3347</v>
      </c>
      <c r="AS575" s="8" t="s">
        <v>3348</v>
      </c>
      <c r="AT575" s="8" t="s">
        <v>3349</v>
      </c>
      <c r="AU575" s="8">
        <v>2004.0</v>
      </c>
      <c r="AV575" s="8">
        <v>18.0</v>
      </c>
      <c r="AW575" s="8">
        <v>3.0</v>
      </c>
      <c r="AX575" s="8" t="s">
        <v>2135</v>
      </c>
      <c r="AY575" s="8" t="s">
        <v>2135</v>
      </c>
      <c r="AZ575" s="8" t="s">
        <v>2135</v>
      </c>
      <c r="BA575" s="8" t="s">
        <v>2135</v>
      </c>
      <c r="BB575" s="8">
        <v>676.0</v>
      </c>
      <c r="BC575" s="8">
        <v>688.0</v>
      </c>
      <c r="BD575" s="8" t="s">
        <v>2135</v>
      </c>
      <c r="BE575" s="8" t="s">
        <v>12159</v>
      </c>
      <c r="BF575" s="13" t="str">
        <f>HYPERLINK("http://dx.doi.org/10.1111/j.1523-1739.2004.00328.x-i1","http://dx.doi.org/10.1111/j.1523-1739.2004.00328.x-i1")</f>
        <v>http://dx.doi.org/10.1111/j.1523-1739.2004.00328.x-i1</v>
      </c>
      <c r="BG575" s="8" t="s">
        <v>2135</v>
      </c>
      <c r="BH575" s="8" t="s">
        <v>2135</v>
      </c>
      <c r="BI575" s="8">
        <v>13.0</v>
      </c>
      <c r="BJ575" s="8" t="s">
        <v>3351</v>
      </c>
      <c r="BK575" s="8" t="s">
        <v>3352</v>
      </c>
      <c r="BL575" s="8" t="s">
        <v>3353</v>
      </c>
      <c r="BM575" s="8" t="s">
        <v>12160</v>
      </c>
      <c r="BN575" s="8" t="s">
        <v>2135</v>
      </c>
      <c r="BO575" s="8" t="s">
        <v>2135</v>
      </c>
      <c r="BP575" s="8" t="s">
        <v>2135</v>
      </c>
      <c r="BQ575" s="8" t="s">
        <v>2135</v>
      </c>
      <c r="BR575" s="8" t="s">
        <v>3355</v>
      </c>
      <c r="BS575" s="8" t="s">
        <v>12161</v>
      </c>
      <c r="BT575" s="8" t="s">
        <v>2450</v>
      </c>
      <c r="BU575" s="8" t="s">
        <v>2142</v>
      </c>
      <c r="BW575" s="8" t="s">
        <v>2218</v>
      </c>
      <c r="BZ575" s="8" t="str">
        <f>HYPERLINK("https%3A%2F%2Fwww.webofscience.com%2Fwos%2Fwoscc%2Ffull-record%2FWOS:000221353300016","View Full Record in Web of Science")</f>
        <v>View Full Record in Web of Science</v>
      </c>
    </row>
    <row r="576" ht="12.75" customHeight="1">
      <c r="A576" s="8" t="s">
        <v>3329</v>
      </c>
      <c r="B576" s="8" t="s">
        <v>12162</v>
      </c>
      <c r="C576" s="8" t="s">
        <v>2135</v>
      </c>
      <c r="D576" s="8" t="s">
        <v>2135</v>
      </c>
      <c r="E576" s="8" t="s">
        <v>2135</v>
      </c>
      <c r="F576" s="8" t="s">
        <v>12162</v>
      </c>
      <c r="G576" s="8" t="s">
        <v>2135</v>
      </c>
      <c r="H576" s="8" t="s">
        <v>2135</v>
      </c>
      <c r="I576" s="8" t="s">
        <v>1465</v>
      </c>
      <c r="J576" s="8" t="s">
        <v>3962</v>
      </c>
      <c r="K576" s="8" t="s">
        <v>2135</v>
      </c>
      <c r="L576" s="8" t="s">
        <v>2135</v>
      </c>
      <c r="M576" s="8" t="s">
        <v>3332</v>
      </c>
      <c r="N576" s="8" t="s">
        <v>3963</v>
      </c>
      <c r="O576" s="8" t="s">
        <v>3964</v>
      </c>
      <c r="P576" s="8" t="s">
        <v>3965</v>
      </c>
      <c r="Q576" s="8" t="s">
        <v>3966</v>
      </c>
      <c r="R576" s="8" t="s">
        <v>2135</v>
      </c>
      <c r="S576" s="8" t="s">
        <v>2135</v>
      </c>
      <c r="T576" s="8" t="s">
        <v>12163</v>
      </c>
      <c r="U576" s="8" t="s">
        <v>2135</v>
      </c>
      <c r="V576" s="8" t="s">
        <v>12164</v>
      </c>
      <c r="W576" s="8" t="s">
        <v>12165</v>
      </c>
      <c r="X576" s="8" t="s">
        <v>12145</v>
      </c>
      <c r="Y576" s="8" t="s">
        <v>12166</v>
      </c>
      <c r="Z576" s="8" t="s">
        <v>2135</v>
      </c>
      <c r="AA576" s="8" t="s">
        <v>2135</v>
      </c>
      <c r="AB576" s="8" t="s">
        <v>2135</v>
      </c>
      <c r="AC576" s="8" t="s">
        <v>2135</v>
      </c>
      <c r="AD576" s="8" t="s">
        <v>2135</v>
      </c>
      <c r="AE576" s="8" t="s">
        <v>2135</v>
      </c>
      <c r="AF576" s="8" t="s">
        <v>2135</v>
      </c>
      <c r="AG576" s="8">
        <v>9.0</v>
      </c>
      <c r="AH576" s="8">
        <v>7.0</v>
      </c>
      <c r="AI576" s="8">
        <v>7.0</v>
      </c>
      <c r="AJ576" s="8">
        <v>0.0</v>
      </c>
      <c r="AK576" s="8">
        <v>0.0</v>
      </c>
      <c r="AL576" s="8" t="s">
        <v>3973</v>
      </c>
      <c r="AM576" s="8" t="s">
        <v>3974</v>
      </c>
      <c r="AN576" s="8" t="s">
        <v>3975</v>
      </c>
      <c r="AO576" s="8" t="s">
        <v>3976</v>
      </c>
      <c r="AP576" s="8" t="s">
        <v>2135</v>
      </c>
      <c r="AQ576" s="8" t="s">
        <v>2135</v>
      </c>
      <c r="AR576" s="8" t="s">
        <v>3977</v>
      </c>
      <c r="AS576" s="8" t="s">
        <v>3978</v>
      </c>
      <c r="AT576" s="8" t="s">
        <v>3395</v>
      </c>
      <c r="AU576" s="8">
        <v>2003.0</v>
      </c>
      <c r="AV576" s="8">
        <v>326.0</v>
      </c>
      <c r="AW576" s="8" t="s">
        <v>2135</v>
      </c>
      <c r="AX576" s="8" t="s">
        <v>2135</v>
      </c>
      <c r="AY576" s="8">
        <v>1.0</v>
      </c>
      <c r="AZ576" s="8" t="s">
        <v>2135</v>
      </c>
      <c r="BA576" s="8" t="s">
        <v>2135</v>
      </c>
      <c r="BB576" s="8" t="s">
        <v>12167</v>
      </c>
      <c r="BC576" s="8" t="s">
        <v>12168</v>
      </c>
      <c r="BD576" s="8" t="s">
        <v>2135</v>
      </c>
      <c r="BE576" s="8" t="s">
        <v>12169</v>
      </c>
      <c r="BF576" s="13" t="str">
        <f>HYPERLINK("http://dx.doi.org/10.1016/S1631-0691(03)00037-4","http://dx.doi.org/10.1016/S1631-0691(03)00037-4")</f>
        <v>http://dx.doi.org/10.1016/S1631-0691(03)00037-4</v>
      </c>
      <c r="BG576" s="8" t="s">
        <v>2135</v>
      </c>
      <c r="BH576" s="8" t="s">
        <v>2135</v>
      </c>
      <c r="BI576" s="8">
        <v>5.0</v>
      </c>
      <c r="BJ576" s="8" t="s">
        <v>3982</v>
      </c>
      <c r="BK576" s="8" t="s">
        <v>3983</v>
      </c>
      <c r="BL576" s="8" t="s">
        <v>3984</v>
      </c>
      <c r="BM576" s="8" t="s">
        <v>3985</v>
      </c>
      <c r="BN576" s="8">
        <v>1.4558449E7</v>
      </c>
      <c r="BO576" s="8" t="s">
        <v>2135</v>
      </c>
      <c r="BP576" s="8" t="s">
        <v>2135</v>
      </c>
      <c r="BQ576" s="8" t="s">
        <v>2135</v>
      </c>
      <c r="BR576" s="8" t="s">
        <v>3355</v>
      </c>
      <c r="BS576" s="8" t="s">
        <v>12170</v>
      </c>
      <c r="BU576" s="8" t="s">
        <v>2142</v>
      </c>
      <c r="BW576" s="8" t="s">
        <v>2168</v>
      </c>
      <c r="BZ576" s="8" t="str">
        <f>HYPERLINK("https%3A%2F%2Fwww.webofscience.com%2Fwos%2Fwoscc%2Ffull-record%2FWOS:000185745900009","View Full Record in Web of Science")</f>
        <v>View Full Record in Web of Science</v>
      </c>
    </row>
    <row r="577" ht="12.75" customHeight="1">
      <c r="A577" s="8" t="s">
        <v>3329</v>
      </c>
      <c r="B577" s="8" t="s">
        <v>12171</v>
      </c>
      <c r="C577" s="8" t="s">
        <v>2135</v>
      </c>
      <c r="D577" s="8" t="s">
        <v>2135</v>
      </c>
      <c r="E577" s="8" t="s">
        <v>2135</v>
      </c>
      <c r="F577" s="8" t="s">
        <v>12171</v>
      </c>
      <c r="G577" s="8" t="s">
        <v>2135</v>
      </c>
      <c r="H577" s="8" t="s">
        <v>2135</v>
      </c>
      <c r="I577" s="8" t="s">
        <v>1461</v>
      </c>
      <c r="J577" s="8" t="s">
        <v>4162</v>
      </c>
      <c r="K577" s="8" t="s">
        <v>2135</v>
      </c>
      <c r="L577" s="8" t="s">
        <v>2135</v>
      </c>
      <c r="M577" s="8" t="s">
        <v>3332</v>
      </c>
      <c r="N577" s="8" t="s">
        <v>3333</v>
      </c>
      <c r="O577" s="8" t="s">
        <v>2135</v>
      </c>
      <c r="P577" s="8" t="s">
        <v>2135</v>
      </c>
      <c r="Q577" s="8" t="s">
        <v>2135</v>
      </c>
      <c r="R577" s="8" t="s">
        <v>2135</v>
      </c>
      <c r="S577" s="8" t="s">
        <v>2135</v>
      </c>
      <c r="T577" s="8" t="s">
        <v>12172</v>
      </c>
      <c r="U577" s="8" t="s">
        <v>12173</v>
      </c>
      <c r="V577" s="8" t="s">
        <v>12174</v>
      </c>
      <c r="W577" s="8" t="s">
        <v>12175</v>
      </c>
      <c r="X577" s="8" t="s">
        <v>12176</v>
      </c>
      <c r="Y577" s="8" t="s">
        <v>12177</v>
      </c>
      <c r="Z577" s="8" t="s">
        <v>2135</v>
      </c>
      <c r="AA577" s="8" t="s">
        <v>2135</v>
      </c>
      <c r="AB577" s="8" t="s">
        <v>2135</v>
      </c>
      <c r="AC577" s="8" t="s">
        <v>2135</v>
      </c>
      <c r="AD577" s="8" t="s">
        <v>2135</v>
      </c>
      <c r="AE577" s="8" t="s">
        <v>2135</v>
      </c>
      <c r="AF577" s="8" t="s">
        <v>2135</v>
      </c>
      <c r="AG577" s="8">
        <v>49.0</v>
      </c>
      <c r="AH577" s="8">
        <v>28.0</v>
      </c>
      <c r="AI577" s="8">
        <v>40.0</v>
      </c>
      <c r="AJ577" s="8">
        <v>2.0</v>
      </c>
      <c r="AK577" s="8">
        <v>39.0</v>
      </c>
      <c r="AL577" s="8" t="s">
        <v>4276</v>
      </c>
      <c r="AM577" s="8" t="s">
        <v>4277</v>
      </c>
      <c r="AN577" s="8" t="s">
        <v>4278</v>
      </c>
      <c r="AO577" s="8" t="s">
        <v>4175</v>
      </c>
      <c r="AP577" s="8" t="s">
        <v>2135</v>
      </c>
      <c r="AQ577" s="8" t="s">
        <v>2135</v>
      </c>
      <c r="AR577" s="8" t="s">
        <v>4177</v>
      </c>
      <c r="AS577" s="8" t="s">
        <v>4178</v>
      </c>
      <c r="AT577" s="8" t="s">
        <v>3629</v>
      </c>
      <c r="AU577" s="8">
        <v>2002.0</v>
      </c>
      <c r="AV577" s="8">
        <v>66.0</v>
      </c>
      <c r="AW577" s="8">
        <v>1.0</v>
      </c>
      <c r="AX577" s="8" t="s">
        <v>2135</v>
      </c>
      <c r="AY577" s="8" t="s">
        <v>2135</v>
      </c>
      <c r="AZ577" s="8" t="s">
        <v>2135</v>
      </c>
      <c r="BA577" s="8" t="s">
        <v>2135</v>
      </c>
      <c r="BB577" s="8">
        <v>29.0</v>
      </c>
      <c r="BC577" s="8">
        <v>39.0</v>
      </c>
      <c r="BD577" s="8" t="s">
        <v>2135</v>
      </c>
      <c r="BE577" s="8" t="s">
        <v>12178</v>
      </c>
      <c r="BF577" s="13" t="str">
        <f>HYPERLINK("http://dx.doi.org/10.2307/3802868","http://dx.doi.org/10.2307/3802868")</f>
        <v>http://dx.doi.org/10.2307/3802868</v>
      </c>
      <c r="BG577" s="8" t="s">
        <v>2135</v>
      </c>
      <c r="BH577" s="8" t="s">
        <v>2135</v>
      </c>
      <c r="BI577" s="8">
        <v>11.0</v>
      </c>
      <c r="BJ577" s="8" t="s">
        <v>3442</v>
      </c>
      <c r="BK577" s="8" t="s">
        <v>3352</v>
      </c>
      <c r="BL577" s="8" t="s">
        <v>3443</v>
      </c>
      <c r="BM577" s="8" t="s">
        <v>12179</v>
      </c>
      <c r="BN577" s="8" t="s">
        <v>2135</v>
      </c>
      <c r="BO577" s="8" t="s">
        <v>2135</v>
      </c>
      <c r="BP577" s="8" t="s">
        <v>2135</v>
      </c>
      <c r="BQ577" s="8" t="s">
        <v>2135</v>
      </c>
      <c r="BR577" s="8" t="s">
        <v>3355</v>
      </c>
      <c r="BS577" s="8" t="s">
        <v>12180</v>
      </c>
      <c r="BT577" s="8" t="s">
        <v>2600</v>
      </c>
      <c r="BU577" s="8" t="s">
        <v>2147</v>
      </c>
      <c r="BV577" s="8" t="s">
        <v>2217</v>
      </c>
      <c r="BW577" s="8" t="s">
        <v>2237</v>
      </c>
      <c r="BZ577" s="8" t="str">
        <f>HYPERLINK("https%3A%2F%2Fwww.webofscience.com%2Fwos%2Fwoscc%2Ffull-record%2FWOS:000173934100003","View Full Record in Web of Science")</f>
        <v>View Full Record in Web of Science</v>
      </c>
    </row>
    <row r="578" ht="12.75" customHeight="1">
      <c r="A578" s="8" t="s">
        <v>3329</v>
      </c>
      <c r="B578" s="8" t="s">
        <v>12181</v>
      </c>
      <c r="C578" s="8" t="s">
        <v>2135</v>
      </c>
      <c r="D578" s="8" t="s">
        <v>2135</v>
      </c>
      <c r="E578" s="8" t="s">
        <v>2135</v>
      </c>
      <c r="F578" s="8" t="s">
        <v>12181</v>
      </c>
      <c r="G578" s="8" t="s">
        <v>2135</v>
      </c>
      <c r="H578" s="8" t="s">
        <v>2135</v>
      </c>
      <c r="I578" s="8" t="s">
        <v>1459</v>
      </c>
      <c r="J578" s="8" t="s">
        <v>4773</v>
      </c>
      <c r="K578" s="8" t="s">
        <v>2135</v>
      </c>
      <c r="L578" s="8" t="s">
        <v>2135</v>
      </c>
      <c r="M578" s="8" t="s">
        <v>3332</v>
      </c>
      <c r="N578" s="8" t="s">
        <v>3333</v>
      </c>
      <c r="O578" s="8" t="s">
        <v>2135</v>
      </c>
      <c r="P578" s="8" t="s">
        <v>2135</v>
      </c>
      <c r="Q578" s="8" t="s">
        <v>2135</v>
      </c>
      <c r="R578" s="8" t="s">
        <v>2135</v>
      </c>
      <c r="S578" s="8" t="s">
        <v>2135</v>
      </c>
      <c r="T578" s="8" t="s">
        <v>12182</v>
      </c>
      <c r="U578" s="8" t="s">
        <v>12183</v>
      </c>
      <c r="V578" s="8" t="s">
        <v>12184</v>
      </c>
      <c r="W578" s="8" t="s">
        <v>12185</v>
      </c>
      <c r="X578" s="8" t="s">
        <v>7727</v>
      </c>
      <c r="Y578" s="8" t="s">
        <v>12186</v>
      </c>
      <c r="Z578" s="8" t="s">
        <v>12187</v>
      </c>
      <c r="AA578" s="8" t="s">
        <v>11574</v>
      </c>
      <c r="AB578" s="8" t="s">
        <v>2135</v>
      </c>
      <c r="AC578" s="8" t="s">
        <v>2135</v>
      </c>
      <c r="AD578" s="8" t="s">
        <v>2135</v>
      </c>
      <c r="AE578" s="8" t="s">
        <v>2135</v>
      </c>
      <c r="AF578" s="8" t="s">
        <v>2135</v>
      </c>
      <c r="AG578" s="8">
        <v>57.0</v>
      </c>
      <c r="AH578" s="8">
        <v>86.0</v>
      </c>
      <c r="AI578" s="8">
        <v>101.0</v>
      </c>
      <c r="AJ578" s="8">
        <v>0.0</v>
      </c>
      <c r="AK578" s="8">
        <v>43.0</v>
      </c>
      <c r="AL578" s="8" t="s">
        <v>3342</v>
      </c>
      <c r="AM578" s="8" t="s">
        <v>3343</v>
      </c>
      <c r="AN578" s="8" t="s">
        <v>3344</v>
      </c>
      <c r="AO578" s="8" t="s">
        <v>4783</v>
      </c>
      <c r="AP578" s="8" t="s">
        <v>4784</v>
      </c>
      <c r="AQ578" s="8" t="s">
        <v>2135</v>
      </c>
      <c r="AR578" s="8" t="s">
        <v>4785</v>
      </c>
      <c r="AS578" s="8" t="s">
        <v>4786</v>
      </c>
      <c r="AT578" s="8" t="s">
        <v>3512</v>
      </c>
      <c r="AU578" s="8">
        <v>2001.0</v>
      </c>
      <c r="AV578" s="8">
        <v>254.0</v>
      </c>
      <c r="AW578" s="8" t="s">
        <v>2135</v>
      </c>
      <c r="AX578" s="8">
        <v>3.0</v>
      </c>
      <c r="AY578" s="8" t="s">
        <v>2135</v>
      </c>
      <c r="AZ578" s="8" t="s">
        <v>2135</v>
      </c>
      <c r="BA578" s="8" t="s">
        <v>2135</v>
      </c>
      <c r="BB578" s="8">
        <v>325.0</v>
      </c>
      <c r="BC578" s="8">
        <v>336.0</v>
      </c>
      <c r="BD578" s="8" t="s">
        <v>2135</v>
      </c>
      <c r="BE578" s="8" t="s">
        <v>12188</v>
      </c>
      <c r="BF578" s="13" t="str">
        <f>HYPERLINK("http://dx.doi.org/10.1017/S0952836901000838","http://dx.doi.org/10.1017/S0952836901000838")</f>
        <v>http://dx.doi.org/10.1017/S0952836901000838</v>
      </c>
      <c r="BG578" s="8" t="s">
        <v>2135</v>
      </c>
      <c r="BH578" s="8" t="s">
        <v>2135</v>
      </c>
      <c r="BI578" s="8">
        <v>12.0</v>
      </c>
      <c r="BJ578" s="8" t="s">
        <v>3397</v>
      </c>
      <c r="BK578" s="8" t="s">
        <v>3352</v>
      </c>
      <c r="BL578" s="8" t="s">
        <v>3397</v>
      </c>
      <c r="BM578" s="8" t="s">
        <v>12189</v>
      </c>
      <c r="BN578" s="8" t="s">
        <v>2135</v>
      </c>
      <c r="BO578" s="8" t="s">
        <v>2135</v>
      </c>
      <c r="BP578" s="8" t="s">
        <v>2135</v>
      </c>
      <c r="BQ578" s="8" t="s">
        <v>2135</v>
      </c>
      <c r="BR578" s="8" t="s">
        <v>3355</v>
      </c>
      <c r="BS578" s="8" t="s">
        <v>12190</v>
      </c>
      <c r="BT578" s="8" t="s">
        <v>2497</v>
      </c>
      <c r="BU578" s="8" t="s">
        <v>2142</v>
      </c>
      <c r="BW578" s="8" t="s">
        <v>2143</v>
      </c>
      <c r="BZ578" s="8" t="str">
        <f>HYPERLINK("https%3A%2F%2Fwww.webofscience.com%2Fwos%2Fwoscc%2Ffull-record%2FWOS:000169985400005","View Full Record in Web of Science")</f>
        <v>View Full Record in Web of Science</v>
      </c>
    </row>
    <row r="579" ht="12.75" customHeight="1">
      <c r="A579" s="8" t="s">
        <v>3329</v>
      </c>
      <c r="B579" s="8" t="s">
        <v>12191</v>
      </c>
      <c r="C579" s="8" t="s">
        <v>2135</v>
      </c>
      <c r="D579" s="8" t="s">
        <v>2135</v>
      </c>
      <c r="E579" s="8" t="s">
        <v>2135</v>
      </c>
      <c r="F579" s="8" t="s">
        <v>12191</v>
      </c>
      <c r="G579" s="8" t="s">
        <v>2135</v>
      </c>
      <c r="H579" s="8" t="s">
        <v>2135</v>
      </c>
      <c r="I579" s="8" t="s">
        <v>1447</v>
      </c>
      <c r="J579" s="8" t="s">
        <v>12192</v>
      </c>
      <c r="K579" s="8" t="s">
        <v>2135</v>
      </c>
      <c r="L579" s="8" t="s">
        <v>2135</v>
      </c>
      <c r="M579" s="8" t="s">
        <v>3332</v>
      </c>
      <c r="N579" s="8" t="s">
        <v>3333</v>
      </c>
      <c r="O579" s="8" t="s">
        <v>2135</v>
      </c>
      <c r="P579" s="8" t="s">
        <v>2135</v>
      </c>
      <c r="Q579" s="8" t="s">
        <v>2135</v>
      </c>
      <c r="R579" s="8" t="s">
        <v>2135</v>
      </c>
      <c r="S579" s="8" t="s">
        <v>2135</v>
      </c>
      <c r="T579" s="8" t="s">
        <v>2135</v>
      </c>
      <c r="U579" s="8" t="s">
        <v>12193</v>
      </c>
      <c r="V579" s="8" t="s">
        <v>12194</v>
      </c>
      <c r="W579" s="8" t="s">
        <v>12195</v>
      </c>
      <c r="X579" s="8" t="s">
        <v>12196</v>
      </c>
      <c r="Y579" s="8" t="s">
        <v>12197</v>
      </c>
      <c r="Z579" s="8" t="s">
        <v>12198</v>
      </c>
      <c r="AA579" s="8" t="s">
        <v>10227</v>
      </c>
      <c r="AB579" s="8" t="s">
        <v>8948</v>
      </c>
      <c r="AC579" s="8" t="s">
        <v>2135</v>
      </c>
      <c r="AD579" s="8" t="s">
        <v>2135</v>
      </c>
      <c r="AE579" s="8" t="s">
        <v>2135</v>
      </c>
      <c r="AF579" s="8" t="s">
        <v>2135</v>
      </c>
      <c r="AG579" s="8">
        <v>66.0</v>
      </c>
      <c r="AH579" s="8">
        <v>82.0</v>
      </c>
      <c r="AI579" s="8">
        <v>97.0</v>
      </c>
      <c r="AJ579" s="8">
        <v>1.0</v>
      </c>
      <c r="AK579" s="8">
        <v>43.0</v>
      </c>
      <c r="AL579" s="8" t="s">
        <v>3342</v>
      </c>
      <c r="AM579" s="8" t="s">
        <v>3343</v>
      </c>
      <c r="AN579" s="8" t="s">
        <v>3344</v>
      </c>
      <c r="AO579" s="8" t="s">
        <v>12199</v>
      </c>
      <c r="AP579" s="8" t="s">
        <v>12200</v>
      </c>
      <c r="AQ579" s="8" t="s">
        <v>2135</v>
      </c>
      <c r="AR579" s="8" t="s">
        <v>12192</v>
      </c>
      <c r="AS579" s="8" t="s">
        <v>12201</v>
      </c>
      <c r="AT579" s="8" t="s">
        <v>3462</v>
      </c>
      <c r="AU579" s="8">
        <v>2000.0</v>
      </c>
      <c r="AV579" s="8">
        <v>90.0</v>
      </c>
      <c r="AW579" s="8">
        <v>3.0</v>
      </c>
      <c r="AX579" s="8" t="s">
        <v>2135</v>
      </c>
      <c r="AY579" s="8" t="s">
        <v>2135</v>
      </c>
      <c r="AZ579" s="8" t="s">
        <v>2135</v>
      </c>
      <c r="BA579" s="8" t="s">
        <v>2135</v>
      </c>
      <c r="BB579" s="8">
        <v>457.0</v>
      </c>
      <c r="BC579" s="8">
        <v>468.0</v>
      </c>
      <c r="BD579" s="8" t="s">
        <v>2135</v>
      </c>
      <c r="BE579" s="8" t="s">
        <v>12202</v>
      </c>
      <c r="BF579" s="13" t="str">
        <f>HYPERLINK("http://dx.doi.org/10.1034/j.1600-0706.2000.900304.x","http://dx.doi.org/10.1034/j.1600-0706.2000.900304.x")</f>
        <v>http://dx.doi.org/10.1034/j.1600-0706.2000.900304.x</v>
      </c>
      <c r="BG579" s="8" t="s">
        <v>2135</v>
      </c>
      <c r="BH579" s="8" t="s">
        <v>2135</v>
      </c>
      <c r="BI579" s="8">
        <v>12.0</v>
      </c>
      <c r="BJ579" s="8" t="s">
        <v>3681</v>
      </c>
      <c r="BK579" s="8" t="s">
        <v>3352</v>
      </c>
      <c r="BL579" s="8" t="s">
        <v>3632</v>
      </c>
      <c r="BM579" s="8" t="s">
        <v>12203</v>
      </c>
      <c r="BN579" s="8" t="s">
        <v>2135</v>
      </c>
      <c r="BO579" s="8" t="s">
        <v>2135</v>
      </c>
      <c r="BP579" s="8" t="s">
        <v>2135</v>
      </c>
      <c r="BQ579" s="8" t="s">
        <v>2135</v>
      </c>
      <c r="BR579" s="8" t="s">
        <v>3355</v>
      </c>
      <c r="BS579" s="8" t="s">
        <v>12204</v>
      </c>
      <c r="BT579" s="8" t="s">
        <v>2600</v>
      </c>
      <c r="BU579" s="8" t="s">
        <v>2147</v>
      </c>
      <c r="BV579" s="8" t="s">
        <v>2217</v>
      </c>
      <c r="BW579" s="8" t="s">
        <v>2237</v>
      </c>
      <c r="BZ579" s="8" t="str">
        <f>HYPERLINK("https%3A%2F%2Fwww.webofscience.com%2Fwos%2Fwoscc%2Ffull-record%2FWOS:000089830000004","View Full Record in Web of Science")</f>
        <v>View Full Record in Web of Science</v>
      </c>
    </row>
    <row r="580" ht="12.75" customHeight="1">
      <c r="A580" s="8" t="s">
        <v>3329</v>
      </c>
      <c r="B580" s="8" t="s">
        <v>12205</v>
      </c>
      <c r="C580" s="8" t="s">
        <v>2135</v>
      </c>
      <c r="D580" s="8" t="s">
        <v>2135</v>
      </c>
      <c r="E580" s="8" t="s">
        <v>2135</v>
      </c>
      <c r="F580" s="8" t="s">
        <v>12205</v>
      </c>
      <c r="G580" s="8" t="s">
        <v>2135</v>
      </c>
      <c r="H580" s="8" t="s">
        <v>2135</v>
      </c>
      <c r="I580" s="8" t="s">
        <v>1453</v>
      </c>
      <c r="J580" s="8" t="s">
        <v>10219</v>
      </c>
      <c r="K580" s="8" t="s">
        <v>2135</v>
      </c>
      <c r="L580" s="8" t="s">
        <v>2135</v>
      </c>
      <c r="M580" s="8" t="s">
        <v>3332</v>
      </c>
      <c r="N580" s="8" t="s">
        <v>3333</v>
      </c>
      <c r="O580" s="8" t="s">
        <v>2135</v>
      </c>
      <c r="P580" s="8" t="s">
        <v>2135</v>
      </c>
      <c r="Q580" s="8" t="s">
        <v>2135</v>
      </c>
      <c r="R580" s="8" t="s">
        <v>2135</v>
      </c>
      <c r="S580" s="8" t="s">
        <v>2135</v>
      </c>
      <c r="T580" s="8" t="s">
        <v>12206</v>
      </c>
      <c r="U580" s="8" t="s">
        <v>12207</v>
      </c>
      <c r="V580" s="8" t="s">
        <v>12208</v>
      </c>
      <c r="W580" s="8" t="s">
        <v>12209</v>
      </c>
      <c r="X580" s="8" t="s">
        <v>12210</v>
      </c>
      <c r="Y580" s="8" t="s">
        <v>12211</v>
      </c>
      <c r="Z580" s="8" t="s">
        <v>12212</v>
      </c>
      <c r="AA580" s="8" t="s">
        <v>2135</v>
      </c>
      <c r="AB580" s="8" t="s">
        <v>2135</v>
      </c>
      <c r="AC580" s="8" t="s">
        <v>2135</v>
      </c>
      <c r="AD580" s="8" t="s">
        <v>2135</v>
      </c>
      <c r="AE580" s="8" t="s">
        <v>2135</v>
      </c>
      <c r="AF580" s="8" t="s">
        <v>2135</v>
      </c>
      <c r="AG580" s="8">
        <v>38.0</v>
      </c>
      <c r="AH580" s="8">
        <v>17.0</v>
      </c>
      <c r="AI580" s="8">
        <v>23.0</v>
      </c>
      <c r="AJ580" s="8">
        <v>1.0</v>
      </c>
      <c r="AK580" s="8">
        <v>164.0</v>
      </c>
      <c r="AL580" s="8" t="s">
        <v>6103</v>
      </c>
      <c r="AM580" s="8" t="s">
        <v>6104</v>
      </c>
      <c r="AN580" s="8" t="s">
        <v>6105</v>
      </c>
      <c r="AO580" s="8" t="s">
        <v>10228</v>
      </c>
      <c r="AP580" s="8" t="s">
        <v>2135</v>
      </c>
      <c r="AQ580" s="8" t="s">
        <v>2135</v>
      </c>
      <c r="AR580" s="8" t="s">
        <v>10230</v>
      </c>
      <c r="AS580" s="8" t="s">
        <v>10231</v>
      </c>
      <c r="AT580" s="8" t="s">
        <v>2135</v>
      </c>
      <c r="AU580" s="8">
        <v>2000.0</v>
      </c>
      <c r="AV580" s="8">
        <v>199.0</v>
      </c>
      <c r="AW580" s="8" t="s">
        <v>2135</v>
      </c>
      <c r="AX580" s="8" t="s">
        <v>2135</v>
      </c>
      <c r="AY580" s="8" t="s">
        <v>2135</v>
      </c>
      <c r="AZ580" s="8" t="s">
        <v>2135</v>
      </c>
      <c r="BA580" s="8" t="s">
        <v>2135</v>
      </c>
      <c r="BB580" s="8">
        <v>271.0</v>
      </c>
      <c r="BC580" s="8">
        <v>280.0</v>
      </c>
      <c r="BD580" s="8" t="s">
        <v>2135</v>
      </c>
      <c r="BE580" s="8" t="s">
        <v>12213</v>
      </c>
      <c r="BF580" s="13" t="str">
        <f>HYPERLINK("http://dx.doi.org/10.3354/meps199271","http://dx.doi.org/10.3354/meps199271")</f>
        <v>http://dx.doi.org/10.3354/meps199271</v>
      </c>
      <c r="BG580" s="8" t="s">
        <v>2135</v>
      </c>
      <c r="BH580" s="8" t="s">
        <v>2135</v>
      </c>
      <c r="BI580" s="8">
        <v>10.0</v>
      </c>
      <c r="BJ580" s="8" t="s">
        <v>10233</v>
      </c>
      <c r="BK580" s="8" t="s">
        <v>3352</v>
      </c>
      <c r="BL580" s="8" t="s">
        <v>10234</v>
      </c>
      <c r="BM580" s="8" t="s">
        <v>10235</v>
      </c>
      <c r="BN580" s="8" t="s">
        <v>2135</v>
      </c>
      <c r="BO580" s="8" t="s">
        <v>3445</v>
      </c>
      <c r="BP580" s="8" t="s">
        <v>2135</v>
      </c>
      <c r="BQ580" s="8" t="s">
        <v>2135</v>
      </c>
      <c r="BR580" s="8" t="s">
        <v>3355</v>
      </c>
      <c r="BS580" s="8" t="s">
        <v>12214</v>
      </c>
      <c r="BT580" s="8" t="s">
        <v>2600</v>
      </c>
      <c r="BU580" s="8" t="s">
        <v>2147</v>
      </c>
      <c r="BV580" s="8" t="s">
        <v>2217</v>
      </c>
      <c r="BW580" s="8" t="s">
        <v>2237</v>
      </c>
      <c r="BZ580" s="8" t="str">
        <f>HYPERLINK("https%3A%2F%2Fwww.webofscience.com%2Fwos%2Fwoscc%2Ffull-record%2FWOS:000088434300022","View Full Record in Web of Science")</f>
        <v>View Full Record in Web of Science</v>
      </c>
    </row>
    <row r="581" ht="12.75" customHeight="1">
      <c r="A581" s="8" t="s">
        <v>3329</v>
      </c>
      <c r="B581" s="8" t="s">
        <v>12215</v>
      </c>
      <c r="C581" s="8" t="s">
        <v>2135</v>
      </c>
      <c r="D581" s="8" t="s">
        <v>2135</v>
      </c>
      <c r="E581" s="8" t="s">
        <v>2135</v>
      </c>
      <c r="F581" s="8" t="s">
        <v>12215</v>
      </c>
      <c r="G581" s="8" t="s">
        <v>2135</v>
      </c>
      <c r="H581" s="8" t="s">
        <v>2135</v>
      </c>
      <c r="I581" s="8" t="s">
        <v>1455</v>
      </c>
      <c r="J581" s="8" t="s">
        <v>10498</v>
      </c>
      <c r="K581" s="8" t="s">
        <v>2135</v>
      </c>
      <c r="L581" s="8" t="s">
        <v>2135</v>
      </c>
      <c r="M581" s="8" t="s">
        <v>3332</v>
      </c>
      <c r="N581" s="8" t="s">
        <v>3333</v>
      </c>
      <c r="O581" s="8" t="s">
        <v>2135</v>
      </c>
      <c r="P581" s="8" t="s">
        <v>2135</v>
      </c>
      <c r="Q581" s="8" t="s">
        <v>2135</v>
      </c>
      <c r="R581" s="8" t="s">
        <v>2135</v>
      </c>
      <c r="S581" s="8" t="s">
        <v>2135</v>
      </c>
      <c r="T581" s="8" t="s">
        <v>12216</v>
      </c>
      <c r="U581" s="8" t="s">
        <v>12217</v>
      </c>
      <c r="V581" s="8" t="s">
        <v>12218</v>
      </c>
      <c r="W581" s="8" t="s">
        <v>12219</v>
      </c>
      <c r="X581" s="8" t="s">
        <v>2135</v>
      </c>
      <c r="Y581" s="8" t="s">
        <v>12220</v>
      </c>
      <c r="Z581" s="8" t="s">
        <v>2135</v>
      </c>
      <c r="AA581" s="8" t="s">
        <v>2135</v>
      </c>
      <c r="AB581" s="8" t="s">
        <v>2135</v>
      </c>
      <c r="AC581" s="8" t="s">
        <v>2135</v>
      </c>
      <c r="AD581" s="8" t="s">
        <v>2135</v>
      </c>
      <c r="AE581" s="8" t="s">
        <v>2135</v>
      </c>
      <c r="AF581" s="8" t="s">
        <v>2135</v>
      </c>
      <c r="AG581" s="8">
        <v>32.0</v>
      </c>
      <c r="AH581" s="8">
        <v>20.0</v>
      </c>
      <c r="AI581" s="8">
        <v>21.0</v>
      </c>
      <c r="AJ581" s="8">
        <v>0.0</v>
      </c>
      <c r="AK581" s="8">
        <v>18.0</v>
      </c>
      <c r="AL581" s="8" t="s">
        <v>3758</v>
      </c>
      <c r="AM581" s="8" t="s">
        <v>3759</v>
      </c>
      <c r="AN581" s="8" t="s">
        <v>3760</v>
      </c>
      <c r="AO581" s="8" t="s">
        <v>10510</v>
      </c>
      <c r="AP581" s="8" t="s">
        <v>2135</v>
      </c>
      <c r="AQ581" s="8" t="s">
        <v>2135</v>
      </c>
      <c r="AR581" s="8" t="s">
        <v>10512</v>
      </c>
      <c r="AS581" s="8" t="s">
        <v>10513</v>
      </c>
      <c r="AT581" s="8" t="s">
        <v>2135</v>
      </c>
      <c r="AU581" s="8">
        <v>2000.0</v>
      </c>
      <c r="AV581" s="8">
        <v>110.0</v>
      </c>
      <c r="AW581" s="8">
        <v>2.0</v>
      </c>
      <c r="AX581" s="8" t="s">
        <v>2135</v>
      </c>
      <c r="AY581" s="8" t="s">
        <v>2135</v>
      </c>
      <c r="AZ581" s="8" t="s">
        <v>2135</v>
      </c>
      <c r="BA581" s="8" t="s">
        <v>2135</v>
      </c>
      <c r="BB581" s="8">
        <v>267.0</v>
      </c>
      <c r="BC581" s="8">
        <v>275.0</v>
      </c>
      <c r="BD581" s="8" t="s">
        <v>2135</v>
      </c>
      <c r="BE581" s="8" t="s">
        <v>12221</v>
      </c>
      <c r="BF581" s="13" t="str">
        <f>HYPERLINK("http://dx.doi.org/10.1016/S0269-7491(99)00307-3","http://dx.doi.org/10.1016/S0269-7491(99)00307-3")</f>
        <v>http://dx.doi.org/10.1016/S0269-7491(99)00307-3</v>
      </c>
      <c r="BG581" s="8" t="s">
        <v>2135</v>
      </c>
      <c r="BH581" s="8" t="s">
        <v>2135</v>
      </c>
      <c r="BI581" s="8">
        <v>9.0</v>
      </c>
      <c r="BJ581" s="8" t="s">
        <v>6399</v>
      </c>
      <c r="BK581" s="8" t="s">
        <v>3352</v>
      </c>
      <c r="BL581" s="8" t="s">
        <v>3632</v>
      </c>
      <c r="BM581" s="8" t="s">
        <v>12222</v>
      </c>
      <c r="BN581" s="8">
        <v>1.5092841E7</v>
      </c>
      <c r="BO581" s="8" t="s">
        <v>2135</v>
      </c>
      <c r="BP581" s="8" t="s">
        <v>2135</v>
      </c>
      <c r="BQ581" s="8" t="s">
        <v>2135</v>
      </c>
      <c r="BR581" s="8" t="s">
        <v>3355</v>
      </c>
      <c r="BS581" s="8" t="s">
        <v>12223</v>
      </c>
      <c r="BT581" s="8" t="s">
        <v>2553</v>
      </c>
      <c r="BU581" s="8" t="s">
        <v>2142</v>
      </c>
      <c r="BW581" s="8" t="s">
        <v>2143</v>
      </c>
      <c r="BZ581" s="8" t="str">
        <f>HYPERLINK("https%3A%2F%2Fwww.webofscience.com%2Fwos%2Fwoscc%2Ffull-record%2FWOS:000088347700009","View Full Record in Web of Science")</f>
        <v>View Full Record in Web of Science</v>
      </c>
    </row>
    <row r="582" ht="12.75" customHeight="1">
      <c r="A582" s="8" t="s">
        <v>3329</v>
      </c>
      <c r="B582" s="8" t="s">
        <v>12224</v>
      </c>
      <c r="C582" s="8" t="s">
        <v>2135</v>
      </c>
      <c r="D582" s="8" t="s">
        <v>2135</v>
      </c>
      <c r="E582" s="8" t="s">
        <v>2135</v>
      </c>
      <c r="F582" s="8" t="s">
        <v>12224</v>
      </c>
      <c r="G582" s="8" t="s">
        <v>2135</v>
      </c>
      <c r="H582" s="8" t="s">
        <v>2135</v>
      </c>
      <c r="I582" s="8" t="s">
        <v>1451</v>
      </c>
      <c r="J582" s="8" t="s">
        <v>7467</v>
      </c>
      <c r="K582" s="8" t="s">
        <v>2135</v>
      </c>
      <c r="L582" s="8" t="s">
        <v>2135</v>
      </c>
      <c r="M582" s="8" t="s">
        <v>3332</v>
      </c>
      <c r="N582" s="8" t="s">
        <v>3333</v>
      </c>
      <c r="O582" s="8" t="s">
        <v>2135</v>
      </c>
      <c r="P582" s="8" t="s">
        <v>2135</v>
      </c>
      <c r="Q582" s="8" t="s">
        <v>2135</v>
      </c>
      <c r="R582" s="8" t="s">
        <v>2135</v>
      </c>
      <c r="S582" s="8" t="s">
        <v>2135</v>
      </c>
      <c r="T582" s="8" t="s">
        <v>12225</v>
      </c>
      <c r="U582" s="8" t="s">
        <v>12226</v>
      </c>
      <c r="V582" s="8" t="s">
        <v>12227</v>
      </c>
      <c r="W582" s="8" t="s">
        <v>12228</v>
      </c>
      <c r="X582" s="8" t="s">
        <v>12229</v>
      </c>
      <c r="Y582" s="8" t="s">
        <v>12230</v>
      </c>
      <c r="Z582" s="8" t="s">
        <v>2135</v>
      </c>
      <c r="AA582" s="8" t="s">
        <v>2135</v>
      </c>
      <c r="AB582" s="8" t="s">
        <v>2135</v>
      </c>
      <c r="AC582" s="8" t="s">
        <v>2135</v>
      </c>
      <c r="AD582" s="8" t="s">
        <v>2135</v>
      </c>
      <c r="AE582" s="8" t="s">
        <v>2135</v>
      </c>
      <c r="AF582" s="8" t="s">
        <v>2135</v>
      </c>
      <c r="AG582" s="8">
        <v>28.0</v>
      </c>
      <c r="AH582" s="8">
        <v>44.0</v>
      </c>
      <c r="AI582" s="8">
        <v>51.0</v>
      </c>
      <c r="AJ582" s="8">
        <v>1.0</v>
      </c>
      <c r="AK582" s="8">
        <v>37.0</v>
      </c>
      <c r="AL582" s="8" t="s">
        <v>3342</v>
      </c>
      <c r="AM582" s="8" t="s">
        <v>3343</v>
      </c>
      <c r="AN582" s="8" t="s">
        <v>3344</v>
      </c>
      <c r="AO582" s="8" t="s">
        <v>7476</v>
      </c>
      <c r="AP582" s="8" t="s">
        <v>7477</v>
      </c>
      <c r="AQ582" s="8" t="s">
        <v>2135</v>
      </c>
      <c r="AR582" s="8" t="s">
        <v>7478</v>
      </c>
      <c r="AS582" s="8" t="s">
        <v>7479</v>
      </c>
      <c r="AT582" s="8" t="s">
        <v>2135</v>
      </c>
      <c r="AU582" s="8">
        <v>2000.0</v>
      </c>
      <c r="AV582" s="8">
        <v>19.0</v>
      </c>
      <c r="AW582" s="8">
        <v>6.0</v>
      </c>
      <c r="AX582" s="8" t="s">
        <v>2135</v>
      </c>
      <c r="AY582" s="8" t="s">
        <v>2135</v>
      </c>
      <c r="AZ582" s="8" t="s">
        <v>2135</v>
      </c>
      <c r="BA582" s="8" t="s">
        <v>2135</v>
      </c>
      <c r="BB582" s="8">
        <v>517.0</v>
      </c>
      <c r="BC582" s="8">
        <v>528.0</v>
      </c>
      <c r="BD582" s="8" t="s">
        <v>2135</v>
      </c>
      <c r="BE582" s="8" t="s">
        <v>12231</v>
      </c>
      <c r="BF582" s="13" t="str">
        <f>HYPERLINK("http://dx.doi.org/10.1002/1098-2361(2000)19:6&lt;517::AID-ZOO4&gt;3.3.CO;2-M","http://dx.doi.org/10.1002/1098-2361(2000)19:6&lt;517::AID-ZOO4&gt;3.3.CO;2-M")</f>
        <v>http://dx.doi.org/10.1002/1098-2361(2000)19:6&lt;517::AID-ZOO4&gt;3.3.CO;2-M</v>
      </c>
      <c r="BG582" s="8" t="s">
        <v>2135</v>
      </c>
      <c r="BH582" s="8" t="s">
        <v>2135</v>
      </c>
      <c r="BI582" s="8">
        <v>12.0</v>
      </c>
      <c r="BJ582" s="8" t="s">
        <v>7481</v>
      </c>
      <c r="BK582" s="8" t="s">
        <v>3352</v>
      </c>
      <c r="BL582" s="8" t="s">
        <v>7481</v>
      </c>
      <c r="BM582" s="8" t="s">
        <v>12232</v>
      </c>
      <c r="BN582" s="8">
        <v>1.1180413E7</v>
      </c>
      <c r="BO582" s="8" t="s">
        <v>2135</v>
      </c>
      <c r="BP582" s="8" t="s">
        <v>2135</v>
      </c>
      <c r="BQ582" s="8" t="s">
        <v>2135</v>
      </c>
      <c r="BR582" s="8" t="s">
        <v>3355</v>
      </c>
      <c r="BS582" s="8" t="s">
        <v>12233</v>
      </c>
      <c r="BT582" s="8" t="s">
        <v>2600</v>
      </c>
      <c r="BU582" s="8" t="s">
        <v>2147</v>
      </c>
      <c r="BV582" s="8" t="s">
        <v>2217</v>
      </c>
      <c r="BW582" s="8" t="s">
        <v>2601</v>
      </c>
      <c r="BZ582" s="8" t="str">
        <f>HYPERLINK("https%3A%2F%2Fwww.webofscience.com%2Fwos%2Fwoscc%2Ffull-record%2FWOS:000166528500004","View Full Record in Web of Science")</f>
        <v>View Full Record in Web of Science</v>
      </c>
    </row>
    <row r="583" ht="12.75" customHeight="1">
      <c r="A583" s="8" t="s">
        <v>3329</v>
      </c>
      <c r="B583" s="8" t="s">
        <v>12234</v>
      </c>
      <c r="C583" s="8" t="s">
        <v>2135</v>
      </c>
      <c r="D583" s="8" t="s">
        <v>2135</v>
      </c>
      <c r="E583" s="8" t="s">
        <v>2135</v>
      </c>
      <c r="F583" s="8" t="s">
        <v>12234</v>
      </c>
      <c r="G583" s="8" t="s">
        <v>2135</v>
      </c>
      <c r="H583" s="8" t="s">
        <v>2135</v>
      </c>
      <c r="I583" s="8" t="s">
        <v>1449</v>
      </c>
      <c r="J583" s="8" t="s">
        <v>4563</v>
      </c>
      <c r="K583" s="8" t="s">
        <v>2135</v>
      </c>
      <c r="L583" s="8" t="s">
        <v>2135</v>
      </c>
      <c r="M583" s="8" t="s">
        <v>3332</v>
      </c>
      <c r="N583" s="8" t="s">
        <v>3333</v>
      </c>
      <c r="O583" s="8" t="s">
        <v>2135</v>
      </c>
      <c r="P583" s="8" t="s">
        <v>2135</v>
      </c>
      <c r="Q583" s="8" t="s">
        <v>2135</v>
      </c>
      <c r="R583" s="8" t="s">
        <v>2135</v>
      </c>
      <c r="S583" s="8" t="s">
        <v>2135</v>
      </c>
      <c r="T583" s="8" t="s">
        <v>2135</v>
      </c>
      <c r="U583" s="8" t="s">
        <v>12235</v>
      </c>
      <c r="V583" s="8" t="s">
        <v>12236</v>
      </c>
      <c r="W583" s="8" t="s">
        <v>2135</v>
      </c>
      <c r="X583" s="8" t="s">
        <v>2135</v>
      </c>
      <c r="Y583" s="8" t="s">
        <v>12237</v>
      </c>
      <c r="Z583" s="8" t="s">
        <v>2135</v>
      </c>
      <c r="AA583" s="8" t="s">
        <v>2135</v>
      </c>
      <c r="AB583" s="8" t="s">
        <v>2135</v>
      </c>
      <c r="AC583" s="8" t="s">
        <v>2135</v>
      </c>
      <c r="AD583" s="8" t="s">
        <v>2135</v>
      </c>
      <c r="AE583" s="8" t="s">
        <v>2135</v>
      </c>
      <c r="AF583" s="8" t="s">
        <v>2135</v>
      </c>
      <c r="AG583" s="8">
        <v>40.0</v>
      </c>
      <c r="AH583" s="8">
        <v>29.0</v>
      </c>
      <c r="AI583" s="8">
        <v>33.0</v>
      </c>
      <c r="AJ583" s="8">
        <v>0.0</v>
      </c>
      <c r="AK583" s="8">
        <v>14.0</v>
      </c>
      <c r="AL583" s="8" t="s">
        <v>4568</v>
      </c>
      <c r="AM583" s="8" t="s">
        <v>3844</v>
      </c>
      <c r="AN583" s="8" t="s">
        <v>4569</v>
      </c>
      <c r="AO583" s="8" t="s">
        <v>3846</v>
      </c>
      <c r="AP583" s="8" t="s">
        <v>2135</v>
      </c>
      <c r="AQ583" s="8" t="s">
        <v>2135</v>
      </c>
      <c r="AR583" s="8" t="s">
        <v>3848</v>
      </c>
      <c r="AS583" s="8" t="s">
        <v>4570</v>
      </c>
      <c r="AT583" s="8" t="s">
        <v>3721</v>
      </c>
      <c r="AU583" s="8">
        <v>1996.0</v>
      </c>
      <c r="AV583" s="8">
        <v>74.0</v>
      </c>
      <c r="AW583" s="8">
        <v>3.0</v>
      </c>
      <c r="AX583" s="8" t="s">
        <v>2135</v>
      </c>
      <c r="AY583" s="8" t="s">
        <v>2135</v>
      </c>
      <c r="AZ583" s="8" t="s">
        <v>2135</v>
      </c>
      <c r="BA583" s="8" t="s">
        <v>2135</v>
      </c>
      <c r="BB583" s="8">
        <v>456.0</v>
      </c>
      <c r="BC583" s="8">
        <v>466.0</v>
      </c>
      <c r="BD583" s="8" t="s">
        <v>2135</v>
      </c>
      <c r="BE583" s="8" t="s">
        <v>12238</v>
      </c>
      <c r="BF583" s="13" t="str">
        <f>HYPERLINK("http://dx.doi.org/10.1139/z96-053","http://dx.doi.org/10.1139/z96-053")</f>
        <v>http://dx.doi.org/10.1139/z96-053</v>
      </c>
      <c r="BG583" s="8" t="s">
        <v>2135</v>
      </c>
      <c r="BH583" s="8" t="s">
        <v>2135</v>
      </c>
      <c r="BI583" s="8">
        <v>11.0</v>
      </c>
      <c r="BJ583" s="8" t="s">
        <v>3397</v>
      </c>
      <c r="BK583" s="8" t="s">
        <v>3352</v>
      </c>
      <c r="BL583" s="8" t="s">
        <v>3397</v>
      </c>
      <c r="BM583" s="8" t="s">
        <v>12239</v>
      </c>
      <c r="BN583" s="8" t="s">
        <v>2135</v>
      </c>
      <c r="BO583" s="8" t="s">
        <v>2135</v>
      </c>
      <c r="BP583" s="8" t="s">
        <v>2135</v>
      </c>
      <c r="BQ583" s="8" t="s">
        <v>2135</v>
      </c>
      <c r="BR583" s="8" t="s">
        <v>3355</v>
      </c>
      <c r="BS583" s="8" t="s">
        <v>12240</v>
      </c>
      <c r="BT583" s="8" t="s">
        <v>2600</v>
      </c>
      <c r="BU583" s="8" t="s">
        <v>2147</v>
      </c>
      <c r="BV583" s="8" t="s">
        <v>2217</v>
      </c>
      <c r="BW583" s="8" t="s">
        <v>2221</v>
      </c>
      <c r="BZ583" s="8" t="str">
        <f>HYPERLINK("https%3A%2F%2Fwww.webofscience.com%2Fwos%2Fwoscc%2Ffull-record%2FWOS:A1996UE71500007","View Full Record in Web of Science")</f>
        <v>View Full Record in Web of Science</v>
      </c>
    </row>
    <row r="584" ht="12.75" customHeight="1">
      <c r="A584" s="8" t="s">
        <v>3329</v>
      </c>
      <c r="B584" s="8" t="s">
        <v>12241</v>
      </c>
      <c r="C584" s="8" t="s">
        <v>2135</v>
      </c>
      <c r="D584" s="8" t="s">
        <v>2135</v>
      </c>
      <c r="E584" s="8" t="s">
        <v>2135</v>
      </c>
      <c r="F584" s="8" t="s">
        <v>12242</v>
      </c>
      <c r="G584" s="8" t="s">
        <v>2135</v>
      </c>
      <c r="H584" s="8" t="s">
        <v>2135</v>
      </c>
      <c r="I584" s="8" t="s">
        <v>12243</v>
      </c>
      <c r="J584" s="8" t="s">
        <v>10498</v>
      </c>
      <c r="K584" s="8" t="s">
        <v>2135</v>
      </c>
      <c r="L584" s="8" t="s">
        <v>2135</v>
      </c>
      <c r="M584" s="8" t="s">
        <v>3332</v>
      </c>
      <c r="N584" s="8" t="s">
        <v>3333</v>
      </c>
      <c r="O584" s="8" t="s">
        <v>2135</v>
      </c>
      <c r="P584" s="8" t="s">
        <v>2135</v>
      </c>
      <c r="Q584" s="8" t="s">
        <v>2135</v>
      </c>
      <c r="R584" s="8" t="s">
        <v>2135</v>
      </c>
      <c r="S584" s="8" t="s">
        <v>2135</v>
      </c>
      <c r="T584" s="8" t="s">
        <v>12244</v>
      </c>
      <c r="U584" s="8" t="s">
        <v>12245</v>
      </c>
      <c r="V584" s="8" t="s">
        <v>12246</v>
      </c>
      <c r="W584" s="8" t="s">
        <v>12247</v>
      </c>
      <c r="X584" s="8" t="s">
        <v>12248</v>
      </c>
      <c r="Y584" s="8" t="s">
        <v>12249</v>
      </c>
      <c r="Z584" s="8" t="s">
        <v>12250</v>
      </c>
      <c r="AA584" s="8" t="s">
        <v>2135</v>
      </c>
      <c r="AB584" s="8" t="s">
        <v>2135</v>
      </c>
      <c r="AC584" s="8" t="s">
        <v>12251</v>
      </c>
      <c r="AD584" s="8" t="s">
        <v>12251</v>
      </c>
      <c r="AE584" s="8" t="s">
        <v>12252</v>
      </c>
      <c r="AF584" s="8" t="s">
        <v>2135</v>
      </c>
      <c r="AG584" s="8">
        <v>83.0</v>
      </c>
      <c r="AH584" s="8">
        <v>30.0</v>
      </c>
      <c r="AI584" s="8">
        <v>33.0</v>
      </c>
      <c r="AJ584" s="8">
        <v>2.0</v>
      </c>
      <c r="AK584" s="8">
        <v>65.0</v>
      </c>
      <c r="AL584" s="8" t="s">
        <v>3758</v>
      </c>
      <c r="AM584" s="8" t="s">
        <v>3893</v>
      </c>
      <c r="AN584" s="8" t="s">
        <v>3894</v>
      </c>
      <c r="AO584" s="8" t="s">
        <v>10510</v>
      </c>
      <c r="AP584" s="8" t="s">
        <v>10511</v>
      </c>
      <c r="AQ584" s="8" t="s">
        <v>2135</v>
      </c>
      <c r="AR584" s="8" t="s">
        <v>10512</v>
      </c>
      <c r="AS584" s="8" t="s">
        <v>10513</v>
      </c>
      <c r="AT584" s="8" t="s">
        <v>3512</v>
      </c>
      <c r="AU584" s="8">
        <v>2018.0</v>
      </c>
      <c r="AV584" s="8">
        <v>238.0</v>
      </c>
      <c r="AW584" s="8" t="s">
        <v>2135</v>
      </c>
      <c r="AX584" s="8" t="s">
        <v>2135</v>
      </c>
      <c r="AY584" s="8" t="s">
        <v>2135</v>
      </c>
      <c r="AZ584" s="8" t="s">
        <v>2135</v>
      </c>
      <c r="BA584" s="8" t="s">
        <v>2135</v>
      </c>
      <c r="BB584" s="8">
        <v>306.0</v>
      </c>
      <c r="BC584" s="8">
        <v>316.0</v>
      </c>
      <c r="BD584" s="8" t="s">
        <v>2135</v>
      </c>
      <c r="BE584" s="8" t="s">
        <v>12253</v>
      </c>
      <c r="BF584" s="13" t="str">
        <f>HYPERLINK("http://dx.doi.org/10.1016/j.envpol.2018.03.035","http://dx.doi.org/10.1016/j.envpol.2018.03.035")</f>
        <v>http://dx.doi.org/10.1016/j.envpol.2018.03.035</v>
      </c>
      <c r="BG584" s="8" t="s">
        <v>2135</v>
      </c>
      <c r="BH584" s="8" t="s">
        <v>2135</v>
      </c>
      <c r="BI584" s="8">
        <v>11.0</v>
      </c>
      <c r="BJ584" s="8" t="s">
        <v>6399</v>
      </c>
      <c r="BK584" s="8" t="s">
        <v>3352</v>
      </c>
      <c r="BL584" s="8" t="s">
        <v>3632</v>
      </c>
      <c r="BM584" s="8" t="s">
        <v>12254</v>
      </c>
      <c r="BN584" s="8">
        <v>2.9573713E7</v>
      </c>
      <c r="BO584" s="8" t="s">
        <v>4332</v>
      </c>
      <c r="BP584" s="8" t="s">
        <v>2135</v>
      </c>
      <c r="BQ584" s="8" t="s">
        <v>2135</v>
      </c>
      <c r="BR584" s="8" t="s">
        <v>3355</v>
      </c>
      <c r="BS584" s="14" t="s">
        <v>12255</v>
      </c>
      <c r="BZ584" s="8" t="str">
        <f>HYPERLINK("https%3A%2F%2Fwww.webofscience.com%2Fwos%2Fwoscc%2Ffull-record%2FWOS:000434754600033","View Full Record in Web of Science")</f>
        <v>View Full Record in Web of Science</v>
      </c>
    </row>
    <row r="585" ht="12.75" customHeight="1">
      <c r="A585" s="8" t="s">
        <v>3329</v>
      </c>
      <c r="B585" s="8" t="s">
        <v>12256</v>
      </c>
      <c r="C585" s="8" t="s">
        <v>2135</v>
      </c>
      <c r="D585" s="8" t="s">
        <v>2135</v>
      </c>
      <c r="E585" s="8" t="s">
        <v>2135</v>
      </c>
      <c r="F585" s="8" t="s">
        <v>12257</v>
      </c>
      <c r="G585" s="8" t="s">
        <v>2135</v>
      </c>
      <c r="H585" s="8" t="s">
        <v>2135</v>
      </c>
      <c r="I585" s="8" t="s">
        <v>12258</v>
      </c>
      <c r="J585" s="8" t="s">
        <v>8136</v>
      </c>
      <c r="K585" s="8" t="s">
        <v>2135</v>
      </c>
      <c r="L585" s="8" t="s">
        <v>2135</v>
      </c>
      <c r="M585" s="8" t="s">
        <v>3332</v>
      </c>
      <c r="N585" s="8" t="s">
        <v>12259</v>
      </c>
      <c r="O585" s="8" t="s">
        <v>2135</v>
      </c>
      <c r="P585" s="8" t="s">
        <v>2135</v>
      </c>
      <c r="Q585" s="8" t="s">
        <v>2135</v>
      </c>
      <c r="R585" s="8" t="s">
        <v>2135</v>
      </c>
      <c r="S585" s="8" t="s">
        <v>2135</v>
      </c>
      <c r="T585" s="8" t="s">
        <v>2135</v>
      </c>
      <c r="U585" s="8" t="s">
        <v>2135</v>
      </c>
      <c r="V585" s="8" t="s">
        <v>2135</v>
      </c>
      <c r="W585" s="8" t="s">
        <v>2135</v>
      </c>
      <c r="X585" s="8" t="s">
        <v>2135</v>
      </c>
      <c r="Y585" s="8" t="s">
        <v>2135</v>
      </c>
      <c r="Z585" s="8" t="s">
        <v>2135</v>
      </c>
      <c r="AA585" s="8" t="s">
        <v>12260</v>
      </c>
      <c r="AB585" s="8" t="s">
        <v>12261</v>
      </c>
      <c r="AC585" s="8" t="s">
        <v>2135</v>
      </c>
      <c r="AD585" s="8" t="s">
        <v>2135</v>
      </c>
      <c r="AE585" s="8" t="s">
        <v>2135</v>
      </c>
      <c r="AF585" s="8" t="s">
        <v>2135</v>
      </c>
      <c r="AG585" s="8">
        <v>1.0</v>
      </c>
      <c r="AH585" s="8">
        <v>0.0</v>
      </c>
      <c r="AI585" s="8">
        <v>0.0</v>
      </c>
      <c r="AJ585" s="8">
        <v>0.0</v>
      </c>
      <c r="AK585" s="8">
        <v>6.0</v>
      </c>
      <c r="AL585" s="8" t="s">
        <v>8148</v>
      </c>
      <c r="AM585" s="8" t="s">
        <v>4999</v>
      </c>
      <c r="AN585" s="8" t="s">
        <v>8149</v>
      </c>
      <c r="AO585" s="8" t="s">
        <v>8150</v>
      </c>
      <c r="AP585" s="8" t="s">
        <v>2135</v>
      </c>
      <c r="AQ585" s="8" t="s">
        <v>2135</v>
      </c>
      <c r="AR585" s="8" t="s">
        <v>8151</v>
      </c>
      <c r="AS585" s="8" t="s">
        <v>8152</v>
      </c>
      <c r="AT585" s="8" t="s">
        <v>12262</v>
      </c>
      <c r="AU585" s="8">
        <v>2019.0</v>
      </c>
      <c r="AV585" s="8">
        <v>9.0</v>
      </c>
      <c r="AW585" s="8" t="s">
        <v>2135</v>
      </c>
      <c r="AX585" s="8" t="s">
        <v>2135</v>
      </c>
      <c r="AY585" s="8" t="s">
        <v>2135</v>
      </c>
      <c r="AZ585" s="8" t="s">
        <v>2135</v>
      </c>
      <c r="BA585" s="8" t="s">
        <v>2135</v>
      </c>
      <c r="BB585" s="8" t="s">
        <v>2135</v>
      </c>
      <c r="BC585" s="8" t="s">
        <v>2135</v>
      </c>
      <c r="BD585" s="8">
        <v>16509.0</v>
      </c>
      <c r="BE585" s="8" t="s">
        <v>12263</v>
      </c>
      <c r="BF585" s="13" t="str">
        <f>HYPERLINK("http://dx.doi.org/10.1038/s41598-019-53158-6","http://dx.doi.org/10.1038/s41598-019-53158-6")</f>
        <v>http://dx.doi.org/10.1038/s41598-019-53158-6</v>
      </c>
      <c r="BG585" s="8" t="s">
        <v>2135</v>
      </c>
      <c r="BH585" s="8" t="s">
        <v>2135</v>
      </c>
      <c r="BI585" s="8">
        <v>1.0</v>
      </c>
      <c r="BJ585" s="8" t="s">
        <v>3656</v>
      </c>
      <c r="BK585" s="8" t="s">
        <v>3352</v>
      </c>
      <c r="BL585" s="8" t="s">
        <v>3657</v>
      </c>
      <c r="BM585" s="8" t="s">
        <v>12264</v>
      </c>
      <c r="BN585" s="8">
        <v>3.1695126E7</v>
      </c>
      <c r="BO585" s="8" t="s">
        <v>3659</v>
      </c>
      <c r="BP585" s="8" t="s">
        <v>2135</v>
      </c>
      <c r="BQ585" s="8" t="s">
        <v>2135</v>
      </c>
      <c r="BR585" s="8" t="s">
        <v>3355</v>
      </c>
      <c r="BS585" s="8" t="s">
        <v>12265</v>
      </c>
      <c r="BT585" s="3" t="s">
        <v>2600</v>
      </c>
      <c r="BU585" s="3" t="s">
        <v>2147</v>
      </c>
      <c r="BV585" s="3" t="s">
        <v>2217</v>
      </c>
      <c r="BW585" s="3" t="s">
        <v>2155</v>
      </c>
      <c r="BX585" s="3" t="s">
        <v>2974</v>
      </c>
      <c r="BY585" s="3" t="s">
        <v>2959</v>
      </c>
      <c r="BZ585" s="8" t="str">
        <f>HYPERLINK("https%3A%2F%2Fwww.webofscience.com%2Fwos%2Fwoscc%2Ffull-record%2FWOS:000494637500002","View Full Record in Web of Science")</f>
        <v>View Full Record in Web of Science</v>
      </c>
    </row>
    <row r="586" ht="12.75" customHeight="1">
      <c r="A586" s="8" t="s">
        <v>3329</v>
      </c>
      <c r="B586" s="8" t="s">
        <v>3635</v>
      </c>
      <c r="C586" s="8" t="s">
        <v>2135</v>
      </c>
      <c r="D586" s="8" t="s">
        <v>2135</v>
      </c>
      <c r="E586" s="8" t="s">
        <v>2135</v>
      </c>
      <c r="F586" s="8" t="s">
        <v>12266</v>
      </c>
      <c r="G586" s="8" t="s">
        <v>2135</v>
      </c>
      <c r="H586" s="8" t="s">
        <v>2135</v>
      </c>
      <c r="I586" s="8" t="s">
        <v>12267</v>
      </c>
      <c r="J586" s="8" t="s">
        <v>3637</v>
      </c>
      <c r="K586" s="8" t="s">
        <v>2135</v>
      </c>
      <c r="L586" s="8" t="s">
        <v>2135</v>
      </c>
      <c r="M586" s="8" t="s">
        <v>3332</v>
      </c>
      <c r="N586" s="8" t="s">
        <v>12259</v>
      </c>
      <c r="O586" s="8" t="s">
        <v>2135</v>
      </c>
      <c r="P586" s="8" t="s">
        <v>2135</v>
      </c>
      <c r="Q586" s="8" t="s">
        <v>2135</v>
      </c>
      <c r="R586" s="8" t="s">
        <v>2135</v>
      </c>
      <c r="S586" s="8" t="s">
        <v>2135</v>
      </c>
      <c r="T586" s="8" t="s">
        <v>2135</v>
      </c>
      <c r="U586" s="8" t="s">
        <v>2135</v>
      </c>
      <c r="V586" s="8" t="s">
        <v>2135</v>
      </c>
      <c r="W586" s="8" t="s">
        <v>2135</v>
      </c>
      <c r="X586" s="8" t="s">
        <v>2135</v>
      </c>
      <c r="Y586" s="8" t="s">
        <v>2135</v>
      </c>
      <c r="Z586" s="8" t="s">
        <v>2135</v>
      </c>
      <c r="AA586" s="8" t="s">
        <v>3644</v>
      </c>
      <c r="AB586" s="8" t="s">
        <v>2135</v>
      </c>
      <c r="AC586" s="8" t="s">
        <v>2135</v>
      </c>
      <c r="AD586" s="8" t="s">
        <v>2135</v>
      </c>
      <c r="AE586" s="8" t="s">
        <v>2135</v>
      </c>
      <c r="AF586" s="8" t="s">
        <v>2135</v>
      </c>
      <c r="AG586" s="8">
        <v>2.0</v>
      </c>
      <c r="AH586" s="8">
        <v>1.0</v>
      </c>
      <c r="AI586" s="8">
        <v>1.0</v>
      </c>
      <c r="AJ586" s="8">
        <v>0.0</v>
      </c>
      <c r="AK586" s="8">
        <v>5.0</v>
      </c>
      <c r="AL586" s="8" t="s">
        <v>3648</v>
      </c>
      <c r="AM586" s="8" t="s">
        <v>3649</v>
      </c>
      <c r="AN586" s="8" t="s">
        <v>3650</v>
      </c>
      <c r="AO586" s="8" t="s">
        <v>3651</v>
      </c>
      <c r="AP586" s="8" t="s">
        <v>2135</v>
      </c>
      <c r="AQ586" s="8" t="s">
        <v>2135</v>
      </c>
      <c r="AR586" s="8" t="s">
        <v>3637</v>
      </c>
      <c r="AS586" s="8" t="s">
        <v>3652</v>
      </c>
      <c r="AT586" s="8" t="s">
        <v>12268</v>
      </c>
      <c r="AU586" s="8">
        <v>2018.0</v>
      </c>
      <c r="AV586" s="8">
        <v>13.0</v>
      </c>
      <c r="AW586" s="8">
        <v>5.0</v>
      </c>
      <c r="AX586" s="8" t="s">
        <v>2135</v>
      </c>
      <c r="AY586" s="8" t="s">
        <v>2135</v>
      </c>
      <c r="AZ586" s="8" t="s">
        <v>2135</v>
      </c>
      <c r="BA586" s="8" t="s">
        <v>2135</v>
      </c>
      <c r="BB586" s="8" t="s">
        <v>2135</v>
      </c>
      <c r="BC586" s="8" t="s">
        <v>2135</v>
      </c>
      <c r="BD586" s="8" t="s">
        <v>12269</v>
      </c>
      <c r="BE586" s="8" t="s">
        <v>12270</v>
      </c>
      <c r="BF586" s="13" t="str">
        <f>HYPERLINK("http://dx.doi.org/10.1371/journal.pone.0197397","http://dx.doi.org/10.1371/journal.pone.0197397")</f>
        <v>http://dx.doi.org/10.1371/journal.pone.0197397</v>
      </c>
      <c r="BG586" s="8" t="s">
        <v>2135</v>
      </c>
      <c r="BH586" s="8" t="s">
        <v>2135</v>
      </c>
      <c r="BI586" s="8">
        <v>1.0</v>
      </c>
      <c r="BJ586" s="8" t="s">
        <v>3656</v>
      </c>
      <c r="BK586" s="8" t="s">
        <v>3352</v>
      </c>
      <c r="BL586" s="8" t="s">
        <v>3657</v>
      </c>
      <c r="BM586" s="8" t="s">
        <v>12271</v>
      </c>
      <c r="BN586" s="8">
        <v>2.9742171E7</v>
      </c>
      <c r="BO586" s="8" t="s">
        <v>5131</v>
      </c>
      <c r="BP586" s="8" t="s">
        <v>2135</v>
      </c>
      <c r="BQ586" s="8" t="s">
        <v>2135</v>
      </c>
      <c r="BR586" s="8" t="s">
        <v>3355</v>
      </c>
      <c r="BS586" s="8" t="s">
        <v>12272</v>
      </c>
      <c r="BT586" s="3" t="s">
        <v>2185</v>
      </c>
      <c r="BU586" s="3" t="s">
        <v>2147</v>
      </c>
      <c r="BW586" s="3" t="s">
        <v>2196</v>
      </c>
      <c r="BX586" s="3" t="s">
        <v>2973</v>
      </c>
      <c r="BY586" s="3" t="s">
        <v>2965</v>
      </c>
      <c r="BZ586" s="8" t="str">
        <f>HYPERLINK("https%3A%2F%2Fwww.webofscience.com%2Fwos%2Fwoscc%2Ffull-record%2FWOS:000431757400073","View Full Record in Web of Science")</f>
        <v>View Full Record in Web of Science</v>
      </c>
    </row>
    <row r="587" ht="12.75" customHeight="1">
      <c r="A587" s="8" t="s">
        <v>3329</v>
      </c>
      <c r="B587" s="8" t="s">
        <v>12273</v>
      </c>
      <c r="C587" s="8" t="s">
        <v>2135</v>
      </c>
      <c r="D587" s="8" t="s">
        <v>2135</v>
      </c>
      <c r="E587" s="8" t="s">
        <v>2135</v>
      </c>
      <c r="F587" s="8" t="s">
        <v>12274</v>
      </c>
      <c r="G587" s="8" t="s">
        <v>2135</v>
      </c>
      <c r="H587" s="8" t="s">
        <v>2135</v>
      </c>
      <c r="I587" s="8" t="s">
        <v>12275</v>
      </c>
      <c r="J587" s="8" t="s">
        <v>6423</v>
      </c>
      <c r="K587" s="8" t="s">
        <v>2135</v>
      </c>
      <c r="L587" s="8" t="s">
        <v>2135</v>
      </c>
      <c r="M587" s="8" t="s">
        <v>3332</v>
      </c>
      <c r="N587" s="8" t="s">
        <v>3333</v>
      </c>
      <c r="O587" s="8" t="s">
        <v>2135</v>
      </c>
      <c r="P587" s="8" t="s">
        <v>2135</v>
      </c>
      <c r="Q587" s="8" t="s">
        <v>2135</v>
      </c>
      <c r="R587" s="8" t="s">
        <v>2135</v>
      </c>
      <c r="S587" s="8" t="s">
        <v>2135</v>
      </c>
      <c r="T587" s="8" t="s">
        <v>12276</v>
      </c>
      <c r="U587" s="8" t="s">
        <v>12277</v>
      </c>
      <c r="V587" s="8" t="s">
        <v>12278</v>
      </c>
      <c r="W587" s="8" t="s">
        <v>12279</v>
      </c>
      <c r="X587" s="8" t="s">
        <v>5069</v>
      </c>
      <c r="Y587" s="8" t="s">
        <v>12280</v>
      </c>
      <c r="Z587" s="8" t="s">
        <v>3544</v>
      </c>
      <c r="AA587" s="8" t="s">
        <v>5072</v>
      </c>
      <c r="AB587" s="8" t="s">
        <v>2135</v>
      </c>
      <c r="AC587" s="8" t="s">
        <v>2135</v>
      </c>
      <c r="AD587" s="8" t="s">
        <v>2135</v>
      </c>
      <c r="AE587" s="8" t="s">
        <v>2135</v>
      </c>
      <c r="AF587" s="8" t="s">
        <v>2135</v>
      </c>
      <c r="AG587" s="8">
        <v>50.0</v>
      </c>
      <c r="AH587" s="8">
        <v>8.0</v>
      </c>
      <c r="AI587" s="8">
        <v>8.0</v>
      </c>
      <c r="AJ587" s="8">
        <v>0.0</v>
      </c>
      <c r="AK587" s="8">
        <v>8.0</v>
      </c>
      <c r="AL587" s="8" t="s">
        <v>10745</v>
      </c>
      <c r="AM587" s="8" t="s">
        <v>10746</v>
      </c>
      <c r="AN587" s="8" t="s">
        <v>10747</v>
      </c>
      <c r="AO587" s="8" t="s">
        <v>6434</v>
      </c>
      <c r="AP587" s="8" t="s">
        <v>12281</v>
      </c>
      <c r="AQ587" s="8" t="s">
        <v>2135</v>
      </c>
      <c r="AR587" s="8" t="s">
        <v>6423</v>
      </c>
      <c r="AS587" s="8" t="s">
        <v>6435</v>
      </c>
      <c r="AT587" s="8" t="s">
        <v>2135</v>
      </c>
      <c r="AU587" s="8">
        <v>2018.0</v>
      </c>
      <c r="AV587" s="8">
        <v>25.0</v>
      </c>
      <c r="AW587" s="8">
        <v>3.0</v>
      </c>
      <c r="AX587" s="8" t="s">
        <v>2135</v>
      </c>
      <c r="AY587" s="8" t="s">
        <v>2135</v>
      </c>
      <c r="AZ587" s="8" t="s">
        <v>2135</v>
      </c>
      <c r="BA587" s="8" t="s">
        <v>2135</v>
      </c>
      <c r="BB587" s="8">
        <v>287.0</v>
      </c>
      <c r="BC587" s="8">
        <v>294.0</v>
      </c>
      <c r="BD587" s="8" t="s">
        <v>2135</v>
      </c>
      <c r="BE587" s="8" t="s">
        <v>12282</v>
      </c>
      <c r="BF587" s="13" t="str">
        <f>HYPERLINK("http://dx.doi.org/10.1080/11956860.2018.1482699","http://dx.doi.org/10.1080/11956860.2018.1482699")</f>
        <v>http://dx.doi.org/10.1080/11956860.2018.1482699</v>
      </c>
      <c r="BG587" s="8" t="s">
        <v>2135</v>
      </c>
      <c r="BH587" s="8" t="s">
        <v>2135</v>
      </c>
      <c r="BI587" s="8">
        <v>8.0</v>
      </c>
      <c r="BJ587" s="8" t="s">
        <v>3681</v>
      </c>
      <c r="BK587" s="8" t="s">
        <v>3352</v>
      </c>
      <c r="BL587" s="8" t="s">
        <v>3632</v>
      </c>
      <c r="BM587" s="8" t="s">
        <v>12283</v>
      </c>
      <c r="BN587" s="8" t="s">
        <v>2135</v>
      </c>
      <c r="BO587" s="8" t="s">
        <v>2135</v>
      </c>
      <c r="BP587" s="8" t="s">
        <v>2135</v>
      </c>
      <c r="BQ587" s="8" t="s">
        <v>2135</v>
      </c>
      <c r="BR587" s="8" t="s">
        <v>3355</v>
      </c>
      <c r="BS587" s="8" t="s">
        <v>12284</v>
      </c>
      <c r="BT587" s="3" t="s">
        <v>2379</v>
      </c>
      <c r="BU587" s="3" t="s">
        <v>2142</v>
      </c>
      <c r="BW587" s="3" t="s">
        <v>2143</v>
      </c>
      <c r="BX587" s="3" t="s">
        <v>2953</v>
      </c>
      <c r="BY587" s="3" t="s">
        <v>3063</v>
      </c>
      <c r="BZ587" s="8" t="str">
        <f>HYPERLINK("https%3A%2F%2Fwww.webofscience.com%2Fwos%2Fwoscc%2Ffull-record%2FWOS:000440704300007","View Full Record in Web of Science")</f>
        <v>View Full Record in Web of Science</v>
      </c>
    </row>
    <row r="588" ht="12.75" customHeight="1">
      <c r="A588" s="8" t="s">
        <v>3329</v>
      </c>
      <c r="B588" s="8" t="s">
        <v>12285</v>
      </c>
      <c r="C588" s="8" t="s">
        <v>2135</v>
      </c>
      <c r="D588" s="8" t="s">
        <v>2135</v>
      </c>
      <c r="E588" s="8" t="s">
        <v>2135</v>
      </c>
      <c r="F588" s="8" t="s">
        <v>12286</v>
      </c>
      <c r="G588" s="8" t="s">
        <v>2135</v>
      </c>
      <c r="H588" s="8" t="s">
        <v>2135</v>
      </c>
      <c r="I588" s="8" t="s">
        <v>12287</v>
      </c>
      <c r="J588" s="8" t="s">
        <v>7602</v>
      </c>
      <c r="K588" s="8" t="s">
        <v>2135</v>
      </c>
      <c r="L588" s="8" t="s">
        <v>2135</v>
      </c>
      <c r="M588" s="8" t="s">
        <v>3332</v>
      </c>
      <c r="N588" s="8" t="s">
        <v>12259</v>
      </c>
      <c r="O588" s="8" t="s">
        <v>2135</v>
      </c>
      <c r="P588" s="8" t="s">
        <v>2135</v>
      </c>
      <c r="Q588" s="8" t="s">
        <v>2135</v>
      </c>
      <c r="R588" s="8" t="s">
        <v>2135</v>
      </c>
      <c r="S588" s="8" t="s">
        <v>2135</v>
      </c>
      <c r="T588" s="8" t="s">
        <v>2135</v>
      </c>
      <c r="U588" s="8" t="s">
        <v>2135</v>
      </c>
      <c r="V588" s="8" t="s">
        <v>2135</v>
      </c>
      <c r="W588" s="8" t="s">
        <v>2135</v>
      </c>
      <c r="X588" s="8" t="s">
        <v>2135</v>
      </c>
      <c r="Y588" s="8" t="s">
        <v>2135</v>
      </c>
      <c r="Z588" s="8" t="s">
        <v>2135</v>
      </c>
      <c r="AA588" s="8" t="s">
        <v>2135</v>
      </c>
      <c r="AB588" s="8" t="s">
        <v>2135</v>
      </c>
      <c r="AC588" s="8" t="s">
        <v>2135</v>
      </c>
      <c r="AD588" s="8" t="s">
        <v>2135</v>
      </c>
      <c r="AE588" s="8" t="s">
        <v>2135</v>
      </c>
      <c r="AF588" s="8" t="s">
        <v>2135</v>
      </c>
      <c r="AG588" s="8">
        <v>1.0</v>
      </c>
      <c r="AH588" s="8">
        <v>2.0</v>
      </c>
      <c r="AI588" s="8">
        <v>2.0</v>
      </c>
      <c r="AJ588" s="8">
        <v>0.0</v>
      </c>
      <c r="AK588" s="8">
        <v>6.0</v>
      </c>
      <c r="AL588" s="8" t="s">
        <v>7615</v>
      </c>
      <c r="AM588" s="8" t="s">
        <v>3390</v>
      </c>
      <c r="AN588" s="8" t="s">
        <v>7616</v>
      </c>
      <c r="AO588" s="8" t="s">
        <v>7617</v>
      </c>
      <c r="AP588" s="8" t="s">
        <v>7618</v>
      </c>
      <c r="AQ588" s="8" t="s">
        <v>2135</v>
      </c>
      <c r="AR588" s="8" t="s">
        <v>7619</v>
      </c>
      <c r="AS588" s="8" t="s">
        <v>7620</v>
      </c>
      <c r="AT588" s="8" t="s">
        <v>3580</v>
      </c>
      <c r="AU588" s="8">
        <v>2017.0</v>
      </c>
      <c r="AV588" s="8">
        <v>53.0</v>
      </c>
      <c r="AW588" s="8">
        <v>4.0</v>
      </c>
      <c r="AX588" s="8" t="s">
        <v>2135</v>
      </c>
      <c r="AY588" s="8" t="s">
        <v>2135</v>
      </c>
      <c r="AZ588" s="8" t="s">
        <v>2135</v>
      </c>
      <c r="BA588" s="8" t="s">
        <v>2135</v>
      </c>
      <c r="BB588" s="8">
        <v>954.0</v>
      </c>
      <c r="BC588" s="8">
        <v>954.0</v>
      </c>
      <c r="BD588" s="8" t="s">
        <v>2135</v>
      </c>
      <c r="BE588" s="8" t="s">
        <v>12288</v>
      </c>
      <c r="BF588" s="13" t="str">
        <f>HYPERLINK("http://dx.doi.org/10.7589/2015-12-326.1","http://dx.doi.org/10.7589/2015-12-326.1")</f>
        <v>http://dx.doi.org/10.7589/2015-12-326.1</v>
      </c>
      <c r="BG588" s="8" t="s">
        <v>2135</v>
      </c>
      <c r="BH588" s="8" t="s">
        <v>2135</v>
      </c>
      <c r="BI588" s="8">
        <v>1.0</v>
      </c>
      <c r="BJ588" s="8" t="s">
        <v>6958</v>
      </c>
      <c r="BK588" s="8" t="s">
        <v>3352</v>
      </c>
      <c r="BL588" s="8" t="s">
        <v>6958</v>
      </c>
      <c r="BM588" s="8" t="s">
        <v>7985</v>
      </c>
      <c r="BN588" s="8" t="s">
        <v>2135</v>
      </c>
      <c r="BO588" s="8" t="s">
        <v>2135</v>
      </c>
      <c r="BP588" s="8" t="s">
        <v>2135</v>
      </c>
      <c r="BQ588" s="8" t="s">
        <v>2135</v>
      </c>
      <c r="BR588" s="8" t="s">
        <v>3355</v>
      </c>
      <c r="BS588" s="8" t="s">
        <v>12289</v>
      </c>
      <c r="BT588" s="3" t="s">
        <v>2600</v>
      </c>
      <c r="BU588" s="3" t="s">
        <v>2147</v>
      </c>
      <c r="BV588" s="3" t="s">
        <v>2217</v>
      </c>
      <c r="BW588" s="3" t="s">
        <v>2237</v>
      </c>
      <c r="BX588" s="3" t="s">
        <v>2985</v>
      </c>
      <c r="BY588" s="3" t="s">
        <v>2992</v>
      </c>
      <c r="BZ588" s="8" t="str">
        <f>HYPERLINK("https%3A%2F%2Fwww.webofscience.com%2Fwos%2Fwoscc%2Ffull-record%2FWOS:000412579200036","View Full Record in Web of Science")</f>
        <v>View Full Record in Web of Science</v>
      </c>
    </row>
    <row r="589" ht="12.75" customHeight="1">
      <c r="A589" s="8" t="s">
        <v>3329</v>
      </c>
      <c r="B589" s="8" t="s">
        <v>8463</v>
      </c>
      <c r="C589" s="8" t="s">
        <v>2135</v>
      </c>
      <c r="D589" s="8" t="s">
        <v>2135</v>
      </c>
      <c r="E589" s="8" t="s">
        <v>2135</v>
      </c>
      <c r="F589" s="8" t="s">
        <v>8464</v>
      </c>
      <c r="G589" s="8" t="s">
        <v>2135</v>
      </c>
      <c r="H589" s="8" t="s">
        <v>2135</v>
      </c>
      <c r="I589" s="8" t="s">
        <v>12290</v>
      </c>
      <c r="J589" s="8" t="s">
        <v>8465</v>
      </c>
      <c r="K589" s="8" t="s">
        <v>2135</v>
      </c>
      <c r="L589" s="8" t="s">
        <v>2135</v>
      </c>
      <c r="M589" s="8" t="s">
        <v>3332</v>
      </c>
      <c r="N589" s="8" t="s">
        <v>12259</v>
      </c>
      <c r="O589" s="8" t="s">
        <v>2135</v>
      </c>
      <c r="P589" s="8" t="s">
        <v>2135</v>
      </c>
      <c r="Q589" s="8" t="s">
        <v>2135</v>
      </c>
      <c r="R589" s="8" t="s">
        <v>2135</v>
      </c>
      <c r="S589" s="8" t="s">
        <v>2135</v>
      </c>
      <c r="T589" s="8" t="s">
        <v>2135</v>
      </c>
      <c r="U589" s="8" t="s">
        <v>2135</v>
      </c>
      <c r="V589" s="8" t="s">
        <v>2135</v>
      </c>
      <c r="W589" s="8" t="s">
        <v>12291</v>
      </c>
      <c r="X589" s="8" t="s">
        <v>8470</v>
      </c>
      <c r="Y589" s="8" t="s">
        <v>8471</v>
      </c>
      <c r="Z589" s="8" t="s">
        <v>12292</v>
      </c>
      <c r="AA589" s="8" t="s">
        <v>7610</v>
      </c>
      <c r="AB589" s="8" t="s">
        <v>12293</v>
      </c>
      <c r="AC589" s="8" t="s">
        <v>2135</v>
      </c>
      <c r="AD589" s="8" t="s">
        <v>2135</v>
      </c>
      <c r="AE589" s="8" t="s">
        <v>2135</v>
      </c>
      <c r="AF589" s="8" t="s">
        <v>2135</v>
      </c>
      <c r="AG589" s="8">
        <v>1.0</v>
      </c>
      <c r="AH589" s="8">
        <v>0.0</v>
      </c>
      <c r="AI589" s="8">
        <v>0.0</v>
      </c>
      <c r="AJ589" s="8">
        <v>0.0</v>
      </c>
      <c r="AK589" s="8">
        <v>13.0</v>
      </c>
      <c r="AL589" s="8" t="s">
        <v>3366</v>
      </c>
      <c r="AM589" s="8" t="s">
        <v>3367</v>
      </c>
      <c r="AN589" s="8" t="s">
        <v>3368</v>
      </c>
      <c r="AO589" s="8" t="s">
        <v>8477</v>
      </c>
      <c r="AP589" s="8" t="s">
        <v>8478</v>
      </c>
      <c r="AQ589" s="8" t="s">
        <v>2135</v>
      </c>
      <c r="AR589" s="8" t="s">
        <v>8479</v>
      </c>
      <c r="AS589" s="8" t="s">
        <v>8480</v>
      </c>
      <c r="AT589" s="8" t="s">
        <v>3741</v>
      </c>
      <c r="AU589" s="8">
        <v>2015.0</v>
      </c>
      <c r="AV589" s="8">
        <v>181.0</v>
      </c>
      <c r="AW589" s="8" t="s">
        <v>6706</v>
      </c>
      <c r="AX589" s="8" t="s">
        <v>2135</v>
      </c>
      <c r="AY589" s="8" t="s">
        <v>2135</v>
      </c>
      <c r="AZ589" s="8" t="s">
        <v>2135</v>
      </c>
      <c r="BA589" s="8" t="s">
        <v>2135</v>
      </c>
      <c r="BB589" s="8">
        <v>336.0</v>
      </c>
      <c r="BC589" s="8">
        <v>336.0</v>
      </c>
      <c r="BD589" s="8" t="s">
        <v>2135</v>
      </c>
      <c r="BE589" s="8" t="s">
        <v>12294</v>
      </c>
      <c r="BF589" s="13" t="str">
        <f>HYPERLINK("http://dx.doi.org/10.1016/j.vetmic.2015.11.006","http://dx.doi.org/10.1016/j.vetmic.2015.11.006")</f>
        <v>http://dx.doi.org/10.1016/j.vetmic.2015.11.006</v>
      </c>
      <c r="BG589" s="8" t="s">
        <v>2135</v>
      </c>
      <c r="BH589" s="8" t="s">
        <v>2135</v>
      </c>
      <c r="BI589" s="8">
        <v>1.0</v>
      </c>
      <c r="BJ589" s="8" t="s">
        <v>8483</v>
      </c>
      <c r="BK589" s="8" t="s">
        <v>3352</v>
      </c>
      <c r="BL589" s="8" t="s">
        <v>8483</v>
      </c>
      <c r="BM589" s="8" t="s">
        <v>12295</v>
      </c>
      <c r="BN589" s="8" t="s">
        <v>2135</v>
      </c>
      <c r="BO589" s="8" t="s">
        <v>2135</v>
      </c>
      <c r="BP589" s="8" t="s">
        <v>2135</v>
      </c>
      <c r="BQ589" s="8" t="s">
        <v>2135</v>
      </c>
      <c r="BR589" s="8" t="s">
        <v>3355</v>
      </c>
      <c r="BS589" s="8" t="s">
        <v>12296</v>
      </c>
      <c r="BT589" s="3" t="s">
        <v>2600</v>
      </c>
      <c r="BU589" s="3" t="s">
        <v>2147</v>
      </c>
      <c r="BV589" s="3" t="s">
        <v>2217</v>
      </c>
      <c r="BW589" s="3" t="s">
        <v>2237</v>
      </c>
      <c r="BX589" s="3" t="s">
        <v>2985</v>
      </c>
      <c r="BY589" s="3" t="s">
        <v>2992</v>
      </c>
      <c r="BZ589" s="8" t="str">
        <f>HYPERLINK("https%3A%2F%2Fwww.webofscience.com%2Fwos%2Fwoscc%2Ffull-record%2FWOS:000370460500025","View Full Record in Web of Science")</f>
        <v>View Full Record in Web of Science</v>
      </c>
    </row>
    <row r="590" ht="12.75" customHeight="1">
      <c r="A590" s="8" t="s">
        <v>3329</v>
      </c>
      <c r="B590" s="8" t="s">
        <v>12297</v>
      </c>
      <c r="C590" s="8" t="s">
        <v>2135</v>
      </c>
      <c r="D590" s="8" t="s">
        <v>2135</v>
      </c>
      <c r="E590" s="8" t="s">
        <v>2135</v>
      </c>
      <c r="F590" s="8" t="s">
        <v>12298</v>
      </c>
      <c r="G590" s="8" t="s">
        <v>2135</v>
      </c>
      <c r="H590" s="8" t="s">
        <v>2135</v>
      </c>
      <c r="I590" s="8" t="s">
        <v>12299</v>
      </c>
      <c r="J590" s="8" t="s">
        <v>7688</v>
      </c>
      <c r="K590" s="8" t="s">
        <v>2135</v>
      </c>
      <c r="L590" s="8" t="s">
        <v>2135</v>
      </c>
      <c r="M590" s="8" t="s">
        <v>3332</v>
      </c>
      <c r="N590" s="8" t="s">
        <v>12259</v>
      </c>
      <c r="O590" s="8" t="s">
        <v>2135</v>
      </c>
      <c r="P590" s="8" t="s">
        <v>2135</v>
      </c>
      <c r="Q590" s="8" t="s">
        <v>2135</v>
      </c>
      <c r="R590" s="8" t="s">
        <v>2135</v>
      </c>
      <c r="S590" s="8" t="s">
        <v>2135</v>
      </c>
      <c r="T590" s="8" t="s">
        <v>2135</v>
      </c>
      <c r="U590" s="8" t="s">
        <v>2135</v>
      </c>
      <c r="V590" s="8" t="s">
        <v>2135</v>
      </c>
      <c r="W590" s="8" t="s">
        <v>2135</v>
      </c>
      <c r="X590" s="8" t="s">
        <v>2135</v>
      </c>
      <c r="Y590" s="8" t="s">
        <v>2135</v>
      </c>
      <c r="Z590" s="8" t="s">
        <v>2135</v>
      </c>
      <c r="AA590" s="8" t="s">
        <v>2135</v>
      </c>
      <c r="AB590" s="8" t="s">
        <v>2135</v>
      </c>
      <c r="AC590" s="8" t="s">
        <v>2135</v>
      </c>
      <c r="AD590" s="8" t="s">
        <v>2135</v>
      </c>
      <c r="AE590" s="8" t="s">
        <v>2135</v>
      </c>
      <c r="AF590" s="8" t="s">
        <v>2135</v>
      </c>
      <c r="AG590" s="8">
        <v>1.0</v>
      </c>
      <c r="AH590" s="8">
        <v>0.0</v>
      </c>
      <c r="AI590" s="8">
        <v>0.0</v>
      </c>
      <c r="AJ590" s="8">
        <v>0.0</v>
      </c>
      <c r="AK590" s="8">
        <v>9.0</v>
      </c>
      <c r="AL590" s="8" t="s">
        <v>3648</v>
      </c>
      <c r="AM590" s="8" t="s">
        <v>3649</v>
      </c>
      <c r="AN590" s="8" t="s">
        <v>3650</v>
      </c>
      <c r="AO590" s="8" t="s">
        <v>7699</v>
      </c>
      <c r="AP590" s="8" t="s">
        <v>2135</v>
      </c>
      <c r="AQ590" s="8" t="s">
        <v>2135</v>
      </c>
      <c r="AR590" s="8" t="s">
        <v>7700</v>
      </c>
      <c r="AS590" s="8" t="s">
        <v>7701</v>
      </c>
      <c r="AT590" s="8" t="s">
        <v>3580</v>
      </c>
      <c r="AU590" s="8">
        <v>2014.0</v>
      </c>
      <c r="AV590" s="8">
        <v>8.0</v>
      </c>
      <c r="AW590" s="8">
        <v>10.0</v>
      </c>
      <c r="AX590" s="8" t="s">
        <v>2135</v>
      </c>
      <c r="AY590" s="8" t="s">
        <v>2135</v>
      </c>
      <c r="AZ590" s="8" t="s">
        <v>2135</v>
      </c>
      <c r="BA590" s="8" t="s">
        <v>2135</v>
      </c>
      <c r="BB590" s="8" t="s">
        <v>2135</v>
      </c>
      <c r="BC590" s="8" t="s">
        <v>2135</v>
      </c>
      <c r="BD590" s="8" t="s">
        <v>12300</v>
      </c>
      <c r="BE590" s="8" t="s">
        <v>12301</v>
      </c>
      <c r="BF590" s="13" t="str">
        <f>HYPERLINK("http://dx.doi.org/10.1371/journal.pntd.0003340","http://dx.doi.org/10.1371/journal.pntd.0003340")</f>
        <v>http://dx.doi.org/10.1371/journal.pntd.0003340</v>
      </c>
      <c r="BG590" s="8" t="s">
        <v>2135</v>
      </c>
      <c r="BH590" s="8" t="s">
        <v>2135</v>
      </c>
      <c r="BI590" s="8">
        <v>3.0</v>
      </c>
      <c r="BJ590" s="8" t="s">
        <v>7704</v>
      </c>
      <c r="BK590" s="8" t="s">
        <v>3352</v>
      </c>
      <c r="BL590" s="8" t="s">
        <v>7704</v>
      </c>
      <c r="BM590" s="8" t="s">
        <v>12302</v>
      </c>
      <c r="BN590" s="8" t="s">
        <v>2135</v>
      </c>
      <c r="BO590" s="8" t="s">
        <v>3659</v>
      </c>
      <c r="BP590" s="8" t="s">
        <v>2135</v>
      </c>
      <c r="BQ590" s="8" t="s">
        <v>2135</v>
      </c>
      <c r="BR590" s="8" t="s">
        <v>3355</v>
      </c>
      <c r="BS590" s="8" t="s">
        <v>12303</v>
      </c>
      <c r="BT590" s="3" t="s">
        <v>2600</v>
      </c>
      <c r="BU590" s="3" t="s">
        <v>2147</v>
      </c>
      <c r="BV590" s="3" t="s">
        <v>2217</v>
      </c>
      <c r="BW590" s="3" t="s">
        <v>2237</v>
      </c>
      <c r="BX590" s="3" t="s">
        <v>2985</v>
      </c>
      <c r="BY590" s="3" t="s">
        <v>2991</v>
      </c>
      <c r="BZ590" s="8" t="str">
        <f>HYPERLINK("https%3A%2F%2Fwww.webofscience.com%2Fwos%2Fwoscc%2Ffull-record%2FWOS:000344589000084","View Full Record in Web of Science")</f>
        <v>View Full Record in Web of Science</v>
      </c>
    </row>
    <row r="591" ht="12.75" customHeight="1">
      <c r="A591" s="8" t="s">
        <v>3329</v>
      </c>
      <c r="B591" s="8" t="s">
        <v>12304</v>
      </c>
      <c r="C591" s="8" t="s">
        <v>2135</v>
      </c>
      <c r="D591" s="8" t="s">
        <v>2135</v>
      </c>
      <c r="E591" s="8" t="s">
        <v>2135</v>
      </c>
      <c r="F591" s="8" t="s">
        <v>12305</v>
      </c>
      <c r="G591" s="8" t="s">
        <v>2135</v>
      </c>
      <c r="H591" s="8" t="s">
        <v>2135</v>
      </c>
      <c r="I591" s="8" t="s">
        <v>12306</v>
      </c>
      <c r="J591" s="8" t="s">
        <v>4443</v>
      </c>
      <c r="K591" s="8" t="s">
        <v>2135</v>
      </c>
      <c r="L591" s="8" t="s">
        <v>2135</v>
      </c>
      <c r="M591" s="8" t="s">
        <v>3332</v>
      </c>
      <c r="N591" s="8" t="s">
        <v>3333</v>
      </c>
      <c r="O591" s="8" t="s">
        <v>2135</v>
      </c>
      <c r="P591" s="8" t="s">
        <v>2135</v>
      </c>
      <c r="Q591" s="8" t="s">
        <v>2135</v>
      </c>
      <c r="R591" s="8" t="s">
        <v>2135</v>
      </c>
      <c r="S591" s="8" t="s">
        <v>2135</v>
      </c>
      <c r="T591" s="8" t="s">
        <v>12307</v>
      </c>
      <c r="U591" s="8" t="s">
        <v>12308</v>
      </c>
      <c r="V591" s="8" t="s">
        <v>12309</v>
      </c>
      <c r="W591" s="8" t="s">
        <v>12310</v>
      </c>
      <c r="X591" s="8" t="s">
        <v>12311</v>
      </c>
      <c r="Y591" s="8" t="s">
        <v>12312</v>
      </c>
      <c r="Z591" s="8" t="s">
        <v>12313</v>
      </c>
      <c r="AA591" s="8" t="s">
        <v>10227</v>
      </c>
      <c r="AB591" s="8" t="s">
        <v>8948</v>
      </c>
      <c r="AC591" s="8" t="s">
        <v>10545</v>
      </c>
      <c r="AD591" s="8" t="s">
        <v>10546</v>
      </c>
      <c r="AE591" s="8" t="s">
        <v>12314</v>
      </c>
      <c r="AF591" s="8" t="s">
        <v>2135</v>
      </c>
      <c r="AG591" s="8">
        <v>83.0</v>
      </c>
      <c r="AH591" s="8">
        <v>40.0</v>
      </c>
      <c r="AI591" s="8">
        <v>46.0</v>
      </c>
      <c r="AJ591" s="8">
        <v>0.0</v>
      </c>
      <c r="AK591" s="8">
        <v>115.0</v>
      </c>
      <c r="AL591" s="8" t="s">
        <v>3342</v>
      </c>
      <c r="AM591" s="8" t="s">
        <v>3343</v>
      </c>
      <c r="AN591" s="8" t="s">
        <v>3344</v>
      </c>
      <c r="AO591" s="8" t="s">
        <v>4453</v>
      </c>
      <c r="AP591" s="8" t="s">
        <v>4454</v>
      </c>
      <c r="AQ591" s="8" t="s">
        <v>2135</v>
      </c>
      <c r="AR591" s="8" t="s">
        <v>4455</v>
      </c>
      <c r="AS591" s="8" t="s">
        <v>4456</v>
      </c>
      <c r="AT591" s="8" t="s">
        <v>3741</v>
      </c>
      <c r="AU591" s="8">
        <v>2011.0</v>
      </c>
      <c r="AV591" s="8">
        <v>21.0</v>
      </c>
      <c r="AW591" s="8">
        <v>8.0</v>
      </c>
      <c r="AX591" s="8" t="s">
        <v>2135</v>
      </c>
      <c r="AY591" s="8" t="s">
        <v>2135</v>
      </c>
      <c r="AZ591" s="8" t="s">
        <v>2135</v>
      </c>
      <c r="BA591" s="8" t="s">
        <v>2135</v>
      </c>
      <c r="BB591" s="8">
        <v>2917.0</v>
      </c>
      <c r="BC591" s="8">
        <v>2932.0</v>
      </c>
      <c r="BD591" s="8" t="s">
        <v>2135</v>
      </c>
      <c r="BE591" s="8" t="s">
        <v>12315</v>
      </c>
      <c r="BF591" s="13" t="str">
        <f>HYPERLINK("http://dx.doi.org/10.1890/11-0152.1","http://dx.doi.org/10.1890/11-0152.1")</f>
        <v>http://dx.doi.org/10.1890/11-0152.1</v>
      </c>
      <c r="BG591" s="8" t="s">
        <v>2135</v>
      </c>
      <c r="BH591" s="8" t="s">
        <v>2135</v>
      </c>
      <c r="BI591" s="8">
        <v>16.0</v>
      </c>
      <c r="BJ591" s="8" t="s">
        <v>3631</v>
      </c>
      <c r="BK591" s="8" t="s">
        <v>3352</v>
      </c>
      <c r="BL591" s="8" t="s">
        <v>3632</v>
      </c>
      <c r="BM591" s="8" t="s">
        <v>12316</v>
      </c>
      <c r="BN591" s="8" t="s">
        <v>2135</v>
      </c>
      <c r="BO591" s="8" t="s">
        <v>3445</v>
      </c>
      <c r="BP591" s="8" t="s">
        <v>2135</v>
      </c>
      <c r="BQ591" s="8" t="s">
        <v>2135</v>
      </c>
      <c r="BR591" s="8" t="s">
        <v>3355</v>
      </c>
      <c r="BS591" s="8" t="s">
        <v>12317</v>
      </c>
      <c r="BT591" s="3" t="s">
        <v>2600</v>
      </c>
      <c r="BU591" s="3" t="s">
        <v>2147</v>
      </c>
      <c r="BV591" s="3" t="s">
        <v>2217</v>
      </c>
      <c r="BW591" s="3" t="s">
        <v>2237</v>
      </c>
      <c r="BX591" s="3" t="s">
        <v>2974</v>
      </c>
      <c r="BY591" s="3" t="s">
        <v>2959</v>
      </c>
      <c r="BZ591" s="8" t="str">
        <f>HYPERLINK("https%3A%2F%2Fwww.webofscience.com%2Fwos%2Fwoscc%2Ffull-record%2FWOS:000299166300007","View Full Record in Web of Science")</f>
        <v>View Full Record in Web of Science</v>
      </c>
    </row>
    <row r="592" ht="12.75" customHeight="1">
      <c r="A592" s="8" t="s">
        <v>3329</v>
      </c>
      <c r="B592" s="8" t="s">
        <v>12318</v>
      </c>
      <c r="C592" s="8" t="s">
        <v>2135</v>
      </c>
      <c r="D592" s="8" t="s">
        <v>2135</v>
      </c>
      <c r="E592" s="8" t="s">
        <v>2135</v>
      </c>
      <c r="F592" s="8" t="s">
        <v>12319</v>
      </c>
      <c r="G592" s="8" t="s">
        <v>2135</v>
      </c>
      <c r="H592" s="8" t="s">
        <v>2135</v>
      </c>
      <c r="I592" s="8" t="s">
        <v>12320</v>
      </c>
      <c r="J592" s="8" t="s">
        <v>3704</v>
      </c>
      <c r="K592" s="8" t="s">
        <v>2135</v>
      </c>
      <c r="L592" s="8" t="s">
        <v>2135</v>
      </c>
      <c r="M592" s="8" t="s">
        <v>3332</v>
      </c>
      <c r="N592" s="8" t="s">
        <v>3333</v>
      </c>
      <c r="O592" s="8" t="s">
        <v>2135</v>
      </c>
      <c r="P592" s="8" t="s">
        <v>2135</v>
      </c>
      <c r="Q592" s="8" t="s">
        <v>2135</v>
      </c>
      <c r="R592" s="8" t="s">
        <v>2135</v>
      </c>
      <c r="S592" s="8" t="s">
        <v>2135</v>
      </c>
      <c r="T592" s="8" t="s">
        <v>12321</v>
      </c>
      <c r="U592" s="8" t="s">
        <v>12322</v>
      </c>
      <c r="V592" s="8" t="s">
        <v>12323</v>
      </c>
      <c r="W592" s="8" t="s">
        <v>12324</v>
      </c>
      <c r="X592" s="8" t="s">
        <v>3821</v>
      </c>
      <c r="Y592" s="8" t="s">
        <v>12325</v>
      </c>
      <c r="Z592" s="8" t="s">
        <v>12326</v>
      </c>
      <c r="AA592" s="8" t="s">
        <v>12327</v>
      </c>
      <c r="AB592" s="8" t="s">
        <v>12328</v>
      </c>
      <c r="AC592" s="8" t="s">
        <v>12329</v>
      </c>
      <c r="AD592" s="8" t="s">
        <v>12329</v>
      </c>
      <c r="AE592" s="8" t="s">
        <v>12330</v>
      </c>
      <c r="AF592" s="8" t="s">
        <v>2135</v>
      </c>
      <c r="AG592" s="8">
        <v>59.0</v>
      </c>
      <c r="AH592" s="8">
        <v>20.0</v>
      </c>
      <c r="AI592" s="8">
        <v>24.0</v>
      </c>
      <c r="AJ592" s="8">
        <v>0.0</v>
      </c>
      <c r="AK592" s="8">
        <v>34.0</v>
      </c>
      <c r="AL592" s="8" t="s">
        <v>3505</v>
      </c>
      <c r="AM592" s="8" t="s">
        <v>3506</v>
      </c>
      <c r="AN592" s="8" t="s">
        <v>3507</v>
      </c>
      <c r="AO592" s="8" t="s">
        <v>3717</v>
      </c>
      <c r="AP592" s="8" t="s">
        <v>3718</v>
      </c>
      <c r="AQ592" s="8" t="s">
        <v>2135</v>
      </c>
      <c r="AR592" s="8" t="s">
        <v>3719</v>
      </c>
      <c r="AS592" s="8" t="s">
        <v>3720</v>
      </c>
      <c r="AT592" s="8" t="s">
        <v>2135</v>
      </c>
      <c r="AU592" s="8">
        <v>2009.0</v>
      </c>
      <c r="AV592" s="8">
        <v>74.0</v>
      </c>
      <c r="AW592" s="8">
        <v>6.0</v>
      </c>
      <c r="AX592" s="8" t="s">
        <v>2135</v>
      </c>
      <c r="AY592" s="8" t="s">
        <v>2135</v>
      </c>
      <c r="AZ592" s="8" t="s">
        <v>2135</v>
      </c>
      <c r="BA592" s="8" t="s">
        <v>2135</v>
      </c>
      <c r="BB592" s="8">
        <v>446.0</v>
      </c>
      <c r="BC592" s="8">
        <v>453.0</v>
      </c>
      <c r="BD592" s="8" t="s">
        <v>2135</v>
      </c>
      <c r="BE592" s="8" t="s">
        <v>12331</v>
      </c>
      <c r="BF592" s="13" t="str">
        <f>HYPERLINK("http://dx.doi.org/10.1016/j.mambio.2009.08.007","http://dx.doi.org/10.1016/j.mambio.2009.08.007")</f>
        <v>http://dx.doi.org/10.1016/j.mambio.2009.08.007</v>
      </c>
      <c r="BG592" s="8" t="s">
        <v>2135</v>
      </c>
      <c r="BH592" s="8" t="s">
        <v>2135</v>
      </c>
      <c r="BI592" s="8">
        <v>8.0</v>
      </c>
      <c r="BJ592" s="8" t="s">
        <v>3397</v>
      </c>
      <c r="BK592" s="8" t="s">
        <v>3352</v>
      </c>
      <c r="BL592" s="8" t="s">
        <v>3397</v>
      </c>
      <c r="BM592" s="8" t="s">
        <v>12332</v>
      </c>
      <c r="BN592" s="8" t="s">
        <v>2135</v>
      </c>
      <c r="BO592" s="8" t="s">
        <v>2135</v>
      </c>
      <c r="BP592" s="8" t="s">
        <v>2135</v>
      </c>
      <c r="BQ592" s="8" t="s">
        <v>2135</v>
      </c>
      <c r="BR592" s="8" t="s">
        <v>3355</v>
      </c>
      <c r="BS592" s="8" t="s">
        <v>12333</v>
      </c>
      <c r="BT592" s="3" t="s">
        <v>2471</v>
      </c>
      <c r="BU592" s="3" t="s">
        <v>2142</v>
      </c>
      <c r="BW592" s="3" t="s">
        <v>2340</v>
      </c>
      <c r="BX592" s="3"/>
      <c r="BY592" s="3"/>
      <c r="BZ592" s="8" t="str">
        <f>HYPERLINK("https%3A%2F%2Fwww.webofscience.com%2Fwos%2Fwoscc%2Ffull-record%2FWOS:000271488600003","View Full Record in Web of Science")</f>
        <v>View Full Record in Web of Science</v>
      </c>
    </row>
    <row r="593" ht="12.75" customHeight="1">
      <c r="A593" s="8" t="s">
        <v>3329</v>
      </c>
      <c r="B593" s="8" t="s">
        <v>12334</v>
      </c>
      <c r="C593" s="8" t="s">
        <v>2135</v>
      </c>
      <c r="D593" s="8" t="s">
        <v>2135</v>
      </c>
      <c r="E593" s="8" t="s">
        <v>2135</v>
      </c>
      <c r="F593" s="8" t="s">
        <v>12335</v>
      </c>
      <c r="G593" s="8" t="s">
        <v>2135</v>
      </c>
      <c r="H593" s="8" t="s">
        <v>2135</v>
      </c>
      <c r="I593" s="8" t="s">
        <v>12336</v>
      </c>
      <c r="J593" s="8" t="s">
        <v>12337</v>
      </c>
      <c r="K593" s="8" t="s">
        <v>2135</v>
      </c>
      <c r="L593" s="8" t="s">
        <v>2135</v>
      </c>
      <c r="M593" s="8" t="s">
        <v>3332</v>
      </c>
      <c r="N593" s="8" t="s">
        <v>3492</v>
      </c>
      <c r="O593" s="8" t="s">
        <v>2135</v>
      </c>
      <c r="P593" s="8" t="s">
        <v>2135</v>
      </c>
      <c r="Q593" s="8" t="s">
        <v>2135</v>
      </c>
      <c r="R593" s="8" t="s">
        <v>2135</v>
      </c>
      <c r="S593" s="8" t="s">
        <v>2135</v>
      </c>
      <c r="T593" s="8" t="s">
        <v>2135</v>
      </c>
      <c r="U593" s="8" t="s">
        <v>12338</v>
      </c>
      <c r="V593" s="8" t="s">
        <v>12339</v>
      </c>
      <c r="W593" s="8" t="s">
        <v>12340</v>
      </c>
      <c r="X593" s="8" t="s">
        <v>12341</v>
      </c>
      <c r="Y593" s="8" t="s">
        <v>12342</v>
      </c>
      <c r="Z593" s="8" t="s">
        <v>12343</v>
      </c>
      <c r="AA593" s="8" t="s">
        <v>2135</v>
      </c>
      <c r="AB593" s="8" t="s">
        <v>2135</v>
      </c>
      <c r="AC593" s="8" t="s">
        <v>2135</v>
      </c>
      <c r="AD593" s="8" t="s">
        <v>2135</v>
      </c>
      <c r="AE593" s="8" t="s">
        <v>2135</v>
      </c>
      <c r="AF593" s="8" t="s">
        <v>2135</v>
      </c>
      <c r="AG593" s="8">
        <v>99.0</v>
      </c>
      <c r="AH593" s="8">
        <v>23.0</v>
      </c>
      <c r="AI593" s="8">
        <v>23.0</v>
      </c>
      <c r="AJ593" s="8">
        <v>0.0</v>
      </c>
      <c r="AK593" s="8">
        <v>52.0</v>
      </c>
      <c r="AL593" s="8" t="s">
        <v>3342</v>
      </c>
      <c r="AM593" s="8" t="s">
        <v>3343</v>
      </c>
      <c r="AN593" s="8" t="s">
        <v>3344</v>
      </c>
      <c r="AO593" s="8" t="s">
        <v>12344</v>
      </c>
      <c r="AP593" s="8" t="s">
        <v>12345</v>
      </c>
      <c r="AQ593" s="8" t="s">
        <v>2135</v>
      </c>
      <c r="AR593" s="8" t="s">
        <v>12346</v>
      </c>
      <c r="AS593" s="8" t="s">
        <v>12347</v>
      </c>
      <c r="AT593" s="8" t="s">
        <v>3395</v>
      </c>
      <c r="AU593" s="8">
        <v>2008.0</v>
      </c>
      <c r="AV593" s="8">
        <v>43.0</v>
      </c>
      <c r="AW593" s="8">
        <v>4.0</v>
      </c>
      <c r="AX593" s="8" t="s">
        <v>2135</v>
      </c>
      <c r="AY593" s="8" t="s">
        <v>2135</v>
      </c>
      <c r="AZ593" s="8" t="s">
        <v>2135</v>
      </c>
      <c r="BA593" s="8" t="s">
        <v>2135</v>
      </c>
      <c r="BB593" s="8">
        <v>502.0</v>
      </c>
      <c r="BC593" s="8">
        <v>513.0</v>
      </c>
      <c r="BD593" s="8" t="s">
        <v>2135</v>
      </c>
      <c r="BE593" s="8" t="s">
        <v>12348</v>
      </c>
      <c r="BF593" s="13" t="str">
        <f>HYPERLINK("http://dx.doi.org/10.1111/j.1439-0531.2007.00950.x","http://dx.doi.org/10.1111/j.1439-0531.2007.00950.x")</f>
        <v>http://dx.doi.org/10.1111/j.1439-0531.2007.00950.x</v>
      </c>
      <c r="BG593" s="8" t="s">
        <v>2135</v>
      </c>
      <c r="BH593" s="8" t="s">
        <v>2135</v>
      </c>
      <c r="BI593" s="8">
        <v>12.0</v>
      </c>
      <c r="BJ593" s="8" t="s">
        <v>12349</v>
      </c>
      <c r="BK593" s="8" t="s">
        <v>3352</v>
      </c>
      <c r="BL593" s="8" t="s">
        <v>12350</v>
      </c>
      <c r="BM593" s="8" t="s">
        <v>12351</v>
      </c>
      <c r="BN593" s="8">
        <v>1.8179633E7</v>
      </c>
      <c r="BO593" s="8" t="s">
        <v>2135</v>
      </c>
      <c r="BP593" s="8" t="s">
        <v>2135</v>
      </c>
      <c r="BQ593" s="8" t="s">
        <v>2135</v>
      </c>
      <c r="BR593" s="8" t="s">
        <v>3355</v>
      </c>
      <c r="BS593" s="8" t="s">
        <v>12352</v>
      </c>
      <c r="BU593" s="3" t="s">
        <v>2142</v>
      </c>
      <c r="BW593" s="3" t="s">
        <v>2168</v>
      </c>
      <c r="BX593" s="3" t="s">
        <v>3171</v>
      </c>
      <c r="BY593" s="3" t="s">
        <v>3172</v>
      </c>
      <c r="BZ593" s="8" t="str">
        <f>HYPERLINK("https%3A%2F%2Fwww.webofscience.com%2Fwos%2Fwoscc%2Ffull-record%2FWOS:000257991300020","View Full Record in Web of Science")</f>
        <v>View Full Record in Web of Science</v>
      </c>
    </row>
    <row r="594" ht="12.75" customHeight="1">
      <c r="A594" s="8" t="s">
        <v>3329</v>
      </c>
      <c r="B594" s="8" t="s">
        <v>12353</v>
      </c>
      <c r="C594" s="8" t="s">
        <v>2135</v>
      </c>
      <c r="D594" s="8" t="s">
        <v>2135</v>
      </c>
      <c r="E594" s="8" t="s">
        <v>2135</v>
      </c>
      <c r="F594" s="8" t="s">
        <v>12354</v>
      </c>
      <c r="G594" s="8" t="s">
        <v>2135</v>
      </c>
      <c r="H594" s="8" t="s">
        <v>2135</v>
      </c>
      <c r="I594" s="8" t="s">
        <v>12355</v>
      </c>
      <c r="J594" s="8" t="s">
        <v>10092</v>
      </c>
      <c r="K594" s="8" t="s">
        <v>2135</v>
      </c>
      <c r="L594" s="8" t="s">
        <v>2135</v>
      </c>
      <c r="M594" s="8" t="s">
        <v>3332</v>
      </c>
      <c r="N594" s="8" t="s">
        <v>3333</v>
      </c>
      <c r="O594" s="8" t="s">
        <v>2135</v>
      </c>
      <c r="P594" s="8" t="s">
        <v>2135</v>
      </c>
      <c r="Q594" s="8" t="s">
        <v>2135</v>
      </c>
      <c r="R594" s="8" t="s">
        <v>2135</v>
      </c>
      <c r="S594" s="8" t="s">
        <v>2135</v>
      </c>
      <c r="T594" s="8" t="s">
        <v>12356</v>
      </c>
      <c r="U594" s="8" t="s">
        <v>12357</v>
      </c>
      <c r="V594" s="8" t="s">
        <v>12358</v>
      </c>
      <c r="W594" s="8" t="s">
        <v>12359</v>
      </c>
      <c r="X594" s="8" t="s">
        <v>12360</v>
      </c>
      <c r="Y594" s="8" t="s">
        <v>12361</v>
      </c>
      <c r="Z594" s="8" t="s">
        <v>12326</v>
      </c>
      <c r="AA594" s="8" t="s">
        <v>12362</v>
      </c>
      <c r="AB594" s="8" t="s">
        <v>12363</v>
      </c>
      <c r="AC594" s="8" t="s">
        <v>2135</v>
      </c>
      <c r="AD594" s="8" t="s">
        <v>2135</v>
      </c>
      <c r="AE594" s="8" t="s">
        <v>2135</v>
      </c>
      <c r="AF594" s="8" t="s">
        <v>2135</v>
      </c>
      <c r="AG594" s="8">
        <v>73.0</v>
      </c>
      <c r="AH594" s="8">
        <v>23.0</v>
      </c>
      <c r="AI594" s="8">
        <v>38.0</v>
      </c>
      <c r="AJ594" s="8">
        <v>0.0</v>
      </c>
      <c r="AK594" s="8">
        <v>35.0</v>
      </c>
      <c r="AL594" s="8" t="s">
        <v>3479</v>
      </c>
      <c r="AM594" s="8" t="s">
        <v>4500</v>
      </c>
      <c r="AN594" s="8" t="s">
        <v>4501</v>
      </c>
      <c r="AO594" s="8" t="s">
        <v>10101</v>
      </c>
      <c r="AP594" s="8" t="s">
        <v>10102</v>
      </c>
      <c r="AQ594" s="8" t="s">
        <v>2135</v>
      </c>
      <c r="AR594" s="8" t="s">
        <v>10103</v>
      </c>
      <c r="AS594" s="8" t="s">
        <v>10104</v>
      </c>
      <c r="AT594" s="8" t="s">
        <v>3512</v>
      </c>
      <c r="AU594" s="8">
        <v>2008.0</v>
      </c>
      <c r="AV594" s="8">
        <v>142.0</v>
      </c>
      <c r="AW594" s="8" t="s">
        <v>6879</v>
      </c>
      <c r="AX594" s="8" t="s">
        <v>2135</v>
      </c>
      <c r="AY594" s="8" t="s">
        <v>2135</v>
      </c>
      <c r="AZ594" s="8" t="s">
        <v>2135</v>
      </c>
      <c r="BA594" s="8" t="s">
        <v>2135</v>
      </c>
      <c r="BB594" s="8">
        <v>47.0</v>
      </c>
      <c r="BC594" s="8">
        <v>64.0</v>
      </c>
      <c r="BD594" s="8" t="s">
        <v>2135</v>
      </c>
      <c r="BE594" s="8" t="s">
        <v>12364</v>
      </c>
      <c r="BF594" s="13" t="str">
        <f>HYPERLINK("http://dx.doi.org/10.1007/s10661-007-9907-8","http://dx.doi.org/10.1007/s10661-007-9907-8")</f>
        <v>http://dx.doi.org/10.1007/s10661-007-9907-8</v>
      </c>
      <c r="BG594" s="8" t="s">
        <v>2135</v>
      </c>
      <c r="BH594" s="8" t="s">
        <v>2135</v>
      </c>
      <c r="BI594" s="8">
        <v>18.0</v>
      </c>
      <c r="BJ594" s="8" t="s">
        <v>6399</v>
      </c>
      <c r="BK594" s="8" t="s">
        <v>3352</v>
      </c>
      <c r="BL594" s="8" t="s">
        <v>3632</v>
      </c>
      <c r="BM594" s="8" t="s">
        <v>12365</v>
      </c>
      <c r="BN594" s="8">
        <v>1.7932778E7</v>
      </c>
      <c r="BO594" s="8" t="s">
        <v>2135</v>
      </c>
      <c r="BP594" s="8" t="s">
        <v>2135</v>
      </c>
      <c r="BQ594" s="8" t="s">
        <v>2135</v>
      </c>
      <c r="BR594" s="8" t="s">
        <v>3355</v>
      </c>
      <c r="BS594" s="8" t="s">
        <v>12366</v>
      </c>
      <c r="BT594" s="3" t="s">
        <v>2471</v>
      </c>
      <c r="BU594" s="3" t="s">
        <v>2142</v>
      </c>
      <c r="BW594" s="3" t="s">
        <v>2477</v>
      </c>
      <c r="BX594" s="3" t="s">
        <v>3038</v>
      </c>
      <c r="BY594" s="3" t="s">
        <v>2955</v>
      </c>
      <c r="BZ594" s="8" t="str">
        <f>HYPERLINK("https%3A%2F%2Fwww.webofscience.com%2Fwos%2Fwoscc%2Ffull-record%2FWOS:000256471500005","View Full Record in Web of Science")</f>
        <v>View Full Record in Web of Science</v>
      </c>
    </row>
    <row r="595" ht="12.75" customHeight="1">
      <c r="A595" s="8" t="s">
        <v>3329</v>
      </c>
      <c r="B595" s="8" t="s">
        <v>12367</v>
      </c>
      <c r="C595" s="8" t="s">
        <v>2135</v>
      </c>
      <c r="D595" s="8" t="s">
        <v>2135</v>
      </c>
      <c r="E595" s="8" t="s">
        <v>2135</v>
      </c>
      <c r="F595" s="8" t="s">
        <v>12368</v>
      </c>
      <c r="G595" s="8" t="s">
        <v>2135</v>
      </c>
      <c r="H595" s="8" t="s">
        <v>2135</v>
      </c>
      <c r="I595" s="8" t="s">
        <v>12369</v>
      </c>
      <c r="J595" s="8" t="s">
        <v>12370</v>
      </c>
      <c r="K595" s="8" t="s">
        <v>2135</v>
      </c>
      <c r="L595" s="8" t="s">
        <v>2135</v>
      </c>
      <c r="M595" s="8" t="s">
        <v>3332</v>
      </c>
      <c r="N595" s="8" t="s">
        <v>3333</v>
      </c>
      <c r="O595" s="8" t="s">
        <v>2135</v>
      </c>
      <c r="P595" s="8" t="s">
        <v>2135</v>
      </c>
      <c r="Q595" s="8" t="s">
        <v>2135</v>
      </c>
      <c r="R595" s="8" t="s">
        <v>2135</v>
      </c>
      <c r="S595" s="8" t="s">
        <v>2135</v>
      </c>
      <c r="T595" s="8" t="s">
        <v>12371</v>
      </c>
      <c r="U595" s="8" t="s">
        <v>12372</v>
      </c>
      <c r="V595" s="8" t="s">
        <v>12373</v>
      </c>
      <c r="W595" s="8" t="s">
        <v>12374</v>
      </c>
      <c r="X595" s="8" t="s">
        <v>12375</v>
      </c>
      <c r="Y595" s="8" t="s">
        <v>12376</v>
      </c>
      <c r="Z595" s="8" t="s">
        <v>12377</v>
      </c>
      <c r="AA595" s="8" t="s">
        <v>12378</v>
      </c>
      <c r="AB595" s="8" t="s">
        <v>12379</v>
      </c>
      <c r="AC595" s="8" t="s">
        <v>12380</v>
      </c>
      <c r="AD595" s="8" t="s">
        <v>12381</v>
      </c>
      <c r="AE595" s="8" t="s">
        <v>12382</v>
      </c>
      <c r="AF595" s="8" t="s">
        <v>2135</v>
      </c>
      <c r="AG595" s="8">
        <v>30.0</v>
      </c>
      <c r="AH595" s="8">
        <v>21.0</v>
      </c>
      <c r="AI595" s="8">
        <v>26.0</v>
      </c>
      <c r="AJ595" s="8">
        <v>0.0</v>
      </c>
      <c r="AK595" s="8">
        <v>27.0</v>
      </c>
      <c r="AL595" s="8" t="s">
        <v>12383</v>
      </c>
      <c r="AM595" s="8" t="s">
        <v>12384</v>
      </c>
      <c r="AN595" s="8" t="s">
        <v>12385</v>
      </c>
      <c r="AO595" s="8" t="s">
        <v>12386</v>
      </c>
      <c r="AP595" s="8" t="s">
        <v>2135</v>
      </c>
      <c r="AQ595" s="8" t="s">
        <v>2135</v>
      </c>
      <c r="AR595" s="8" t="s">
        <v>12370</v>
      </c>
      <c r="AS595" s="8" t="s">
        <v>12387</v>
      </c>
      <c r="AT595" s="8" t="s">
        <v>2135</v>
      </c>
      <c r="AU595" s="8">
        <v>2008.0</v>
      </c>
      <c r="AV595" s="8">
        <v>52.0</v>
      </c>
      <c r="AW595" s="8">
        <v>2.0</v>
      </c>
      <c r="AX595" s="8" t="s">
        <v>2135</v>
      </c>
      <c r="AY595" s="8" t="s">
        <v>2135</v>
      </c>
      <c r="AZ595" s="8" t="s">
        <v>2135</v>
      </c>
      <c r="BA595" s="8" t="s">
        <v>2135</v>
      </c>
      <c r="BB595" s="8">
        <v>257.0</v>
      </c>
      <c r="BC595" s="8">
        <v>270.0</v>
      </c>
      <c r="BD595" s="8" t="s">
        <v>2135</v>
      </c>
      <c r="BE595" s="8" t="s">
        <v>2135</v>
      </c>
      <c r="BF595" s="8" t="s">
        <v>2135</v>
      </c>
      <c r="BG595" s="8" t="s">
        <v>2135</v>
      </c>
      <c r="BH595" s="8" t="s">
        <v>2135</v>
      </c>
      <c r="BI595" s="8">
        <v>14.0</v>
      </c>
      <c r="BJ595" s="8" t="s">
        <v>12388</v>
      </c>
      <c r="BK595" s="8" t="s">
        <v>3352</v>
      </c>
      <c r="BL595" s="8" t="s">
        <v>12388</v>
      </c>
      <c r="BM595" s="8" t="s">
        <v>12389</v>
      </c>
      <c r="BN595" s="8" t="s">
        <v>2135</v>
      </c>
      <c r="BO595" s="8" t="s">
        <v>2135</v>
      </c>
      <c r="BP595" s="8" t="s">
        <v>2135</v>
      </c>
      <c r="BQ595" s="8" t="s">
        <v>2135</v>
      </c>
      <c r="BR595" s="8" t="s">
        <v>3355</v>
      </c>
      <c r="BS595" s="8" t="s">
        <v>12390</v>
      </c>
      <c r="BT595" s="3" t="s">
        <v>2185</v>
      </c>
      <c r="BU595" s="3" t="s">
        <v>2147</v>
      </c>
      <c r="BW595" s="3" t="s">
        <v>2186</v>
      </c>
      <c r="BX595" s="3" t="s">
        <v>2953</v>
      </c>
      <c r="BY595" s="3" t="s">
        <v>2954</v>
      </c>
      <c r="BZ595" s="8" t="str">
        <f>HYPERLINK("https%3A%2F%2Fwww.webofscience.com%2Fwos%2Fwoscc%2Ffull-record%2FWOS:000259163300003","View Full Record in Web of Science")</f>
        <v>View Full Record in Web of Science</v>
      </c>
    </row>
    <row r="596" ht="12.75" customHeight="1">
      <c r="A596" s="8" t="s">
        <v>3329</v>
      </c>
      <c r="B596" s="8" t="s">
        <v>9957</v>
      </c>
      <c r="C596" s="8" t="s">
        <v>2135</v>
      </c>
      <c r="D596" s="8" t="s">
        <v>2135</v>
      </c>
      <c r="E596" s="8" t="s">
        <v>2135</v>
      </c>
      <c r="F596" s="8" t="s">
        <v>9958</v>
      </c>
      <c r="G596" s="8" t="s">
        <v>2135</v>
      </c>
      <c r="H596" s="8" t="s">
        <v>2135</v>
      </c>
      <c r="I596" s="8" t="s">
        <v>12391</v>
      </c>
      <c r="J596" s="8" t="s">
        <v>3704</v>
      </c>
      <c r="K596" s="8" t="s">
        <v>2135</v>
      </c>
      <c r="L596" s="8" t="s">
        <v>2135</v>
      </c>
      <c r="M596" s="8" t="s">
        <v>3332</v>
      </c>
      <c r="N596" s="8" t="s">
        <v>3333</v>
      </c>
      <c r="O596" s="8" t="s">
        <v>2135</v>
      </c>
      <c r="P596" s="8" t="s">
        <v>2135</v>
      </c>
      <c r="Q596" s="8" t="s">
        <v>2135</v>
      </c>
      <c r="R596" s="8" t="s">
        <v>2135</v>
      </c>
      <c r="S596" s="8" t="s">
        <v>2135</v>
      </c>
      <c r="T596" s="8" t="s">
        <v>12392</v>
      </c>
      <c r="U596" s="8" t="s">
        <v>12393</v>
      </c>
      <c r="V596" s="8" t="s">
        <v>12394</v>
      </c>
      <c r="W596" s="8" t="s">
        <v>12395</v>
      </c>
      <c r="X596" s="8" t="s">
        <v>5069</v>
      </c>
      <c r="Y596" s="8" t="s">
        <v>5070</v>
      </c>
      <c r="Z596" s="8" t="s">
        <v>5071</v>
      </c>
      <c r="AA596" s="8" t="s">
        <v>5072</v>
      </c>
      <c r="AB596" s="8" t="s">
        <v>2135</v>
      </c>
      <c r="AC596" s="8" t="s">
        <v>2135</v>
      </c>
      <c r="AD596" s="8" t="s">
        <v>2135</v>
      </c>
      <c r="AE596" s="8" t="s">
        <v>2135</v>
      </c>
      <c r="AF596" s="8" t="s">
        <v>2135</v>
      </c>
      <c r="AG596" s="8">
        <v>59.0</v>
      </c>
      <c r="AH596" s="8">
        <v>46.0</v>
      </c>
      <c r="AI596" s="8">
        <v>50.0</v>
      </c>
      <c r="AJ596" s="8">
        <v>0.0</v>
      </c>
      <c r="AK596" s="8">
        <v>43.0</v>
      </c>
      <c r="AL596" s="8" t="s">
        <v>4838</v>
      </c>
      <c r="AM596" s="8" t="s">
        <v>4839</v>
      </c>
      <c r="AN596" s="8" t="s">
        <v>4840</v>
      </c>
      <c r="AO596" s="8" t="s">
        <v>3717</v>
      </c>
      <c r="AP596" s="8" t="s">
        <v>2135</v>
      </c>
      <c r="AQ596" s="8" t="s">
        <v>2135</v>
      </c>
      <c r="AR596" s="8" t="s">
        <v>3719</v>
      </c>
      <c r="AS596" s="8" t="s">
        <v>3720</v>
      </c>
      <c r="AT596" s="8" t="s">
        <v>2135</v>
      </c>
      <c r="AU596" s="8">
        <v>2008.0</v>
      </c>
      <c r="AV596" s="8">
        <v>73.0</v>
      </c>
      <c r="AW596" s="8">
        <v>4.0</v>
      </c>
      <c r="AX596" s="8" t="s">
        <v>2135</v>
      </c>
      <c r="AY596" s="8" t="s">
        <v>2135</v>
      </c>
      <c r="AZ596" s="8" t="s">
        <v>2135</v>
      </c>
      <c r="BA596" s="8" t="s">
        <v>2135</v>
      </c>
      <c r="BB596" s="8">
        <v>293.0</v>
      </c>
      <c r="BC596" s="8">
        <v>302.0</v>
      </c>
      <c r="BD596" s="8" t="s">
        <v>2135</v>
      </c>
      <c r="BE596" s="8" t="s">
        <v>12396</v>
      </c>
      <c r="BF596" s="13" t="str">
        <f>HYPERLINK("http://dx.doi.org/10.1016/j.mambio.2007.04.004","http://dx.doi.org/10.1016/j.mambio.2007.04.004")</f>
        <v>http://dx.doi.org/10.1016/j.mambio.2007.04.004</v>
      </c>
      <c r="BG596" s="8" t="s">
        <v>2135</v>
      </c>
      <c r="BH596" s="8" t="s">
        <v>2135</v>
      </c>
      <c r="BI596" s="8">
        <v>10.0</v>
      </c>
      <c r="BJ596" s="8" t="s">
        <v>3397</v>
      </c>
      <c r="BK596" s="8" t="s">
        <v>3352</v>
      </c>
      <c r="BL596" s="8" t="s">
        <v>3397</v>
      </c>
      <c r="BM596" s="8" t="s">
        <v>12397</v>
      </c>
      <c r="BN596" s="8" t="s">
        <v>2135</v>
      </c>
      <c r="BO596" s="8" t="s">
        <v>2135</v>
      </c>
      <c r="BP596" s="8" t="s">
        <v>2135</v>
      </c>
      <c r="BQ596" s="8" t="s">
        <v>2135</v>
      </c>
      <c r="BR596" s="8" t="s">
        <v>3355</v>
      </c>
      <c r="BS596" s="14" t="s">
        <v>12398</v>
      </c>
      <c r="BZ596" s="8" t="str">
        <f>HYPERLINK("https%3A%2F%2Fwww.webofscience.com%2Fwos%2Fwoscc%2Ffull-record%2FWOS:000258027200006","View Full Record in Web of Science")</f>
        <v>View Full Record in Web of Science</v>
      </c>
    </row>
    <row r="597" ht="12.75" customHeight="1">
      <c r="A597" s="8" t="s">
        <v>3329</v>
      </c>
      <c r="B597" s="8" t="s">
        <v>12399</v>
      </c>
      <c r="C597" s="8" t="s">
        <v>2135</v>
      </c>
      <c r="D597" s="8" t="s">
        <v>2135</v>
      </c>
      <c r="E597" s="8" t="s">
        <v>2135</v>
      </c>
      <c r="F597" s="8" t="s">
        <v>12400</v>
      </c>
      <c r="G597" s="8" t="s">
        <v>2135</v>
      </c>
      <c r="H597" s="8" t="s">
        <v>2135</v>
      </c>
      <c r="I597" s="8" t="s">
        <v>12401</v>
      </c>
      <c r="J597" s="8" t="s">
        <v>3747</v>
      </c>
      <c r="K597" s="8" t="s">
        <v>2135</v>
      </c>
      <c r="L597" s="8" t="s">
        <v>2135</v>
      </c>
      <c r="M597" s="8" t="s">
        <v>3332</v>
      </c>
      <c r="N597" s="8" t="s">
        <v>3333</v>
      </c>
      <c r="O597" s="8" t="s">
        <v>2135</v>
      </c>
      <c r="P597" s="8" t="s">
        <v>2135</v>
      </c>
      <c r="Q597" s="8" t="s">
        <v>2135</v>
      </c>
      <c r="R597" s="8" t="s">
        <v>2135</v>
      </c>
      <c r="S597" s="8" t="s">
        <v>2135</v>
      </c>
      <c r="T597" s="8" t="s">
        <v>12402</v>
      </c>
      <c r="U597" s="8" t="s">
        <v>12403</v>
      </c>
      <c r="V597" s="8" t="s">
        <v>12404</v>
      </c>
      <c r="W597" s="8" t="s">
        <v>12405</v>
      </c>
      <c r="X597" s="8" t="s">
        <v>12406</v>
      </c>
      <c r="Y597" s="8" t="s">
        <v>12407</v>
      </c>
      <c r="Z597" s="8" t="s">
        <v>12408</v>
      </c>
      <c r="AA597" s="8" t="s">
        <v>2135</v>
      </c>
      <c r="AB597" s="8" t="s">
        <v>12409</v>
      </c>
      <c r="AC597" s="8" t="s">
        <v>2135</v>
      </c>
      <c r="AD597" s="8" t="s">
        <v>2135</v>
      </c>
      <c r="AE597" s="8" t="s">
        <v>2135</v>
      </c>
      <c r="AF597" s="8" t="s">
        <v>2135</v>
      </c>
      <c r="AG597" s="8">
        <v>46.0</v>
      </c>
      <c r="AH597" s="8">
        <v>37.0</v>
      </c>
      <c r="AI597" s="8">
        <v>46.0</v>
      </c>
      <c r="AJ597" s="8">
        <v>1.0</v>
      </c>
      <c r="AK597" s="8">
        <v>74.0</v>
      </c>
      <c r="AL597" s="8" t="s">
        <v>3758</v>
      </c>
      <c r="AM597" s="8" t="s">
        <v>3759</v>
      </c>
      <c r="AN597" s="8" t="s">
        <v>3760</v>
      </c>
      <c r="AO597" s="8" t="s">
        <v>3761</v>
      </c>
      <c r="AP597" s="8" t="s">
        <v>3762</v>
      </c>
      <c r="AQ597" s="8" t="s">
        <v>2135</v>
      </c>
      <c r="AR597" s="8" t="s">
        <v>3763</v>
      </c>
      <c r="AS597" s="8" t="s">
        <v>3764</v>
      </c>
      <c r="AT597" s="8" t="s">
        <v>3741</v>
      </c>
      <c r="AU597" s="8">
        <v>2007.0</v>
      </c>
      <c r="AV597" s="8">
        <v>140.0</v>
      </c>
      <c r="AW597" s="8" t="s">
        <v>6706</v>
      </c>
      <c r="AX597" s="8" t="s">
        <v>2135</v>
      </c>
      <c r="AY597" s="8" t="s">
        <v>2135</v>
      </c>
      <c r="AZ597" s="8" t="s">
        <v>2135</v>
      </c>
      <c r="BA597" s="8" t="s">
        <v>2135</v>
      </c>
      <c r="BB597" s="8">
        <v>329.0</v>
      </c>
      <c r="BC597" s="8">
        <v>338.0</v>
      </c>
      <c r="BD597" s="8" t="s">
        <v>2135</v>
      </c>
      <c r="BE597" s="8" t="s">
        <v>12410</v>
      </c>
      <c r="BF597" s="13" t="str">
        <f>HYPERLINK("http://dx.doi.org/10.1016/j.biocon.2007.08.026","http://dx.doi.org/10.1016/j.biocon.2007.08.026")</f>
        <v>http://dx.doi.org/10.1016/j.biocon.2007.08.026</v>
      </c>
      <c r="BG597" s="8" t="s">
        <v>2135</v>
      </c>
      <c r="BH597" s="8" t="s">
        <v>2135</v>
      </c>
      <c r="BI597" s="8">
        <v>10.0</v>
      </c>
      <c r="BJ597" s="8" t="s">
        <v>3351</v>
      </c>
      <c r="BK597" s="8" t="s">
        <v>3352</v>
      </c>
      <c r="BL597" s="8" t="s">
        <v>3353</v>
      </c>
      <c r="BM597" s="8" t="s">
        <v>12411</v>
      </c>
      <c r="BN597" s="8" t="s">
        <v>2135</v>
      </c>
      <c r="BO597" s="8" t="s">
        <v>2135</v>
      </c>
      <c r="BP597" s="8" t="s">
        <v>2135</v>
      </c>
      <c r="BQ597" s="8" t="s">
        <v>2135</v>
      </c>
      <c r="BR597" s="8" t="s">
        <v>3355</v>
      </c>
      <c r="BS597" s="8" t="s">
        <v>12412</v>
      </c>
      <c r="BT597" s="3" t="s">
        <v>2272</v>
      </c>
      <c r="BU597" s="3" t="s">
        <v>2147</v>
      </c>
      <c r="BW597" s="3" t="s">
        <v>2148</v>
      </c>
      <c r="BX597" s="3" t="s">
        <v>3041</v>
      </c>
      <c r="BY597" s="3" t="s">
        <v>3042</v>
      </c>
      <c r="BZ597" s="8" t="str">
        <f>HYPERLINK("https%3A%2F%2Fwww.webofscience.com%2Fwos%2Fwoscc%2Ffull-record%2FWOS:000251210800013","View Full Record in Web of Science")</f>
        <v>View Full Record in Web of Science</v>
      </c>
    </row>
    <row r="598" ht="12.75" customHeight="1">
      <c r="A598" s="8" t="s">
        <v>3329</v>
      </c>
      <c r="B598" s="8" t="s">
        <v>12413</v>
      </c>
      <c r="C598" s="8" t="s">
        <v>2135</v>
      </c>
      <c r="D598" s="8" t="s">
        <v>2135</v>
      </c>
      <c r="E598" s="8" t="s">
        <v>2135</v>
      </c>
      <c r="F598" s="8" t="s">
        <v>12414</v>
      </c>
      <c r="G598" s="8" t="s">
        <v>2135</v>
      </c>
      <c r="H598" s="8" t="s">
        <v>2135</v>
      </c>
      <c r="I598" s="8" t="s">
        <v>12415</v>
      </c>
      <c r="J598" s="8" t="s">
        <v>3537</v>
      </c>
      <c r="K598" s="8" t="s">
        <v>2135</v>
      </c>
      <c r="L598" s="8" t="s">
        <v>2135</v>
      </c>
      <c r="M598" s="8" t="s">
        <v>3332</v>
      </c>
      <c r="N598" s="8" t="s">
        <v>3333</v>
      </c>
      <c r="O598" s="8" t="s">
        <v>2135</v>
      </c>
      <c r="P598" s="8" t="s">
        <v>2135</v>
      </c>
      <c r="Q598" s="8" t="s">
        <v>2135</v>
      </c>
      <c r="R598" s="8" t="s">
        <v>2135</v>
      </c>
      <c r="S598" s="8" t="s">
        <v>2135</v>
      </c>
      <c r="T598" s="8" t="s">
        <v>12416</v>
      </c>
      <c r="U598" s="8" t="s">
        <v>12417</v>
      </c>
      <c r="V598" s="8" t="s">
        <v>12418</v>
      </c>
      <c r="W598" s="8" t="s">
        <v>12419</v>
      </c>
      <c r="X598" s="8" t="s">
        <v>6212</v>
      </c>
      <c r="Y598" s="8" t="s">
        <v>12420</v>
      </c>
      <c r="Z598" s="8" t="s">
        <v>2135</v>
      </c>
      <c r="AA598" s="8" t="s">
        <v>12421</v>
      </c>
      <c r="AB598" s="8" t="s">
        <v>12422</v>
      </c>
      <c r="AC598" s="8" t="s">
        <v>2135</v>
      </c>
      <c r="AD598" s="8" t="s">
        <v>2135</v>
      </c>
      <c r="AE598" s="8" t="s">
        <v>2135</v>
      </c>
      <c r="AF598" s="8" t="s">
        <v>2135</v>
      </c>
      <c r="AG598" s="8">
        <v>17.0</v>
      </c>
      <c r="AH598" s="8">
        <v>22.0</v>
      </c>
      <c r="AI598" s="8">
        <v>27.0</v>
      </c>
      <c r="AJ598" s="8">
        <v>0.0</v>
      </c>
      <c r="AK598" s="8">
        <v>31.0</v>
      </c>
      <c r="AL598" s="8" t="s">
        <v>3550</v>
      </c>
      <c r="AM598" s="8" t="s">
        <v>3480</v>
      </c>
      <c r="AN598" s="8" t="s">
        <v>6058</v>
      </c>
      <c r="AO598" s="8" t="s">
        <v>3553</v>
      </c>
      <c r="AP598" s="8" t="s">
        <v>2135</v>
      </c>
      <c r="AQ598" s="8" t="s">
        <v>2135</v>
      </c>
      <c r="AR598" s="8" t="s">
        <v>3537</v>
      </c>
      <c r="AS598" s="8" t="s">
        <v>3555</v>
      </c>
      <c r="AT598" s="8" t="s">
        <v>3580</v>
      </c>
      <c r="AU598" s="8">
        <v>2007.0</v>
      </c>
      <c r="AV598" s="8">
        <v>41.0</v>
      </c>
      <c r="AW598" s="8">
        <v>4.0</v>
      </c>
      <c r="AX598" s="8" t="s">
        <v>2135</v>
      </c>
      <c r="AY598" s="8" t="s">
        <v>2135</v>
      </c>
      <c r="AZ598" s="8" t="s">
        <v>2135</v>
      </c>
      <c r="BA598" s="8" t="s">
        <v>2135</v>
      </c>
      <c r="BB598" s="8">
        <v>520.0</v>
      </c>
      <c r="BC598" s="8">
        <v>524.0</v>
      </c>
      <c r="BD598" s="8" t="s">
        <v>2135</v>
      </c>
      <c r="BE598" s="8" t="s">
        <v>12423</v>
      </c>
      <c r="BF598" s="13" t="str">
        <f>HYPERLINK("http://dx.doi.org/10.1017/S0030605307005121","http://dx.doi.org/10.1017/S0030605307005121")</f>
        <v>http://dx.doi.org/10.1017/S0030605307005121</v>
      </c>
      <c r="BG598" s="8" t="s">
        <v>2135</v>
      </c>
      <c r="BH598" s="8" t="s">
        <v>2135</v>
      </c>
      <c r="BI598" s="8">
        <v>5.0</v>
      </c>
      <c r="BJ598" s="8" t="s">
        <v>3558</v>
      </c>
      <c r="BK598" s="8" t="s">
        <v>3352</v>
      </c>
      <c r="BL598" s="8" t="s">
        <v>3353</v>
      </c>
      <c r="BM598" s="8" t="s">
        <v>12424</v>
      </c>
      <c r="BN598" s="8" t="s">
        <v>2135</v>
      </c>
      <c r="BO598" s="8" t="s">
        <v>3560</v>
      </c>
      <c r="BP598" s="8" t="s">
        <v>2135</v>
      </c>
      <c r="BQ598" s="8" t="s">
        <v>2135</v>
      </c>
      <c r="BR598" s="8" t="s">
        <v>3355</v>
      </c>
      <c r="BS598" s="8" t="s">
        <v>12425</v>
      </c>
      <c r="BT598" s="3" t="s">
        <v>2185</v>
      </c>
      <c r="BU598" s="3" t="s">
        <v>2147</v>
      </c>
      <c r="BW598" s="3" t="s">
        <v>2186</v>
      </c>
      <c r="BX598" s="3" t="s">
        <v>3212</v>
      </c>
      <c r="BY598" s="3" t="s">
        <v>3213</v>
      </c>
      <c r="BZ598" s="8" t="str">
        <f>HYPERLINK("https%3A%2F%2Fwww.webofscience.com%2Fwos%2Fwoscc%2Ffull-record%2FWOS:000252295300022","View Full Record in Web of Science")</f>
        <v>View Full Record in Web of Science</v>
      </c>
    </row>
    <row r="599" ht="12.75" customHeight="1">
      <c r="A599" s="8" t="s">
        <v>3329</v>
      </c>
      <c r="B599" s="8" t="s">
        <v>12426</v>
      </c>
      <c r="C599" s="8" t="s">
        <v>2135</v>
      </c>
      <c r="D599" s="8" t="s">
        <v>2135</v>
      </c>
      <c r="E599" s="8" t="s">
        <v>2135</v>
      </c>
      <c r="F599" s="8" t="s">
        <v>12427</v>
      </c>
      <c r="G599" s="8" t="s">
        <v>2135</v>
      </c>
      <c r="H599" s="8" t="s">
        <v>2135</v>
      </c>
      <c r="I599" s="8" t="s">
        <v>12428</v>
      </c>
      <c r="J599" s="8" t="s">
        <v>3380</v>
      </c>
      <c r="K599" s="8" t="s">
        <v>2135</v>
      </c>
      <c r="L599" s="8" t="s">
        <v>2135</v>
      </c>
      <c r="M599" s="8" t="s">
        <v>3332</v>
      </c>
      <c r="N599" s="8" t="s">
        <v>3333</v>
      </c>
      <c r="O599" s="8" t="s">
        <v>2135</v>
      </c>
      <c r="P599" s="8" t="s">
        <v>2135</v>
      </c>
      <c r="Q599" s="8" t="s">
        <v>2135</v>
      </c>
      <c r="R599" s="8" t="s">
        <v>2135</v>
      </c>
      <c r="S599" s="8" t="s">
        <v>2135</v>
      </c>
      <c r="T599" s="8" t="s">
        <v>12429</v>
      </c>
      <c r="U599" s="8" t="s">
        <v>12430</v>
      </c>
      <c r="V599" s="8" t="s">
        <v>12431</v>
      </c>
      <c r="W599" s="8" t="s">
        <v>12432</v>
      </c>
      <c r="X599" s="8" t="s">
        <v>12433</v>
      </c>
      <c r="Y599" s="8" t="s">
        <v>12434</v>
      </c>
      <c r="Z599" s="8" t="s">
        <v>12435</v>
      </c>
      <c r="AA599" s="8" t="s">
        <v>2135</v>
      </c>
      <c r="AB599" s="8" t="s">
        <v>2135</v>
      </c>
      <c r="AC599" s="8" t="s">
        <v>2135</v>
      </c>
      <c r="AD599" s="8" t="s">
        <v>2135</v>
      </c>
      <c r="AE599" s="8" t="s">
        <v>2135</v>
      </c>
      <c r="AF599" s="8" t="s">
        <v>2135</v>
      </c>
      <c r="AG599" s="8">
        <v>20.0</v>
      </c>
      <c r="AH599" s="8">
        <v>3.0</v>
      </c>
      <c r="AI599" s="8">
        <v>4.0</v>
      </c>
      <c r="AJ599" s="8">
        <v>0.0</v>
      </c>
      <c r="AK599" s="8">
        <v>15.0</v>
      </c>
      <c r="AL599" s="8" t="s">
        <v>3921</v>
      </c>
      <c r="AM599" s="8" t="s">
        <v>3922</v>
      </c>
      <c r="AN599" s="8" t="s">
        <v>3923</v>
      </c>
      <c r="AO599" s="8" t="s">
        <v>3392</v>
      </c>
      <c r="AP599" s="8" t="s">
        <v>4022</v>
      </c>
      <c r="AQ599" s="8" t="s">
        <v>2135</v>
      </c>
      <c r="AR599" s="8" t="s">
        <v>3393</v>
      </c>
      <c r="AS599" s="8" t="s">
        <v>3394</v>
      </c>
      <c r="AT599" s="8" t="s">
        <v>3580</v>
      </c>
      <c r="AU599" s="8">
        <v>2007.0</v>
      </c>
      <c r="AV599" s="8">
        <v>88.0</v>
      </c>
      <c r="AW599" s="8">
        <v>5.0</v>
      </c>
      <c r="AX599" s="8" t="s">
        <v>2135</v>
      </c>
      <c r="AY599" s="8" t="s">
        <v>2135</v>
      </c>
      <c r="AZ599" s="8" t="s">
        <v>2135</v>
      </c>
      <c r="BA599" s="8" t="s">
        <v>2135</v>
      </c>
      <c r="BB599" s="8">
        <v>1342.0</v>
      </c>
      <c r="BC599" s="8">
        <v>1345.0</v>
      </c>
      <c r="BD599" s="8" t="s">
        <v>2135</v>
      </c>
      <c r="BE599" s="8" t="s">
        <v>12436</v>
      </c>
      <c r="BF599" s="13" t="str">
        <f>HYPERLINK("http://dx.doi.org/10.1644/06-MAMM-A-291R1.1","http://dx.doi.org/10.1644/06-MAMM-A-291R1.1")</f>
        <v>http://dx.doi.org/10.1644/06-MAMM-A-291R1.1</v>
      </c>
      <c r="BG599" s="8" t="s">
        <v>2135</v>
      </c>
      <c r="BH599" s="8" t="s">
        <v>2135</v>
      </c>
      <c r="BI599" s="8">
        <v>4.0</v>
      </c>
      <c r="BJ599" s="8" t="s">
        <v>3397</v>
      </c>
      <c r="BK599" s="8" t="s">
        <v>3352</v>
      </c>
      <c r="BL599" s="8" t="s">
        <v>3397</v>
      </c>
      <c r="BM599" s="8" t="s">
        <v>12437</v>
      </c>
      <c r="BN599" s="8" t="s">
        <v>2135</v>
      </c>
      <c r="BO599" s="8" t="s">
        <v>3445</v>
      </c>
      <c r="BP599" s="8" t="s">
        <v>2135</v>
      </c>
      <c r="BQ599" s="8" t="s">
        <v>2135</v>
      </c>
      <c r="BR599" s="8" t="s">
        <v>3355</v>
      </c>
      <c r="BS599" s="8" t="s">
        <v>12438</v>
      </c>
      <c r="BT599" s="3" t="s">
        <v>2600</v>
      </c>
      <c r="BU599" s="3" t="s">
        <v>2147</v>
      </c>
      <c r="BV599" s="3" t="s">
        <v>2217</v>
      </c>
      <c r="BW599" s="3" t="s">
        <v>2221</v>
      </c>
      <c r="BX599" s="3"/>
      <c r="BY599" s="3"/>
      <c r="BZ599" s="8" t="str">
        <f>HYPERLINK("https%3A%2F%2Fwww.webofscience.com%2Fwos%2Fwoscc%2Ffull-record%2FWOS:000250311600024","View Full Record in Web of Science")</f>
        <v>View Full Record in Web of Science</v>
      </c>
    </row>
    <row r="600" ht="12.75" customHeight="1">
      <c r="A600" s="8" t="s">
        <v>3329</v>
      </c>
      <c r="B600" s="8" t="s">
        <v>12439</v>
      </c>
      <c r="C600" s="8" t="s">
        <v>2135</v>
      </c>
      <c r="D600" s="8" t="s">
        <v>2135</v>
      </c>
      <c r="E600" s="8" t="s">
        <v>2135</v>
      </c>
      <c r="F600" s="8" t="s">
        <v>12440</v>
      </c>
      <c r="G600" s="8" t="s">
        <v>2135</v>
      </c>
      <c r="H600" s="8" t="s">
        <v>2135</v>
      </c>
      <c r="I600" s="8" t="s">
        <v>12441</v>
      </c>
      <c r="J600" s="8" t="s">
        <v>8587</v>
      </c>
      <c r="K600" s="8" t="s">
        <v>2135</v>
      </c>
      <c r="L600" s="8" t="s">
        <v>2135</v>
      </c>
      <c r="M600" s="8" t="s">
        <v>3332</v>
      </c>
      <c r="N600" s="8" t="s">
        <v>3333</v>
      </c>
      <c r="O600" s="8" t="s">
        <v>2135</v>
      </c>
      <c r="P600" s="8" t="s">
        <v>2135</v>
      </c>
      <c r="Q600" s="8" t="s">
        <v>2135</v>
      </c>
      <c r="R600" s="8" t="s">
        <v>2135</v>
      </c>
      <c r="S600" s="8" t="s">
        <v>2135</v>
      </c>
      <c r="T600" s="8" t="s">
        <v>12442</v>
      </c>
      <c r="U600" s="8" t="s">
        <v>12443</v>
      </c>
      <c r="V600" s="8" t="s">
        <v>12444</v>
      </c>
      <c r="W600" s="8" t="s">
        <v>12445</v>
      </c>
      <c r="X600" s="8" t="s">
        <v>12446</v>
      </c>
      <c r="Y600" s="8" t="s">
        <v>12447</v>
      </c>
      <c r="Z600" s="8" t="s">
        <v>12448</v>
      </c>
      <c r="AA600" s="8" t="s">
        <v>12449</v>
      </c>
      <c r="AB600" s="8" t="s">
        <v>12450</v>
      </c>
      <c r="AC600" s="8" t="s">
        <v>2135</v>
      </c>
      <c r="AD600" s="8" t="s">
        <v>2135</v>
      </c>
      <c r="AE600" s="8" t="s">
        <v>2135</v>
      </c>
      <c r="AF600" s="8" t="s">
        <v>2135</v>
      </c>
      <c r="AG600" s="8">
        <v>38.0</v>
      </c>
      <c r="AH600" s="8">
        <v>57.0</v>
      </c>
      <c r="AI600" s="8">
        <v>67.0</v>
      </c>
      <c r="AJ600" s="8">
        <v>0.0</v>
      </c>
      <c r="AK600" s="8">
        <v>26.0</v>
      </c>
      <c r="AL600" s="8" t="s">
        <v>3758</v>
      </c>
      <c r="AM600" s="8" t="s">
        <v>3759</v>
      </c>
      <c r="AN600" s="8" t="s">
        <v>3760</v>
      </c>
      <c r="AO600" s="8" t="s">
        <v>8598</v>
      </c>
      <c r="AP600" s="8" t="s">
        <v>12451</v>
      </c>
      <c r="AQ600" s="8" t="s">
        <v>2135</v>
      </c>
      <c r="AR600" s="8" t="s">
        <v>8599</v>
      </c>
      <c r="AS600" s="8" t="s">
        <v>8600</v>
      </c>
      <c r="AT600" s="8" t="s">
        <v>8601</v>
      </c>
      <c r="AU600" s="8">
        <v>2007.0</v>
      </c>
      <c r="AV600" s="8">
        <v>137.0</v>
      </c>
      <c r="AW600" s="8" t="s">
        <v>4035</v>
      </c>
      <c r="AX600" s="8" t="s">
        <v>2135</v>
      </c>
      <c r="AY600" s="8" t="s">
        <v>2135</v>
      </c>
      <c r="AZ600" s="8" t="s">
        <v>2135</v>
      </c>
      <c r="BA600" s="8" t="s">
        <v>2135</v>
      </c>
      <c r="BB600" s="8">
        <v>102.0</v>
      </c>
      <c r="BC600" s="8">
        <v>121.0</v>
      </c>
      <c r="BD600" s="8" t="s">
        <v>2135</v>
      </c>
      <c r="BE600" s="8" t="s">
        <v>12452</v>
      </c>
      <c r="BF600" s="13" t="str">
        <f>HYPERLINK("http://dx.doi.org/10.1016/j.jcpa.2007.05.001","http://dx.doi.org/10.1016/j.jcpa.2007.05.001")</f>
        <v>http://dx.doi.org/10.1016/j.jcpa.2007.05.001</v>
      </c>
      <c r="BG600" s="8" t="s">
        <v>2135</v>
      </c>
      <c r="BH600" s="8" t="s">
        <v>2135</v>
      </c>
      <c r="BI600" s="8">
        <v>20.0</v>
      </c>
      <c r="BJ600" s="8" t="s">
        <v>8603</v>
      </c>
      <c r="BK600" s="8" t="s">
        <v>3352</v>
      </c>
      <c r="BL600" s="8" t="s">
        <v>8603</v>
      </c>
      <c r="BM600" s="8" t="s">
        <v>12453</v>
      </c>
      <c r="BN600" s="8">
        <v>1.7692867E7</v>
      </c>
      <c r="BO600" s="8" t="s">
        <v>2135</v>
      </c>
      <c r="BP600" s="8" t="s">
        <v>2135</v>
      </c>
      <c r="BQ600" s="8" t="s">
        <v>2135</v>
      </c>
      <c r="BR600" s="8" t="s">
        <v>3355</v>
      </c>
      <c r="BS600" s="8" t="s">
        <v>12454</v>
      </c>
      <c r="BT600" s="3" t="s">
        <v>2600</v>
      </c>
      <c r="BU600" s="3" t="s">
        <v>2147</v>
      </c>
      <c r="BV600" s="3" t="s">
        <v>2217</v>
      </c>
      <c r="BW600" s="3" t="s">
        <v>2237</v>
      </c>
      <c r="BX600" s="3" t="s">
        <v>2985</v>
      </c>
      <c r="BY600" s="3" t="s">
        <v>2992</v>
      </c>
      <c r="BZ600" s="8" t="str">
        <f>HYPERLINK("https%3A%2F%2Fwww.webofscience.com%2Fwos%2Fwoscc%2Ffull-record%2FWOS:000249817200003","View Full Record in Web of Science")</f>
        <v>View Full Record in Web of Science</v>
      </c>
    </row>
    <row r="601" ht="12.75" customHeight="1">
      <c r="A601" s="8" t="s">
        <v>3329</v>
      </c>
      <c r="B601" s="8" t="s">
        <v>12455</v>
      </c>
      <c r="C601" s="8" t="s">
        <v>2135</v>
      </c>
      <c r="D601" s="8" t="s">
        <v>2135</v>
      </c>
      <c r="E601" s="8" t="s">
        <v>2135</v>
      </c>
      <c r="F601" s="8" t="s">
        <v>12456</v>
      </c>
      <c r="G601" s="8" t="s">
        <v>2135</v>
      </c>
      <c r="H601" s="8" t="s">
        <v>2135</v>
      </c>
      <c r="I601" s="8" t="s">
        <v>12457</v>
      </c>
      <c r="J601" s="8" t="s">
        <v>4986</v>
      </c>
      <c r="K601" s="8" t="s">
        <v>2135</v>
      </c>
      <c r="L601" s="8" t="s">
        <v>2135</v>
      </c>
      <c r="M601" s="8" t="s">
        <v>3332</v>
      </c>
      <c r="N601" s="8" t="s">
        <v>3333</v>
      </c>
      <c r="O601" s="8" t="s">
        <v>2135</v>
      </c>
      <c r="P601" s="8" t="s">
        <v>2135</v>
      </c>
      <c r="Q601" s="8" t="s">
        <v>2135</v>
      </c>
      <c r="R601" s="8" t="s">
        <v>2135</v>
      </c>
      <c r="S601" s="8" t="s">
        <v>2135</v>
      </c>
      <c r="T601" s="8" t="s">
        <v>12458</v>
      </c>
      <c r="U601" s="8" t="s">
        <v>12459</v>
      </c>
      <c r="V601" s="8" t="s">
        <v>12460</v>
      </c>
      <c r="W601" s="8" t="s">
        <v>12461</v>
      </c>
      <c r="X601" s="8" t="s">
        <v>2135</v>
      </c>
      <c r="Y601" s="8" t="s">
        <v>12462</v>
      </c>
      <c r="Z601" s="8" t="s">
        <v>12463</v>
      </c>
      <c r="AA601" s="8" t="s">
        <v>2135</v>
      </c>
      <c r="AB601" s="8" t="s">
        <v>2135</v>
      </c>
      <c r="AC601" s="8" t="s">
        <v>2135</v>
      </c>
      <c r="AD601" s="8" t="s">
        <v>2135</v>
      </c>
      <c r="AE601" s="8" t="s">
        <v>2135</v>
      </c>
      <c r="AF601" s="8" t="s">
        <v>2135</v>
      </c>
      <c r="AG601" s="8">
        <v>31.0</v>
      </c>
      <c r="AH601" s="8">
        <v>23.0</v>
      </c>
      <c r="AI601" s="8">
        <v>30.0</v>
      </c>
      <c r="AJ601" s="8">
        <v>0.0</v>
      </c>
      <c r="AK601" s="8">
        <v>17.0</v>
      </c>
      <c r="AL601" s="8" t="s">
        <v>4998</v>
      </c>
      <c r="AM601" s="8" t="s">
        <v>4999</v>
      </c>
      <c r="AN601" s="8" t="s">
        <v>5000</v>
      </c>
      <c r="AO601" s="8" t="s">
        <v>5001</v>
      </c>
      <c r="AP601" s="8" t="s">
        <v>5002</v>
      </c>
      <c r="AQ601" s="8" t="s">
        <v>2135</v>
      </c>
      <c r="AR601" s="8" t="s">
        <v>4986</v>
      </c>
      <c r="AS601" s="8" t="s">
        <v>5003</v>
      </c>
      <c r="AT601" s="8" t="s">
        <v>2135</v>
      </c>
      <c r="AU601" s="8">
        <v>2007.0</v>
      </c>
      <c r="AV601" s="8">
        <v>71.0</v>
      </c>
      <c r="AW601" s="8" t="s">
        <v>4482</v>
      </c>
      <c r="AX601" s="8" t="s">
        <v>2135</v>
      </c>
      <c r="AY601" s="8" t="s">
        <v>2135</v>
      </c>
      <c r="AZ601" s="8" t="s">
        <v>2135</v>
      </c>
      <c r="BA601" s="8" t="s">
        <v>2135</v>
      </c>
      <c r="BB601" s="8">
        <v>16.0</v>
      </c>
      <c r="BC601" s="8">
        <v>24.0</v>
      </c>
      <c r="BD601" s="8" t="s">
        <v>2135</v>
      </c>
      <c r="BE601" s="8" t="s">
        <v>12464</v>
      </c>
      <c r="BF601" s="13" t="str">
        <f>HYPERLINK("http://dx.doi.org/10.1515/MAMM.2007.003","http://dx.doi.org/10.1515/MAMM.2007.003")</f>
        <v>http://dx.doi.org/10.1515/MAMM.2007.003</v>
      </c>
      <c r="BG601" s="8" t="s">
        <v>2135</v>
      </c>
      <c r="BH601" s="8" t="s">
        <v>2135</v>
      </c>
      <c r="BI601" s="8">
        <v>9.0</v>
      </c>
      <c r="BJ601" s="8" t="s">
        <v>3397</v>
      </c>
      <c r="BK601" s="8" t="s">
        <v>3352</v>
      </c>
      <c r="BL601" s="8" t="s">
        <v>3397</v>
      </c>
      <c r="BM601" s="8" t="s">
        <v>12465</v>
      </c>
      <c r="BN601" s="8" t="s">
        <v>2135</v>
      </c>
      <c r="BO601" s="8" t="s">
        <v>2135</v>
      </c>
      <c r="BP601" s="8" t="s">
        <v>2135</v>
      </c>
      <c r="BQ601" s="8" t="s">
        <v>2135</v>
      </c>
      <c r="BR601" s="8" t="s">
        <v>3355</v>
      </c>
      <c r="BS601" s="8" t="s">
        <v>12466</v>
      </c>
      <c r="BT601" s="3" t="s">
        <v>2497</v>
      </c>
      <c r="BU601" s="3" t="s">
        <v>2142</v>
      </c>
      <c r="BW601" s="3" t="s">
        <v>2143</v>
      </c>
      <c r="BX601" s="3" t="s">
        <v>3070</v>
      </c>
      <c r="BY601" s="3" t="s">
        <v>3025</v>
      </c>
      <c r="BZ601" s="8" t="str">
        <f>HYPERLINK("https%3A%2F%2Fwww.webofscience.com%2Fwos%2Fwoscc%2Ffull-record%2FWOS:000249945900003","View Full Record in Web of Science")</f>
        <v>View Full Record in Web of Science</v>
      </c>
    </row>
    <row r="602" ht="12.75" customHeight="1">
      <c r="A602" s="8" t="s">
        <v>3329</v>
      </c>
      <c r="B602" s="8" t="s">
        <v>12467</v>
      </c>
      <c r="C602" s="8" t="s">
        <v>2135</v>
      </c>
      <c r="D602" s="8" t="s">
        <v>2135</v>
      </c>
      <c r="E602" s="8" t="s">
        <v>2135</v>
      </c>
      <c r="F602" s="8" t="s">
        <v>12467</v>
      </c>
      <c r="G602" s="8" t="s">
        <v>2135</v>
      </c>
      <c r="H602" s="8" t="s">
        <v>2135</v>
      </c>
      <c r="I602" s="8" t="s">
        <v>12468</v>
      </c>
      <c r="J602" s="8" t="s">
        <v>4546</v>
      </c>
      <c r="K602" s="8" t="s">
        <v>2135</v>
      </c>
      <c r="L602" s="8" t="s">
        <v>2135</v>
      </c>
      <c r="M602" s="8" t="s">
        <v>3332</v>
      </c>
      <c r="N602" s="8" t="s">
        <v>3333</v>
      </c>
      <c r="O602" s="8" t="s">
        <v>2135</v>
      </c>
      <c r="P602" s="8" t="s">
        <v>2135</v>
      </c>
      <c r="Q602" s="8" t="s">
        <v>2135</v>
      </c>
      <c r="R602" s="8" t="s">
        <v>2135</v>
      </c>
      <c r="S602" s="8" t="s">
        <v>2135</v>
      </c>
      <c r="T602" s="8" t="s">
        <v>2135</v>
      </c>
      <c r="U602" s="8" t="s">
        <v>2135</v>
      </c>
      <c r="V602" s="8" t="s">
        <v>2135</v>
      </c>
      <c r="W602" s="8" t="s">
        <v>12469</v>
      </c>
      <c r="X602" s="8" t="s">
        <v>12470</v>
      </c>
      <c r="Y602" s="8" t="s">
        <v>12471</v>
      </c>
      <c r="Z602" s="8" t="s">
        <v>4553</v>
      </c>
      <c r="AA602" s="8" t="s">
        <v>6617</v>
      </c>
      <c r="AB602" s="8" t="s">
        <v>6618</v>
      </c>
      <c r="AC602" s="8" t="s">
        <v>2135</v>
      </c>
      <c r="AD602" s="8" t="s">
        <v>2135</v>
      </c>
      <c r="AE602" s="8" t="s">
        <v>2135</v>
      </c>
      <c r="AF602" s="8" t="s">
        <v>2135</v>
      </c>
      <c r="AG602" s="8">
        <v>6.0</v>
      </c>
      <c r="AH602" s="8">
        <v>34.0</v>
      </c>
      <c r="AI602" s="8">
        <v>42.0</v>
      </c>
      <c r="AJ602" s="8">
        <v>0.0</v>
      </c>
      <c r="AK602" s="8">
        <v>21.0</v>
      </c>
      <c r="AL602" s="8" t="s">
        <v>6966</v>
      </c>
      <c r="AM602" s="8" t="s">
        <v>3390</v>
      </c>
      <c r="AN602" s="8" t="s">
        <v>11279</v>
      </c>
      <c r="AO602" s="8" t="s">
        <v>4554</v>
      </c>
      <c r="AP602" s="8" t="s">
        <v>2135</v>
      </c>
      <c r="AQ602" s="8" t="s">
        <v>2135</v>
      </c>
      <c r="AR602" s="8" t="s">
        <v>4556</v>
      </c>
      <c r="AS602" s="8" t="s">
        <v>4557</v>
      </c>
      <c r="AT602" s="8" t="s">
        <v>3629</v>
      </c>
      <c r="AU602" s="8">
        <v>2005.0</v>
      </c>
      <c r="AV602" s="8">
        <v>21.0</v>
      </c>
      <c r="AW602" s="8">
        <v>1.0</v>
      </c>
      <c r="AX602" s="8" t="s">
        <v>2135</v>
      </c>
      <c r="AY602" s="8" t="s">
        <v>2135</v>
      </c>
      <c r="AZ602" s="8" t="s">
        <v>2135</v>
      </c>
      <c r="BA602" s="8" t="s">
        <v>2135</v>
      </c>
      <c r="BB602" s="8">
        <v>169.0</v>
      </c>
      <c r="BC602" s="8">
        <v>172.0</v>
      </c>
      <c r="BD602" s="8" t="s">
        <v>2135</v>
      </c>
      <c r="BE602" s="8" t="s">
        <v>12472</v>
      </c>
      <c r="BF602" s="13" t="str">
        <f>HYPERLINK("http://dx.doi.org/10.1111/j.1748-7692.2005.tb01218.x","http://dx.doi.org/10.1111/j.1748-7692.2005.tb01218.x")</f>
        <v>http://dx.doi.org/10.1111/j.1748-7692.2005.tb01218.x</v>
      </c>
      <c r="BG602" s="8" t="s">
        <v>2135</v>
      </c>
      <c r="BH602" s="8" t="s">
        <v>2135</v>
      </c>
      <c r="BI602" s="8">
        <v>4.0</v>
      </c>
      <c r="BJ602" s="8" t="s">
        <v>4559</v>
      </c>
      <c r="BK602" s="8" t="s">
        <v>3352</v>
      </c>
      <c r="BL602" s="8" t="s">
        <v>4559</v>
      </c>
      <c r="BM602" s="8" t="s">
        <v>12473</v>
      </c>
      <c r="BN602" s="8" t="s">
        <v>2135</v>
      </c>
      <c r="BO602" s="8" t="s">
        <v>2135</v>
      </c>
      <c r="BP602" s="8" t="s">
        <v>2135</v>
      </c>
      <c r="BQ602" s="8" t="s">
        <v>2135</v>
      </c>
      <c r="BR602" s="8" t="s">
        <v>3355</v>
      </c>
      <c r="BS602" s="14" t="s">
        <v>12474</v>
      </c>
      <c r="BZ602" s="8" t="str">
        <f>HYPERLINK("https%3A%2F%2Fwww.webofscience.com%2Fwos%2Fwoscc%2Ffull-record%2FWOS:000226350200015","View Full Record in Web of Science")</f>
        <v>View Full Record in Web of Science</v>
      </c>
    </row>
    <row r="603" ht="12.75" customHeight="1">
      <c r="A603" s="8" t="s">
        <v>3329</v>
      </c>
      <c r="B603" s="8" t="s">
        <v>12475</v>
      </c>
      <c r="C603" s="8" t="s">
        <v>2135</v>
      </c>
      <c r="D603" s="8" t="s">
        <v>2135</v>
      </c>
      <c r="E603" s="8" t="s">
        <v>2135</v>
      </c>
      <c r="F603" s="8" t="s">
        <v>12475</v>
      </c>
      <c r="G603" s="8" t="s">
        <v>2135</v>
      </c>
      <c r="H603" s="8" t="s">
        <v>2135</v>
      </c>
      <c r="I603" s="8" t="s">
        <v>12476</v>
      </c>
      <c r="J603" s="8" t="s">
        <v>7602</v>
      </c>
      <c r="K603" s="8" t="s">
        <v>2135</v>
      </c>
      <c r="L603" s="8" t="s">
        <v>2135</v>
      </c>
      <c r="M603" s="8" t="s">
        <v>3332</v>
      </c>
      <c r="N603" s="8" t="s">
        <v>3333</v>
      </c>
      <c r="O603" s="8" t="s">
        <v>2135</v>
      </c>
      <c r="P603" s="8" t="s">
        <v>2135</v>
      </c>
      <c r="Q603" s="8" t="s">
        <v>2135</v>
      </c>
      <c r="R603" s="8" t="s">
        <v>2135</v>
      </c>
      <c r="S603" s="8" t="s">
        <v>2135</v>
      </c>
      <c r="T603" s="8" t="s">
        <v>12477</v>
      </c>
      <c r="U603" s="8" t="s">
        <v>12478</v>
      </c>
      <c r="V603" s="8" t="s">
        <v>12479</v>
      </c>
      <c r="W603" s="8" t="s">
        <v>12480</v>
      </c>
      <c r="X603" s="8" t="s">
        <v>12481</v>
      </c>
      <c r="Y603" s="8" t="s">
        <v>9184</v>
      </c>
      <c r="Z603" s="8" t="s">
        <v>7588</v>
      </c>
      <c r="AA603" s="8" t="s">
        <v>11020</v>
      </c>
      <c r="AB603" s="8" t="s">
        <v>11021</v>
      </c>
      <c r="AC603" s="8" t="s">
        <v>2135</v>
      </c>
      <c r="AD603" s="8" t="s">
        <v>2135</v>
      </c>
      <c r="AE603" s="8" t="s">
        <v>2135</v>
      </c>
      <c r="AF603" s="8" t="s">
        <v>2135</v>
      </c>
      <c r="AG603" s="8">
        <v>23.0</v>
      </c>
      <c r="AH603" s="8">
        <v>102.0</v>
      </c>
      <c r="AI603" s="8">
        <v>111.0</v>
      </c>
      <c r="AJ603" s="8">
        <v>1.0</v>
      </c>
      <c r="AK603" s="8">
        <v>26.0</v>
      </c>
      <c r="AL603" s="8" t="s">
        <v>9293</v>
      </c>
      <c r="AM603" s="8" t="s">
        <v>3390</v>
      </c>
      <c r="AN603" s="8" t="s">
        <v>7616</v>
      </c>
      <c r="AO603" s="8" t="s">
        <v>7617</v>
      </c>
      <c r="AP603" s="8" t="s">
        <v>2135</v>
      </c>
      <c r="AQ603" s="8" t="s">
        <v>2135</v>
      </c>
      <c r="AR603" s="8" t="s">
        <v>7619</v>
      </c>
      <c r="AS603" s="8" t="s">
        <v>7620</v>
      </c>
      <c r="AT603" s="8" t="s">
        <v>3580</v>
      </c>
      <c r="AU603" s="8">
        <v>2004.0</v>
      </c>
      <c r="AV603" s="8">
        <v>40.0</v>
      </c>
      <c r="AW603" s="8">
        <v>4.0</v>
      </c>
      <c r="AX603" s="8" t="s">
        <v>2135</v>
      </c>
      <c r="AY603" s="8" t="s">
        <v>2135</v>
      </c>
      <c r="AZ603" s="8" t="s">
        <v>2135</v>
      </c>
      <c r="BA603" s="8" t="s">
        <v>2135</v>
      </c>
      <c r="BB603" s="8">
        <v>688.0</v>
      </c>
      <c r="BC603" s="8">
        <v>695.0</v>
      </c>
      <c r="BD603" s="8" t="s">
        <v>2135</v>
      </c>
      <c r="BE603" s="8" t="s">
        <v>12482</v>
      </c>
      <c r="BF603" s="13" t="str">
        <f>HYPERLINK("http://dx.doi.org/10.7589/0090-3558-40.4.688","http://dx.doi.org/10.7589/0090-3558-40.4.688")</f>
        <v>http://dx.doi.org/10.7589/0090-3558-40.4.688</v>
      </c>
      <c r="BG603" s="8" t="s">
        <v>2135</v>
      </c>
      <c r="BH603" s="8" t="s">
        <v>2135</v>
      </c>
      <c r="BI603" s="8">
        <v>8.0</v>
      </c>
      <c r="BJ603" s="8" t="s">
        <v>6958</v>
      </c>
      <c r="BK603" s="8" t="s">
        <v>3352</v>
      </c>
      <c r="BL603" s="8" t="s">
        <v>6958</v>
      </c>
      <c r="BM603" s="8" t="s">
        <v>12483</v>
      </c>
      <c r="BN603" s="8">
        <v>1.5650086E7</v>
      </c>
      <c r="BO603" s="8" t="s">
        <v>3560</v>
      </c>
      <c r="BP603" s="8" t="s">
        <v>2135</v>
      </c>
      <c r="BQ603" s="8" t="s">
        <v>2135</v>
      </c>
      <c r="BR603" s="8" t="s">
        <v>3355</v>
      </c>
      <c r="BS603" s="8" t="s">
        <v>12484</v>
      </c>
      <c r="BT603" s="3" t="s">
        <v>2325</v>
      </c>
      <c r="BU603" s="3" t="s">
        <v>2142</v>
      </c>
      <c r="BW603" s="3" t="s">
        <v>2168</v>
      </c>
      <c r="BX603" s="3" t="s">
        <v>2956</v>
      </c>
      <c r="BY603" s="3" t="s">
        <v>2959</v>
      </c>
      <c r="BZ603" s="8" t="str">
        <f>HYPERLINK("https%3A%2F%2Fwww.webofscience.com%2Fwos%2Fwoscc%2Ffull-record%2FWOS:000226454000007","View Full Record in Web of Science")</f>
        <v>View Full Record in Web of Science</v>
      </c>
    </row>
    <row r="604" ht="12.75" customHeight="1">
      <c r="A604" s="8" t="s">
        <v>3329</v>
      </c>
      <c r="B604" s="8" t="s">
        <v>12485</v>
      </c>
      <c r="C604" s="8" t="s">
        <v>2135</v>
      </c>
      <c r="D604" s="8" t="s">
        <v>2135</v>
      </c>
      <c r="E604" s="8" t="s">
        <v>2135</v>
      </c>
      <c r="F604" s="8" t="s">
        <v>12485</v>
      </c>
      <c r="G604" s="8" t="s">
        <v>2135</v>
      </c>
      <c r="H604" s="8" t="s">
        <v>2135</v>
      </c>
      <c r="I604" s="8" t="s">
        <v>12486</v>
      </c>
      <c r="J604" s="8" t="s">
        <v>3331</v>
      </c>
      <c r="K604" s="8" t="s">
        <v>2135</v>
      </c>
      <c r="L604" s="8" t="s">
        <v>2135</v>
      </c>
      <c r="M604" s="8" t="s">
        <v>3332</v>
      </c>
      <c r="N604" s="8" t="s">
        <v>3492</v>
      </c>
      <c r="O604" s="8" t="s">
        <v>2135</v>
      </c>
      <c r="P604" s="8" t="s">
        <v>2135</v>
      </c>
      <c r="Q604" s="8" t="s">
        <v>2135</v>
      </c>
      <c r="R604" s="8" t="s">
        <v>2135</v>
      </c>
      <c r="S604" s="8" t="s">
        <v>2135</v>
      </c>
      <c r="T604" s="8" t="s">
        <v>2135</v>
      </c>
      <c r="U604" s="8" t="s">
        <v>12487</v>
      </c>
      <c r="V604" s="8" t="s">
        <v>12488</v>
      </c>
      <c r="W604" s="8" t="s">
        <v>12489</v>
      </c>
      <c r="X604" s="8" t="s">
        <v>12490</v>
      </c>
      <c r="Y604" s="8" t="s">
        <v>2135</v>
      </c>
      <c r="Z604" s="8" t="s">
        <v>12491</v>
      </c>
      <c r="AA604" s="8" t="s">
        <v>2135</v>
      </c>
      <c r="AB604" s="8" t="s">
        <v>2135</v>
      </c>
      <c r="AC604" s="8" t="s">
        <v>2135</v>
      </c>
      <c r="AD604" s="8" t="s">
        <v>2135</v>
      </c>
      <c r="AE604" s="8" t="s">
        <v>2135</v>
      </c>
      <c r="AF604" s="8" t="s">
        <v>2135</v>
      </c>
      <c r="AG604" s="8">
        <v>104.0</v>
      </c>
      <c r="AH604" s="8">
        <v>323.0</v>
      </c>
      <c r="AI604" s="8">
        <v>393.0</v>
      </c>
      <c r="AJ604" s="8">
        <v>1.0</v>
      </c>
      <c r="AK604" s="8">
        <v>254.0</v>
      </c>
      <c r="AL604" s="8" t="s">
        <v>3342</v>
      </c>
      <c r="AM604" s="8" t="s">
        <v>3343</v>
      </c>
      <c r="AN604" s="8" t="s">
        <v>3344</v>
      </c>
      <c r="AO604" s="8" t="s">
        <v>3345</v>
      </c>
      <c r="AP604" s="8" t="s">
        <v>3346</v>
      </c>
      <c r="AQ604" s="8" t="s">
        <v>2135</v>
      </c>
      <c r="AR604" s="8" t="s">
        <v>3347</v>
      </c>
      <c r="AS604" s="8" t="s">
        <v>3348</v>
      </c>
      <c r="AT604" s="8" t="s">
        <v>3580</v>
      </c>
      <c r="AU604" s="8">
        <v>2003.0</v>
      </c>
      <c r="AV604" s="8">
        <v>17.0</v>
      </c>
      <c r="AW604" s="8">
        <v>5.0</v>
      </c>
      <c r="AX604" s="8" t="s">
        <v>2135</v>
      </c>
      <c r="AY604" s="8" t="s">
        <v>2135</v>
      </c>
      <c r="AZ604" s="8" t="s">
        <v>2135</v>
      </c>
      <c r="BA604" s="8" t="s">
        <v>2135</v>
      </c>
      <c r="BB604" s="8">
        <v>1238.0</v>
      </c>
      <c r="BC604" s="8">
        <v>1250.0</v>
      </c>
      <c r="BD604" s="8" t="s">
        <v>2135</v>
      </c>
      <c r="BE604" s="8" t="s">
        <v>12492</v>
      </c>
      <c r="BF604" s="13" t="str">
        <f>HYPERLINK("http://dx.doi.org/10.1046/j.1523-1739.2003.01599.x","http://dx.doi.org/10.1046/j.1523-1739.2003.01599.x")</f>
        <v>http://dx.doi.org/10.1046/j.1523-1739.2003.01599.x</v>
      </c>
      <c r="BG604" s="8" t="s">
        <v>2135</v>
      </c>
      <c r="BH604" s="8" t="s">
        <v>2135</v>
      </c>
      <c r="BI604" s="8">
        <v>13.0</v>
      </c>
      <c r="BJ604" s="8" t="s">
        <v>3351</v>
      </c>
      <c r="BK604" s="8" t="s">
        <v>3352</v>
      </c>
      <c r="BL604" s="8" t="s">
        <v>3353</v>
      </c>
      <c r="BM604" s="8" t="s">
        <v>12493</v>
      </c>
      <c r="BN604" s="8" t="s">
        <v>2135</v>
      </c>
      <c r="BO604" s="8" t="s">
        <v>2135</v>
      </c>
      <c r="BP604" s="8" t="s">
        <v>2135</v>
      </c>
      <c r="BQ604" s="8" t="s">
        <v>2135</v>
      </c>
      <c r="BR604" s="8" t="s">
        <v>3355</v>
      </c>
      <c r="BS604" s="8" t="s">
        <v>12494</v>
      </c>
      <c r="BT604" s="3" t="s">
        <v>2600</v>
      </c>
      <c r="BU604" s="3" t="s">
        <v>2147</v>
      </c>
      <c r="BV604" s="3" t="s">
        <v>2217</v>
      </c>
      <c r="BW604" s="3" t="s">
        <v>2237</v>
      </c>
      <c r="BX604" s="3"/>
      <c r="BY604" s="3"/>
      <c r="BZ604" s="8" t="str">
        <f>HYPERLINK("https%3A%2F%2Fwww.webofscience.com%2Fwos%2Fwoscc%2Ffull-record%2FWOS:000185473000010","View Full Record in Web of Science")</f>
        <v>View Full Record in Web of Science</v>
      </c>
    </row>
    <row r="605" ht="12.75" customHeight="1">
      <c r="A605" s="8" t="s">
        <v>3329</v>
      </c>
      <c r="B605" s="8" t="s">
        <v>12495</v>
      </c>
      <c r="C605" s="8" t="s">
        <v>2135</v>
      </c>
      <c r="D605" s="8" t="s">
        <v>2135</v>
      </c>
      <c r="E605" s="8" t="s">
        <v>2135</v>
      </c>
      <c r="F605" s="8" t="s">
        <v>12495</v>
      </c>
      <c r="G605" s="8" t="s">
        <v>2135</v>
      </c>
      <c r="H605" s="8" t="s">
        <v>2135</v>
      </c>
      <c r="I605" s="8" t="s">
        <v>12496</v>
      </c>
      <c r="J605" s="8" t="s">
        <v>12497</v>
      </c>
      <c r="K605" s="8" t="s">
        <v>2135</v>
      </c>
      <c r="L605" s="8" t="s">
        <v>2135</v>
      </c>
      <c r="M605" s="8" t="s">
        <v>3332</v>
      </c>
      <c r="N605" s="8" t="s">
        <v>3492</v>
      </c>
      <c r="O605" s="8" t="s">
        <v>2135</v>
      </c>
      <c r="P605" s="8" t="s">
        <v>2135</v>
      </c>
      <c r="Q605" s="8" t="s">
        <v>2135</v>
      </c>
      <c r="R605" s="8" t="s">
        <v>2135</v>
      </c>
      <c r="S605" s="8" t="s">
        <v>2135</v>
      </c>
      <c r="T605" s="8" t="s">
        <v>12498</v>
      </c>
      <c r="U605" s="8" t="s">
        <v>12499</v>
      </c>
      <c r="V605" s="8" t="s">
        <v>12500</v>
      </c>
      <c r="W605" s="8" t="s">
        <v>2135</v>
      </c>
      <c r="X605" s="8" t="s">
        <v>2135</v>
      </c>
      <c r="Y605" s="8" t="s">
        <v>2135</v>
      </c>
      <c r="Z605" s="8" t="s">
        <v>12501</v>
      </c>
      <c r="AA605" s="8" t="s">
        <v>2135</v>
      </c>
      <c r="AB605" s="8" t="s">
        <v>2135</v>
      </c>
      <c r="AC605" s="8" t="s">
        <v>2135</v>
      </c>
      <c r="AD605" s="8" t="s">
        <v>2135</v>
      </c>
      <c r="AE605" s="8" t="s">
        <v>2135</v>
      </c>
      <c r="AF605" s="8" t="s">
        <v>2135</v>
      </c>
      <c r="AG605" s="8">
        <v>224.0</v>
      </c>
      <c r="AH605" s="8">
        <v>74.0</v>
      </c>
      <c r="AI605" s="8">
        <v>87.0</v>
      </c>
      <c r="AJ605" s="8">
        <v>0.0</v>
      </c>
      <c r="AK605" s="8">
        <v>197.0</v>
      </c>
      <c r="AL605" s="8" t="s">
        <v>3342</v>
      </c>
      <c r="AM605" s="8" t="s">
        <v>3343</v>
      </c>
      <c r="AN605" s="8" t="s">
        <v>3344</v>
      </c>
      <c r="AO605" s="8" t="s">
        <v>12502</v>
      </c>
      <c r="AP605" s="8" t="s">
        <v>12503</v>
      </c>
      <c r="AQ605" s="8" t="s">
        <v>2135</v>
      </c>
      <c r="AR605" s="8" t="s">
        <v>12504</v>
      </c>
      <c r="AS605" s="8" t="s">
        <v>12505</v>
      </c>
      <c r="AT605" s="8" t="s">
        <v>3512</v>
      </c>
      <c r="AU605" s="8">
        <v>2003.0</v>
      </c>
      <c r="AV605" s="8" t="s">
        <v>2135</v>
      </c>
      <c r="AW605" s="8">
        <v>153.0</v>
      </c>
      <c r="AX605" s="8" t="s">
        <v>2135</v>
      </c>
      <c r="AY605" s="8" t="s">
        <v>2135</v>
      </c>
      <c r="AZ605" s="8" t="s">
        <v>2135</v>
      </c>
      <c r="BA605" s="8" t="s">
        <v>2135</v>
      </c>
      <c r="BB605" s="8">
        <v>1.0</v>
      </c>
      <c r="BC605" s="8">
        <v>53.0</v>
      </c>
      <c r="BD605" s="8" t="s">
        <v>2135</v>
      </c>
      <c r="BE605" s="8" t="s">
        <v>2135</v>
      </c>
      <c r="BF605" s="8" t="s">
        <v>2135</v>
      </c>
      <c r="BG605" s="8" t="s">
        <v>2135</v>
      </c>
      <c r="BH605" s="8" t="s">
        <v>2135</v>
      </c>
      <c r="BI605" s="8">
        <v>53.0</v>
      </c>
      <c r="BJ605" s="8" t="s">
        <v>3442</v>
      </c>
      <c r="BK605" s="8" t="s">
        <v>3352</v>
      </c>
      <c r="BL605" s="8" t="s">
        <v>3443</v>
      </c>
      <c r="BM605" s="8" t="s">
        <v>12506</v>
      </c>
      <c r="BN605" s="8" t="s">
        <v>2135</v>
      </c>
      <c r="BO605" s="8" t="s">
        <v>2135</v>
      </c>
      <c r="BP605" s="8" t="s">
        <v>2135</v>
      </c>
      <c r="BQ605" s="8" t="s">
        <v>2135</v>
      </c>
      <c r="BR605" s="8" t="s">
        <v>3355</v>
      </c>
      <c r="BS605" s="8" t="s">
        <v>12507</v>
      </c>
      <c r="BT605" s="3" t="s">
        <v>2600</v>
      </c>
      <c r="BU605" s="3" t="s">
        <v>2147</v>
      </c>
      <c r="BV605" s="3" t="s">
        <v>2217</v>
      </c>
      <c r="BW605" s="3" t="s">
        <v>2234</v>
      </c>
      <c r="BX605" s="3" t="s">
        <v>2974</v>
      </c>
      <c r="BY605" s="3" t="s">
        <v>2959</v>
      </c>
      <c r="BZ605" s="8" t="str">
        <f>HYPERLINK("https%3A%2F%2Fwww.webofscience.com%2Fwos%2Fwoscc%2Ffull-record%2FWOS:000184304100001","View Full Record in Web of Science")</f>
        <v>View Full Record in Web of Science</v>
      </c>
    </row>
    <row r="606" ht="12.75" customHeight="1">
      <c r="A606" s="8" t="s">
        <v>3329</v>
      </c>
      <c r="B606" s="8" t="s">
        <v>9345</v>
      </c>
      <c r="C606" s="8" t="s">
        <v>2135</v>
      </c>
      <c r="D606" s="8" t="s">
        <v>2135</v>
      </c>
      <c r="E606" s="8" t="s">
        <v>2135</v>
      </c>
      <c r="F606" s="8" t="s">
        <v>9345</v>
      </c>
      <c r="G606" s="8" t="s">
        <v>2135</v>
      </c>
      <c r="H606" s="8" t="s">
        <v>2135</v>
      </c>
      <c r="I606" s="8" t="s">
        <v>12508</v>
      </c>
      <c r="J606" s="8" t="s">
        <v>12509</v>
      </c>
      <c r="K606" s="8" t="s">
        <v>2135</v>
      </c>
      <c r="L606" s="8" t="s">
        <v>2135</v>
      </c>
      <c r="M606" s="8" t="s">
        <v>3332</v>
      </c>
      <c r="N606" s="8" t="s">
        <v>3333</v>
      </c>
      <c r="O606" s="8" t="s">
        <v>2135</v>
      </c>
      <c r="P606" s="8" t="s">
        <v>2135</v>
      </c>
      <c r="Q606" s="8" t="s">
        <v>2135</v>
      </c>
      <c r="R606" s="8" t="s">
        <v>2135</v>
      </c>
      <c r="S606" s="8" t="s">
        <v>2135</v>
      </c>
      <c r="T606" s="8" t="s">
        <v>12510</v>
      </c>
      <c r="U606" s="8" t="s">
        <v>12511</v>
      </c>
      <c r="V606" s="8" t="s">
        <v>12512</v>
      </c>
      <c r="W606" s="8" t="s">
        <v>9349</v>
      </c>
      <c r="X606" s="8" t="s">
        <v>9350</v>
      </c>
      <c r="Y606" s="8" t="s">
        <v>2135</v>
      </c>
      <c r="Z606" s="8" t="s">
        <v>9352</v>
      </c>
      <c r="AA606" s="8" t="s">
        <v>2135</v>
      </c>
      <c r="AB606" s="8" t="s">
        <v>2135</v>
      </c>
      <c r="AC606" s="8" t="s">
        <v>2135</v>
      </c>
      <c r="AD606" s="8" t="s">
        <v>2135</v>
      </c>
      <c r="AE606" s="8" t="s">
        <v>2135</v>
      </c>
      <c r="AF606" s="8" t="s">
        <v>2135</v>
      </c>
      <c r="AG606" s="8">
        <v>53.0</v>
      </c>
      <c r="AH606" s="8">
        <v>14.0</v>
      </c>
      <c r="AI606" s="8">
        <v>14.0</v>
      </c>
      <c r="AJ606" s="8">
        <v>0.0</v>
      </c>
      <c r="AK606" s="8">
        <v>13.0</v>
      </c>
      <c r="AL606" s="8" t="s">
        <v>12513</v>
      </c>
      <c r="AM606" s="8" t="s">
        <v>12514</v>
      </c>
      <c r="AN606" s="8" t="s">
        <v>12515</v>
      </c>
      <c r="AO606" s="8" t="s">
        <v>12516</v>
      </c>
      <c r="AP606" s="8" t="s">
        <v>2135</v>
      </c>
      <c r="AQ606" s="8" t="s">
        <v>2135</v>
      </c>
      <c r="AR606" s="8" t="s">
        <v>12517</v>
      </c>
      <c r="AS606" s="8" t="s">
        <v>12518</v>
      </c>
      <c r="AT606" s="8" t="s">
        <v>3395</v>
      </c>
      <c r="AU606" s="8">
        <v>2002.0</v>
      </c>
      <c r="AV606" s="8">
        <v>155.0</v>
      </c>
      <c r="AW606" s="8">
        <v>1.0</v>
      </c>
      <c r="AX606" s="8" t="s">
        <v>2135</v>
      </c>
      <c r="AY606" s="8" t="s">
        <v>2135</v>
      </c>
      <c r="AZ606" s="8" t="s">
        <v>2135</v>
      </c>
      <c r="BA606" s="8" t="s">
        <v>2135</v>
      </c>
      <c r="BB606" s="8">
        <v>163.0</v>
      </c>
      <c r="BC606" s="8">
        <v>176.0</v>
      </c>
      <c r="BD606" s="8" t="s">
        <v>2135</v>
      </c>
      <c r="BE606" s="8" t="s">
        <v>2135</v>
      </c>
      <c r="BF606" s="8" t="s">
        <v>2135</v>
      </c>
      <c r="BG606" s="8" t="s">
        <v>2135</v>
      </c>
      <c r="BH606" s="8" t="s">
        <v>2135</v>
      </c>
      <c r="BI606" s="8">
        <v>14.0</v>
      </c>
      <c r="BJ606" s="8" t="s">
        <v>12519</v>
      </c>
      <c r="BK606" s="8" t="s">
        <v>3352</v>
      </c>
      <c r="BL606" s="8" t="s">
        <v>6497</v>
      </c>
      <c r="BM606" s="8" t="s">
        <v>12520</v>
      </c>
      <c r="BN606" s="8" t="s">
        <v>2135</v>
      </c>
      <c r="BO606" s="8" t="s">
        <v>2135</v>
      </c>
      <c r="BP606" s="8" t="s">
        <v>2135</v>
      </c>
      <c r="BQ606" s="8" t="s">
        <v>2135</v>
      </c>
      <c r="BR606" s="8" t="s">
        <v>3355</v>
      </c>
      <c r="BS606" s="8" t="s">
        <v>12521</v>
      </c>
      <c r="BU606" s="3" t="s">
        <v>2142</v>
      </c>
      <c r="BW606" s="3" t="s">
        <v>2168</v>
      </c>
      <c r="BX606" s="3" t="s">
        <v>3176</v>
      </c>
      <c r="BY606" s="3" t="s">
        <v>3177</v>
      </c>
      <c r="BZ606" s="8" t="s">
        <v>2888</v>
      </c>
    </row>
    <row r="607" ht="12.75" customHeight="1">
      <c r="A607" s="8" t="s">
        <v>3329</v>
      </c>
      <c r="B607" s="8" t="s">
        <v>12522</v>
      </c>
      <c r="C607" s="8" t="s">
        <v>2135</v>
      </c>
      <c r="D607" s="8" t="s">
        <v>2135</v>
      </c>
      <c r="E607" s="8" t="s">
        <v>2135</v>
      </c>
      <c r="F607" s="8" t="s">
        <v>12522</v>
      </c>
      <c r="G607" s="8" t="s">
        <v>2135</v>
      </c>
      <c r="H607" s="8" t="s">
        <v>2135</v>
      </c>
      <c r="I607" s="8" t="s">
        <v>12523</v>
      </c>
      <c r="J607" s="8" t="s">
        <v>6387</v>
      </c>
      <c r="K607" s="8" t="s">
        <v>2135</v>
      </c>
      <c r="L607" s="8" t="s">
        <v>2135</v>
      </c>
      <c r="M607" s="8" t="s">
        <v>3332</v>
      </c>
      <c r="N607" s="8" t="s">
        <v>3333</v>
      </c>
      <c r="O607" s="8" t="s">
        <v>2135</v>
      </c>
      <c r="P607" s="8" t="s">
        <v>2135</v>
      </c>
      <c r="Q607" s="8" t="s">
        <v>2135</v>
      </c>
      <c r="R607" s="8" t="s">
        <v>2135</v>
      </c>
      <c r="S607" s="8" t="s">
        <v>2135</v>
      </c>
      <c r="T607" s="8" t="s">
        <v>12524</v>
      </c>
      <c r="U607" s="8" t="s">
        <v>12525</v>
      </c>
      <c r="V607" s="8" t="s">
        <v>12526</v>
      </c>
      <c r="W607" s="8" t="s">
        <v>12527</v>
      </c>
      <c r="X607" s="8" t="s">
        <v>9350</v>
      </c>
      <c r="Y607" s="8" t="s">
        <v>2135</v>
      </c>
      <c r="Z607" s="8" t="s">
        <v>2135</v>
      </c>
      <c r="AA607" s="8" t="s">
        <v>2135</v>
      </c>
      <c r="AB607" s="8" t="s">
        <v>2135</v>
      </c>
      <c r="AC607" s="8" t="s">
        <v>2135</v>
      </c>
      <c r="AD607" s="8" t="s">
        <v>2135</v>
      </c>
      <c r="AE607" s="8" t="s">
        <v>2135</v>
      </c>
      <c r="AF607" s="8" t="s">
        <v>2135</v>
      </c>
      <c r="AG607" s="8">
        <v>50.0</v>
      </c>
      <c r="AH607" s="8">
        <v>35.0</v>
      </c>
      <c r="AI607" s="8">
        <v>39.0</v>
      </c>
      <c r="AJ607" s="8">
        <v>2.0</v>
      </c>
      <c r="AK607" s="8">
        <v>46.0</v>
      </c>
      <c r="AL607" s="8" t="s">
        <v>3479</v>
      </c>
      <c r="AM607" s="8" t="s">
        <v>3480</v>
      </c>
      <c r="AN607" s="8" t="s">
        <v>3739</v>
      </c>
      <c r="AO607" s="8" t="s">
        <v>6394</v>
      </c>
      <c r="AP607" s="8" t="s">
        <v>6395</v>
      </c>
      <c r="AQ607" s="8" t="s">
        <v>2135</v>
      </c>
      <c r="AR607" s="8" t="s">
        <v>6396</v>
      </c>
      <c r="AS607" s="8" t="s">
        <v>6397</v>
      </c>
      <c r="AT607" s="8" t="s">
        <v>3741</v>
      </c>
      <c r="AU607" s="8">
        <v>2001.0</v>
      </c>
      <c r="AV607" s="8">
        <v>28.0</v>
      </c>
      <c r="AW607" s="8">
        <v>6.0</v>
      </c>
      <c r="AX607" s="8" t="s">
        <v>2135</v>
      </c>
      <c r="AY607" s="8" t="s">
        <v>2135</v>
      </c>
      <c r="AZ607" s="8" t="s">
        <v>2135</v>
      </c>
      <c r="BA607" s="8" t="s">
        <v>2135</v>
      </c>
      <c r="BB607" s="8">
        <v>727.0</v>
      </c>
      <c r="BC607" s="8">
        <v>735.0</v>
      </c>
      <c r="BD607" s="8" t="s">
        <v>2135</v>
      </c>
      <c r="BE607" s="8" t="s">
        <v>12528</v>
      </c>
      <c r="BF607" s="13" t="str">
        <f>HYPERLINK("http://dx.doi.org/10.1007/s002670010257","http://dx.doi.org/10.1007/s002670010257")</f>
        <v>http://dx.doi.org/10.1007/s002670010257</v>
      </c>
      <c r="BG607" s="8" t="s">
        <v>2135</v>
      </c>
      <c r="BH607" s="8" t="s">
        <v>2135</v>
      </c>
      <c r="BI607" s="8">
        <v>9.0</v>
      </c>
      <c r="BJ607" s="8" t="s">
        <v>6399</v>
      </c>
      <c r="BK607" s="8" t="s">
        <v>3352</v>
      </c>
      <c r="BL607" s="8" t="s">
        <v>3632</v>
      </c>
      <c r="BM607" s="8" t="s">
        <v>12529</v>
      </c>
      <c r="BN607" s="8">
        <v>1.1915962E7</v>
      </c>
      <c r="BO607" s="8" t="s">
        <v>2135</v>
      </c>
      <c r="BP607" s="8" t="s">
        <v>2135</v>
      </c>
      <c r="BQ607" s="8" t="s">
        <v>2135</v>
      </c>
      <c r="BR607" s="8" t="s">
        <v>3355</v>
      </c>
      <c r="BS607" s="8" t="s">
        <v>12530</v>
      </c>
      <c r="BU607" s="3" t="s">
        <v>2142</v>
      </c>
      <c r="BW607" s="3" t="s">
        <v>2168</v>
      </c>
      <c r="BX607" s="3" t="s">
        <v>3161</v>
      </c>
      <c r="BY607" s="3" t="s">
        <v>3162</v>
      </c>
      <c r="BZ607" s="8" t="str">
        <f>HYPERLINK("https%3A%2F%2Fwww.webofscience.com%2Fwos%2Fwoscc%2Ffull-record%2FWOS:000171990600003","View Full Record in Web of Science")</f>
        <v>View Full Record in Web of Science</v>
      </c>
    </row>
    <row r="608" ht="12.75" customHeight="1">
      <c r="A608" s="8" t="s">
        <v>3329</v>
      </c>
      <c r="B608" s="8" t="s">
        <v>12531</v>
      </c>
      <c r="C608" s="8" t="s">
        <v>2135</v>
      </c>
      <c r="D608" s="8" t="s">
        <v>2135</v>
      </c>
      <c r="E608" s="8" t="s">
        <v>2135</v>
      </c>
      <c r="F608" s="8" t="s">
        <v>12531</v>
      </c>
      <c r="G608" s="8" t="s">
        <v>2135</v>
      </c>
      <c r="H608" s="8" t="s">
        <v>2135</v>
      </c>
      <c r="I608" s="8" t="s">
        <v>12532</v>
      </c>
      <c r="J608" s="8" t="s">
        <v>4546</v>
      </c>
      <c r="K608" s="8" t="s">
        <v>2135</v>
      </c>
      <c r="L608" s="8" t="s">
        <v>2135</v>
      </c>
      <c r="M608" s="8" t="s">
        <v>3332</v>
      </c>
      <c r="N608" s="8" t="s">
        <v>3333</v>
      </c>
      <c r="O608" s="8" t="s">
        <v>2135</v>
      </c>
      <c r="P608" s="8" t="s">
        <v>2135</v>
      </c>
      <c r="Q608" s="8" t="s">
        <v>2135</v>
      </c>
      <c r="R608" s="8" t="s">
        <v>2135</v>
      </c>
      <c r="S608" s="8" t="s">
        <v>2135</v>
      </c>
      <c r="T608" s="8" t="s">
        <v>12533</v>
      </c>
      <c r="U608" s="8" t="s">
        <v>12534</v>
      </c>
      <c r="V608" s="8" t="s">
        <v>12535</v>
      </c>
      <c r="W608" s="8" t="s">
        <v>12536</v>
      </c>
      <c r="X608" s="8" t="s">
        <v>12537</v>
      </c>
      <c r="Y608" s="8" t="s">
        <v>12538</v>
      </c>
      <c r="Z608" s="8" t="s">
        <v>2135</v>
      </c>
      <c r="AA608" s="8" t="s">
        <v>2135</v>
      </c>
      <c r="AB608" s="8" t="s">
        <v>2135</v>
      </c>
      <c r="AC608" s="8" t="s">
        <v>2135</v>
      </c>
      <c r="AD608" s="8" t="s">
        <v>2135</v>
      </c>
      <c r="AE608" s="8" t="s">
        <v>2135</v>
      </c>
      <c r="AF608" s="8" t="s">
        <v>2135</v>
      </c>
      <c r="AG608" s="8">
        <v>48.0</v>
      </c>
      <c r="AH608" s="8">
        <v>22.0</v>
      </c>
      <c r="AI608" s="8">
        <v>27.0</v>
      </c>
      <c r="AJ608" s="8">
        <v>0.0</v>
      </c>
      <c r="AK608" s="8">
        <v>26.0</v>
      </c>
      <c r="AL608" s="8" t="s">
        <v>6966</v>
      </c>
      <c r="AM608" s="8" t="s">
        <v>3390</v>
      </c>
      <c r="AN608" s="8" t="s">
        <v>11279</v>
      </c>
      <c r="AO608" s="8" t="s">
        <v>4554</v>
      </c>
      <c r="AP608" s="8" t="s">
        <v>2135</v>
      </c>
      <c r="AQ608" s="8" t="s">
        <v>2135</v>
      </c>
      <c r="AR608" s="8" t="s">
        <v>4556</v>
      </c>
      <c r="AS608" s="8" t="s">
        <v>4557</v>
      </c>
      <c r="AT608" s="8" t="s">
        <v>3512</v>
      </c>
      <c r="AU608" s="8">
        <v>2001.0</v>
      </c>
      <c r="AV608" s="8">
        <v>17.0</v>
      </c>
      <c r="AW608" s="8">
        <v>3.0</v>
      </c>
      <c r="AX608" s="8" t="s">
        <v>2135</v>
      </c>
      <c r="AY608" s="8" t="s">
        <v>2135</v>
      </c>
      <c r="AZ608" s="8" t="s">
        <v>2135</v>
      </c>
      <c r="BA608" s="8" t="s">
        <v>2135</v>
      </c>
      <c r="BB608" s="8">
        <v>632.0</v>
      </c>
      <c r="BC608" s="8">
        <v>647.0</v>
      </c>
      <c r="BD608" s="8" t="s">
        <v>2135</v>
      </c>
      <c r="BE608" s="8" t="s">
        <v>12539</v>
      </c>
      <c r="BF608" s="13" t="str">
        <f>HYPERLINK("http://dx.doi.org/10.1111/j.1748-7692.2001.tb01009.x","http://dx.doi.org/10.1111/j.1748-7692.2001.tb01009.x")</f>
        <v>http://dx.doi.org/10.1111/j.1748-7692.2001.tb01009.x</v>
      </c>
      <c r="BG608" s="8" t="s">
        <v>2135</v>
      </c>
      <c r="BH608" s="8" t="s">
        <v>2135</v>
      </c>
      <c r="BI608" s="8">
        <v>16.0</v>
      </c>
      <c r="BJ608" s="8" t="s">
        <v>4559</v>
      </c>
      <c r="BK608" s="8" t="s">
        <v>3352</v>
      </c>
      <c r="BL608" s="8" t="s">
        <v>4559</v>
      </c>
      <c r="BM608" s="8" t="s">
        <v>12540</v>
      </c>
      <c r="BN608" s="8" t="s">
        <v>2135</v>
      </c>
      <c r="BO608" s="8" t="s">
        <v>2135</v>
      </c>
      <c r="BP608" s="8" t="s">
        <v>2135</v>
      </c>
      <c r="BQ608" s="8" t="s">
        <v>2135</v>
      </c>
      <c r="BR608" s="8" t="s">
        <v>3355</v>
      </c>
      <c r="BS608" s="8" t="s">
        <v>12541</v>
      </c>
      <c r="BT608" s="3" t="s">
        <v>2600</v>
      </c>
      <c r="BU608" s="3" t="s">
        <v>2147</v>
      </c>
      <c r="BV608" s="3" t="s">
        <v>2217</v>
      </c>
      <c r="BW608" s="3" t="s">
        <v>2237</v>
      </c>
      <c r="BX608" s="3"/>
      <c r="BY608" s="3"/>
      <c r="BZ608" s="8" t="str">
        <f>HYPERLINK("https%3A%2F%2Fwww.webofscience.com%2Fwos%2Fwoscc%2Ffull-record%2FWOS:000169318000012","View Full Record in Web of Science")</f>
        <v>View Full Record in Web of Science</v>
      </c>
    </row>
    <row r="609" ht="12.75" customHeight="1">
      <c r="A609" s="8" t="s">
        <v>3329</v>
      </c>
      <c r="B609" s="8" t="s">
        <v>12542</v>
      </c>
      <c r="C609" s="8" t="s">
        <v>2135</v>
      </c>
      <c r="D609" s="8" t="s">
        <v>2135</v>
      </c>
      <c r="E609" s="8" t="s">
        <v>2135</v>
      </c>
      <c r="F609" s="8" t="s">
        <v>12542</v>
      </c>
      <c r="G609" s="8" t="s">
        <v>2135</v>
      </c>
      <c r="H609" s="8" t="s">
        <v>2135</v>
      </c>
      <c r="I609" s="8" t="s">
        <v>12543</v>
      </c>
      <c r="J609" s="8" t="s">
        <v>5083</v>
      </c>
      <c r="K609" s="8" t="s">
        <v>2135</v>
      </c>
      <c r="L609" s="8" t="s">
        <v>2135</v>
      </c>
      <c r="M609" s="8" t="s">
        <v>3332</v>
      </c>
      <c r="N609" s="8" t="s">
        <v>3333</v>
      </c>
      <c r="O609" s="8" t="s">
        <v>2135</v>
      </c>
      <c r="P609" s="8" t="s">
        <v>2135</v>
      </c>
      <c r="Q609" s="8" t="s">
        <v>2135</v>
      </c>
      <c r="R609" s="8" t="s">
        <v>2135</v>
      </c>
      <c r="S609" s="8" t="s">
        <v>2135</v>
      </c>
      <c r="T609" s="8" t="s">
        <v>12544</v>
      </c>
      <c r="U609" s="8" t="s">
        <v>12545</v>
      </c>
      <c r="V609" s="8" t="s">
        <v>12546</v>
      </c>
      <c r="W609" s="8" t="s">
        <v>6649</v>
      </c>
      <c r="X609" s="8" t="s">
        <v>6050</v>
      </c>
      <c r="Y609" s="8" t="s">
        <v>12547</v>
      </c>
      <c r="Z609" s="8" t="s">
        <v>6651</v>
      </c>
      <c r="AA609" s="8" t="s">
        <v>2135</v>
      </c>
      <c r="AB609" s="8" t="s">
        <v>2135</v>
      </c>
      <c r="AC609" s="8" t="s">
        <v>2135</v>
      </c>
      <c r="AD609" s="8" t="s">
        <v>2135</v>
      </c>
      <c r="AE609" s="8" t="s">
        <v>2135</v>
      </c>
      <c r="AF609" s="8" t="s">
        <v>2135</v>
      </c>
      <c r="AG609" s="8">
        <v>46.0</v>
      </c>
      <c r="AH609" s="8">
        <v>63.0</v>
      </c>
      <c r="AI609" s="8">
        <v>69.0</v>
      </c>
      <c r="AJ609" s="8">
        <v>2.0</v>
      </c>
      <c r="AK609" s="8">
        <v>33.0</v>
      </c>
      <c r="AL609" s="8" t="s">
        <v>4033</v>
      </c>
      <c r="AM609" s="8" t="s">
        <v>3343</v>
      </c>
      <c r="AN609" s="8" t="s">
        <v>3344</v>
      </c>
      <c r="AO609" s="8" t="s">
        <v>5091</v>
      </c>
      <c r="AP609" s="8" t="s">
        <v>5092</v>
      </c>
      <c r="AQ609" s="8" t="s">
        <v>2135</v>
      </c>
      <c r="AR609" s="8" t="s">
        <v>5093</v>
      </c>
      <c r="AS609" s="8" t="s">
        <v>5094</v>
      </c>
      <c r="AT609" s="8" t="s">
        <v>3721</v>
      </c>
      <c r="AU609" s="8">
        <v>2001.0</v>
      </c>
      <c r="AV609" s="8">
        <v>28.0</v>
      </c>
      <c r="AW609" s="8">
        <v>3.0</v>
      </c>
      <c r="AX609" s="8" t="s">
        <v>2135</v>
      </c>
      <c r="AY609" s="8" t="s">
        <v>2135</v>
      </c>
      <c r="AZ609" s="8" t="s">
        <v>2135</v>
      </c>
      <c r="BA609" s="8" t="s">
        <v>2135</v>
      </c>
      <c r="BB609" s="8">
        <v>381.0</v>
      </c>
      <c r="BC609" s="8">
        <v>389.0</v>
      </c>
      <c r="BD609" s="8" t="s">
        <v>2135</v>
      </c>
      <c r="BE609" s="8" t="s">
        <v>12548</v>
      </c>
      <c r="BF609" s="13" t="str">
        <f>HYPERLINK("http://dx.doi.org/10.1046/j.1365-2699.2001.00552.x","http://dx.doi.org/10.1046/j.1365-2699.2001.00552.x")</f>
        <v>http://dx.doi.org/10.1046/j.1365-2699.2001.00552.x</v>
      </c>
      <c r="BG609" s="8" t="s">
        <v>2135</v>
      </c>
      <c r="BH609" s="8" t="s">
        <v>2135</v>
      </c>
      <c r="BI609" s="8">
        <v>9.0</v>
      </c>
      <c r="BJ609" s="8" t="s">
        <v>5096</v>
      </c>
      <c r="BK609" s="8" t="s">
        <v>3352</v>
      </c>
      <c r="BL609" s="8" t="s">
        <v>5097</v>
      </c>
      <c r="BM609" s="8" t="s">
        <v>12549</v>
      </c>
      <c r="BN609" s="8" t="s">
        <v>2135</v>
      </c>
      <c r="BO609" s="8" t="s">
        <v>2135</v>
      </c>
      <c r="BP609" s="8" t="s">
        <v>2135</v>
      </c>
      <c r="BQ609" s="8" t="s">
        <v>2135</v>
      </c>
      <c r="BR609" s="8" t="s">
        <v>3355</v>
      </c>
      <c r="BS609" s="8" t="s">
        <v>12550</v>
      </c>
      <c r="BT609" s="3" t="s">
        <v>2497</v>
      </c>
      <c r="BU609" s="3" t="s">
        <v>2142</v>
      </c>
      <c r="BW609" s="3" t="s">
        <v>2311</v>
      </c>
      <c r="BX609" s="3" t="s">
        <v>2971</v>
      </c>
      <c r="BY609" s="3" t="s">
        <v>2954</v>
      </c>
      <c r="BZ609" s="8" t="str">
        <f>HYPERLINK("https%3A%2F%2Fwww.webofscience.com%2Fwos%2Fwoscc%2Ffull-record%2FWOS:000169689800009","View Full Record in Web of Science")</f>
        <v>View Full Record in Web of Science</v>
      </c>
    </row>
    <row r="610" ht="12.75" customHeight="1">
      <c r="A610" s="8" t="s">
        <v>3329</v>
      </c>
      <c r="B610" s="8" t="s">
        <v>12551</v>
      </c>
      <c r="C610" s="8" t="s">
        <v>2135</v>
      </c>
      <c r="D610" s="8" t="s">
        <v>2135</v>
      </c>
      <c r="E610" s="8" t="s">
        <v>2135</v>
      </c>
      <c r="F610" s="8" t="s">
        <v>12551</v>
      </c>
      <c r="G610" s="8" t="s">
        <v>2135</v>
      </c>
      <c r="H610" s="8" t="s">
        <v>2135</v>
      </c>
      <c r="I610" s="8" t="s">
        <v>12552</v>
      </c>
      <c r="J610" s="8" t="s">
        <v>5420</v>
      </c>
      <c r="K610" s="8" t="s">
        <v>2135</v>
      </c>
      <c r="L610" s="8" t="s">
        <v>2135</v>
      </c>
      <c r="M610" s="8" t="s">
        <v>3332</v>
      </c>
      <c r="N610" s="8" t="s">
        <v>3333</v>
      </c>
      <c r="O610" s="8" t="s">
        <v>2135</v>
      </c>
      <c r="P610" s="8" t="s">
        <v>2135</v>
      </c>
      <c r="Q610" s="8" t="s">
        <v>2135</v>
      </c>
      <c r="R610" s="8" t="s">
        <v>2135</v>
      </c>
      <c r="S610" s="8" t="s">
        <v>2135</v>
      </c>
      <c r="T610" s="8" t="s">
        <v>12553</v>
      </c>
      <c r="U610" s="8" t="s">
        <v>12554</v>
      </c>
      <c r="V610" s="8" t="s">
        <v>12555</v>
      </c>
      <c r="W610" s="8" t="s">
        <v>12556</v>
      </c>
      <c r="X610" s="8" t="s">
        <v>2135</v>
      </c>
      <c r="Y610" s="8" t="s">
        <v>12557</v>
      </c>
      <c r="Z610" s="8" t="s">
        <v>12558</v>
      </c>
      <c r="AA610" s="8" t="s">
        <v>2135</v>
      </c>
      <c r="AB610" s="8" t="s">
        <v>2135</v>
      </c>
      <c r="AC610" s="8" t="s">
        <v>2135</v>
      </c>
      <c r="AD610" s="8" t="s">
        <v>2135</v>
      </c>
      <c r="AE610" s="8" t="s">
        <v>2135</v>
      </c>
      <c r="AF610" s="8" t="s">
        <v>2135</v>
      </c>
      <c r="AG610" s="8">
        <v>88.0</v>
      </c>
      <c r="AH610" s="8">
        <v>19.0</v>
      </c>
      <c r="AI610" s="8">
        <v>21.0</v>
      </c>
      <c r="AJ610" s="8">
        <v>0.0</v>
      </c>
      <c r="AK610" s="8">
        <v>32.0</v>
      </c>
      <c r="AL610" s="8" t="s">
        <v>4033</v>
      </c>
      <c r="AM610" s="8" t="s">
        <v>3343</v>
      </c>
      <c r="AN610" s="8" t="s">
        <v>3344</v>
      </c>
      <c r="AO610" s="8" t="s">
        <v>5430</v>
      </c>
      <c r="AP610" s="8" t="s">
        <v>5431</v>
      </c>
      <c r="AQ610" s="8" t="s">
        <v>2135</v>
      </c>
      <c r="AR610" s="8" t="s">
        <v>5432</v>
      </c>
      <c r="AS610" s="8" t="s">
        <v>5433</v>
      </c>
      <c r="AT610" s="8" t="s">
        <v>3485</v>
      </c>
      <c r="AU610" s="8">
        <v>2001.0</v>
      </c>
      <c r="AV610" s="8">
        <v>38.0</v>
      </c>
      <c r="AW610" s="8">
        <v>1.0</v>
      </c>
      <c r="AX610" s="8" t="s">
        <v>2135</v>
      </c>
      <c r="AY610" s="8" t="s">
        <v>2135</v>
      </c>
      <c r="AZ610" s="8" t="s">
        <v>2135</v>
      </c>
      <c r="BA610" s="8" t="s">
        <v>2135</v>
      </c>
      <c r="BB610" s="8">
        <v>19.0</v>
      </c>
      <c r="BC610" s="8">
        <v>35.0</v>
      </c>
      <c r="BD610" s="8" t="s">
        <v>2135</v>
      </c>
      <c r="BE610" s="8" t="s">
        <v>12559</v>
      </c>
      <c r="BF610" s="13" t="str">
        <f>HYPERLINK("http://dx.doi.org/10.1046/j.1365-2664.2001.00563.x","http://dx.doi.org/10.1046/j.1365-2664.2001.00563.x")</f>
        <v>http://dx.doi.org/10.1046/j.1365-2664.2001.00563.x</v>
      </c>
      <c r="BG610" s="8" t="s">
        <v>2135</v>
      </c>
      <c r="BH610" s="8" t="s">
        <v>2135</v>
      </c>
      <c r="BI610" s="8">
        <v>17.0</v>
      </c>
      <c r="BJ610" s="8" t="s">
        <v>3558</v>
      </c>
      <c r="BK610" s="8" t="s">
        <v>3352</v>
      </c>
      <c r="BL610" s="8" t="s">
        <v>3353</v>
      </c>
      <c r="BM610" s="8" t="s">
        <v>12560</v>
      </c>
      <c r="BN610" s="8" t="s">
        <v>2135</v>
      </c>
      <c r="BO610" s="8" t="s">
        <v>3445</v>
      </c>
      <c r="BP610" s="8" t="s">
        <v>2135</v>
      </c>
      <c r="BQ610" s="8" t="s">
        <v>2135</v>
      </c>
      <c r="BR610" s="8" t="s">
        <v>3355</v>
      </c>
      <c r="BS610" s="8" t="s">
        <v>12561</v>
      </c>
      <c r="BT610" s="3" t="s">
        <v>2600</v>
      </c>
      <c r="BU610" s="3" t="s">
        <v>2147</v>
      </c>
      <c r="BV610" s="3" t="s">
        <v>2217</v>
      </c>
      <c r="BW610" s="3" t="s">
        <v>2237</v>
      </c>
      <c r="BX610" s="3" t="s">
        <v>2974</v>
      </c>
      <c r="BY610" s="3" t="s">
        <v>2959</v>
      </c>
      <c r="BZ610" s="8" t="str">
        <f>HYPERLINK("https%3A%2F%2Fwww.webofscience.com%2Fwos%2Fwoscc%2Ffull-record%2FWOS:000167890300003","View Full Record in Web of Science")</f>
        <v>View Full Record in Web of Science</v>
      </c>
    </row>
    <row r="611" ht="12.75" customHeight="1">
      <c r="A611" s="8" t="s">
        <v>3329</v>
      </c>
      <c r="B611" s="8" t="s">
        <v>12562</v>
      </c>
      <c r="C611" s="8" t="s">
        <v>2135</v>
      </c>
      <c r="D611" s="8" t="s">
        <v>2135</v>
      </c>
      <c r="E611" s="8" t="s">
        <v>2135</v>
      </c>
      <c r="F611" s="8" t="s">
        <v>12562</v>
      </c>
      <c r="G611" s="8" t="s">
        <v>2135</v>
      </c>
      <c r="H611" s="8" t="s">
        <v>2135</v>
      </c>
      <c r="I611" s="8" t="s">
        <v>12563</v>
      </c>
      <c r="J611" s="8" t="s">
        <v>3747</v>
      </c>
      <c r="K611" s="8" t="s">
        <v>2135</v>
      </c>
      <c r="L611" s="8" t="s">
        <v>2135</v>
      </c>
      <c r="M611" s="8" t="s">
        <v>3332</v>
      </c>
      <c r="N611" s="8" t="s">
        <v>3333</v>
      </c>
      <c r="O611" s="8" t="s">
        <v>2135</v>
      </c>
      <c r="P611" s="8" t="s">
        <v>2135</v>
      </c>
      <c r="Q611" s="8" t="s">
        <v>2135</v>
      </c>
      <c r="R611" s="8" t="s">
        <v>2135</v>
      </c>
      <c r="S611" s="8" t="s">
        <v>2135</v>
      </c>
      <c r="T611" s="8" t="s">
        <v>12564</v>
      </c>
      <c r="U611" s="8" t="s">
        <v>12565</v>
      </c>
      <c r="V611" s="8" t="s">
        <v>12566</v>
      </c>
      <c r="W611" s="8" t="s">
        <v>12567</v>
      </c>
      <c r="X611" s="8" t="s">
        <v>12568</v>
      </c>
      <c r="Y611" s="8" t="s">
        <v>12569</v>
      </c>
      <c r="Z611" s="8" t="s">
        <v>2135</v>
      </c>
      <c r="AA611" s="8" t="s">
        <v>2135</v>
      </c>
      <c r="AB611" s="8" t="s">
        <v>2135</v>
      </c>
      <c r="AC611" s="8" t="s">
        <v>2135</v>
      </c>
      <c r="AD611" s="8" t="s">
        <v>2135</v>
      </c>
      <c r="AE611" s="8" t="s">
        <v>2135</v>
      </c>
      <c r="AF611" s="8" t="s">
        <v>2135</v>
      </c>
      <c r="AG611" s="8">
        <v>22.0</v>
      </c>
      <c r="AH611" s="8">
        <v>24.0</v>
      </c>
      <c r="AI611" s="8">
        <v>27.0</v>
      </c>
      <c r="AJ611" s="8">
        <v>0.0</v>
      </c>
      <c r="AK611" s="8">
        <v>15.0</v>
      </c>
      <c r="AL611" s="8" t="s">
        <v>3758</v>
      </c>
      <c r="AM611" s="8" t="s">
        <v>3759</v>
      </c>
      <c r="AN611" s="8" t="s">
        <v>3760</v>
      </c>
      <c r="AO611" s="8" t="s">
        <v>3761</v>
      </c>
      <c r="AP611" s="8" t="s">
        <v>2135</v>
      </c>
      <c r="AQ611" s="8" t="s">
        <v>2135</v>
      </c>
      <c r="AR611" s="8" t="s">
        <v>3763</v>
      </c>
      <c r="AS611" s="8" t="s">
        <v>3764</v>
      </c>
      <c r="AT611" s="8" t="s">
        <v>3580</v>
      </c>
      <c r="AU611" s="8">
        <v>1999.0</v>
      </c>
      <c r="AV611" s="8">
        <v>90.0</v>
      </c>
      <c r="AW611" s="8">
        <v>3.0</v>
      </c>
      <c r="AX611" s="8" t="s">
        <v>2135</v>
      </c>
      <c r="AY611" s="8" t="s">
        <v>2135</v>
      </c>
      <c r="AZ611" s="8" t="s">
        <v>2135</v>
      </c>
      <c r="BA611" s="8" t="s">
        <v>2135</v>
      </c>
      <c r="BB611" s="8">
        <v>229.0</v>
      </c>
      <c r="BC611" s="8">
        <v>234.0</v>
      </c>
      <c r="BD611" s="8" t="s">
        <v>2135</v>
      </c>
      <c r="BE611" s="8" t="s">
        <v>12570</v>
      </c>
      <c r="BF611" s="13" t="str">
        <f>HYPERLINK("http://dx.doi.org/10.1016/S0006-3207(99)00042-7","http://dx.doi.org/10.1016/S0006-3207(99)00042-7")</f>
        <v>http://dx.doi.org/10.1016/S0006-3207(99)00042-7</v>
      </c>
      <c r="BG611" s="8" t="s">
        <v>2135</v>
      </c>
      <c r="BH611" s="8" t="s">
        <v>2135</v>
      </c>
      <c r="BI611" s="8">
        <v>6.0</v>
      </c>
      <c r="BJ611" s="8" t="s">
        <v>3351</v>
      </c>
      <c r="BK611" s="8" t="s">
        <v>3352</v>
      </c>
      <c r="BL611" s="8" t="s">
        <v>3353</v>
      </c>
      <c r="BM611" s="8" t="s">
        <v>12571</v>
      </c>
      <c r="BN611" s="8" t="s">
        <v>2135</v>
      </c>
      <c r="BO611" s="8" t="s">
        <v>2135</v>
      </c>
      <c r="BP611" s="8" t="s">
        <v>2135</v>
      </c>
      <c r="BQ611" s="8" t="s">
        <v>2135</v>
      </c>
      <c r="BR611" s="8" t="s">
        <v>3355</v>
      </c>
      <c r="BS611" s="8" t="s">
        <v>12572</v>
      </c>
      <c r="BT611" s="3" t="s">
        <v>2345</v>
      </c>
      <c r="BU611" s="3" t="s">
        <v>2142</v>
      </c>
      <c r="BW611" s="3" t="s">
        <v>2143</v>
      </c>
      <c r="BX611" s="3" t="s">
        <v>2953</v>
      </c>
      <c r="BY611" s="3" t="s">
        <v>2954</v>
      </c>
      <c r="BZ611" s="8" t="str">
        <f>HYPERLINK("https%3A%2F%2Fwww.webofscience.com%2Fwos%2Fwoscc%2Ffull-record%2FWOS:000081066500008","View Full Record in Web of Science")</f>
        <v>View Full Record in Web of Science</v>
      </c>
    </row>
    <row r="612" ht="12.75" customHeight="1">
      <c r="A612" s="8" t="s">
        <v>3329</v>
      </c>
      <c r="B612" s="8" t="s">
        <v>12573</v>
      </c>
      <c r="C612" s="8" t="s">
        <v>2135</v>
      </c>
      <c r="D612" s="8" t="s">
        <v>2135</v>
      </c>
      <c r="E612" s="8" t="s">
        <v>2135</v>
      </c>
      <c r="F612" s="8" t="s">
        <v>12573</v>
      </c>
      <c r="G612" s="8" t="s">
        <v>2135</v>
      </c>
      <c r="H612" s="8" t="s">
        <v>2135</v>
      </c>
      <c r="I612" s="8" t="s">
        <v>12574</v>
      </c>
      <c r="J612" s="8" t="s">
        <v>4248</v>
      </c>
      <c r="K612" s="8" t="s">
        <v>2135</v>
      </c>
      <c r="L612" s="8" t="s">
        <v>2135</v>
      </c>
      <c r="M612" s="8" t="s">
        <v>3332</v>
      </c>
      <c r="N612" s="8" t="s">
        <v>3333</v>
      </c>
      <c r="O612" s="8" t="s">
        <v>2135</v>
      </c>
      <c r="P612" s="8" t="s">
        <v>2135</v>
      </c>
      <c r="Q612" s="8" t="s">
        <v>2135</v>
      </c>
      <c r="R612" s="8" t="s">
        <v>2135</v>
      </c>
      <c r="S612" s="8" t="s">
        <v>2135</v>
      </c>
      <c r="T612" s="8" t="s">
        <v>2135</v>
      </c>
      <c r="U612" s="8" t="s">
        <v>2135</v>
      </c>
      <c r="V612" s="8" t="s">
        <v>12575</v>
      </c>
      <c r="W612" s="8" t="s">
        <v>2135</v>
      </c>
      <c r="X612" s="8" t="s">
        <v>2135</v>
      </c>
      <c r="Y612" s="8" t="s">
        <v>12576</v>
      </c>
      <c r="Z612" s="8" t="s">
        <v>2135</v>
      </c>
      <c r="AA612" s="8" t="s">
        <v>2135</v>
      </c>
      <c r="AB612" s="8" t="s">
        <v>2135</v>
      </c>
      <c r="AC612" s="8" t="s">
        <v>2135</v>
      </c>
      <c r="AD612" s="8" t="s">
        <v>2135</v>
      </c>
      <c r="AE612" s="8" t="s">
        <v>2135</v>
      </c>
      <c r="AF612" s="8" t="s">
        <v>2135</v>
      </c>
      <c r="AG612" s="8">
        <v>0.0</v>
      </c>
      <c r="AH612" s="8">
        <v>8.0</v>
      </c>
      <c r="AI612" s="8">
        <v>8.0</v>
      </c>
      <c r="AJ612" s="8">
        <v>0.0</v>
      </c>
      <c r="AK612" s="8">
        <v>6.0</v>
      </c>
      <c r="AL612" s="8" t="s">
        <v>4257</v>
      </c>
      <c r="AM612" s="8" t="s">
        <v>3844</v>
      </c>
      <c r="AN612" s="8" t="s">
        <v>4258</v>
      </c>
      <c r="AO612" s="8" t="s">
        <v>4259</v>
      </c>
      <c r="AP612" s="8" t="s">
        <v>2135</v>
      </c>
      <c r="AQ612" s="8" t="s">
        <v>2135</v>
      </c>
      <c r="AR612" s="8" t="s">
        <v>4260</v>
      </c>
      <c r="AS612" s="8" t="s">
        <v>4261</v>
      </c>
      <c r="AT612" s="8" t="s">
        <v>6862</v>
      </c>
      <c r="AU612" s="8">
        <v>1987.0</v>
      </c>
      <c r="AV612" s="8">
        <v>101.0</v>
      </c>
      <c r="AW612" s="8">
        <v>2.0</v>
      </c>
      <c r="AX612" s="8" t="s">
        <v>2135</v>
      </c>
      <c r="AY612" s="8" t="s">
        <v>2135</v>
      </c>
      <c r="AZ612" s="8" t="s">
        <v>2135</v>
      </c>
      <c r="BA612" s="8" t="s">
        <v>2135</v>
      </c>
      <c r="BB612" s="8">
        <v>279.0</v>
      </c>
      <c r="BC612" s="8">
        <v>283.0</v>
      </c>
      <c r="BD612" s="8" t="s">
        <v>2135</v>
      </c>
      <c r="BE612" s="8" t="s">
        <v>2135</v>
      </c>
      <c r="BF612" s="8" t="s">
        <v>2135</v>
      </c>
      <c r="BG612" s="8" t="s">
        <v>2135</v>
      </c>
      <c r="BH612" s="8" t="s">
        <v>2135</v>
      </c>
      <c r="BI612" s="8">
        <v>5.0</v>
      </c>
      <c r="BJ612" s="8" t="s">
        <v>3558</v>
      </c>
      <c r="BK612" s="8" t="s">
        <v>3352</v>
      </c>
      <c r="BL612" s="8" t="s">
        <v>3353</v>
      </c>
      <c r="BM612" s="8" t="s">
        <v>12577</v>
      </c>
      <c r="BN612" s="8" t="s">
        <v>2135</v>
      </c>
      <c r="BO612" s="8" t="s">
        <v>2135</v>
      </c>
      <c r="BP612" s="8" t="s">
        <v>2135</v>
      </c>
      <c r="BQ612" s="8" t="s">
        <v>2135</v>
      </c>
      <c r="BR612" s="8" t="s">
        <v>3355</v>
      </c>
      <c r="BS612" s="8" t="s">
        <v>12578</v>
      </c>
      <c r="BT612" s="3" t="s">
        <v>2216</v>
      </c>
      <c r="BU612" s="3" t="s">
        <v>2147</v>
      </c>
      <c r="BV612" s="3" t="s">
        <v>2217</v>
      </c>
      <c r="BW612" s="3" t="s">
        <v>2237</v>
      </c>
      <c r="BX612" s="3" t="s">
        <v>2953</v>
      </c>
      <c r="BY612" s="3" t="s">
        <v>2954</v>
      </c>
      <c r="BZ612" s="8" t="str">
        <f>HYPERLINK("https%3A%2F%2Fwww.webofscience.com%2Fwos%2Fwoscc%2Ffull-record%2FWOS:A1987K969500025","View Full Record in Web of Science")</f>
        <v>View Full Record in Web of Science</v>
      </c>
    </row>
  </sheetData>
  <autoFilter ref="$A$1:$BZ$612">
    <sortState ref="A1:BZ612">
      <sortCondition ref="BY1:BY612"/>
    </sortState>
  </autoFilter>
  <printOptions/>
  <pageMargins bottom="0.75" footer="0.0" header="0.0" left="0.7" right="0.7" top="0.75"/>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75"/>
  <cols>
    <col customWidth="1" min="1" max="3" width="8.0"/>
    <col customWidth="1" min="4" max="5" width="20.5"/>
    <col customWidth="1" min="6" max="6" width="21.63"/>
    <col customWidth="1" min="7" max="7" width="34.5"/>
    <col customWidth="1" min="8" max="8" width="29.88"/>
    <col customWidth="1" min="9" max="9" width="55.63"/>
    <col customWidth="1" min="10" max="10" width="40.0"/>
    <col customWidth="1" min="11" max="14" width="14.75"/>
    <col customWidth="1" min="15" max="15" width="30.25"/>
    <col customWidth="1" min="16" max="16" width="31.5"/>
  </cols>
  <sheetData>
    <row r="1" ht="12.75" customHeight="1">
      <c r="A1" s="8" t="s">
        <v>3265</v>
      </c>
      <c r="B1" s="8" t="s">
        <v>3278</v>
      </c>
      <c r="C1" s="8" t="s">
        <v>3313</v>
      </c>
      <c r="D1" s="3" t="s">
        <v>12579</v>
      </c>
      <c r="E1" s="8" t="s">
        <v>3327</v>
      </c>
      <c r="F1" s="12" t="s">
        <v>2114</v>
      </c>
      <c r="G1" s="12" t="s">
        <v>2115</v>
      </c>
      <c r="H1" s="12" t="s">
        <v>2112</v>
      </c>
      <c r="I1" s="12" t="s">
        <v>2127</v>
      </c>
      <c r="J1" s="12" t="s">
        <v>2117</v>
      </c>
      <c r="K1" s="14" t="s">
        <v>12580</v>
      </c>
      <c r="L1" s="14" t="s">
        <v>12581</v>
      </c>
      <c r="M1" s="14" t="s">
        <v>12582</v>
      </c>
      <c r="N1" s="14" t="s">
        <v>12583</v>
      </c>
      <c r="O1" s="14" t="s">
        <v>12584</v>
      </c>
      <c r="P1" s="12" t="s">
        <v>2116</v>
      </c>
    </row>
    <row r="2" ht="12.75" customHeight="1">
      <c r="A2" s="8" t="s">
        <v>1589</v>
      </c>
      <c r="B2" s="8" t="s">
        <v>9960</v>
      </c>
      <c r="C2" s="8" t="s">
        <v>9965</v>
      </c>
      <c r="D2" s="3" t="s">
        <v>3</v>
      </c>
      <c r="E2" s="8" t="s">
        <v>9967</v>
      </c>
      <c r="F2" s="8" t="s">
        <v>2142</v>
      </c>
      <c r="G2" s="3" t="s">
        <v>12585</v>
      </c>
      <c r="H2" s="8" t="s">
        <v>2379</v>
      </c>
      <c r="I2" s="8" t="s">
        <v>3092</v>
      </c>
      <c r="J2" s="8" t="s">
        <v>3093</v>
      </c>
      <c r="K2" s="3" t="s">
        <v>12586</v>
      </c>
      <c r="L2" s="3" t="s">
        <v>12587</v>
      </c>
      <c r="M2" s="3" t="s">
        <v>12588</v>
      </c>
      <c r="N2" s="3" t="s">
        <v>12589</v>
      </c>
      <c r="O2" s="3" t="s">
        <v>12590</v>
      </c>
      <c r="P2" s="8" t="s">
        <v>2143</v>
      </c>
    </row>
    <row r="3" ht="12.75" customHeight="1">
      <c r="A3" s="8" t="s">
        <v>1546</v>
      </c>
      <c r="B3" s="8" t="s">
        <v>9778</v>
      </c>
      <c r="C3" s="8" t="s">
        <v>9782</v>
      </c>
      <c r="D3" s="3" t="s">
        <v>3</v>
      </c>
      <c r="E3" s="8" t="s">
        <v>9784</v>
      </c>
      <c r="F3" s="8" t="s">
        <v>2142</v>
      </c>
      <c r="G3" s="3" t="s">
        <v>12585</v>
      </c>
      <c r="H3" s="8" t="s">
        <v>2379</v>
      </c>
      <c r="I3" s="8" t="s">
        <v>3082</v>
      </c>
      <c r="J3" s="8" t="s">
        <v>3081</v>
      </c>
      <c r="K3" s="3" t="s">
        <v>12586</v>
      </c>
      <c r="L3" s="3" t="s">
        <v>12587</v>
      </c>
      <c r="M3" s="3" t="s">
        <v>12588</v>
      </c>
      <c r="N3" s="3" t="s">
        <v>12589</v>
      </c>
      <c r="O3" s="3" t="s">
        <v>12590</v>
      </c>
      <c r="P3" s="8" t="s">
        <v>2143</v>
      </c>
    </row>
    <row r="4" ht="12.75" customHeight="1">
      <c r="A4" s="8" t="s">
        <v>1635</v>
      </c>
      <c r="B4" s="8" t="s">
        <v>10307</v>
      </c>
      <c r="C4" s="8" t="s">
        <v>2135</v>
      </c>
      <c r="D4" s="3" t="s">
        <v>3</v>
      </c>
      <c r="E4" s="8" t="s">
        <v>10313</v>
      </c>
      <c r="F4" s="8" t="s">
        <v>2142</v>
      </c>
      <c r="G4" s="3" t="s">
        <v>12585</v>
      </c>
      <c r="H4" s="8" t="s">
        <v>2325</v>
      </c>
      <c r="I4" s="8" t="s">
        <v>3004</v>
      </c>
      <c r="J4" s="8" t="s">
        <v>2958</v>
      </c>
      <c r="K4" s="3" t="s">
        <v>12586</v>
      </c>
      <c r="L4" s="3" t="s">
        <v>12587</v>
      </c>
      <c r="M4" s="3" t="s">
        <v>12588</v>
      </c>
      <c r="N4" s="3" t="s">
        <v>12589</v>
      </c>
      <c r="O4" s="3" t="s">
        <v>12590</v>
      </c>
      <c r="P4" s="8" t="s">
        <v>2143</v>
      </c>
    </row>
    <row r="5" ht="12.75" customHeight="1">
      <c r="A5" s="8" t="s">
        <v>1697</v>
      </c>
      <c r="B5" s="8" t="s">
        <v>11597</v>
      </c>
      <c r="C5" s="8" t="s">
        <v>11602</v>
      </c>
      <c r="D5" s="3" t="s">
        <v>3</v>
      </c>
      <c r="E5" s="8" t="s">
        <v>11604</v>
      </c>
      <c r="F5" s="8" t="s">
        <v>2142</v>
      </c>
      <c r="G5" s="3" t="s">
        <v>12585</v>
      </c>
      <c r="H5" s="8" t="s">
        <v>2307</v>
      </c>
      <c r="I5" s="8" t="s">
        <v>2959</v>
      </c>
      <c r="J5" s="8" t="s">
        <v>2958</v>
      </c>
      <c r="K5" s="3" t="s">
        <v>12586</v>
      </c>
      <c r="L5" s="3" t="s">
        <v>12587</v>
      </c>
      <c r="M5" s="3" t="s">
        <v>12588</v>
      </c>
      <c r="N5" s="3" t="s">
        <v>12589</v>
      </c>
      <c r="O5" s="3" t="s">
        <v>12590</v>
      </c>
      <c r="P5" s="8" t="s">
        <v>2143</v>
      </c>
    </row>
    <row r="6" ht="12.75" customHeight="1">
      <c r="A6" s="8" t="s">
        <v>1783</v>
      </c>
      <c r="B6" s="8" t="s">
        <v>11126</v>
      </c>
      <c r="C6" s="8" t="s">
        <v>11136</v>
      </c>
      <c r="D6" s="3" t="s">
        <v>3</v>
      </c>
      <c r="E6" s="8" t="s">
        <v>11140</v>
      </c>
      <c r="F6" s="8" t="s">
        <v>2142</v>
      </c>
      <c r="G6" s="3" t="s">
        <v>12585</v>
      </c>
      <c r="H6" s="8" t="s">
        <v>2325</v>
      </c>
      <c r="I6" s="8" t="s">
        <v>2959</v>
      </c>
      <c r="J6" s="8" t="s">
        <v>2958</v>
      </c>
      <c r="K6" s="3" t="s">
        <v>12586</v>
      </c>
      <c r="L6" s="3" t="s">
        <v>12587</v>
      </c>
      <c r="M6" s="3" t="s">
        <v>12588</v>
      </c>
      <c r="N6" s="3" t="s">
        <v>12589</v>
      </c>
      <c r="O6" s="3" t="s">
        <v>12590</v>
      </c>
      <c r="P6" s="8" t="s">
        <v>2143</v>
      </c>
    </row>
    <row r="7" ht="12.75" customHeight="1">
      <c r="A7" s="8" t="s">
        <v>1694</v>
      </c>
      <c r="B7" s="8" t="s">
        <v>11621</v>
      </c>
      <c r="C7" s="8" t="s">
        <v>11622</v>
      </c>
      <c r="D7" s="3" t="s">
        <v>3</v>
      </c>
      <c r="E7" s="8" t="s">
        <v>11624</v>
      </c>
      <c r="F7" s="8" t="s">
        <v>2142</v>
      </c>
      <c r="G7" s="3" t="s">
        <v>12585</v>
      </c>
      <c r="H7" s="8" t="s">
        <v>2553</v>
      </c>
      <c r="I7" s="8" t="s">
        <v>2959</v>
      </c>
      <c r="J7" s="8" t="s">
        <v>2958</v>
      </c>
      <c r="K7" s="3" t="s">
        <v>12586</v>
      </c>
      <c r="L7" s="3" t="s">
        <v>12587</v>
      </c>
      <c r="M7" s="3" t="s">
        <v>12588</v>
      </c>
      <c r="N7" s="3" t="s">
        <v>12589</v>
      </c>
      <c r="O7" s="3" t="s">
        <v>12590</v>
      </c>
      <c r="P7" s="8" t="s">
        <v>2143</v>
      </c>
    </row>
    <row r="8" ht="12.75" customHeight="1">
      <c r="A8" s="8" t="s">
        <v>1690</v>
      </c>
      <c r="B8" s="8" t="s">
        <v>11627</v>
      </c>
      <c r="C8" s="8" t="s">
        <v>2135</v>
      </c>
      <c r="D8" s="3" t="s">
        <v>3</v>
      </c>
      <c r="E8" s="8" t="s">
        <v>11631</v>
      </c>
      <c r="F8" s="8" t="s">
        <v>2136</v>
      </c>
      <c r="I8" s="8" t="s">
        <v>2959</v>
      </c>
      <c r="J8" s="8" t="s">
        <v>2958</v>
      </c>
      <c r="K8" s="3" t="s">
        <v>12586</v>
      </c>
      <c r="L8" s="3" t="s">
        <v>12587</v>
      </c>
      <c r="M8" s="3" t="s">
        <v>12588</v>
      </c>
      <c r="N8" s="3" t="s">
        <v>12589</v>
      </c>
      <c r="O8" s="3" t="s">
        <v>12591</v>
      </c>
      <c r="P8" s="8" t="s">
        <v>2937</v>
      </c>
    </row>
    <row r="9" ht="12.75" customHeight="1">
      <c r="A9" s="8" t="s">
        <v>1552</v>
      </c>
      <c r="B9" s="8" t="s">
        <v>9789</v>
      </c>
      <c r="C9" s="8" t="s">
        <v>9796</v>
      </c>
      <c r="D9" s="3" t="s">
        <v>3</v>
      </c>
      <c r="E9" s="8" t="s">
        <v>9798</v>
      </c>
      <c r="F9" s="8" t="s">
        <v>2136</v>
      </c>
      <c r="I9" s="8" t="s">
        <v>2957</v>
      </c>
      <c r="J9" s="8" t="s">
        <v>2956</v>
      </c>
      <c r="K9" s="3" t="s">
        <v>12586</v>
      </c>
      <c r="L9" s="3" t="s">
        <v>12587</v>
      </c>
      <c r="M9" s="3" t="s">
        <v>12588</v>
      </c>
      <c r="N9" s="3" t="s">
        <v>12589</v>
      </c>
      <c r="O9" s="3" t="s">
        <v>12591</v>
      </c>
      <c r="P9" s="8" t="s">
        <v>2937</v>
      </c>
    </row>
    <row r="10" ht="12.75" customHeight="1">
      <c r="A10" s="8" t="s">
        <v>1857</v>
      </c>
      <c r="B10" s="8" t="s">
        <v>10560</v>
      </c>
      <c r="C10" s="8" t="s">
        <v>10570</v>
      </c>
      <c r="D10" s="3" t="s">
        <v>3</v>
      </c>
      <c r="E10" s="8" t="s">
        <v>10572</v>
      </c>
      <c r="F10" s="8" t="s">
        <v>2147</v>
      </c>
      <c r="G10" s="8" t="s">
        <v>2217</v>
      </c>
      <c r="H10" s="8" t="s">
        <v>2216</v>
      </c>
      <c r="I10" s="8" t="s">
        <v>2959</v>
      </c>
      <c r="J10" s="8" t="s">
        <v>2956</v>
      </c>
      <c r="K10" s="3" t="s">
        <v>12586</v>
      </c>
      <c r="L10" s="3" t="s">
        <v>12587</v>
      </c>
      <c r="M10" s="3" t="s">
        <v>12588</v>
      </c>
      <c r="N10" s="3" t="s">
        <v>12589</v>
      </c>
      <c r="O10" s="3" t="s">
        <v>12592</v>
      </c>
      <c r="P10" s="8" t="s">
        <v>2260</v>
      </c>
    </row>
    <row r="11" ht="12.75" customHeight="1">
      <c r="A11" s="8" t="s">
        <v>1859</v>
      </c>
      <c r="B11" s="8" t="s">
        <v>10521</v>
      </c>
      <c r="C11" s="8" t="s">
        <v>10532</v>
      </c>
      <c r="D11" s="3" t="s">
        <v>3</v>
      </c>
      <c r="E11" s="8" t="s">
        <v>10534</v>
      </c>
      <c r="F11" s="8" t="s">
        <v>2142</v>
      </c>
      <c r="G11" s="3" t="s">
        <v>12585</v>
      </c>
      <c r="H11" s="8" t="s">
        <v>2307</v>
      </c>
      <c r="I11" s="8" t="s">
        <v>2959</v>
      </c>
      <c r="J11" s="8" t="s">
        <v>2956</v>
      </c>
      <c r="K11" s="3" t="s">
        <v>12586</v>
      </c>
      <c r="L11" s="3" t="s">
        <v>12587</v>
      </c>
      <c r="M11" s="3" t="s">
        <v>12588</v>
      </c>
      <c r="N11" s="3" t="s">
        <v>12589</v>
      </c>
      <c r="O11" s="3" t="s">
        <v>12593</v>
      </c>
      <c r="P11" s="8" t="s">
        <v>2314</v>
      </c>
    </row>
    <row r="12" ht="12.75" customHeight="1">
      <c r="A12" s="8" t="s">
        <v>12476</v>
      </c>
      <c r="B12" s="8" t="s">
        <v>12479</v>
      </c>
      <c r="C12" s="8" t="s">
        <v>12482</v>
      </c>
      <c r="D12" s="3" t="s">
        <v>3</v>
      </c>
      <c r="E12" s="8" t="s">
        <v>12484</v>
      </c>
      <c r="F12" s="3" t="s">
        <v>2142</v>
      </c>
      <c r="G12" s="3" t="s">
        <v>12585</v>
      </c>
      <c r="H12" s="3" t="s">
        <v>2325</v>
      </c>
      <c r="I12" s="3" t="s">
        <v>2959</v>
      </c>
      <c r="J12" s="3" t="s">
        <v>2956</v>
      </c>
      <c r="K12" s="3" t="s">
        <v>12586</v>
      </c>
      <c r="L12" s="3" t="s">
        <v>12587</v>
      </c>
      <c r="M12" s="3" t="s">
        <v>12588</v>
      </c>
      <c r="N12" s="3" t="s">
        <v>12589</v>
      </c>
      <c r="O12" s="3" t="s">
        <v>12594</v>
      </c>
      <c r="P12" s="3" t="s">
        <v>2168</v>
      </c>
    </row>
    <row r="13" ht="12.75" customHeight="1">
      <c r="A13" s="8" t="s">
        <v>1737</v>
      </c>
      <c r="B13" s="8" t="s">
        <v>11380</v>
      </c>
      <c r="C13" s="8" t="s">
        <v>2135</v>
      </c>
      <c r="D13" s="3" t="s">
        <v>3</v>
      </c>
      <c r="E13" s="8" t="s">
        <v>11390</v>
      </c>
      <c r="F13" s="8" t="s">
        <v>2142</v>
      </c>
      <c r="G13" s="3" t="s">
        <v>12585</v>
      </c>
      <c r="H13" s="8" t="s">
        <v>2553</v>
      </c>
      <c r="I13" s="8" t="s">
        <v>2959</v>
      </c>
      <c r="J13" s="8" t="s">
        <v>2956</v>
      </c>
      <c r="K13" s="3" t="s">
        <v>12586</v>
      </c>
      <c r="L13" s="3" t="s">
        <v>12587</v>
      </c>
      <c r="M13" s="3" t="s">
        <v>12588</v>
      </c>
      <c r="N13" s="3" t="s">
        <v>12589</v>
      </c>
      <c r="O13" s="3" t="s">
        <v>12590</v>
      </c>
      <c r="P13" s="8" t="s">
        <v>2143</v>
      </c>
    </row>
    <row r="14" ht="12.75" customHeight="1">
      <c r="A14" s="8" t="s">
        <v>1667</v>
      </c>
      <c r="B14" s="8" t="s">
        <v>2135</v>
      </c>
      <c r="C14" s="8" t="s">
        <v>11652</v>
      </c>
      <c r="D14" s="3" t="s">
        <v>3</v>
      </c>
      <c r="E14" s="8" t="s">
        <v>11654</v>
      </c>
      <c r="F14" s="8" t="s">
        <v>2142</v>
      </c>
      <c r="G14" s="3" t="s">
        <v>12585</v>
      </c>
      <c r="H14" s="8" t="s">
        <v>2553</v>
      </c>
      <c r="I14" s="8" t="s">
        <v>2959</v>
      </c>
      <c r="J14" s="8" t="s">
        <v>2956</v>
      </c>
      <c r="K14" s="3" t="s">
        <v>12586</v>
      </c>
      <c r="L14" s="3" t="s">
        <v>12587</v>
      </c>
      <c r="M14" s="3" t="s">
        <v>12588</v>
      </c>
      <c r="N14" s="3" t="s">
        <v>12589</v>
      </c>
      <c r="O14" s="3" t="s">
        <v>12590</v>
      </c>
      <c r="P14" s="8" t="s">
        <v>2143</v>
      </c>
    </row>
    <row r="15" ht="12.75" customHeight="1">
      <c r="A15" s="8" t="s">
        <v>1725</v>
      </c>
      <c r="B15" s="8" t="s">
        <v>11452</v>
      </c>
      <c r="C15" s="8" t="s">
        <v>11458</v>
      </c>
      <c r="D15" s="3" t="s">
        <v>3</v>
      </c>
      <c r="E15" s="8" t="s">
        <v>11460</v>
      </c>
      <c r="F15" s="8" t="s">
        <v>2142</v>
      </c>
      <c r="G15" s="3" t="s">
        <v>12585</v>
      </c>
      <c r="H15" s="8" t="s">
        <v>2553</v>
      </c>
      <c r="I15" s="8" t="s">
        <v>2959</v>
      </c>
      <c r="J15" s="8" t="s">
        <v>2956</v>
      </c>
      <c r="K15" s="3" t="s">
        <v>12586</v>
      </c>
      <c r="L15" s="3" t="s">
        <v>12587</v>
      </c>
      <c r="M15" s="3" t="s">
        <v>12588</v>
      </c>
      <c r="N15" s="3" t="s">
        <v>12589</v>
      </c>
      <c r="O15" s="3" t="s">
        <v>12594</v>
      </c>
      <c r="P15" s="8" t="s">
        <v>2587</v>
      </c>
    </row>
    <row r="16" ht="12.75" customHeight="1">
      <c r="A16" s="8" t="s">
        <v>1753</v>
      </c>
      <c r="B16" s="8" t="s">
        <v>11265</v>
      </c>
      <c r="C16" s="8" t="s">
        <v>11270</v>
      </c>
      <c r="D16" s="3" t="s">
        <v>3</v>
      </c>
      <c r="E16" s="8" t="s">
        <v>11272</v>
      </c>
      <c r="F16" s="8" t="s">
        <v>2142</v>
      </c>
      <c r="G16" s="3" t="s">
        <v>12585</v>
      </c>
      <c r="H16" s="8" t="s">
        <v>2553</v>
      </c>
      <c r="I16" s="8" t="s">
        <v>2959</v>
      </c>
      <c r="J16" s="8" t="s">
        <v>2956</v>
      </c>
      <c r="K16" s="3" t="s">
        <v>12586</v>
      </c>
      <c r="L16" s="3" t="s">
        <v>12587</v>
      </c>
      <c r="M16" s="3" t="s">
        <v>12588</v>
      </c>
      <c r="N16" s="3" t="s">
        <v>12589</v>
      </c>
      <c r="O16" s="3" t="s">
        <v>12594</v>
      </c>
      <c r="P16" s="8" t="s">
        <v>2591</v>
      </c>
    </row>
    <row r="17" ht="12.75" customHeight="1">
      <c r="A17" s="8" t="s">
        <v>1648</v>
      </c>
      <c r="B17" s="8" t="s">
        <v>10431</v>
      </c>
      <c r="C17" s="8" t="s">
        <v>10440</v>
      </c>
      <c r="D17" s="3" t="s">
        <v>3</v>
      </c>
      <c r="E17" s="8" t="s">
        <v>10443</v>
      </c>
      <c r="F17" s="8" t="s">
        <v>2142</v>
      </c>
      <c r="G17" s="3" t="s">
        <v>12585</v>
      </c>
      <c r="H17" s="8" t="s">
        <v>2553</v>
      </c>
      <c r="I17" s="8" t="s">
        <v>2959</v>
      </c>
      <c r="J17" s="8" t="s">
        <v>2956</v>
      </c>
      <c r="K17" s="3" t="s">
        <v>12586</v>
      </c>
      <c r="L17" s="3" t="s">
        <v>12587</v>
      </c>
      <c r="M17" s="3" t="s">
        <v>12588</v>
      </c>
      <c r="N17" s="3" t="s">
        <v>12589</v>
      </c>
      <c r="O17" s="3" t="s">
        <v>12594</v>
      </c>
      <c r="P17" s="8" t="s">
        <v>2340</v>
      </c>
    </row>
    <row r="18" ht="12.75" customHeight="1">
      <c r="A18" s="8" t="s">
        <v>1861</v>
      </c>
      <c r="B18" s="8" t="s">
        <v>10501</v>
      </c>
      <c r="C18" s="8" t="s">
        <v>10514</v>
      </c>
      <c r="D18" s="3" t="s">
        <v>3</v>
      </c>
      <c r="E18" s="8" t="s">
        <v>10516</v>
      </c>
      <c r="F18" s="8" t="s">
        <v>2142</v>
      </c>
      <c r="G18" s="3" t="s">
        <v>12585</v>
      </c>
      <c r="H18" s="8" t="s">
        <v>2553</v>
      </c>
      <c r="I18" s="8" t="s">
        <v>2959</v>
      </c>
      <c r="J18" s="8" t="s">
        <v>2956</v>
      </c>
      <c r="K18" s="3" t="s">
        <v>12586</v>
      </c>
      <c r="L18" s="3" t="s">
        <v>12587</v>
      </c>
      <c r="M18" s="3" t="s">
        <v>12588</v>
      </c>
      <c r="N18" s="3" t="s">
        <v>12589</v>
      </c>
      <c r="O18" s="3" t="s">
        <v>12594</v>
      </c>
      <c r="P18" s="8" t="s">
        <v>2340</v>
      </c>
    </row>
    <row r="19" ht="12.75" customHeight="1">
      <c r="A19" s="8" t="s">
        <v>1729</v>
      </c>
      <c r="B19" s="8" t="s">
        <v>11427</v>
      </c>
      <c r="C19" s="8" t="s">
        <v>11430</v>
      </c>
      <c r="D19" s="3" t="s">
        <v>3</v>
      </c>
      <c r="E19" s="8" t="s">
        <v>11432</v>
      </c>
      <c r="F19" s="8" t="s">
        <v>2142</v>
      </c>
      <c r="G19" s="3" t="s">
        <v>12585</v>
      </c>
      <c r="H19" s="8" t="s">
        <v>2553</v>
      </c>
      <c r="I19" s="8" t="s">
        <v>2959</v>
      </c>
      <c r="J19" s="8" t="s">
        <v>2956</v>
      </c>
      <c r="K19" s="3" t="s">
        <v>12586</v>
      </c>
      <c r="L19" s="3" t="s">
        <v>12587</v>
      </c>
      <c r="M19" s="3" t="s">
        <v>12588</v>
      </c>
      <c r="N19" s="3" t="s">
        <v>12589</v>
      </c>
      <c r="O19" s="3" t="s">
        <v>12594</v>
      </c>
      <c r="P19" s="8" t="s">
        <v>2340</v>
      </c>
    </row>
    <row r="20" ht="12.75" customHeight="1">
      <c r="A20" s="8" t="s">
        <v>1848</v>
      </c>
      <c r="B20" s="8" t="s">
        <v>10636</v>
      </c>
      <c r="C20" s="8" t="s">
        <v>10649</v>
      </c>
      <c r="D20" s="3" t="s">
        <v>3</v>
      </c>
      <c r="E20" s="8" t="s">
        <v>10653</v>
      </c>
      <c r="F20" s="8" t="s">
        <v>2147</v>
      </c>
      <c r="G20" s="8" t="s">
        <v>2217</v>
      </c>
      <c r="H20" s="8" t="s">
        <v>2600</v>
      </c>
      <c r="I20" s="8" t="s">
        <v>2959</v>
      </c>
      <c r="J20" s="8" t="s">
        <v>2956</v>
      </c>
      <c r="K20" s="3" t="s">
        <v>12586</v>
      </c>
      <c r="L20" s="3" t="s">
        <v>12587</v>
      </c>
      <c r="M20" s="3" t="s">
        <v>12588</v>
      </c>
      <c r="N20" s="3" t="s">
        <v>12589</v>
      </c>
      <c r="O20" s="3" t="s">
        <v>12594</v>
      </c>
      <c r="P20" s="8" t="s">
        <v>2601</v>
      </c>
    </row>
    <row r="21" ht="12.75" customHeight="1">
      <c r="A21" s="8" t="s">
        <v>1839</v>
      </c>
      <c r="B21" s="8" t="s">
        <v>10716</v>
      </c>
      <c r="C21" s="8" t="s">
        <v>10730</v>
      </c>
      <c r="D21" s="3" t="s">
        <v>3</v>
      </c>
      <c r="E21" s="8" t="s">
        <v>10732</v>
      </c>
      <c r="F21" s="8" t="s">
        <v>2147</v>
      </c>
      <c r="G21" s="8" t="s">
        <v>2217</v>
      </c>
      <c r="H21" s="8" t="s">
        <v>2600</v>
      </c>
      <c r="I21" s="8" t="s">
        <v>2959</v>
      </c>
      <c r="J21" s="8" t="s">
        <v>2956</v>
      </c>
      <c r="K21" s="3" t="s">
        <v>12586</v>
      </c>
      <c r="L21" s="3" t="s">
        <v>12587</v>
      </c>
      <c r="M21" s="3" t="s">
        <v>12588</v>
      </c>
      <c r="N21" s="3" t="s">
        <v>12589</v>
      </c>
      <c r="O21" s="3" t="s">
        <v>12594</v>
      </c>
      <c r="P21" s="8" t="s">
        <v>2601</v>
      </c>
    </row>
    <row r="22" ht="12.75" customHeight="1">
      <c r="A22" s="8" t="s">
        <v>1837</v>
      </c>
      <c r="B22" s="8" t="s">
        <v>10762</v>
      </c>
      <c r="C22" s="8" t="s">
        <v>10771</v>
      </c>
      <c r="D22" s="3" t="s">
        <v>3</v>
      </c>
      <c r="E22" s="8" t="s">
        <v>10773</v>
      </c>
      <c r="F22" s="8" t="s">
        <v>2147</v>
      </c>
      <c r="G22" s="8" t="s">
        <v>2217</v>
      </c>
      <c r="H22" s="8" t="s">
        <v>2600</v>
      </c>
      <c r="I22" s="8" t="s">
        <v>2959</v>
      </c>
      <c r="J22" s="8" t="s">
        <v>2956</v>
      </c>
      <c r="K22" s="3" t="s">
        <v>12586</v>
      </c>
      <c r="L22" s="3" t="s">
        <v>12587</v>
      </c>
      <c r="M22" s="3" t="s">
        <v>12588</v>
      </c>
      <c r="N22" s="3" t="s">
        <v>12589</v>
      </c>
      <c r="O22" s="3" t="s">
        <v>12595</v>
      </c>
      <c r="P22" s="8" t="s">
        <v>2224</v>
      </c>
    </row>
    <row r="23" ht="12.75" customHeight="1">
      <c r="A23" s="8" t="s">
        <v>1817</v>
      </c>
      <c r="B23" s="8" t="s">
        <v>10843</v>
      </c>
      <c r="C23" s="8" t="s">
        <v>10852</v>
      </c>
      <c r="D23" s="3" t="s">
        <v>3</v>
      </c>
      <c r="E23" s="8" t="s">
        <v>10854</v>
      </c>
      <c r="F23" s="8" t="s">
        <v>2147</v>
      </c>
      <c r="G23" s="8" t="s">
        <v>2217</v>
      </c>
      <c r="H23" s="8" t="s">
        <v>2600</v>
      </c>
      <c r="I23" s="8" t="s">
        <v>2959</v>
      </c>
      <c r="J23" s="8" t="s">
        <v>2956</v>
      </c>
      <c r="K23" s="3" t="s">
        <v>12586</v>
      </c>
      <c r="L23" s="3" t="s">
        <v>12587</v>
      </c>
      <c r="M23" s="3" t="s">
        <v>12588</v>
      </c>
      <c r="N23" s="3" t="s">
        <v>12589</v>
      </c>
      <c r="O23" s="3" t="s">
        <v>12595</v>
      </c>
      <c r="P23" s="8" t="s">
        <v>2224</v>
      </c>
    </row>
    <row r="24" ht="12.75" customHeight="1">
      <c r="A24" s="8" t="s">
        <v>1841</v>
      </c>
      <c r="B24" s="8" t="s">
        <v>10699</v>
      </c>
      <c r="C24" s="8" t="s">
        <v>10709</v>
      </c>
      <c r="D24" s="3" t="s">
        <v>3</v>
      </c>
      <c r="E24" s="8" t="s">
        <v>10711</v>
      </c>
      <c r="F24" s="8" t="s">
        <v>2142</v>
      </c>
      <c r="I24" s="8" t="s">
        <v>2959</v>
      </c>
      <c r="J24" s="8" t="s">
        <v>2956</v>
      </c>
      <c r="K24" s="3" t="s">
        <v>12586</v>
      </c>
      <c r="L24" s="3" t="s">
        <v>12587</v>
      </c>
      <c r="M24" s="3" t="s">
        <v>12588</v>
      </c>
      <c r="N24" s="3" t="s">
        <v>12589</v>
      </c>
      <c r="O24" s="3" t="s">
        <v>12594</v>
      </c>
      <c r="P24" s="8" t="s">
        <v>2929</v>
      </c>
    </row>
    <row r="25" ht="12.75" customHeight="1">
      <c r="A25" s="8" t="s">
        <v>157</v>
      </c>
      <c r="B25" s="8" t="s">
        <v>3613</v>
      </c>
      <c r="C25" s="8" t="s">
        <v>3630</v>
      </c>
      <c r="D25" s="3" t="s">
        <v>3</v>
      </c>
      <c r="E25" s="8" t="s">
        <v>3634</v>
      </c>
      <c r="F25" s="8" t="s">
        <v>2142</v>
      </c>
      <c r="G25" s="3" t="s">
        <v>12585</v>
      </c>
      <c r="H25" s="8" t="s">
        <v>2497</v>
      </c>
      <c r="I25" s="8" t="s">
        <v>3146</v>
      </c>
      <c r="J25" s="8" t="s">
        <v>3145</v>
      </c>
      <c r="K25" s="3" t="s">
        <v>12586</v>
      </c>
      <c r="L25" s="3" t="s">
        <v>12587</v>
      </c>
      <c r="M25" s="3" t="s">
        <v>12588</v>
      </c>
      <c r="N25" s="3" t="s">
        <v>12589</v>
      </c>
      <c r="O25" s="3" t="s">
        <v>12596</v>
      </c>
      <c r="P25" s="8" t="s">
        <v>2311</v>
      </c>
    </row>
    <row r="26" ht="12.75" customHeight="1">
      <c r="A26" s="8" t="s">
        <v>67</v>
      </c>
      <c r="B26" s="8" t="s">
        <v>3361</v>
      </c>
      <c r="C26" s="8" t="s">
        <v>3373</v>
      </c>
      <c r="D26" s="3" t="s">
        <v>3</v>
      </c>
      <c r="E26" s="8" t="s">
        <v>3378</v>
      </c>
      <c r="F26" s="8" t="s">
        <v>2142</v>
      </c>
      <c r="G26" s="3" t="s">
        <v>12585</v>
      </c>
      <c r="H26" s="8" t="s">
        <v>2553</v>
      </c>
      <c r="I26" s="8" t="s">
        <v>3142</v>
      </c>
      <c r="J26" s="8" t="s">
        <v>3141</v>
      </c>
      <c r="K26" s="3" t="s">
        <v>12586</v>
      </c>
      <c r="L26" s="3" t="s">
        <v>12587</v>
      </c>
      <c r="M26" s="3" t="s">
        <v>12588</v>
      </c>
      <c r="N26" s="3" t="s">
        <v>12589</v>
      </c>
      <c r="O26" s="3" t="s">
        <v>12596</v>
      </c>
      <c r="P26" s="8" t="s">
        <v>2311</v>
      </c>
    </row>
    <row r="27" ht="12.75" customHeight="1">
      <c r="A27" s="8" t="s">
        <v>132</v>
      </c>
      <c r="B27" s="8" t="s">
        <v>3495</v>
      </c>
      <c r="C27" s="8" t="s">
        <v>3513</v>
      </c>
      <c r="D27" s="3" t="s">
        <v>3</v>
      </c>
      <c r="E27" s="8" t="s">
        <v>3515</v>
      </c>
      <c r="F27" s="8" t="s">
        <v>2142</v>
      </c>
      <c r="I27" s="8" t="s">
        <v>3042</v>
      </c>
      <c r="J27" s="8" t="s">
        <v>3160</v>
      </c>
      <c r="K27" s="3" t="s">
        <v>12586</v>
      </c>
      <c r="L27" s="3" t="s">
        <v>12587</v>
      </c>
      <c r="M27" s="3" t="s">
        <v>12588</v>
      </c>
      <c r="N27" s="3" t="s">
        <v>12589</v>
      </c>
      <c r="O27" s="3" t="s">
        <v>12594</v>
      </c>
      <c r="P27" s="3" t="s">
        <v>12597</v>
      </c>
    </row>
    <row r="28" ht="12.75" customHeight="1">
      <c r="A28" s="8" t="s">
        <v>116</v>
      </c>
      <c r="B28" s="8" t="s">
        <v>3470</v>
      </c>
      <c r="C28" s="8" t="s">
        <v>3486</v>
      </c>
      <c r="D28" s="3" t="s">
        <v>3</v>
      </c>
      <c r="E28" s="8" t="s">
        <v>3488</v>
      </c>
      <c r="F28" s="8" t="s">
        <v>2142</v>
      </c>
      <c r="G28" s="3" t="s">
        <v>12585</v>
      </c>
      <c r="H28" s="8" t="s">
        <v>2553</v>
      </c>
      <c r="I28" s="8" t="s">
        <v>3144</v>
      </c>
      <c r="J28" s="8" t="s">
        <v>3143</v>
      </c>
      <c r="K28" s="3" t="s">
        <v>12586</v>
      </c>
      <c r="L28" s="3" t="s">
        <v>12587</v>
      </c>
      <c r="M28" s="3" t="s">
        <v>12588</v>
      </c>
      <c r="N28" s="3" t="s">
        <v>12589</v>
      </c>
      <c r="O28" s="3" t="s">
        <v>12596</v>
      </c>
      <c r="P28" s="8" t="s">
        <v>2311</v>
      </c>
    </row>
    <row r="29" ht="12.75" customHeight="1">
      <c r="A29" s="8" t="s">
        <v>154</v>
      </c>
      <c r="B29" s="8" t="s">
        <v>3590</v>
      </c>
      <c r="C29" s="8" t="s">
        <v>2135</v>
      </c>
      <c r="D29" s="3" t="s">
        <v>3</v>
      </c>
      <c r="E29" s="8" t="s">
        <v>3607</v>
      </c>
      <c r="F29" s="8" t="s">
        <v>2283</v>
      </c>
      <c r="G29" s="8" t="s">
        <v>2357</v>
      </c>
      <c r="H29" s="8" t="s">
        <v>2356</v>
      </c>
      <c r="I29" s="8" t="s">
        <v>3112</v>
      </c>
      <c r="J29" s="8" t="s">
        <v>3111</v>
      </c>
      <c r="K29" s="3" t="s">
        <v>12586</v>
      </c>
      <c r="L29" s="3" t="s">
        <v>12587</v>
      </c>
      <c r="M29" s="3" t="s">
        <v>12588</v>
      </c>
      <c r="N29" s="3" t="s">
        <v>12589</v>
      </c>
      <c r="O29" s="3" t="s">
        <v>12598</v>
      </c>
      <c r="P29" s="8" t="s">
        <v>2361</v>
      </c>
    </row>
    <row r="30" ht="12.75" customHeight="1">
      <c r="A30" s="8" t="s">
        <v>80</v>
      </c>
      <c r="B30" s="8" t="s">
        <v>3383</v>
      </c>
      <c r="C30" s="8" t="s">
        <v>3396</v>
      </c>
      <c r="D30" s="3" t="s">
        <v>3</v>
      </c>
      <c r="E30" s="8" t="s">
        <v>3399</v>
      </c>
      <c r="F30" s="8" t="s">
        <v>2147</v>
      </c>
      <c r="G30" s="8" t="s">
        <v>2217</v>
      </c>
      <c r="I30" s="8" t="s">
        <v>3221</v>
      </c>
      <c r="J30" s="8" t="s">
        <v>3220</v>
      </c>
      <c r="K30" s="3" t="s">
        <v>12586</v>
      </c>
      <c r="L30" s="3" t="s">
        <v>12587</v>
      </c>
      <c r="M30" s="3" t="s">
        <v>12588</v>
      </c>
      <c r="N30" s="3" t="s">
        <v>12589</v>
      </c>
      <c r="O30" s="3" t="s">
        <v>12599</v>
      </c>
      <c r="P30" s="8" t="s">
        <v>2256</v>
      </c>
    </row>
    <row r="31" ht="12.75" customHeight="1">
      <c r="A31" s="8" t="s">
        <v>196</v>
      </c>
      <c r="B31" s="8" t="s">
        <v>3729</v>
      </c>
      <c r="C31" s="8" t="s">
        <v>3742</v>
      </c>
      <c r="D31" s="3" t="s">
        <v>3</v>
      </c>
      <c r="E31" s="8" t="s">
        <v>3744</v>
      </c>
      <c r="F31" s="8" t="s">
        <v>2142</v>
      </c>
      <c r="G31" s="3" t="s">
        <v>12585</v>
      </c>
      <c r="H31" s="8" t="s">
        <v>2325</v>
      </c>
      <c r="I31" s="8" t="s">
        <v>2965</v>
      </c>
      <c r="J31" s="8" t="s">
        <v>3132</v>
      </c>
      <c r="K31" s="3" t="s">
        <v>12586</v>
      </c>
      <c r="L31" s="3" t="s">
        <v>12587</v>
      </c>
      <c r="M31" s="3" t="s">
        <v>12588</v>
      </c>
      <c r="N31" s="3" t="s">
        <v>12589</v>
      </c>
      <c r="O31" s="3" t="s">
        <v>12600</v>
      </c>
      <c r="P31" s="8" t="s">
        <v>2166</v>
      </c>
    </row>
    <row r="32" ht="12.75" customHeight="1">
      <c r="A32" s="8" t="s">
        <v>186</v>
      </c>
      <c r="B32" s="8" t="s">
        <v>3833</v>
      </c>
      <c r="C32" s="8" t="s">
        <v>3850</v>
      </c>
      <c r="D32" s="3" t="s">
        <v>3</v>
      </c>
      <c r="E32" s="8" t="s">
        <v>3852</v>
      </c>
      <c r="F32" s="8" t="s">
        <v>2142</v>
      </c>
      <c r="G32" s="3" t="s">
        <v>12585</v>
      </c>
      <c r="H32" s="8" t="s">
        <v>2325</v>
      </c>
      <c r="I32" s="8" t="s">
        <v>2965</v>
      </c>
      <c r="J32" s="8" t="s">
        <v>3132</v>
      </c>
      <c r="K32" s="3" t="s">
        <v>12586</v>
      </c>
      <c r="L32" s="3" t="s">
        <v>12587</v>
      </c>
      <c r="M32" s="3" t="s">
        <v>12588</v>
      </c>
      <c r="N32" s="3" t="s">
        <v>12589</v>
      </c>
      <c r="O32" s="3" t="s">
        <v>12600</v>
      </c>
      <c r="P32" s="8" t="s">
        <v>2166</v>
      </c>
    </row>
    <row r="33" ht="12.75" customHeight="1">
      <c r="A33" s="8" t="s">
        <v>198</v>
      </c>
      <c r="B33" s="8" t="s">
        <v>3707</v>
      </c>
      <c r="C33" s="8" t="s">
        <v>3722</v>
      </c>
      <c r="D33" s="3" t="s">
        <v>3</v>
      </c>
      <c r="E33" s="8" t="s">
        <v>3724</v>
      </c>
      <c r="F33" s="8" t="s">
        <v>2142</v>
      </c>
      <c r="G33" s="3" t="s">
        <v>12585</v>
      </c>
      <c r="H33" s="8" t="s">
        <v>2471</v>
      </c>
      <c r="I33" s="8" t="s">
        <v>2965</v>
      </c>
      <c r="J33" s="8" t="s">
        <v>3132</v>
      </c>
      <c r="K33" s="3" t="s">
        <v>12586</v>
      </c>
      <c r="L33" s="3" t="s">
        <v>12587</v>
      </c>
      <c r="M33" s="3" t="s">
        <v>12588</v>
      </c>
      <c r="N33" s="3" t="s">
        <v>12589</v>
      </c>
      <c r="O33" s="3" t="s">
        <v>12596</v>
      </c>
      <c r="P33" s="8" t="s">
        <v>2311</v>
      </c>
    </row>
    <row r="34" ht="12.75" customHeight="1">
      <c r="A34" s="8" t="s">
        <v>175</v>
      </c>
      <c r="B34" s="8" t="s">
        <v>3902</v>
      </c>
      <c r="C34" s="8" t="s">
        <v>3909</v>
      </c>
      <c r="D34" s="3" t="s">
        <v>3</v>
      </c>
      <c r="E34" s="8" t="s">
        <v>3911</v>
      </c>
      <c r="F34" s="8" t="s">
        <v>2142</v>
      </c>
      <c r="G34" s="3" t="s">
        <v>12585</v>
      </c>
      <c r="H34" s="8" t="s">
        <v>2497</v>
      </c>
      <c r="I34" s="8" t="s">
        <v>2965</v>
      </c>
      <c r="J34" s="8" t="s">
        <v>3132</v>
      </c>
      <c r="K34" s="3" t="s">
        <v>12586</v>
      </c>
      <c r="L34" s="3" t="s">
        <v>12587</v>
      </c>
      <c r="M34" s="3" t="s">
        <v>12588</v>
      </c>
      <c r="N34" s="3" t="s">
        <v>12589</v>
      </c>
      <c r="O34" s="3" t="s">
        <v>12596</v>
      </c>
      <c r="P34" s="8" t="s">
        <v>2311</v>
      </c>
    </row>
    <row r="35" ht="12.75" customHeight="1">
      <c r="A35" s="8" t="s">
        <v>181</v>
      </c>
      <c r="B35" s="8" t="s">
        <v>3878</v>
      </c>
      <c r="C35" s="8" t="s">
        <v>3884</v>
      </c>
      <c r="D35" s="3" t="s">
        <v>3</v>
      </c>
      <c r="E35" s="8" t="s">
        <v>3886</v>
      </c>
      <c r="F35" s="8" t="s">
        <v>2147</v>
      </c>
      <c r="G35" s="8" t="s">
        <v>2217</v>
      </c>
      <c r="H35" s="8" t="s">
        <v>2600</v>
      </c>
      <c r="I35" s="8" t="s">
        <v>2965</v>
      </c>
      <c r="J35" s="8" t="s">
        <v>3132</v>
      </c>
      <c r="K35" s="3" t="s">
        <v>12586</v>
      </c>
      <c r="L35" s="3" t="s">
        <v>12587</v>
      </c>
      <c r="M35" s="3" t="s">
        <v>12588</v>
      </c>
      <c r="N35" s="3" t="s">
        <v>12589</v>
      </c>
      <c r="O35" s="3" t="s">
        <v>12594</v>
      </c>
      <c r="P35" s="8" t="s">
        <v>2433</v>
      </c>
    </row>
    <row r="36" ht="12.75" customHeight="1">
      <c r="A36" s="8" t="s">
        <v>179</v>
      </c>
      <c r="B36" s="8" t="s">
        <v>3889</v>
      </c>
      <c r="C36" s="8" t="s">
        <v>3896</v>
      </c>
      <c r="D36" s="3" t="s">
        <v>3</v>
      </c>
      <c r="E36" s="8" t="s">
        <v>3898</v>
      </c>
      <c r="F36" s="8" t="s">
        <v>2147</v>
      </c>
      <c r="G36" s="8" t="s">
        <v>2217</v>
      </c>
      <c r="H36" s="8" t="s">
        <v>2600</v>
      </c>
      <c r="I36" s="8" t="s">
        <v>2965</v>
      </c>
      <c r="J36" s="8" t="s">
        <v>3132</v>
      </c>
      <c r="K36" s="3" t="s">
        <v>12586</v>
      </c>
      <c r="L36" s="3" t="s">
        <v>12587</v>
      </c>
      <c r="M36" s="3" t="s">
        <v>12588</v>
      </c>
      <c r="N36" s="3" t="s">
        <v>12589</v>
      </c>
      <c r="O36" s="3" t="s">
        <v>12594</v>
      </c>
      <c r="P36" s="8" t="s">
        <v>2433</v>
      </c>
    </row>
    <row r="37" ht="12.75" customHeight="1">
      <c r="A37" s="8" t="s">
        <v>191</v>
      </c>
      <c r="B37" s="8" t="s">
        <v>3799</v>
      </c>
      <c r="C37" s="8" t="s">
        <v>3812</v>
      </c>
      <c r="D37" s="3" t="s">
        <v>3</v>
      </c>
      <c r="E37" s="8" t="s">
        <v>3814</v>
      </c>
      <c r="F37" s="8" t="s">
        <v>2142</v>
      </c>
      <c r="I37" s="8" t="s">
        <v>2965</v>
      </c>
      <c r="J37" s="8" t="s">
        <v>3132</v>
      </c>
    </row>
    <row r="38" ht="12.75" customHeight="1">
      <c r="A38" s="8" t="s">
        <v>89</v>
      </c>
      <c r="B38" s="8" t="s">
        <v>3451</v>
      </c>
      <c r="C38" s="8" t="s">
        <v>2135</v>
      </c>
      <c r="D38" s="3" t="s">
        <v>3</v>
      </c>
      <c r="E38" s="8" t="s">
        <v>3464</v>
      </c>
      <c r="F38" s="8" t="s">
        <v>2136</v>
      </c>
      <c r="G38" s="3" t="s">
        <v>12601</v>
      </c>
      <c r="H38" s="8" t="s">
        <v>2835</v>
      </c>
      <c r="I38" s="8" t="s">
        <v>2961</v>
      </c>
      <c r="J38" s="8" t="s">
        <v>2960</v>
      </c>
      <c r="K38" s="3" t="s">
        <v>12586</v>
      </c>
      <c r="L38" s="3" t="s">
        <v>12587</v>
      </c>
      <c r="M38" s="3" t="s">
        <v>12588</v>
      </c>
      <c r="N38" s="3" t="s">
        <v>12589</v>
      </c>
      <c r="O38" s="3" t="s">
        <v>12602</v>
      </c>
      <c r="P38" s="8" t="s">
        <v>2836</v>
      </c>
    </row>
    <row r="39" ht="12.75" customHeight="1">
      <c r="A39" s="8" t="s">
        <v>207</v>
      </c>
      <c r="B39" s="8" t="s">
        <v>3639</v>
      </c>
      <c r="C39" s="8" t="s">
        <v>3655</v>
      </c>
      <c r="D39" s="3" t="s">
        <v>3</v>
      </c>
      <c r="E39" s="8" t="s">
        <v>3660</v>
      </c>
      <c r="F39" s="8" t="s">
        <v>2147</v>
      </c>
      <c r="G39" s="3" t="s">
        <v>12603</v>
      </c>
      <c r="H39" s="8" t="s">
        <v>2185</v>
      </c>
      <c r="I39" s="8" t="s">
        <v>2965</v>
      </c>
      <c r="J39" s="8" t="s">
        <v>2973</v>
      </c>
      <c r="K39" s="3" t="s">
        <v>12586</v>
      </c>
      <c r="L39" s="3" t="s">
        <v>12587</v>
      </c>
      <c r="M39" s="3" t="s">
        <v>12588</v>
      </c>
      <c r="N39" s="3" t="s">
        <v>12589</v>
      </c>
      <c r="O39" s="3" t="s">
        <v>12604</v>
      </c>
      <c r="P39" s="8" t="s">
        <v>2196</v>
      </c>
    </row>
    <row r="40" ht="12.75" customHeight="1">
      <c r="A40" s="8" t="s">
        <v>12267</v>
      </c>
      <c r="B40" s="8" t="s">
        <v>2135</v>
      </c>
      <c r="C40" s="8" t="s">
        <v>12270</v>
      </c>
      <c r="D40" s="3" t="s">
        <v>3</v>
      </c>
      <c r="E40" s="8" t="s">
        <v>12272</v>
      </c>
      <c r="F40" s="3" t="s">
        <v>2147</v>
      </c>
      <c r="G40" s="3" t="s">
        <v>12603</v>
      </c>
      <c r="H40" s="3" t="s">
        <v>2185</v>
      </c>
      <c r="I40" s="3" t="s">
        <v>2965</v>
      </c>
      <c r="J40" s="3" t="s">
        <v>2973</v>
      </c>
      <c r="K40" s="3" t="s">
        <v>12586</v>
      </c>
      <c r="L40" s="3" t="s">
        <v>12587</v>
      </c>
      <c r="M40" s="3" t="s">
        <v>12588</v>
      </c>
      <c r="N40" s="3" t="s">
        <v>12589</v>
      </c>
      <c r="O40" s="3" t="s">
        <v>12604</v>
      </c>
      <c r="P40" s="3" t="s">
        <v>2196</v>
      </c>
    </row>
    <row r="41" ht="12.75" customHeight="1">
      <c r="A41" s="8" t="s">
        <v>183</v>
      </c>
      <c r="B41" s="8" t="s">
        <v>3858</v>
      </c>
      <c r="C41" s="8" t="s">
        <v>3871</v>
      </c>
      <c r="D41" s="3" t="s">
        <v>3</v>
      </c>
      <c r="E41" s="8" t="s">
        <v>3874</v>
      </c>
      <c r="F41" s="8" t="s">
        <v>2142</v>
      </c>
      <c r="G41" s="3" t="s">
        <v>12585</v>
      </c>
      <c r="H41" s="8" t="s">
        <v>2307</v>
      </c>
      <c r="I41" s="8" t="s">
        <v>2965</v>
      </c>
      <c r="J41" s="8" t="s">
        <v>2973</v>
      </c>
      <c r="K41" s="3" t="s">
        <v>12586</v>
      </c>
      <c r="L41" s="3" t="s">
        <v>12587</v>
      </c>
      <c r="M41" s="3" t="s">
        <v>12588</v>
      </c>
      <c r="N41" s="3" t="s">
        <v>12589</v>
      </c>
      <c r="O41" s="3" t="s">
        <v>12600</v>
      </c>
      <c r="P41" s="8" t="s">
        <v>2166</v>
      </c>
    </row>
    <row r="42" ht="12.75" customHeight="1">
      <c r="A42" s="8" t="s">
        <v>171</v>
      </c>
      <c r="B42" s="8" t="s">
        <v>3933</v>
      </c>
      <c r="C42" s="8" t="s">
        <v>3936</v>
      </c>
      <c r="D42" s="3" t="s">
        <v>3</v>
      </c>
      <c r="E42" s="8" t="s">
        <v>3938</v>
      </c>
      <c r="F42" s="8" t="s">
        <v>2136</v>
      </c>
      <c r="I42" s="8" t="s">
        <v>2965</v>
      </c>
      <c r="J42" s="8" t="s">
        <v>2973</v>
      </c>
      <c r="K42" s="3" t="s">
        <v>12586</v>
      </c>
      <c r="L42" s="3" t="s">
        <v>12587</v>
      </c>
      <c r="M42" s="3" t="s">
        <v>12588</v>
      </c>
      <c r="N42" s="3" t="s">
        <v>12589</v>
      </c>
      <c r="O42" s="3" t="s">
        <v>12605</v>
      </c>
      <c r="P42" s="8" t="s">
        <v>2183</v>
      </c>
    </row>
    <row r="43" ht="12.75" customHeight="1">
      <c r="A43" s="8" t="s">
        <v>1549</v>
      </c>
      <c r="B43" s="8" t="s">
        <v>9800</v>
      </c>
      <c r="C43" s="8" t="s">
        <v>9804</v>
      </c>
      <c r="D43" s="3" t="s">
        <v>3</v>
      </c>
      <c r="E43" s="8" t="s">
        <v>9806</v>
      </c>
      <c r="F43" s="8" t="s">
        <v>2142</v>
      </c>
      <c r="G43" s="3" t="s">
        <v>12585</v>
      </c>
      <c r="H43" s="8" t="s">
        <v>2141</v>
      </c>
      <c r="I43" s="8" t="s">
        <v>2957</v>
      </c>
      <c r="J43" s="8" t="s">
        <v>3083</v>
      </c>
      <c r="K43" s="3" t="s">
        <v>12586</v>
      </c>
      <c r="L43" s="3" t="s">
        <v>12587</v>
      </c>
      <c r="M43" s="3" t="s">
        <v>12588</v>
      </c>
      <c r="N43" s="3" t="s">
        <v>12589</v>
      </c>
      <c r="O43" s="3" t="s">
        <v>12590</v>
      </c>
      <c r="P43" s="8" t="s">
        <v>2143</v>
      </c>
    </row>
    <row r="44" ht="12.75" customHeight="1">
      <c r="A44" s="8" t="s">
        <v>1364</v>
      </c>
      <c r="B44" s="8" t="s">
        <v>9398</v>
      </c>
      <c r="C44" s="8" t="s">
        <v>2135</v>
      </c>
      <c r="D44" s="3" t="s">
        <v>3</v>
      </c>
      <c r="E44" s="8" t="s">
        <v>9405</v>
      </c>
      <c r="F44" s="3" t="s">
        <v>2283</v>
      </c>
      <c r="G44" s="3" t="s">
        <v>2357</v>
      </c>
      <c r="H44" s="8" t="s">
        <v>2367</v>
      </c>
      <c r="I44" s="8" t="s">
        <v>3049</v>
      </c>
      <c r="J44" s="8" t="s">
        <v>3048</v>
      </c>
      <c r="K44" s="3" t="s">
        <v>12586</v>
      </c>
      <c r="L44" s="3" t="s">
        <v>12587</v>
      </c>
      <c r="M44" s="3" t="s">
        <v>12588</v>
      </c>
      <c r="N44" s="3" t="s">
        <v>12589</v>
      </c>
      <c r="O44" s="3" t="s">
        <v>12606</v>
      </c>
      <c r="P44" s="8" t="s">
        <v>2369</v>
      </c>
    </row>
    <row r="45" ht="12.75" customHeight="1">
      <c r="A45" s="8" t="s">
        <v>12508</v>
      </c>
      <c r="B45" s="8" t="s">
        <v>12512</v>
      </c>
      <c r="C45" s="8" t="s">
        <v>2135</v>
      </c>
      <c r="D45" s="3" t="s">
        <v>3</v>
      </c>
      <c r="E45" s="8" t="s">
        <v>12521</v>
      </c>
      <c r="F45" s="3" t="s">
        <v>2142</v>
      </c>
      <c r="I45" s="3" t="s">
        <v>3177</v>
      </c>
      <c r="J45" s="3" t="s">
        <v>3176</v>
      </c>
      <c r="K45" s="3" t="s">
        <v>12586</v>
      </c>
      <c r="L45" s="3" t="s">
        <v>12587</v>
      </c>
      <c r="M45" s="3" t="s">
        <v>12588</v>
      </c>
      <c r="N45" s="3" t="s">
        <v>12589</v>
      </c>
      <c r="O45" s="3" t="s">
        <v>12594</v>
      </c>
      <c r="P45" s="3" t="s">
        <v>2168</v>
      </c>
    </row>
    <row r="46" ht="12.75" customHeight="1">
      <c r="A46" s="8" t="s">
        <v>1385</v>
      </c>
      <c r="B46" s="8" t="s">
        <v>9484</v>
      </c>
      <c r="C46" s="8" t="s">
        <v>9503</v>
      </c>
      <c r="D46" s="3" t="s">
        <v>3</v>
      </c>
      <c r="E46" s="8" t="s">
        <v>9505</v>
      </c>
      <c r="F46" s="8" t="s">
        <v>2147</v>
      </c>
      <c r="G46" s="8" t="s">
        <v>2217</v>
      </c>
      <c r="H46" s="8" t="s">
        <v>2600</v>
      </c>
      <c r="I46" s="8" t="s">
        <v>2993</v>
      </c>
      <c r="J46" s="8" t="s">
        <v>3191</v>
      </c>
      <c r="K46" s="3" t="s">
        <v>12586</v>
      </c>
      <c r="L46" s="3" t="s">
        <v>12587</v>
      </c>
      <c r="M46" s="3" t="s">
        <v>12588</v>
      </c>
      <c r="N46" s="3" t="s">
        <v>12589</v>
      </c>
      <c r="O46" s="3" t="s">
        <v>12594</v>
      </c>
      <c r="P46" s="8" t="s">
        <v>2155</v>
      </c>
    </row>
    <row r="47" ht="12.75" customHeight="1">
      <c r="A47" s="8" t="s">
        <v>1358</v>
      </c>
      <c r="B47" s="8" t="s">
        <v>9386</v>
      </c>
      <c r="C47" s="8" t="s">
        <v>9392</v>
      </c>
      <c r="D47" s="3" t="s">
        <v>3</v>
      </c>
      <c r="E47" s="8" t="s">
        <v>9394</v>
      </c>
      <c r="F47" s="8" t="s">
        <v>2147</v>
      </c>
      <c r="G47" s="8" t="s">
        <v>2217</v>
      </c>
      <c r="H47" s="8" t="s">
        <v>2600</v>
      </c>
      <c r="I47" s="8" t="s">
        <v>3159</v>
      </c>
      <c r="J47" s="8" t="s">
        <v>3158</v>
      </c>
      <c r="K47" s="3" t="s">
        <v>12586</v>
      </c>
      <c r="L47" s="3" t="s">
        <v>12587</v>
      </c>
      <c r="M47" s="3" t="s">
        <v>12588</v>
      </c>
      <c r="N47" s="3" t="s">
        <v>12589</v>
      </c>
      <c r="O47" s="3" t="s">
        <v>12594</v>
      </c>
      <c r="P47" s="8" t="s">
        <v>2173</v>
      </c>
    </row>
    <row r="48" ht="12.75" customHeight="1">
      <c r="A48" s="8" t="s">
        <v>1377</v>
      </c>
      <c r="B48" s="8" t="s">
        <v>9473</v>
      </c>
      <c r="C48" s="8" t="s">
        <v>9477</v>
      </c>
      <c r="D48" s="3" t="s">
        <v>3</v>
      </c>
      <c r="E48" s="8" t="s">
        <v>9479</v>
      </c>
      <c r="F48" s="8" t="s">
        <v>2142</v>
      </c>
      <c r="G48" s="3" t="s">
        <v>12585</v>
      </c>
      <c r="H48" s="8" t="s">
        <v>2471</v>
      </c>
      <c r="I48" s="8" t="s">
        <v>3077</v>
      </c>
      <c r="J48" s="8" t="s">
        <v>3078</v>
      </c>
      <c r="K48" s="3" t="s">
        <v>12586</v>
      </c>
      <c r="L48" s="3" t="s">
        <v>12587</v>
      </c>
      <c r="M48" s="3" t="s">
        <v>12588</v>
      </c>
      <c r="N48" s="3" t="s">
        <v>12589</v>
      </c>
      <c r="O48" s="3" t="s">
        <v>12590</v>
      </c>
      <c r="P48" s="8" t="s">
        <v>2143</v>
      </c>
    </row>
    <row r="49" ht="12.75" customHeight="1">
      <c r="A49" s="8" t="s">
        <v>1416</v>
      </c>
      <c r="B49" s="8" t="s">
        <v>9598</v>
      </c>
      <c r="C49" s="8" t="s">
        <v>9608</v>
      </c>
      <c r="D49" s="3" t="s">
        <v>3</v>
      </c>
      <c r="E49" s="8" t="s">
        <v>9610</v>
      </c>
      <c r="F49" s="8" t="s">
        <v>2147</v>
      </c>
      <c r="G49" s="3" t="s">
        <v>12603</v>
      </c>
      <c r="H49" s="8" t="s">
        <v>2185</v>
      </c>
      <c r="I49" s="8" t="s">
        <v>2955</v>
      </c>
      <c r="J49" s="8" t="s">
        <v>3038</v>
      </c>
      <c r="K49" s="3" t="s">
        <v>12586</v>
      </c>
      <c r="L49" s="3" t="s">
        <v>12587</v>
      </c>
      <c r="M49" s="3" t="s">
        <v>12588</v>
      </c>
      <c r="N49" s="3" t="s">
        <v>12589</v>
      </c>
      <c r="O49" s="3" t="s">
        <v>12607</v>
      </c>
      <c r="P49" s="8" t="s">
        <v>2186</v>
      </c>
    </row>
    <row r="50" ht="12.75" customHeight="1">
      <c r="A50" s="8" t="s">
        <v>1424</v>
      </c>
      <c r="B50" s="8" t="s">
        <v>9551</v>
      </c>
      <c r="C50" s="8" t="s">
        <v>9563</v>
      </c>
      <c r="D50" s="3" t="s">
        <v>3</v>
      </c>
      <c r="E50" s="8" t="s">
        <v>9565</v>
      </c>
      <c r="F50" s="8" t="s">
        <v>2147</v>
      </c>
      <c r="G50" s="3" t="s">
        <v>12608</v>
      </c>
      <c r="H50" s="8" t="s">
        <v>2301</v>
      </c>
      <c r="I50" s="8" t="s">
        <v>2955</v>
      </c>
      <c r="J50" s="8" t="s">
        <v>3038</v>
      </c>
      <c r="K50" s="3" t="s">
        <v>12586</v>
      </c>
      <c r="L50" s="3" t="s">
        <v>12587</v>
      </c>
      <c r="M50" s="3" t="s">
        <v>12588</v>
      </c>
      <c r="N50" s="3" t="s">
        <v>12589</v>
      </c>
      <c r="O50" s="3" t="s">
        <v>12609</v>
      </c>
      <c r="P50" s="8" t="s">
        <v>2157</v>
      </c>
    </row>
    <row r="51" ht="12.75" customHeight="1">
      <c r="A51" s="8" t="s">
        <v>1403</v>
      </c>
      <c r="B51" s="8" t="s">
        <v>9701</v>
      </c>
      <c r="C51" s="8" t="s">
        <v>9705</v>
      </c>
      <c r="D51" s="3" t="s">
        <v>3</v>
      </c>
      <c r="E51" s="8" t="s">
        <v>9707</v>
      </c>
      <c r="F51" s="8" t="s">
        <v>2142</v>
      </c>
      <c r="G51" s="3" t="s">
        <v>12585</v>
      </c>
      <c r="H51" s="8" t="s">
        <v>2325</v>
      </c>
      <c r="I51" s="8" t="s">
        <v>2955</v>
      </c>
      <c r="J51" s="8" t="s">
        <v>3038</v>
      </c>
      <c r="K51" s="3" t="s">
        <v>12586</v>
      </c>
      <c r="L51" s="3" t="s">
        <v>12587</v>
      </c>
      <c r="M51" s="3" t="s">
        <v>12588</v>
      </c>
      <c r="N51" s="3" t="s">
        <v>12589</v>
      </c>
      <c r="O51" s="3" t="s">
        <v>12594</v>
      </c>
      <c r="P51" s="8" t="s">
        <v>2334</v>
      </c>
    </row>
    <row r="52" ht="12.75" customHeight="1">
      <c r="A52" s="8" t="s">
        <v>12355</v>
      </c>
      <c r="B52" s="8" t="s">
        <v>12358</v>
      </c>
      <c r="C52" s="8" t="s">
        <v>12364</v>
      </c>
      <c r="D52" s="3" t="s">
        <v>3</v>
      </c>
      <c r="E52" s="8" t="s">
        <v>12366</v>
      </c>
      <c r="F52" s="3" t="s">
        <v>2142</v>
      </c>
      <c r="G52" s="3" t="s">
        <v>12585</v>
      </c>
      <c r="H52" s="3" t="s">
        <v>2471</v>
      </c>
      <c r="I52" s="3" t="s">
        <v>2955</v>
      </c>
      <c r="J52" s="3" t="s">
        <v>3038</v>
      </c>
      <c r="K52" s="3" t="s">
        <v>12586</v>
      </c>
      <c r="L52" s="3" t="s">
        <v>12587</v>
      </c>
      <c r="M52" s="3" t="s">
        <v>12588</v>
      </c>
      <c r="N52" s="3" t="s">
        <v>12589</v>
      </c>
      <c r="O52" s="3" t="s">
        <v>12610</v>
      </c>
      <c r="P52" s="3" t="s">
        <v>2477</v>
      </c>
    </row>
    <row r="53" ht="12.75" customHeight="1">
      <c r="A53" s="8" t="s">
        <v>1418</v>
      </c>
      <c r="B53" s="8" t="s">
        <v>9615</v>
      </c>
      <c r="C53" s="8" t="s">
        <v>9625</v>
      </c>
      <c r="D53" s="3" t="s">
        <v>3</v>
      </c>
      <c r="E53" s="8" t="s">
        <v>9627</v>
      </c>
      <c r="F53" s="8" t="s">
        <v>2142</v>
      </c>
      <c r="G53" s="3" t="s">
        <v>12585</v>
      </c>
      <c r="H53" s="8" t="s">
        <v>2471</v>
      </c>
      <c r="I53" s="8" t="s">
        <v>2955</v>
      </c>
      <c r="J53" s="8" t="s">
        <v>3038</v>
      </c>
      <c r="K53" s="3" t="s">
        <v>12586</v>
      </c>
      <c r="L53" s="3" t="s">
        <v>12587</v>
      </c>
      <c r="M53" s="3" t="s">
        <v>12588</v>
      </c>
      <c r="N53" s="3" t="s">
        <v>12589</v>
      </c>
      <c r="O53" s="3" t="s">
        <v>12590</v>
      </c>
      <c r="P53" s="8" t="s">
        <v>2143</v>
      </c>
    </row>
    <row r="54" ht="12.75" customHeight="1">
      <c r="A54" s="8" t="s">
        <v>1404</v>
      </c>
      <c r="B54" s="8" t="s">
        <v>9712</v>
      </c>
      <c r="C54" s="8" t="s">
        <v>2135</v>
      </c>
      <c r="D54" s="3" t="s">
        <v>3</v>
      </c>
      <c r="E54" s="8" t="s">
        <v>9718</v>
      </c>
      <c r="F54" s="8" t="s">
        <v>2142</v>
      </c>
      <c r="G54" s="3" t="s">
        <v>12585</v>
      </c>
      <c r="H54" s="8" t="s">
        <v>2471</v>
      </c>
      <c r="I54" s="8" t="s">
        <v>2955</v>
      </c>
      <c r="J54" s="8" t="s">
        <v>3038</v>
      </c>
      <c r="K54" s="3" t="s">
        <v>12586</v>
      </c>
      <c r="L54" s="3" t="s">
        <v>12587</v>
      </c>
      <c r="M54" s="3" t="s">
        <v>12588</v>
      </c>
      <c r="N54" s="3" t="s">
        <v>12589</v>
      </c>
      <c r="O54" s="3" t="s">
        <v>12590</v>
      </c>
      <c r="P54" s="8" t="s">
        <v>2143</v>
      </c>
    </row>
    <row r="55" ht="12.75" customHeight="1">
      <c r="A55" s="8" t="s">
        <v>1414</v>
      </c>
      <c r="B55" s="8" t="s">
        <v>9632</v>
      </c>
      <c r="C55" s="8" t="s">
        <v>9641</v>
      </c>
      <c r="D55" s="3" t="s">
        <v>3</v>
      </c>
      <c r="E55" s="8" t="s">
        <v>9643</v>
      </c>
      <c r="F55" s="8" t="s">
        <v>2142</v>
      </c>
      <c r="G55" s="3" t="s">
        <v>12585</v>
      </c>
      <c r="H55" s="8" t="s">
        <v>2497</v>
      </c>
      <c r="I55" s="8" t="s">
        <v>2955</v>
      </c>
      <c r="J55" s="8" t="s">
        <v>3038</v>
      </c>
      <c r="K55" s="3" t="s">
        <v>12586</v>
      </c>
      <c r="L55" s="3" t="s">
        <v>12587</v>
      </c>
      <c r="M55" s="3" t="s">
        <v>12588</v>
      </c>
      <c r="N55" s="3" t="s">
        <v>12589</v>
      </c>
      <c r="O55" s="3" t="s">
        <v>12594</v>
      </c>
      <c r="P55" s="8" t="s">
        <v>2168</v>
      </c>
    </row>
    <row r="56" ht="12.75" customHeight="1">
      <c r="A56" s="8" t="s">
        <v>1625</v>
      </c>
      <c r="B56" s="8" t="s">
        <v>10173</v>
      </c>
      <c r="C56" s="8" t="s">
        <v>10186</v>
      </c>
      <c r="D56" s="3" t="s">
        <v>3</v>
      </c>
      <c r="E56" s="8" t="s">
        <v>10190</v>
      </c>
      <c r="F56" s="8" t="s">
        <v>2147</v>
      </c>
      <c r="G56" s="8" t="s">
        <v>2217</v>
      </c>
      <c r="I56" s="8" t="s">
        <v>3001</v>
      </c>
      <c r="J56" s="8" t="s">
        <v>3003</v>
      </c>
      <c r="K56" s="3" t="s">
        <v>12586</v>
      </c>
      <c r="L56" s="3" t="s">
        <v>12587</v>
      </c>
      <c r="M56" s="3" t="s">
        <v>12588</v>
      </c>
      <c r="N56" s="3" t="s">
        <v>12589</v>
      </c>
      <c r="O56" s="3" t="s">
        <v>12611</v>
      </c>
      <c r="P56" s="8" t="s">
        <v>2237</v>
      </c>
    </row>
    <row r="57" ht="12.75" customHeight="1">
      <c r="A57" s="8" t="s">
        <v>12457</v>
      </c>
      <c r="B57" s="8" t="s">
        <v>12460</v>
      </c>
      <c r="C57" s="8" t="s">
        <v>12464</v>
      </c>
      <c r="D57" s="3" t="s">
        <v>3</v>
      </c>
      <c r="E57" s="8" t="s">
        <v>12466</v>
      </c>
      <c r="F57" s="3" t="s">
        <v>2142</v>
      </c>
      <c r="G57" s="3" t="s">
        <v>12585</v>
      </c>
      <c r="H57" s="3" t="s">
        <v>2497</v>
      </c>
      <c r="I57" s="3" t="s">
        <v>3025</v>
      </c>
      <c r="J57" s="3" t="s">
        <v>3070</v>
      </c>
      <c r="K57" s="3" t="s">
        <v>12586</v>
      </c>
      <c r="L57" s="3" t="s">
        <v>12587</v>
      </c>
      <c r="M57" s="3" t="s">
        <v>12588</v>
      </c>
      <c r="N57" s="3" t="s">
        <v>12589</v>
      </c>
      <c r="O57" s="3" t="s">
        <v>12590</v>
      </c>
      <c r="P57" s="3" t="s">
        <v>2143</v>
      </c>
    </row>
    <row r="58" ht="12.75" customHeight="1">
      <c r="A58" s="8" t="s">
        <v>1000</v>
      </c>
      <c r="B58" s="8" t="s">
        <v>7112</v>
      </c>
      <c r="C58" s="8" t="s">
        <v>7124</v>
      </c>
      <c r="D58" s="3" t="s">
        <v>3</v>
      </c>
      <c r="E58" s="8" t="s">
        <v>7126</v>
      </c>
      <c r="F58" s="8" t="s">
        <v>2147</v>
      </c>
      <c r="G58" s="8" t="s">
        <v>2217</v>
      </c>
      <c r="H58" s="8" t="s">
        <v>2600</v>
      </c>
      <c r="I58" s="8" t="s">
        <v>3025</v>
      </c>
      <c r="J58" s="8" t="s">
        <v>3070</v>
      </c>
      <c r="K58" s="3" t="s">
        <v>12586</v>
      </c>
      <c r="L58" s="3" t="s">
        <v>12587</v>
      </c>
      <c r="M58" s="3" t="s">
        <v>12588</v>
      </c>
      <c r="N58" s="3" t="s">
        <v>12589</v>
      </c>
      <c r="O58" s="3" t="s">
        <v>12594</v>
      </c>
      <c r="P58" s="8" t="s">
        <v>2155</v>
      </c>
    </row>
    <row r="59" ht="12.75" customHeight="1">
      <c r="A59" s="8" t="s">
        <v>1366</v>
      </c>
      <c r="B59" s="8" t="s">
        <v>9410</v>
      </c>
      <c r="C59" s="8" t="s">
        <v>9418</v>
      </c>
      <c r="D59" s="3" t="s">
        <v>3</v>
      </c>
      <c r="E59" s="8" t="s">
        <v>9420</v>
      </c>
      <c r="F59" s="8" t="s">
        <v>2147</v>
      </c>
      <c r="G59" s="8" t="s">
        <v>2217</v>
      </c>
      <c r="H59" s="8" t="s">
        <v>2600</v>
      </c>
      <c r="I59" s="8" t="s">
        <v>3203</v>
      </c>
      <c r="J59" s="8" t="s">
        <v>3202</v>
      </c>
      <c r="K59" s="3" t="s">
        <v>12586</v>
      </c>
      <c r="L59" s="3" t="s">
        <v>12587</v>
      </c>
      <c r="M59" s="3" t="s">
        <v>12588</v>
      </c>
      <c r="N59" s="3" t="s">
        <v>12589</v>
      </c>
      <c r="O59" s="3" t="s">
        <v>12595</v>
      </c>
      <c r="P59" s="8" t="s">
        <v>2224</v>
      </c>
    </row>
    <row r="60" ht="12.75" customHeight="1">
      <c r="A60" s="8" t="s">
        <v>1381</v>
      </c>
      <c r="B60" s="8" t="s">
        <v>9534</v>
      </c>
      <c r="C60" s="8" t="s">
        <v>9543</v>
      </c>
      <c r="D60" s="3" t="s">
        <v>3</v>
      </c>
      <c r="E60" s="8" t="s">
        <v>9545</v>
      </c>
      <c r="F60" s="8" t="s">
        <v>2147</v>
      </c>
      <c r="G60" s="8" t="s">
        <v>2217</v>
      </c>
      <c r="H60" s="8" t="s">
        <v>2600</v>
      </c>
      <c r="I60" s="8" t="s">
        <v>2993</v>
      </c>
      <c r="J60" s="8" t="s">
        <v>3204</v>
      </c>
      <c r="K60" s="3" t="s">
        <v>12586</v>
      </c>
      <c r="L60" s="3" t="s">
        <v>12587</v>
      </c>
      <c r="M60" s="3" t="s">
        <v>12588</v>
      </c>
      <c r="N60" s="3" t="s">
        <v>12589</v>
      </c>
      <c r="O60" s="3" t="s">
        <v>12595</v>
      </c>
      <c r="P60" s="8" t="s">
        <v>2224</v>
      </c>
    </row>
    <row r="61" ht="12.75" customHeight="1">
      <c r="A61" s="8" t="s">
        <v>1422</v>
      </c>
      <c r="B61" s="8" t="s">
        <v>9570</v>
      </c>
      <c r="C61" s="8" t="s">
        <v>9578</v>
      </c>
      <c r="D61" s="3" t="s">
        <v>3</v>
      </c>
      <c r="E61" s="8" t="s">
        <v>9580</v>
      </c>
      <c r="F61" s="8" t="s">
        <v>2147</v>
      </c>
      <c r="G61" s="8" t="s">
        <v>2217</v>
      </c>
      <c r="H61" s="8" t="s">
        <v>2600</v>
      </c>
      <c r="I61" s="8" t="s">
        <v>2955</v>
      </c>
      <c r="J61" s="8" t="s">
        <v>3205</v>
      </c>
      <c r="K61" s="3" t="s">
        <v>12586</v>
      </c>
      <c r="L61" s="3" t="s">
        <v>12587</v>
      </c>
      <c r="M61" s="3" t="s">
        <v>12588</v>
      </c>
      <c r="N61" s="3" t="s">
        <v>12589</v>
      </c>
      <c r="O61" s="3" t="s">
        <v>12595</v>
      </c>
      <c r="P61" s="8" t="s">
        <v>2224</v>
      </c>
    </row>
    <row r="62" ht="12.75" customHeight="1">
      <c r="A62" s="8" t="s">
        <v>1410</v>
      </c>
      <c r="B62" s="8" t="s">
        <v>9648</v>
      </c>
      <c r="C62" s="8" t="s">
        <v>9657</v>
      </c>
      <c r="D62" s="3" t="s">
        <v>3</v>
      </c>
      <c r="E62" s="8" t="s">
        <v>9659</v>
      </c>
      <c r="F62" s="8" t="s">
        <v>2147</v>
      </c>
      <c r="G62" s="8" t="s">
        <v>2217</v>
      </c>
      <c r="H62" s="8" t="s">
        <v>2600</v>
      </c>
      <c r="I62" s="8" t="s">
        <v>2955</v>
      </c>
      <c r="J62" s="8" t="s">
        <v>3205</v>
      </c>
      <c r="K62" s="3" t="s">
        <v>12586</v>
      </c>
      <c r="L62" s="3" t="s">
        <v>12587</v>
      </c>
      <c r="M62" s="3" t="s">
        <v>12588</v>
      </c>
      <c r="N62" s="3" t="s">
        <v>12589</v>
      </c>
      <c r="O62" s="3" t="s">
        <v>12595</v>
      </c>
      <c r="P62" s="8" t="s">
        <v>2224</v>
      </c>
    </row>
    <row r="63" ht="12.75" customHeight="1">
      <c r="A63" s="8" t="s">
        <v>460</v>
      </c>
      <c r="B63" s="8" t="s">
        <v>6146</v>
      </c>
      <c r="C63" s="8" t="s">
        <v>6153</v>
      </c>
      <c r="D63" s="3" t="s">
        <v>3</v>
      </c>
      <c r="E63" s="8" t="s">
        <v>6155</v>
      </c>
      <c r="F63" s="8" t="s">
        <v>2147</v>
      </c>
      <c r="G63" s="3" t="s">
        <v>12603</v>
      </c>
      <c r="H63" s="8" t="s">
        <v>2272</v>
      </c>
      <c r="I63" s="8" t="s">
        <v>2954</v>
      </c>
      <c r="J63" s="8" t="s">
        <v>3035</v>
      </c>
      <c r="K63" s="3" t="s">
        <v>12586</v>
      </c>
      <c r="L63" s="3" t="s">
        <v>12587</v>
      </c>
      <c r="M63" s="3" t="s">
        <v>12588</v>
      </c>
      <c r="N63" s="3" t="s">
        <v>12589</v>
      </c>
      <c r="O63" s="3" t="s">
        <v>12609</v>
      </c>
      <c r="P63" s="8" t="s">
        <v>2275</v>
      </c>
    </row>
    <row r="64" ht="12.75" customHeight="1">
      <c r="A64" s="8" t="s">
        <v>246</v>
      </c>
      <c r="B64" s="8" t="s">
        <v>3992</v>
      </c>
      <c r="C64" s="8" t="s">
        <v>4003</v>
      </c>
      <c r="D64" s="3" t="s">
        <v>3</v>
      </c>
      <c r="E64" s="8" t="s">
        <v>4007</v>
      </c>
      <c r="F64" s="8" t="s">
        <v>2283</v>
      </c>
      <c r="G64" s="8" t="s">
        <v>2357</v>
      </c>
      <c r="H64" s="8" t="s">
        <v>2356</v>
      </c>
      <c r="I64" s="8" t="s">
        <v>3114</v>
      </c>
      <c r="J64" s="8" t="s">
        <v>3113</v>
      </c>
      <c r="K64" s="3" t="s">
        <v>12586</v>
      </c>
      <c r="L64" s="3" t="s">
        <v>12587</v>
      </c>
      <c r="M64" s="3" t="s">
        <v>12588</v>
      </c>
      <c r="N64" s="3" t="s">
        <v>12589</v>
      </c>
      <c r="O64" s="3" t="s">
        <v>12598</v>
      </c>
      <c r="P64" s="8" t="s">
        <v>2361</v>
      </c>
    </row>
    <row r="65" ht="12.75" customHeight="1">
      <c r="A65" s="8" t="s">
        <v>294</v>
      </c>
      <c r="B65" s="8" t="s">
        <v>4087</v>
      </c>
      <c r="C65" s="8" t="s">
        <v>4094</v>
      </c>
      <c r="D65" s="3" t="s">
        <v>3</v>
      </c>
      <c r="E65" s="8" t="s">
        <v>4096</v>
      </c>
      <c r="F65" s="8" t="s">
        <v>2142</v>
      </c>
      <c r="G65" s="3" t="s">
        <v>12585</v>
      </c>
      <c r="H65" s="8" t="s">
        <v>2467</v>
      </c>
      <c r="I65" s="8" t="s">
        <v>2970</v>
      </c>
      <c r="J65" s="8" t="s">
        <v>3057</v>
      </c>
      <c r="K65" s="3" t="s">
        <v>12586</v>
      </c>
      <c r="L65" s="3" t="s">
        <v>12587</v>
      </c>
      <c r="M65" s="3" t="s">
        <v>12588</v>
      </c>
      <c r="N65" s="3" t="s">
        <v>12589</v>
      </c>
      <c r="O65" s="3" t="s">
        <v>12590</v>
      </c>
      <c r="P65" s="8" t="s">
        <v>2143</v>
      </c>
    </row>
    <row r="66" ht="12.75" customHeight="1">
      <c r="A66" s="8" t="s">
        <v>383</v>
      </c>
      <c r="B66" s="8" t="s">
        <v>4446</v>
      </c>
      <c r="C66" s="8" t="s">
        <v>4457</v>
      </c>
      <c r="D66" s="3" t="s">
        <v>3</v>
      </c>
      <c r="E66" s="8" t="s">
        <v>4459</v>
      </c>
      <c r="F66" s="8" t="s">
        <v>2147</v>
      </c>
      <c r="G66" s="8" t="s">
        <v>2217</v>
      </c>
      <c r="H66" s="8" t="s">
        <v>2600</v>
      </c>
      <c r="I66" s="8" t="s">
        <v>2978</v>
      </c>
      <c r="J66" s="8" t="s">
        <v>2977</v>
      </c>
      <c r="K66" s="3" t="s">
        <v>12586</v>
      </c>
      <c r="L66" s="3" t="s">
        <v>12587</v>
      </c>
      <c r="M66" s="3" t="s">
        <v>12588</v>
      </c>
      <c r="N66" s="3" t="s">
        <v>12589</v>
      </c>
      <c r="O66" s="3" t="s">
        <v>12611</v>
      </c>
      <c r="P66" s="8" t="s">
        <v>2237</v>
      </c>
    </row>
    <row r="67" ht="12.75" customHeight="1">
      <c r="A67" s="8" t="s">
        <v>401</v>
      </c>
      <c r="B67" s="8" t="s">
        <v>4549</v>
      </c>
      <c r="C67" s="8" t="s">
        <v>4558</v>
      </c>
      <c r="D67" s="3" t="s">
        <v>3</v>
      </c>
      <c r="E67" s="8" t="s">
        <v>4561</v>
      </c>
      <c r="F67" s="8" t="s">
        <v>2147</v>
      </c>
      <c r="G67" s="8" t="s">
        <v>2217</v>
      </c>
      <c r="H67" s="8" t="s">
        <v>2600</v>
      </c>
      <c r="I67" s="8" t="s">
        <v>2980</v>
      </c>
      <c r="J67" s="8" t="s">
        <v>2979</v>
      </c>
      <c r="K67" s="3" t="s">
        <v>12586</v>
      </c>
      <c r="L67" s="3" t="s">
        <v>12587</v>
      </c>
      <c r="M67" s="3" t="s">
        <v>12588</v>
      </c>
      <c r="N67" s="3" t="s">
        <v>12589</v>
      </c>
      <c r="O67" s="3" t="s">
        <v>12611</v>
      </c>
      <c r="P67" s="8" t="s">
        <v>2237</v>
      </c>
    </row>
    <row r="68" ht="12.75" customHeight="1">
      <c r="A68" s="8" t="s">
        <v>430</v>
      </c>
      <c r="B68" s="8" t="s">
        <v>4734</v>
      </c>
      <c r="C68" s="8" t="s">
        <v>4736</v>
      </c>
      <c r="D68" s="3" t="s">
        <v>3</v>
      </c>
      <c r="E68" s="8" t="s">
        <v>4738</v>
      </c>
      <c r="F68" s="8" t="s">
        <v>2142</v>
      </c>
      <c r="G68" s="3" t="s">
        <v>12585</v>
      </c>
      <c r="H68" s="8" t="s">
        <v>2325</v>
      </c>
      <c r="I68" s="8" t="s">
        <v>2968</v>
      </c>
      <c r="J68" s="8" t="s">
        <v>2981</v>
      </c>
      <c r="K68" s="3" t="s">
        <v>12586</v>
      </c>
      <c r="L68" s="3" t="s">
        <v>12587</v>
      </c>
      <c r="M68" s="3" t="s">
        <v>12588</v>
      </c>
      <c r="N68" s="3" t="s">
        <v>12589</v>
      </c>
      <c r="O68" s="3" t="s">
        <v>12590</v>
      </c>
      <c r="P68" s="8" t="s">
        <v>2143</v>
      </c>
    </row>
    <row r="69" ht="12.75" customHeight="1">
      <c r="A69" s="8" t="s">
        <v>819</v>
      </c>
      <c r="B69" s="8" t="s">
        <v>5922</v>
      </c>
      <c r="C69" s="8" t="s">
        <v>5931</v>
      </c>
      <c r="D69" s="3" t="s">
        <v>3</v>
      </c>
      <c r="E69" s="8" t="s">
        <v>5933</v>
      </c>
      <c r="F69" s="8" t="s">
        <v>2136</v>
      </c>
      <c r="G69" s="3" t="s">
        <v>12612</v>
      </c>
      <c r="H69" s="8" t="s">
        <v>2182</v>
      </c>
      <c r="I69" s="8" t="s">
        <v>2954</v>
      </c>
      <c r="J69" s="8" t="s">
        <v>2981</v>
      </c>
      <c r="K69" s="3" t="s">
        <v>12586</v>
      </c>
      <c r="L69" s="3" t="s">
        <v>12587</v>
      </c>
      <c r="M69" s="3" t="s">
        <v>12588</v>
      </c>
      <c r="N69" s="3" t="s">
        <v>12589</v>
      </c>
      <c r="O69" s="3" t="s">
        <v>12605</v>
      </c>
      <c r="P69" s="8" t="s">
        <v>2183</v>
      </c>
    </row>
    <row r="70" ht="12.75" customHeight="1">
      <c r="A70" s="8" t="s">
        <v>789</v>
      </c>
      <c r="B70" s="8" t="s">
        <v>6210</v>
      </c>
      <c r="C70" s="8" t="s">
        <v>6223</v>
      </c>
      <c r="D70" s="3" t="s">
        <v>3</v>
      </c>
      <c r="E70" s="8" t="s">
        <v>6225</v>
      </c>
      <c r="F70" s="8" t="s">
        <v>2147</v>
      </c>
      <c r="G70" s="3" t="s">
        <v>12603</v>
      </c>
      <c r="H70" s="8" t="s">
        <v>2185</v>
      </c>
      <c r="I70" s="8" t="s">
        <v>2954</v>
      </c>
      <c r="J70" s="8" t="s">
        <v>2981</v>
      </c>
      <c r="K70" s="3" t="s">
        <v>12586</v>
      </c>
      <c r="L70" s="3" t="s">
        <v>12587</v>
      </c>
      <c r="M70" s="3" t="s">
        <v>12588</v>
      </c>
      <c r="N70" s="3" t="s">
        <v>12589</v>
      </c>
      <c r="O70" s="3" t="s">
        <v>12607</v>
      </c>
      <c r="P70" s="8" t="s">
        <v>2186</v>
      </c>
    </row>
    <row r="71" ht="12.75" customHeight="1">
      <c r="A71" s="8" t="s">
        <v>751</v>
      </c>
      <c r="B71" s="8" t="s">
        <v>6486</v>
      </c>
      <c r="C71" s="8" t="s">
        <v>6496</v>
      </c>
      <c r="D71" s="3" t="s">
        <v>3</v>
      </c>
      <c r="E71" s="8" t="s">
        <v>6499</v>
      </c>
      <c r="F71" s="8" t="s">
        <v>2142</v>
      </c>
      <c r="G71" s="3" t="s">
        <v>12585</v>
      </c>
      <c r="H71" s="8" t="s">
        <v>2471</v>
      </c>
      <c r="I71" s="8" t="s">
        <v>2954</v>
      </c>
      <c r="J71" s="8" t="s">
        <v>2981</v>
      </c>
      <c r="K71" s="3" t="s">
        <v>12586</v>
      </c>
      <c r="L71" s="3" t="s">
        <v>12587</v>
      </c>
      <c r="M71" s="3" t="s">
        <v>12588</v>
      </c>
      <c r="N71" s="3" t="s">
        <v>12589</v>
      </c>
      <c r="O71" s="3" t="s">
        <v>12590</v>
      </c>
      <c r="P71" s="8" t="s">
        <v>2143</v>
      </c>
    </row>
    <row r="72" ht="12.75" customHeight="1">
      <c r="A72" s="8" t="s">
        <v>654</v>
      </c>
      <c r="B72" s="8" t="s">
        <v>6975</v>
      </c>
      <c r="C72" s="8" t="s">
        <v>6981</v>
      </c>
      <c r="D72" s="3" t="s">
        <v>3</v>
      </c>
      <c r="E72" s="8" t="s">
        <v>6983</v>
      </c>
      <c r="F72" s="8" t="s">
        <v>2136</v>
      </c>
      <c r="G72" s="3" t="s">
        <v>12613</v>
      </c>
      <c r="H72" s="3" t="s">
        <v>12614</v>
      </c>
      <c r="I72" s="8" t="s">
        <v>2954</v>
      </c>
      <c r="J72" s="8" t="s">
        <v>2981</v>
      </c>
      <c r="K72" s="3" t="s">
        <v>12586</v>
      </c>
      <c r="L72" s="3" t="s">
        <v>12587</v>
      </c>
      <c r="M72" s="3" t="s">
        <v>12588</v>
      </c>
      <c r="N72" s="3" t="s">
        <v>12589</v>
      </c>
      <c r="O72" s="3" t="s">
        <v>12615</v>
      </c>
      <c r="P72" s="8" t="s">
        <v>2546</v>
      </c>
    </row>
    <row r="73" ht="12.75" customHeight="1">
      <c r="A73" s="8" t="s">
        <v>656</v>
      </c>
      <c r="B73" s="8" t="s">
        <v>6964</v>
      </c>
      <c r="C73" s="8" t="s">
        <v>6968</v>
      </c>
      <c r="D73" s="3" t="s">
        <v>3</v>
      </c>
      <c r="E73" s="8" t="s">
        <v>6970</v>
      </c>
      <c r="F73" s="8" t="s">
        <v>2147</v>
      </c>
      <c r="G73" s="8" t="s">
        <v>2217</v>
      </c>
      <c r="H73" s="8" t="s">
        <v>2600</v>
      </c>
      <c r="I73" s="8" t="s">
        <v>2954</v>
      </c>
      <c r="J73" s="8" t="s">
        <v>2981</v>
      </c>
      <c r="K73" s="3" t="s">
        <v>12586</v>
      </c>
      <c r="L73" s="3" t="s">
        <v>12587</v>
      </c>
      <c r="M73" s="3" t="s">
        <v>12588</v>
      </c>
      <c r="N73" s="3" t="s">
        <v>12589</v>
      </c>
      <c r="O73" s="3" t="s">
        <v>12611</v>
      </c>
      <c r="P73" s="8" t="s">
        <v>2237</v>
      </c>
    </row>
    <row r="74" ht="12.75" customHeight="1">
      <c r="A74" s="8" t="s">
        <v>982</v>
      </c>
      <c r="B74" s="8" t="s">
        <v>7016</v>
      </c>
      <c r="C74" s="8" t="s">
        <v>7022</v>
      </c>
      <c r="D74" s="3" t="s">
        <v>3</v>
      </c>
      <c r="E74" s="8" t="s">
        <v>7024</v>
      </c>
      <c r="F74" s="8" t="s">
        <v>2147</v>
      </c>
      <c r="G74" s="8" t="s">
        <v>2217</v>
      </c>
      <c r="H74" s="8" t="s">
        <v>2600</v>
      </c>
      <c r="I74" s="8" t="s">
        <v>3129</v>
      </c>
      <c r="J74" s="8" t="s">
        <v>3128</v>
      </c>
      <c r="K74" s="3" t="s">
        <v>12586</v>
      </c>
      <c r="L74" s="3" t="s">
        <v>12587</v>
      </c>
      <c r="M74" s="3" t="s">
        <v>12588</v>
      </c>
      <c r="N74" s="3" t="s">
        <v>12589</v>
      </c>
      <c r="O74" s="3" t="s">
        <v>12600</v>
      </c>
      <c r="P74" s="8" t="s">
        <v>2221</v>
      </c>
    </row>
    <row r="75" ht="12.75" customHeight="1">
      <c r="A75" s="8" t="s">
        <v>979</v>
      </c>
      <c r="B75" s="8" t="s">
        <v>6997</v>
      </c>
      <c r="C75" s="8" t="s">
        <v>7009</v>
      </c>
      <c r="D75" s="3" t="s">
        <v>3</v>
      </c>
      <c r="E75" s="8" t="s">
        <v>7013</v>
      </c>
      <c r="F75" s="8" t="s">
        <v>2147</v>
      </c>
      <c r="G75" s="8" t="s">
        <v>2217</v>
      </c>
      <c r="H75" s="8" t="s">
        <v>2600</v>
      </c>
      <c r="I75" s="8" t="s">
        <v>3127</v>
      </c>
      <c r="J75" s="8" t="s">
        <v>3126</v>
      </c>
      <c r="K75" s="3" t="s">
        <v>12586</v>
      </c>
      <c r="L75" s="3" t="s">
        <v>12587</v>
      </c>
      <c r="M75" s="3" t="s">
        <v>12588</v>
      </c>
      <c r="N75" s="3" t="s">
        <v>12589</v>
      </c>
      <c r="O75" s="3" t="s">
        <v>12600</v>
      </c>
      <c r="P75" s="8" t="s">
        <v>2221</v>
      </c>
    </row>
    <row r="76" ht="12.75" customHeight="1">
      <c r="A76" s="8" t="s">
        <v>984</v>
      </c>
      <c r="B76" s="8" t="s">
        <v>7029</v>
      </c>
      <c r="C76" s="8" t="s">
        <v>7039</v>
      </c>
      <c r="D76" s="3" t="s">
        <v>3</v>
      </c>
      <c r="E76" s="8" t="s">
        <v>7041</v>
      </c>
      <c r="F76" s="8" t="s">
        <v>2147</v>
      </c>
      <c r="G76" s="8" t="s">
        <v>2217</v>
      </c>
      <c r="H76" s="8" t="s">
        <v>2600</v>
      </c>
      <c r="I76" s="8" t="s">
        <v>3024</v>
      </c>
      <c r="J76" s="8" t="s">
        <v>3023</v>
      </c>
      <c r="K76" s="3" t="s">
        <v>12586</v>
      </c>
      <c r="L76" s="3" t="s">
        <v>12587</v>
      </c>
      <c r="M76" s="3" t="s">
        <v>12588</v>
      </c>
      <c r="N76" s="3" t="s">
        <v>12589</v>
      </c>
      <c r="O76" s="3" t="s">
        <v>12616</v>
      </c>
      <c r="P76" s="8" t="s">
        <v>2218</v>
      </c>
    </row>
    <row r="77" ht="12.75" customHeight="1">
      <c r="A77" s="8" t="s">
        <v>334</v>
      </c>
      <c r="B77" s="8" t="s">
        <v>4269</v>
      </c>
      <c r="C77" s="8" t="s">
        <v>4279</v>
      </c>
      <c r="D77" s="3" t="s">
        <v>3</v>
      </c>
      <c r="E77" s="8" t="s">
        <v>4281</v>
      </c>
      <c r="F77" s="8" t="s">
        <v>2147</v>
      </c>
      <c r="G77" s="8" t="s">
        <v>2217</v>
      </c>
      <c r="H77" s="8" t="s">
        <v>2600</v>
      </c>
      <c r="I77" s="8" t="s">
        <v>3012</v>
      </c>
      <c r="J77" s="8" t="s">
        <v>3011</v>
      </c>
      <c r="K77" s="3" t="s">
        <v>12586</v>
      </c>
      <c r="L77" s="3" t="s">
        <v>12587</v>
      </c>
      <c r="M77" s="3" t="s">
        <v>12588</v>
      </c>
      <c r="N77" s="3" t="s">
        <v>12589</v>
      </c>
      <c r="O77" s="3" t="s">
        <v>12616</v>
      </c>
      <c r="P77" s="8" t="s">
        <v>2218</v>
      </c>
    </row>
    <row r="78" ht="12.75" customHeight="1">
      <c r="A78" s="8" t="s">
        <v>1005</v>
      </c>
      <c r="B78" s="8" t="s">
        <v>7100</v>
      </c>
      <c r="C78" s="8" t="s">
        <v>7106</v>
      </c>
      <c r="D78" s="3" t="s">
        <v>3</v>
      </c>
      <c r="E78" s="8" t="s">
        <v>7108</v>
      </c>
      <c r="F78" s="8" t="s">
        <v>2147</v>
      </c>
      <c r="G78" s="3" t="s">
        <v>12603</v>
      </c>
      <c r="H78" s="8" t="s">
        <v>2146</v>
      </c>
      <c r="I78" s="8" t="s">
        <v>3025</v>
      </c>
      <c r="J78" s="8" t="s">
        <v>3011</v>
      </c>
      <c r="K78" s="3" t="s">
        <v>12586</v>
      </c>
      <c r="L78" s="3" t="s">
        <v>12587</v>
      </c>
      <c r="M78" s="3" t="s">
        <v>12588</v>
      </c>
      <c r="N78" s="3" t="s">
        <v>12589</v>
      </c>
      <c r="O78" s="3" t="s">
        <v>12617</v>
      </c>
      <c r="P78" s="8" t="s">
        <v>2152</v>
      </c>
    </row>
    <row r="79" ht="12.75" customHeight="1">
      <c r="A79" s="8" t="s">
        <v>1014</v>
      </c>
      <c r="B79" s="8" t="s">
        <v>7149</v>
      </c>
      <c r="C79" s="8" t="s">
        <v>7156</v>
      </c>
      <c r="D79" s="3" t="s">
        <v>3</v>
      </c>
      <c r="E79" s="8" t="s">
        <v>7158</v>
      </c>
      <c r="F79" s="8" t="s">
        <v>2147</v>
      </c>
      <c r="G79" s="8" t="s">
        <v>2217</v>
      </c>
      <c r="H79" s="8" t="s">
        <v>2216</v>
      </c>
      <c r="I79" s="3" t="s">
        <v>3025</v>
      </c>
      <c r="J79" s="8" t="s">
        <v>3011</v>
      </c>
      <c r="K79" s="3" t="s">
        <v>12586</v>
      </c>
      <c r="L79" s="3" t="s">
        <v>12587</v>
      </c>
      <c r="M79" s="3" t="s">
        <v>12588</v>
      </c>
      <c r="N79" s="3" t="s">
        <v>12589</v>
      </c>
      <c r="O79" s="3" t="s">
        <v>12616</v>
      </c>
      <c r="P79" s="8" t="s">
        <v>2218</v>
      </c>
    </row>
    <row r="80" ht="12.75" customHeight="1">
      <c r="A80" s="8" t="s">
        <v>988</v>
      </c>
      <c r="B80" s="8" t="s">
        <v>7251</v>
      </c>
      <c r="C80" s="8" t="s">
        <v>7255</v>
      </c>
      <c r="D80" s="3" t="s">
        <v>3</v>
      </c>
      <c r="E80" s="8" t="s">
        <v>7256</v>
      </c>
      <c r="F80" s="8" t="s">
        <v>2147</v>
      </c>
      <c r="G80" s="8" t="s">
        <v>2217</v>
      </c>
      <c r="H80" s="8" t="s">
        <v>2216</v>
      </c>
      <c r="I80" s="8" t="s">
        <v>3025</v>
      </c>
      <c r="J80" s="8" t="s">
        <v>3011</v>
      </c>
      <c r="K80" s="3" t="s">
        <v>12586</v>
      </c>
      <c r="L80" s="3" t="s">
        <v>12587</v>
      </c>
      <c r="M80" s="3" t="s">
        <v>12588</v>
      </c>
      <c r="N80" s="3" t="s">
        <v>12589</v>
      </c>
      <c r="O80" s="3" t="s">
        <v>12616</v>
      </c>
      <c r="P80" s="8" t="s">
        <v>2218</v>
      </c>
    </row>
    <row r="81" ht="12.75" customHeight="1">
      <c r="A81" s="8" t="s">
        <v>992</v>
      </c>
      <c r="B81" s="8" t="s">
        <v>7209</v>
      </c>
      <c r="C81" s="8" t="s">
        <v>7223</v>
      </c>
      <c r="D81" s="3" t="s">
        <v>3</v>
      </c>
      <c r="E81" s="8" t="s">
        <v>7227</v>
      </c>
      <c r="F81" s="8" t="s">
        <v>2147</v>
      </c>
      <c r="G81" s="8" t="s">
        <v>2217</v>
      </c>
      <c r="H81" s="8" t="s">
        <v>2600</v>
      </c>
      <c r="I81" s="8" t="s">
        <v>3025</v>
      </c>
      <c r="J81" s="8" t="s">
        <v>3011</v>
      </c>
      <c r="K81" s="3" t="s">
        <v>12586</v>
      </c>
      <c r="L81" s="3" t="s">
        <v>12587</v>
      </c>
      <c r="M81" s="3" t="s">
        <v>12588</v>
      </c>
      <c r="N81" s="3" t="s">
        <v>12589</v>
      </c>
      <c r="O81" s="3" t="s">
        <v>12616</v>
      </c>
      <c r="P81" s="8" t="s">
        <v>2218</v>
      </c>
    </row>
    <row r="82" ht="12.75" customHeight="1">
      <c r="A82" s="8" t="s">
        <v>998</v>
      </c>
      <c r="B82" s="8" t="s">
        <v>7163</v>
      </c>
      <c r="C82" s="8" t="s">
        <v>7169</v>
      </c>
      <c r="D82" s="3" t="s">
        <v>3</v>
      </c>
      <c r="E82" s="8" t="s">
        <v>7171</v>
      </c>
      <c r="F82" s="8" t="s">
        <v>2147</v>
      </c>
      <c r="G82" s="8" t="s">
        <v>2217</v>
      </c>
      <c r="H82" s="8" t="s">
        <v>2600</v>
      </c>
      <c r="I82" s="8" t="s">
        <v>3025</v>
      </c>
      <c r="J82" s="8" t="s">
        <v>3011</v>
      </c>
      <c r="K82" s="3" t="s">
        <v>12586</v>
      </c>
      <c r="L82" s="3" t="s">
        <v>12587</v>
      </c>
      <c r="M82" s="3" t="s">
        <v>12588</v>
      </c>
      <c r="N82" s="3" t="s">
        <v>12589</v>
      </c>
      <c r="O82" s="3" t="s">
        <v>12600</v>
      </c>
      <c r="P82" s="8" t="s">
        <v>2221</v>
      </c>
    </row>
    <row r="83" ht="12.75" customHeight="1">
      <c r="A83" s="8" t="s">
        <v>1007</v>
      </c>
      <c r="B83" s="8" t="s">
        <v>7063</v>
      </c>
      <c r="C83" s="8" t="s">
        <v>7070</v>
      </c>
      <c r="D83" s="3" t="s">
        <v>3</v>
      </c>
      <c r="E83" s="8" t="s">
        <v>7072</v>
      </c>
      <c r="F83" s="8" t="s">
        <v>2147</v>
      </c>
      <c r="G83" s="8" t="s">
        <v>2217</v>
      </c>
      <c r="H83" s="8" t="s">
        <v>2600</v>
      </c>
      <c r="I83" s="8" t="s">
        <v>3025</v>
      </c>
      <c r="J83" s="8" t="s">
        <v>3011</v>
      </c>
      <c r="K83" s="3" t="s">
        <v>12586</v>
      </c>
      <c r="L83" s="3" t="s">
        <v>12587</v>
      </c>
      <c r="M83" s="3" t="s">
        <v>12588</v>
      </c>
      <c r="N83" s="3" t="s">
        <v>12589</v>
      </c>
      <c r="O83" s="3" t="s">
        <v>12592</v>
      </c>
      <c r="P83" s="8" t="s">
        <v>2260</v>
      </c>
    </row>
    <row r="84" ht="12.75" customHeight="1">
      <c r="A84" s="8" t="s">
        <v>996</v>
      </c>
      <c r="B84" s="8" t="s">
        <v>7176</v>
      </c>
      <c r="C84" s="8" t="s">
        <v>7185</v>
      </c>
      <c r="D84" s="3" t="s">
        <v>3</v>
      </c>
      <c r="E84" s="8" t="s">
        <v>7187</v>
      </c>
      <c r="F84" s="8" t="s">
        <v>2147</v>
      </c>
      <c r="G84" s="8" t="s">
        <v>2217</v>
      </c>
      <c r="I84" s="8" t="s">
        <v>3025</v>
      </c>
      <c r="J84" s="8" t="s">
        <v>3011</v>
      </c>
      <c r="K84" s="3" t="s">
        <v>12586</v>
      </c>
      <c r="L84" s="3" t="s">
        <v>12587</v>
      </c>
      <c r="M84" s="3" t="s">
        <v>12588</v>
      </c>
      <c r="N84" s="3" t="s">
        <v>12589</v>
      </c>
      <c r="O84" s="3" t="s">
        <v>12616</v>
      </c>
      <c r="P84" s="8" t="s">
        <v>2218</v>
      </c>
    </row>
    <row r="85" ht="12.75" customHeight="1">
      <c r="A85" s="8" t="s">
        <v>990</v>
      </c>
      <c r="B85" s="8" t="s">
        <v>7233</v>
      </c>
      <c r="C85" s="8" t="s">
        <v>7245</v>
      </c>
      <c r="D85" s="3" t="s">
        <v>3</v>
      </c>
      <c r="E85" s="8" t="s">
        <v>7247</v>
      </c>
      <c r="F85" s="8" t="s">
        <v>2147</v>
      </c>
      <c r="G85" s="8" t="s">
        <v>2217</v>
      </c>
      <c r="I85" s="8" t="s">
        <v>3025</v>
      </c>
      <c r="J85" s="8" t="s">
        <v>3011</v>
      </c>
      <c r="K85" s="3" t="s">
        <v>12586</v>
      </c>
      <c r="L85" s="3" t="s">
        <v>12587</v>
      </c>
      <c r="M85" s="3" t="s">
        <v>12588</v>
      </c>
      <c r="N85" s="3" t="s">
        <v>12589</v>
      </c>
      <c r="O85" s="3" t="s">
        <v>12616</v>
      </c>
      <c r="P85" s="8" t="s">
        <v>2218</v>
      </c>
    </row>
    <row r="86" ht="12.75" customHeight="1">
      <c r="A86" s="8" t="s">
        <v>1011</v>
      </c>
      <c r="B86" s="8" t="s">
        <v>7046</v>
      </c>
      <c r="C86" s="8" t="s">
        <v>7056</v>
      </c>
      <c r="D86" s="3" t="s">
        <v>3</v>
      </c>
      <c r="E86" s="8" t="s">
        <v>7058</v>
      </c>
      <c r="F86" s="8" t="s">
        <v>2943</v>
      </c>
      <c r="I86" s="8" t="s">
        <v>3025</v>
      </c>
      <c r="J86" s="8" t="s">
        <v>3011</v>
      </c>
    </row>
    <row r="87" ht="12.75" customHeight="1">
      <c r="A87" s="8" t="s">
        <v>994</v>
      </c>
      <c r="B87" s="8" t="s">
        <v>7192</v>
      </c>
      <c r="C87" s="8" t="s">
        <v>7201</v>
      </c>
      <c r="D87" s="3" t="s">
        <v>3</v>
      </c>
      <c r="E87" s="8" t="s">
        <v>7203</v>
      </c>
      <c r="F87" s="8" t="s">
        <v>2142</v>
      </c>
      <c r="I87" s="8" t="s">
        <v>3025</v>
      </c>
      <c r="J87" s="8" t="s">
        <v>3011</v>
      </c>
      <c r="K87" s="3" t="s">
        <v>12586</v>
      </c>
      <c r="L87" s="3" t="s">
        <v>12587</v>
      </c>
      <c r="M87" s="3" t="s">
        <v>12588</v>
      </c>
      <c r="N87" s="3" t="s">
        <v>12589</v>
      </c>
      <c r="O87" s="3" t="s">
        <v>12590</v>
      </c>
      <c r="P87" s="8" t="s">
        <v>2143</v>
      </c>
    </row>
    <row r="88" ht="12.75" customHeight="1">
      <c r="A88" s="8" t="s">
        <v>301</v>
      </c>
      <c r="B88" s="8" t="s">
        <v>4744</v>
      </c>
      <c r="C88" s="8" t="s">
        <v>2135</v>
      </c>
      <c r="D88" s="3" t="s">
        <v>3</v>
      </c>
      <c r="E88" s="8" t="s">
        <v>4754</v>
      </c>
      <c r="F88" s="8" t="s">
        <v>2283</v>
      </c>
      <c r="G88" s="3" t="s">
        <v>12618</v>
      </c>
      <c r="H88" s="8" t="s">
        <v>2420</v>
      </c>
      <c r="I88" s="8" t="s">
        <v>2963</v>
      </c>
      <c r="J88" s="8" t="s">
        <v>2962</v>
      </c>
      <c r="K88" s="3" t="s">
        <v>12586</v>
      </c>
      <c r="L88" s="3" t="s">
        <v>12587</v>
      </c>
      <c r="M88" s="3" t="s">
        <v>12588</v>
      </c>
      <c r="N88" s="3" t="s">
        <v>12589</v>
      </c>
      <c r="O88" s="3" t="s">
        <v>12619</v>
      </c>
      <c r="P88" s="8" t="s">
        <v>2421</v>
      </c>
    </row>
    <row r="89" ht="12.75" customHeight="1">
      <c r="A89" s="8" t="s">
        <v>241</v>
      </c>
      <c r="B89" s="8" t="s">
        <v>3969</v>
      </c>
      <c r="C89" s="8" t="s">
        <v>3981</v>
      </c>
      <c r="D89" s="3" t="s">
        <v>3</v>
      </c>
      <c r="E89" s="8" t="s">
        <v>3986</v>
      </c>
      <c r="F89" s="8" t="s">
        <v>2147</v>
      </c>
      <c r="G89" s="8" t="s">
        <v>2217</v>
      </c>
      <c r="H89" s="8" t="s">
        <v>2600</v>
      </c>
      <c r="I89" s="8" t="s">
        <v>3180</v>
      </c>
      <c r="J89" s="8" t="s">
        <v>3179</v>
      </c>
      <c r="K89" s="3" t="s">
        <v>12586</v>
      </c>
      <c r="L89" s="3" t="s">
        <v>12587</v>
      </c>
      <c r="M89" s="3" t="s">
        <v>12588</v>
      </c>
      <c r="N89" s="3" t="s">
        <v>12589</v>
      </c>
      <c r="O89" s="3" t="s">
        <v>12594</v>
      </c>
      <c r="P89" s="8" t="s">
        <v>2601</v>
      </c>
    </row>
    <row r="90" ht="12.75" customHeight="1">
      <c r="A90" s="8" t="s">
        <v>277</v>
      </c>
      <c r="B90" s="8" t="s">
        <v>4041</v>
      </c>
      <c r="C90" s="8" t="s">
        <v>4046</v>
      </c>
      <c r="D90" s="3" t="s">
        <v>3</v>
      </c>
      <c r="E90" s="8" t="s">
        <v>4048</v>
      </c>
      <c r="F90" s="8" t="s">
        <v>2142</v>
      </c>
      <c r="G90" s="3" t="s">
        <v>12585</v>
      </c>
      <c r="H90" s="8" t="s">
        <v>2553</v>
      </c>
      <c r="I90" s="8" t="s">
        <v>3149</v>
      </c>
      <c r="J90" s="8" t="s">
        <v>3148</v>
      </c>
      <c r="K90" s="3" t="s">
        <v>12586</v>
      </c>
      <c r="L90" s="3" t="s">
        <v>12587</v>
      </c>
      <c r="M90" s="3" t="s">
        <v>12588</v>
      </c>
      <c r="N90" s="3" t="s">
        <v>12589</v>
      </c>
      <c r="O90" s="3" t="s">
        <v>12596</v>
      </c>
      <c r="P90" s="8" t="s">
        <v>2311</v>
      </c>
    </row>
    <row r="91" ht="12.75" customHeight="1">
      <c r="A91" s="8" t="s">
        <v>281</v>
      </c>
      <c r="B91" s="8" t="s">
        <v>4156</v>
      </c>
      <c r="C91" s="8" t="s">
        <v>4157</v>
      </c>
      <c r="D91" s="3" t="s">
        <v>3</v>
      </c>
      <c r="E91" s="8" t="s">
        <v>4159</v>
      </c>
      <c r="F91" s="8" t="s">
        <v>2142</v>
      </c>
      <c r="G91" s="3" t="s">
        <v>12585</v>
      </c>
      <c r="H91" s="8" t="s">
        <v>2553</v>
      </c>
      <c r="I91" s="8" t="s">
        <v>2970</v>
      </c>
      <c r="J91" s="8" t="s">
        <v>3150</v>
      </c>
      <c r="K91" s="3" t="s">
        <v>12586</v>
      </c>
      <c r="L91" s="3" t="s">
        <v>12587</v>
      </c>
      <c r="M91" s="3" t="s">
        <v>12588</v>
      </c>
      <c r="N91" s="3" t="s">
        <v>12589</v>
      </c>
      <c r="O91" s="3" t="s">
        <v>12596</v>
      </c>
      <c r="P91" s="8" t="s">
        <v>2311</v>
      </c>
    </row>
    <row r="92" ht="12.75" customHeight="1">
      <c r="A92" s="8" t="s">
        <v>12523</v>
      </c>
      <c r="B92" s="8" t="s">
        <v>12526</v>
      </c>
      <c r="C92" s="8" t="s">
        <v>12528</v>
      </c>
      <c r="D92" s="3" t="s">
        <v>3</v>
      </c>
      <c r="E92" s="8" t="s">
        <v>12530</v>
      </c>
      <c r="F92" s="3" t="s">
        <v>2142</v>
      </c>
      <c r="I92" s="3" t="s">
        <v>3162</v>
      </c>
      <c r="J92" s="3" t="s">
        <v>3161</v>
      </c>
      <c r="K92" s="3" t="s">
        <v>12586</v>
      </c>
      <c r="L92" s="3" t="s">
        <v>12587</v>
      </c>
      <c r="M92" s="3" t="s">
        <v>12588</v>
      </c>
      <c r="N92" s="3" t="s">
        <v>12589</v>
      </c>
      <c r="O92" s="3" t="s">
        <v>12594</v>
      </c>
      <c r="P92" s="3" t="s">
        <v>2168</v>
      </c>
    </row>
    <row r="93" ht="12.75" customHeight="1">
      <c r="A93" s="8" t="s">
        <v>422</v>
      </c>
      <c r="B93" s="8" t="s">
        <v>4619</v>
      </c>
      <c r="C93" s="8" t="s">
        <v>4630</v>
      </c>
      <c r="D93" s="3" t="s">
        <v>3</v>
      </c>
      <c r="E93" s="8" t="s">
        <v>4634</v>
      </c>
      <c r="F93" s="8" t="s">
        <v>2142</v>
      </c>
      <c r="I93" s="8" t="s">
        <v>3063</v>
      </c>
      <c r="J93" s="8" t="s">
        <v>3062</v>
      </c>
      <c r="K93" s="3" t="s">
        <v>12586</v>
      </c>
      <c r="L93" s="3" t="s">
        <v>12587</v>
      </c>
      <c r="M93" s="3" t="s">
        <v>12588</v>
      </c>
      <c r="N93" s="3" t="s">
        <v>12589</v>
      </c>
      <c r="O93" s="3" t="s">
        <v>12590</v>
      </c>
      <c r="P93" s="8" t="s">
        <v>2143</v>
      </c>
    </row>
    <row r="94" ht="12.75" customHeight="1">
      <c r="A94" s="8" t="s">
        <v>501</v>
      </c>
      <c r="B94" s="8" t="s">
        <v>4811</v>
      </c>
      <c r="C94" s="8" t="s">
        <v>4821</v>
      </c>
      <c r="D94" s="3" t="s">
        <v>3</v>
      </c>
      <c r="E94" s="8" t="s">
        <v>4823</v>
      </c>
      <c r="F94" s="3" t="s">
        <v>2142</v>
      </c>
      <c r="G94" s="3" t="s">
        <v>12585</v>
      </c>
      <c r="H94" s="8" t="s">
        <v>2377</v>
      </c>
      <c r="I94" s="8" t="s">
        <v>3067</v>
      </c>
      <c r="J94" s="8" t="s">
        <v>3068</v>
      </c>
      <c r="K94" s="3" t="s">
        <v>12586</v>
      </c>
      <c r="L94" s="3" t="s">
        <v>12587</v>
      </c>
      <c r="M94" s="3" t="s">
        <v>12588</v>
      </c>
      <c r="N94" s="3" t="s">
        <v>12589</v>
      </c>
      <c r="O94" s="3" t="s">
        <v>12590</v>
      </c>
      <c r="P94" s="8" t="s">
        <v>2143</v>
      </c>
    </row>
    <row r="95" ht="12.75" customHeight="1">
      <c r="A95" s="8" t="s">
        <v>420</v>
      </c>
      <c r="B95" s="8" t="s">
        <v>4717</v>
      </c>
      <c r="C95" s="8" t="s">
        <v>2135</v>
      </c>
      <c r="D95" s="3" t="s">
        <v>3</v>
      </c>
      <c r="E95" s="8" t="s">
        <v>4730</v>
      </c>
      <c r="F95" s="8" t="s">
        <v>2283</v>
      </c>
      <c r="G95" s="8" t="s">
        <v>2357</v>
      </c>
      <c r="H95" s="8" t="s">
        <v>2456</v>
      </c>
      <c r="I95" s="8" t="s">
        <v>2968</v>
      </c>
      <c r="J95" s="8" t="s">
        <v>3117</v>
      </c>
      <c r="K95" s="3" t="s">
        <v>12586</v>
      </c>
      <c r="L95" s="3" t="s">
        <v>12587</v>
      </c>
      <c r="M95" s="3" t="s">
        <v>12588</v>
      </c>
      <c r="N95" s="3" t="s">
        <v>12589</v>
      </c>
      <c r="O95" s="3" t="s">
        <v>12598</v>
      </c>
      <c r="P95" s="8" t="s">
        <v>2361</v>
      </c>
    </row>
    <row r="96" ht="12.75" customHeight="1">
      <c r="A96" s="8" t="s">
        <v>432</v>
      </c>
      <c r="B96" s="8" t="s">
        <v>4700</v>
      </c>
      <c r="C96" s="8" t="s">
        <v>4710</v>
      </c>
      <c r="D96" s="3" t="s">
        <v>3</v>
      </c>
      <c r="E96" s="8" t="s">
        <v>4712</v>
      </c>
      <c r="F96" s="8" t="s">
        <v>2147</v>
      </c>
      <c r="I96" s="8" t="s">
        <v>2968</v>
      </c>
      <c r="J96" s="8" t="s">
        <v>3117</v>
      </c>
      <c r="K96" s="3" t="s">
        <v>12586</v>
      </c>
      <c r="L96" s="3" t="s">
        <v>12587</v>
      </c>
      <c r="M96" s="3" t="s">
        <v>12588</v>
      </c>
      <c r="N96" s="3" t="s">
        <v>12589</v>
      </c>
      <c r="O96" s="3" t="s">
        <v>12607</v>
      </c>
      <c r="P96" s="8" t="s">
        <v>2186</v>
      </c>
    </row>
    <row r="97" ht="12.75" customHeight="1">
      <c r="A97" s="8" t="s">
        <v>1613</v>
      </c>
      <c r="B97" s="8" t="s">
        <v>10112</v>
      </c>
      <c r="C97" s="8" t="s">
        <v>10119</v>
      </c>
      <c r="D97" s="3" t="s">
        <v>3</v>
      </c>
      <c r="E97" s="8" t="s">
        <v>10121</v>
      </c>
      <c r="F97" s="8" t="s">
        <v>2142</v>
      </c>
      <c r="G97" s="3" t="s">
        <v>12585</v>
      </c>
      <c r="H97" s="8" t="s">
        <v>2350</v>
      </c>
      <c r="I97" s="8" t="s">
        <v>3097</v>
      </c>
      <c r="J97" s="8" t="s">
        <v>3096</v>
      </c>
      <c r="K97" s="3" t="s">
        <v>12586</v>
      </c>
      <c r="L97" s="3" t="s">
        <v>12587</v>
      </c>
      <c r="M97" s="3" t="s">
        <v>12588</v>
      </c>
      <c r="N97" s="3" t="s">
        <v>12589</v>
      </c>
      <c r="O97" s="3" t="s">
        <v>12590</v>
      </c>
      <c r="P97" s="8" t="s">
        <v>2143</v>
      </c>
    </row>
    <row r="98" ht="12.75" customHeight="1">
      <c r="A98" s="8" t="s">
        <v>435</v>
      </c>
      <c r="B98" s="8" t="s">
        <v>4676</v>
      </c>
      <c r="C98" s="8" t="s">
        <v>4692</v>
      </c>
      <c r="D98" s="3" t="s">
        <v>3</v>
      </c>
      <c r="E98" s="8" t="s">
        <v>4695</v>
      </c>
      <c r="F98" s="8" t="s">
        <v>2142</v>
      </c>
      <c r="G98" s="3" t="s">
        <v>12620</v>
      </c>
      <c r="H98" s="3" t="s">
        <v>12621</v>
      </c>
      <c r="I98" s="8" t="s">
        <v>2968</v>
      </c>
      <c r="J98" s="8" t="s">
        <v>3139</v>
      </c>
      <c r="K98" s="3" t="s">
        <v>12586</v>
      </c>
      <c r="L98" s="3" t="s">
        <v>12587</v>
      </c>
      <c r="M98" s="3" t="s">
        <v>12588</v>
      </c>
      <c r="N98" s="3" t="s">
        <v>12589</v>
      </c>
      <c r="O98" s="3" t="s">
        <v>12600</v>
      </c>
      <c r="P98" s="8" t="s">
        <v>2284</v>
      </c>
    </row>
    <row r="99" ht="12.75" customHeight="1">
      <c r="A99" s="8" t="s">
        <v>416</v>
      </c>
      <c r="B99" s="8" t="s">
        <v>4590</v>
      </c>
      <c r="C99" s="8" t="s">
        <v>4600</v>
      </c>
      <c r="D99" s="3" t="s">
        <v>3</v>
      </c>
      <c r="E99" s="8" t="s">
        <v>4603</v>
      </c>
      <c r="F99" s="8" t="s">
        <v>2283</v>
      </c>
      <c r="G99" s="8" t="s">
        <v>2357</v>
      </c>
      <c r="H99" s="8" t="s">
        <v>2356</v>
      </c>
      <c r="I99" s="8" t="s">
        <v>3047</v>
      </c>
      <c r="J99" s="8" t="s">
        <v>3046</v>
      </c>
      <c r="K99" s="3" t="s">
        <v>12586</v>
      </c>
      <c r="L99" s="3" t="s">
        <v>12587</v>
      </c>
      <c r="M99" s="3" t="s">
        <v>12588</v>
      </c>
      <c r="N99" s="3" t="s">
        <v>12589</v>
      </c>
      <c r="O99" s="3" t="s">
        <v>12622</v>
      </c>
      <c r="P99" s="8" t="s">
        <v>2297</v>
      </c>
    </row>
    <row r="100" ht="12.75" customHeight="1">
      <c r="A100" s="8" t="s">
        <v>390</v>
      </c>
      <c r="B100" s="8" t="s">
        <v>4480</v>
      </c>
      <c r="C100" s="8" t="s">
        <v>4483</v>
      </c>
      <c r="D100" s="3" t="s">
        <v>3</v>
      </c>
      <c r="E100" s="8" t="s">
        <v>4485</v>
      </c>
      <c r="F100" s="8" t="s">
        <v>2142</v>
      </c>
      <c r="G100" s="3" t="s">
        <v>12620</v>
      </c>
      <c r="H100" s="8" t="s">
        <v>2163</v>
      </c>
      <c r="I100" s="8" t="s">
        <v>3061</v>
      </c>
      <c r="J100" s="8" t="s">
        <v>3060</v>
      </c>
      <c r="K100" s="3" t="s">
        <v>12586</v>
      </c>
      <c r="L100" s="3" t="s">
        <v>12587</v>
      </c>
      <c r="M100" s="3" t="s">
        <v>12588</v>
      </c>
      <c r="N100" s="3" t="s">
        <v>12589</v>
      </c>
      <c r="O100" s="3" t="s">
        <v>12590</v>
      </c>
      <c r="P100" s="8" t="s">
        <v>2143</v>
      </c>
    </row>
    <row r="101" ht="12.75" customHeight="1">
      <c r="A101" s="8" t="s">
        <v>572</v>
      </c>
      <c r="B101" s="8" t="s">
        <v>4988</v>
      </c>
      <c r="C101" s="8" t="s">
        <v>5004</v>
      </c>
      <c r="D101" s="3" t="s">
        <v>3</v>
      </c>
      <c r="E101" s="8" t="s">
        <v>5006</v>
      </c>
      <c r="F101" s="8" t="s">
        <v>2147</v>
      </c>
      <c r="G101" s="3" t="s">
        <v>12603</v>
      </c>
      <c r="H101" s="8" t="s">
        <v>2185</v>
      </c>
      <c r="I101" s="8" t="s">
        <v>3215</v>
      </c>
      <c r="J101" s="8" t="s">
        <v>3214</v>
      </c>
      <c r="K101" s="3" t="s">
        <v>12586</v>
      </c>
      <c r="L101" s="3" t="s">
        <v>12587</v>
      </c>
      <c r="M101" s="3" t="s">
        <v>12588</v>
      </c>
      <c r="N101" s="3" t="s">
        <v>12589</v>
      </c>
      <c r="O101" s="3" t="s">
        <v>12607</v>
      </c>
      <c r="P101" s="8" t="s">
        <v>2186</v>
      </c>
    </row>
    <row r="102" ht="12.75" customHeight="1">
      <c r="A102" s="8" t="s">
        <v>540</v>
      </c>
      <c r="B102" s="8" t="s">
        <v>2135</v>
      </c>
      <c r="C102" s="8" t="s">
        <v>4954</v>
      </c>
      <c r="D102" s="3" t="s">
        <v>3</v>
      </c>
      <c r="E102" s="8" t="s">
        <v>4956</v>
      </c>
      <c r="F102" s="8" t="s">
        <v>2943</v>
      </c>
      <c r="I102" s="8" t="s">
        <v>2976</v>
      </c>
      <c r="J102" s="8" t="s">
        <v>2975</v>
      </c>
      <c r="K102" s="3" t="s">
        <v>12586</v>
      </c>
      <c r="L102" s="3" t="s">
        <v>12587</v>
      </c>
      <c r="M102" s="3" t="s">
        <v>12588</v>
      </c>
      <c r="N102" s="3" t="s">
        <v>12589</v>
      </c>
      <c r="O102" s="3" t="s">
        <v>12623</v>
      </c>
      <c r="P102" s="8" t="s">
        <v>2944</v>
      </c>
    </row>
    <row r="103" ht="12.75" customHeight="1">
      <c r="A103" s="8" t="s">
        <v>600</v>
      </c>
      <c r="B103" s="8" t="s">
        <v>5177</v>
      </c>
      <c r="C103" s="8" t="s">
        <v>5191</v>
      </c>
      <c r="D103" s="3" t="s">
        <v>3</v>
      </c>
      <c r="E103" s="8" t="s">
        <v>5193</v>
      </c>
      <c r="F103" s="8" t="s">
        <v>2147</v>
      </c>
      <c r="I103" s="8" t="s">
        <v>3037</v>
      </c>
      <c r="J103" s="8" t="s">
        <v>3036</v>
      </c>
      <c r="K103" s="3" t="s">
        <v>12586</v>
      </c>
      <c r="L103" s="3" t="s">
        <v>12587</v>
      </c>
      <c r="M103" s="3" t="s">
        <v>12588</v>
      </c>
      <c r="N103" s="3" t="s">
        <v>12589</v>
      </c>
      <c r="O103" s="3" t="s">
        <v>12609</v>
      </c>
      <c r="P103" s="8" t="s">
        <v>2157</v>
      </c>
    </row>
    <row r="104" ht="12.75" customHeight="1">
      <c r="A104" s="8" t="s">
        <v>1585</v>
      </c>
      <c r="B104" s="8" t="s">
        <v>9980</v>
      </c>
      <c r="C104" s="8" t="s">
        <v>9984</v>
      </c>
      <c r="D104" s="3" t="s">
        <v>3</v>
      </c>
      <c r="E104" s="8" t="s">
        <v>9986</v>
      </c>
      <c r="F104" s="8" t="s">
        <v>2142</v>
      </c>
      <c r="G104" s="3" t="s">
        <v>12585</v>
      </c>
      <c r="H104" s="8" t="s">
        <v>2553</v>
      </c>
      <c r="I104" s="8" t="s">
        <v>3092</v>
      </c>
      <c r="J104" s="8" t="s">
        <v>3094</v>
      </c>
      <c r="K104" s="3" t="s">
        <v>12586</v>
      </c>
      <c r="L104" s="3" t="s">
        <v>12587</v>
      </c>
      <c r="M104" s="3" t="s">
        <v>12588</v>
      </c>
      <c r="N104" s="3" t="s">
        <v>12589</v>
      </c>
      <c r="O104" s="3" t="s">
        <v>12590</v>
      </c>
      <c r="P104" s="8" t="s">
        <v>2143</v>
      </c>
    </row>
    <row r="105" ht="12.75" customHeight="1">
      <c r="A105" s="8" t="s">
        <v>574</v>
      </c>
      <c r="B105" s="8" t="s">
        <v>5011</v>
      </c>
      <c r="C105" s="8" t="s">
        <v>5019</v>
      </c>
      <c r="D105" s="3" t="s">
        <v>3</v>
      </c>
      <c r="E105" s="8" t="s">
        <v>5021</v>
      </c>
      <c r="F105" s="8" t="s">
        <v>2147</v>
      </c>
      <c r="I105" s="8" t="s">
        <v>3034</v>
      </c>
      <c r="J105" s="8" t="s">
        <v>3033</v>
      </c>
      <c r="K105" s="3" t="s">
        <v>12586</v>
      </c>
      <c r="L105" s="3" t="s">
        <v>12587</v>
      </c>
      <c r="M105" s="3" t="s">
        <v>12588</v>
      </c>
      <c r="N105" s="3" t="s">
        <v>12589</v>
      </c>
      <c r="O105" s="3" t="s">
        <v>12609</v>
      </c>
      <c r="P105" s="8" t="s">
        <v>2275</v>
      </c>
    </row>
    <row r="106" ht="12.75" customHeight="1">
      <c r="A106" s="8" t="s">
        <v>325</v>
      </c>
      <c r="B106" s="8" t="s">
        <v>4188</v>
      </c>
      <c r="C106" s="8" t="s">
        <v>4201</v>
      </c>
      <c r="D106" s="3" t="s">
        <v>3</v>
      </c>
      <c r="E106" s="8" t="s">
        <v>4205</v>
      </c>
      <c r="F106" s="8" t="s">
        <v>2283</v>
      </c>
      <c r="G106" s="3" t="s">
        <v>12624</v>
      </c>
      <c r="H106" s="8" t="s">
        <v>2282</v>
      </c>
      <c r="I106" s="8" t="s">
        <v>3138</v>
      </c>
      <c r="J106" s="8" t="s">
        <v>3137</v>
      </c>
      <c r="K106" s="3" t="s">
        <v>12586</v>
      </c>
      <c r="L106" s="3" t="s">
        <v>12587</v>
      </c>
      <c r="M106" s="3" t="s">
        <v>12588</v>
      </c>
      <c r="N106" s="3" t="s">
        <v>12589</v>
      </c>
      <c r="O106" s="3" t="s">
        <v>12600</v>
      </c>
      <c r="P106" s="8" t="s">
        <v>2284</v>
      </c>
    </row>
    <row r="107" ht="12.75" customHeight="1">
      <c r="A107" s="8" t="s">
        <v>581</v>
      </c>
      <c r="B107" s="8" t="s">
        <v>5067</v>
      </c>
      <c r="C107" s="8" t="s">
        <v>5079</v>
      </c>
      <c r="D107" s="3" t="s">
        <v>3</v>
      </c>
      <c r="E107" s="8" t="s">
        <v>5081</v>
      </c>
      <c r="F107" s="8" t="s">
        <v>2142</v>
      </c>
      <c r="G107" s="3" t="s">
        <v>12585</v>
      </c>
      <c r="H107" s="8" t="s">
        <v>2379</v>
      </c>
      <c r="I107" s="8" t="s">
        <v>3120</v>
      </c>
      <c r="J107" s="8" t="s">
        <v>3153</v>
      </c>
      <c r="K107" s="3" t="s">
        <v>12586</v>
      </c>
      <c r="L107" s="3" t="s">
        <v>12587</v>
      </c>
      <c r="M107" s="3" t="s">
        <v>12588</v>
      </c>
      <c r="N107" s="3" t="s">
        <v>12589</v>
      </c>
      <c r="O107" s="3" t="s">
        <v>12596</v>
      </c>
      <c r="P107" s="8" t="s">
        <v>2311</v>
      </c>
    </row>
    <row r="108" ht="12.75" customHeight="1">
      <c r="A108" s="8" t="s">
        <v>489</v>
      </c>
      <c r="B108" s="8" t="s">
        <v>4776</v>
      </c>
      <c r="C108" s="8" t="s">
        <v>4787</v>
      </c>
      <c r="D108" s="3" t="s">
        <v>3</v>
      </c>
      <c r="E108" s="8" t="s">
        <v>4789</v>
      </c>
      <c r="F108" s="8" t="s">
        <v>2142</v>
      </c>
      <c r="G108" s="3" t="s">
        <v>12585</v>
      </c>
      <c r="H108" s="8" t="s">
        <v>2497</v>
      </c>
      <c r="I108" s="8" t="s">
        <v>3065</v>
      </c>
      <c r="J108" s="8" t="s">
        <v>3165</v>
      </c>
      <c r="K108" s="3" t="s">
        <v>12586</v>
      </c>
      <c r="L108" s="3" t="s">
        <v>12587</v>
      </c>
      <c r="M108" s="3" t="s">
        <v>12588</v>
      </c>
      <c r="N108" s="3" t="s">
        <v>12589</v>
      </c>
      <c r="O108" s="3" t="s">
        <v>12594</v>
      </c>
      <c r="P108" s="8" t="s">
        <v>2168</v>
      </c>
    </row>
    <row r="109" ht="12.75" customHeight="1">
      <c r="A109" s="8" t="s">
        <v>503</v>
      </c>
      <c r="B109" s="8" t="s">
        <v>4794</v>
      </c>
      <c r="C109" s="8" t="s">
        <v>4804</v>
      </c>
      <c r="D109" s="3" t="s">
        <v>3</v>
      </c>
      <c r="E109" s="8" t="s">
        <v>4806</v>
      </c>
      <c r="F109" s="8" t="s">
        <v>2142</v>
      </c>
      <c r="G109" s="3" t="s">
        <v>12585</v>
      </c>
      <c r="H109" s="8" t="s">
        <v>2352</v>
      </c>
      <c r="I109" s="8" t="s">
        <v>3067</v>
      </c>
      <c r="J109" s="8" t="s">
        <v>3066</v>
      </c>
      <c r="K109" s="3" t="s">
        <v>12586</v>
      </c>
      <c r="L109" s="3" t="s">
        <v>12587</v>
      </c>
      <c r="M109" s="3" t="s">
        <v>12588</v>
      </c>
      <c r="N109" s="3" t="s">
        <v>12589</v>
      </c>
      <c r="O109" s="3" t="s">
        <v>12590</v>
      </c>
      <c r="P109" s="8" t="s">
        <v>2143</v>
      </c>
    </row>
    <row r="110" ht="12.75" customHeight="1">
      <c r="A110" s="8" t="s">
        <v>491</v>
      </c>
      <c r="B110" s="8" t="s">
        <v>4759</v>
      </c>
      <c r="C110" s="8" t="s">
        <v>4769</v>
      </c>
      <c r="D110" s="3" t="s">
        <v>3</v>
      </c>
      <c r="E110" s="8" t="s">
        <v>4771</v>
      </c>
      <c r="F110" s="8" t="s">
        <v>2142</v>
      </c>
      <c r="G110" s="3" t="s">
        <v>12585</v>
      </c>
      <c r="H110" s="8" t="s">
        <v>2538</v>
      </c>
      <c r="I110" s="8" t="s">
        <v>3065</v>
      </c>
      <c r="J110" s="8" t="s">
        <v>3064</v>
      </c>
      <c r="K110" s="3" t="s">
        <v>12586</v>
      </c>
      <c r="L110" s="3" t="s">
        <v>12587</v>
      </c>
      <c r="M110" s="3" t="s">
        <v>12588</v>
      </c>
      <c r="N110" s="3" t="s">
        <v>12589</v>
      </c>
      <c r="O110" s="3" t="s">
        <v>12590</v>
      </c>
      <c r="P110" s="8" t="s">
        <v>2143</v>
      </c>
    </row>
    <row r="111" ht="12.75" customHeight="1">
      <c r="A111" s="8" t="s">
        <v>387</v>
      </c>
      <c r="B111" s="8" t="s">
        <v>4464</v>
      </c>
      <c r="C111" s="8" t="s">
        <v>4473</v>
      </c>
      <c r="D111" s="3" t="s">
        <v>3</v>
      </c>
      <c r="E111" s="8" t="s">
        <v>4476</v>
      </c>
      <c r="F111" s="8" t="s">
        <v>2142</v>
      </c>
      <c r="G111" s="3" t="s">
        <v>12585</v>
      </c>
      <c r="H111" s="8" t="s">
        <v>2553</v>
      </c>
      <c r="I111" s="8" t="s">
        <v>3051</v>
      </c>
      <c r="J111" s="8" t="s">
        <v>3050</v>
      </c>
      <c r="K111" s="3" t="s">
        <v>12586</v>
      </c>
      <c r="L111" s="3" t="s">
        <v>12587</v>
      </c>
      <c r="M111" s="3" t="s">
        <v>12588</v>
      </c>
      <c r="N111" s="3" t="s">
        <v>12589</v>
      </c>
      <c r="O111" s="3" t="s">
        <v>12625</v>
      </c>
      <c r="P111" s="8" t="s">
        <v>2557</v>
      </c>
    </row>
    <row r="112" ht="12.75" customHeight="1">
      <c r="A112" s="8" t="s">
        <v>395</v>
      </c>
      <c r="B112" s="8" t="s">
        <v>4580</v>
      </c>
      <c r="C112" s="8" t="s">
        <v>4583</v>
      </c>
      <c r="D112" s="3" t="s">
        <v>3</v>
      </c>
      <c r="E112" s="8" t="s">
        <v>4585</v>
      </c>
      <c r="F112" s="8" t="s">
        <v>2147</v>
      </c>
      <c r="G112" s="3" t="s">
        <v>12603</v>
      </c>
      <c r="H112" s="8" t="s">
        <v>2146</v>
      </c>
      <c r="I112" s="8" t="s">
        <v>2980</v>
      </c>
      <c r="J112" s="8" t="s">
        <v>3043</v>
      </c>
      <c r="K112" s="3" t="s">
        <v>12586</v>
      </c>
      <c r="L112" s="3" t="s">
        <v>12587</v>
      </c>
      <c r="M112" s="3" t="s">
        <v>12588</v>
      </c>
      <c r="N112" s="3" t="s">
        <v>12589</v>
      </c>
      <c r="O112" s="3" t="s">
        <v>12609</v>
      </c>
      <c r="P112" s="8" t="s">
        <v>2148</v>
      </c>
    </row>
    <row r="113" ht="12.75" customHeight="1">
      <c r="A113" s="8" t="s">
        <v>272</v>
      </c>
      <c r="B113" s="8" t="s">
        <v>4029</v>
      </c>
      <c r="C113" s="8" t="s">
        <v>4036</v>
      </c>
      <c r="D113" s="3" t="s">
        <v>3</v>
      </c>
      <c r="E113" s="8" t="s">
        <v>4038</v>
      </c>
      <c r="F113" s="8" t="s">
        <v>2142</v>
      </c>
      <c r="I113" s="8" t="s">
        <v>2972</v>
      </c>
      <c r="J113" s="8" t="s">
        <v>3007</v>
      </c>
    </row>
    <row r="114" ht="12.75" customHeight="1">
      <c r="A114" s="8" t="s">
        <v>237</v>
      </c>
      <c r="B114" s="8" t="s">
        <v>3944</v>
      </c>
      <c r="C114" s="8" t="s">
        <v>3957</v>
      </c>
      <c r="D114" s="3" t="s">
        <v>3</v>
      </c>
      <c r="E114" s="8" t="s">
        <v>3960</v>
      </c>
      <c r="F114" s="8" t="s">
        <v>2147</v>
      </c>
      <c r="G114" s="3" t="s">
        <v>12603</v>
      </c>
      <c r="H114" s="8" t="s">
        <v>2299</v>
      </c>
      <c r="I114" s="8" t="s">
        <v>3209</v>
      </c>
      <c r="J114" s="8" t="s">
        <v>3208</v>
      </c>
      <c r="K114" s="3" t="s">
        <v>12586</v>
      </c>
      <c r="L114" s="3" t="s">
        <v>12587</v>
      </c>
      <c r="M114" s="3" t="s">
        <v>12588</v>
      </c>
      <c r="N114" s="3" t="s">
        <v>12589</v>
      </c>
      <c r="O114" s="3" t="s">
        <v>12607</v>
      </c>
      <c r="P114" s="8" t="s">
        <v>2186</v>
      </c>
    </row>
    <row r="115" ht="12.75" customHeight="1">
      <c r="A115" s="8" t="s">
        <v>256</v>
      </c>
      <c r="B115" s="8" t="s">
        <v>4113</v>
      </c>
      <c r="C115" s="8" t="s">
        <v>4118</v>
      </c>
      <c r="D115" s="3" t="s">
        <v>3</v>
      </c>
      <c r="E115" s="8" t="s">
        <v>4120</v>
      </c>
      <c r="F115" s="8" t="s">
        <v>2142</v>
      </c>
      <c r="G115" s="3" t="s">
        <v>12585</v>
      </c>
      <c r="H115" s="8" t="s">
        <v>2553</v>
      </c>
      <c r="I115" s="8" t="s">
        <v>2970</v>
      </c>
      <c r="J115" s="8" t="s">
        <v>3133</v>
      </c>
      <c r="K115" s="3" t="s">
        <v>12586</v>
      </c>
      <c r="L115" s="3" t="s">
        <v>12587</v>
      </c>
      <c r="M115" s="3" t="s">
        <v>12588</v>
      </c>
      <c r="N115" s="3" t="s">
        <v>12589</v>
      </c>
      <c r="O115" s="3" t="s">
        <v>12600</v>
      </c>
      <c r="P115" s="8" t="s">
        <v>2166</v>
      </c>
    </row>
    <row r="116" ht="12.75" customHeight="1">
      <c r="A116" s="8" t="s">
        <v>418</v>
      </c>
      <c r="B116" s="8" t="s">
        <v>4605</v>
      </c>
      <c r="C116" s="8" t="s">
        <v>2135</v>
      </c>
      <c r="D116" s="3" t="s">
        <v>3</v>
      </c>
      <c r="E116" s="8" t="s">
        <v>4609</v>
      </c>
      <c r="F116" s="8" t="s">
        <v>2142</v>
      </c>
      <c r="I116" s="8" t="s">
        <v>3164</v>
      </c>
      <c r="J116" s="8" t="s">
        <v>3163</v>
      </c>
      <c r="K116" s="3" t="s">
        <v>12586</v>
      </c>
      <c r="L116" s="3" t="s">
        <v>12587</v>
      </c>
      <c r="M116" s="3" t="s">
        <v>12588</v>
      </c>
      <c r="N116" s="3" t="s">
        <v>12589</v>
      </c>
      <c r="O116" s="3" t="s">
        <v>12594</v>
      </c>
      <c r="P116" s="8" t="s">
        <v>2168</v>
      </c>
    </row>
    <row r="117" ht="12.75" customHeight="1">
      <c r="A117" s="8" t="s">
        <v>316</v>
      </c>
      <c r="B117" s="8" t="s">
        <v>4165</v>
      </c>
      <c r="C117" s="8" t="s">
        <v>4179</v>
      </c>
      <c r="D117" s="3" t="s">
        <v>3</v>
      </c>
      <c r="E117" s="8" t="s">
        <v>4182</v>
      </c>
      <c r="F117" s="8" t="s">
        <v>2147</v>
      </c>
      <c r="G117" s="8" t="s">
        <v>2217</v>
      </c>
      <c r="I117" s="8" t="s">
        <v>3195</v>
      </c>
      <c r="J117" s="8" t="s">
        <v>3194</v>
      </c>
      <c r="K117" s="3" t="s">
        <v>12586</v>
      </c>
      <c r="L117" s="3" t="s">
        <v>12587</v>
      </c>
      <c r="M117" s="3" t="s">
        <v>12588</v>
      </c>
      <c r="N117" s="3" t="s">
        <v>12589</v>
      </c>
      <c r="O117" s="3" t="s">
        <v>12592</v>
      </c>
      <c r="P117" s="8" t="s">
        <v>2260</v>
      </c>
    </row>
    <row r="118" ht="12.75" customHeight="1">
      <c r="A118" s="8" t="s">
        <v>319</v>
      </c>
      <c r="B118" s="8" t="s">
        <v>4251</v>
      </c>
      <c r="C118" s="8" t="s">
        <v>2135</v>
      </c>
      <c r="D118" s="3" t="s">
        <v>3</v>
      </c>
      <c r="E118" s="8" t="s">
        <v>4264</v>
      </c>
      <c r="F118" s="8" t="s">
        <v>2147</v>
      </c>
      <c r="G118" s="8" t="s">
        <v>2217</v>
      </c>
      <c r="H118" s="8" t="s">
        <v>2600</v>
      </c>
      <c r="I118" s="8" t="s">
        <v>3012</v>
      </c>
      <c r="J118" s="8" t="s">
        <v>3121</v>
      </c>
      <c r="K118" s="3" t="s">
        <v>12586</v>
      </c>
      <c r="L118" s="3" t="s">
        <v>12587</v>
      </c>
      <c r="M118" s="3" t="s">
        <v>12588</v>
      </c>
      <c r="N118" s="3" t="s">
        <v>12589</v>
      </c>
      <c r="O118" s="3" t="s">
        <v>12600</v>
      </c>
      <c r="P118" s="8" t="s">
        <v>2221</v>
      </c>
    </row>
    <row r="119" ht="12.75" customHeight="1">
      <c r="A119" s="8" t="s">
        <v>564</v>
      </c>
      <c r="B119" s="8" t="s">
        <v>4974</v>
      </c>
      <c r="C119" s="8" t="s">
        <v>4981</v>
      </c>
      <c r="D119" s="3" t="s">
        <v>3</v>
      </c>
      <c r="E119" s="8" t="s">
        <v>4983</v>
      </c>
      <c r="F119" s="8" t="s">
        <v>2142</v>
      </c>
      <c r="G119" s="3" t="s">
        <v>12585</v>
      </c>
      <c r="H119" s="8" t="s">
        <v>2553</v>
      </c>
      <c r="I119" s="8" t="s">
        <v>3135</v>
      </c>
      <c r="J119" s="8" t="s">
        <v>3134</v>
      </c>
      <c r="K119" s="3" t="s">
        <v>12586</v>
      </c>
      <c r="L119" s="3" t="s">
        <v>12587</v>
      </c>
      <c r="M119" s="3" t="s">
        <v>12588</v>
      </c>
      <c r="N119" s="3" t="s">
        <v>12589</v>
      </c>
      <c r="O119" s="3" t="s">
        <v>12600</v>
      </c>
      <c r="P119" s="8" t="s">
        <v>2166</v>
      </c>
    </row>
    <row r="120" ht="12.75" customHeight="1">
      <c r="A120" s="8" t="s">
        <v>340</v>
      </c>
      <c r="B120" s="8" t="s">
        <v>4296</v>
      </c>
      <c r="C120" s="8" t="s">
        <v>4306</v>
      </c>
      <c r="D120" s="3" t="s">
        <v>3</v>
      </c>
      <c r="E120" s="8" t="s">
        <v>4308</v>
      </c>
      <c r="F120" s="8" t="s">
        <v>2147</v>
      </c>
      <c r="G120" s="3" t="s">
        <v>12603</v>
      </c>
      <c r="H120" s="8" t="s">
        <v>2462</v>
      </c>
      <c r="I120" s="8" t="s">
        <v>3211</v>
      </c>
      <c r="J120" s="8" t="s">
        <v>3210</v>
      </c>
      <c r="K120" s="3" t="s">
        <v>12586</v>
      </c>
      <c r="L120" s="3" t="s">
        <v>12587</v>
      </c>
      <c r="M120" s="3" t="s">
        <v>12588</v>
      </c>
      <c r="N120" s="3" t="s">
        <v>12589</v>
      </c>
      <c r="O120" s="3" t="s">
        <v>12607</v>
      </c>
      <c r="P120" s="8" t="s">
        <v>2186</v>
      </c>
    </row>
    <row r="121" ht="12.75" customHeight="1">
      <c r="A121" s="8" t="s">
        <v>364</v>
      </c>
      <c r="B121" s="8" t="s">
        <v>4371</v>
      </c>
      <c r="C121" s="8" t="s">
        <v>4376</v>
      </c>
      <c r="D121" s="3" t="s">
        <v>3</v>
      </c>
      <c r="E121" s="8" t="s">
        <v>4378</v>
      </c>
      <c r="F121" s="8" t="s">
        <v>2147</v>
      </c>
      <c r="G121" s="8" t="s">
        <v>2217</v>
      </c>
      <c r="I121" s="8" t="s">
        <v>3016</v>
      </c>
      <c r="J121" s="8" t="s">
        <v>3015</v>
      </c>
      <c r="K121" s="3" t="s">
        <v>12586</v>
      </c>
      <c r="L121" s="3" t="s">
        <v>12587</v>
      </c>
      <c r="M121" s="3" t="s">
        <v>12588</v>
      </c>
      <c r="N121" s="3" t="s">
        <v>12589</v>
      </c>
      <c r="O121" s="3" t="s">
        <v>12616</v>
      </c>
      <c r="P121" s="8" t="s">
        <v>2218</v>
      </c>
    </row>
    <row r="122" ht="12.75" customHeight="1">
      <c r="A122" s="8" t="s">
        <v>585</v>
      </c>
      <c r="B122" s="8" t="s">
        <v>5104</v>
      </c>
      <c r="C122" s="8" t="s">
        <v>5114</v>
      </c>
      <c r="D122" s="3" t="s">
        <v>3</v>
      </c>
      <c r="E122" s="8" t="s">
        <v>5116</v>
      </c>
      <c r="F122" s="8" t="s">
        <v>2147</v>
      </c>
      <c r="G122" s="8" t="s">
        <v>2217</v>
      </c>
      <c r="H122" s="8" t="s">
        <v>2600</v>
      </c>
      <c r="I122" s="8" t="s">
        <v>3125</v>
      </c>
      <c r="J122" s="8" t="s">
        <v>3124</v>
      </c>
      <c r="K122" s="3" t="s">
        <v>12586</v>
      </c>
      <c r="L122" s="3" t="s">
        <v>12587</v>
      </c>
      <c r="M122" s="3" t="s">
        <v>12588</v>
      </c>
      <c r="N122" s="3" t="s">
        <v>12589</v>
      </c>
      <c r="O122" s="3" t="s">
        <v>12600</v>
      </c>
      <c r="P122" s="8" t="s">
        <v>2221</v>
      </c>
    </row>
    <row r="123" ht="12.75" customHeight="1">
      <c r="A123" s="8" t="s">
        <v>602</v>
      </c>
      <c r="B123" s="8" t="s">
        <v>5197</v>
      </c>
      <c r="C123" s="8" t="s">
        <v>5201</v>
      </c>
      <c r="D123" s="3" t="s">
        <v>3</v>
      </c>
      <c r="E123" s="8" t="s">
        <v>5203</v>
      </c>
      <c r="F123" s="8" t="s">
        <v>2147</v>
      </c>
      <c r="G123" s="8" t="s">
        <v>2217</v>
      </c>
      <c r="I123" s="8" t="s">
        <v>3193</v>
      </c>
      <c r="J123" s="8" t="s">
        <v>3192</v>
      </c>
      <c r="K123" s="3" t="s">
        <v>12586</v>
      </c>
      <c r="L123" s="3" t="s">
        <v>12587</v>
      </c>
      <c r="M123" s="3" t="s">
        <v>12588</v>
      </c>
      <c r="N123" s="3" t="s">
        <v>12589</v>
      </c>
      <c r="O123" s="3" t="s">
        <v>12626</v>
      </c>
      <c r="P123" s="8" t="s">
        <v>2840</v>
      </c>
    </row>
    <row r="124" ht="12.75" customHeight="1">
      <c r="A124" s="8" t="s">
        <v>592</v>
      </c>
      <c r="B124" s="8" t="s">
        <v>5323</v>
      </c>
      <c r="C124" s="8" t="s">
        <v>5328</v>
      </c>
      <c r="D124" s="3" t="s">
        <v>3</v>
      </c>
      <c r="E124" s="8" t="s">
        <v>5330</v>
      </c>
      <c r="F124" s="8" t="s">
        <v>2142</v>
      </c>
      <c r="G124" s="3" t="s">
        <v>12585</v>
      </c>
      <c r="H124" s="8" t="s">
        <v>2553</v>
      </c>
      <c r="I124" s="8" t="s">
        <v>3009</v>
      </c>
      <c r="J124" s="8" t="s">
        <v>3136</v>
      </c>
      <c r="K124" s="3" t="s">
        <v>12586</v>
      </c>
      <c r="L124" s="3" t="s">
        <v>12587</v>
      </c>
      <c r="M124" s="3" t="s">
        <v>12588</v>
      </c>
      <c r="N124" s="3" t="s">
        <v>12589</v>
      </c>
      <c r="O124" s="3" t="s">
        <v>12600</v>
      </c>
      <c r="P124" s="8" t="s">
        <v>2166</v>
      </c>
    </row>
    <row r="125" ht="12.75" customHeight="1">
      <c r="A125" s="8" t="s">
        <v>292</v>
      </c>
      <c r="B125" s="8" t="s">
        <v>4101</v>
      </c>
      <c r="C125" s="8" t="s">
        <v>4109</v>
      </c>
      <c r="D125" s="3" t="s">
        <v>3</v>
      </c>
      <c r="E125" s="8" t="s">
        <v>4111</v>
      </c>
      <c r="F125" s="8" t="s">
        <v>2283</v>
      </c>
      <c r="G125" s="3" t="s">
        <v>12624</v>
      </c>
      <c r="H125" s="8" t="s">
        <v>2282</v>
      </c>
      <c r="I125" s="8" t="s">
        <v>2970</v>
      </c>
      <c r="J125" s="8" t="s">
        <v>3140</v>
      </c>
      <c r="K125" s="3" t="s">
        <v>12586</v>
      </c>
      <c r="L125" s="3" t="s">
        <v>12587</v>
      </c>
      <c r="M125" s="3" t="s">
        <v>12588</v>
      </c>
      <c r="N125" s="3" t="s">
        <v>12589</v>
      </c>
      <c r="O125" s="3" t="s">
        <v>12627</v>
      </c>
      <c r="P125" s="8" t="s">
        <v>2287</v>
      </c>
    </row>
    <row r="126" ht="12.75" customHeight="1">
      <c r="A126" s="8" t="s">
        <v>727</v>
      </c>
      <c r="B126" s="8" t="s">
        <v>6590</v>
      </c>
      <c r="C126" s="8" t="s">
        <v>6597</v>
      </c>
      <c r="D126" s="3" t="s">
        <v>3</v>
      </c>
      <c r="E126" s="8" t="s">
        <v>6599</v>
      </c>
      <c r="F126" s="8" t="s">
        <v>2147</v>
      </c>
      <c r="G126" s="8" t="s">
        <v>2217</v>
      </c>
      <c r="H126" s="8" t="s">
        <v>2216</v>
      </c>
      <c r="I126" s="8" t="s">
        <v>2954</v>
      </c>
      <c r="J126" s="8" t="s">
        <v>3022</v>
      </c>
      <c r="K126" s="3" t="s">
        <v>12586</v>
      </c>
      <c r="L126" s="3" t="s">
        <v>12587</v>
      </c>
      <c r="M126" s="3" t="s">
        <v>12588</v>
      </c>
      <c r="N126" s="3" t="s">
        <v>12589</v>
      </c>
      <c r="O126" s="3" t="s">
        <v>12616</v>
      </c>
      <c r="P126" s="8" t="s">
        <v>2218</v>
      </c>
    </row>
    <row r="127" ht="12.75" customHeight="1">
      <c r="A127" s="8" t="s">
        <v>467</v>
      </c>
      <c r="B127" s="8" t="s">
        <v>5574</v>
      </c>
      <c r="C127" s="8" t="s">
        <v>5582</v>
      </c>
      <c r="D127" s="3" t="s">
        <v>3</v>
      </c>
      <c r="E127" s="8" t="s">
        <v>5584</v>
      </c>
      <c r="F127" s="8" t="s">
        <v>2147</v>
      </c>
      <c r="G127" s="8" t="s">
        <v>2217</v>
      </c>
      <c r="H127" s="8" t="s">
        <v>2216</v>
      </c>
      <c r="I127" s="8" t="s">
        <v>2954</v>
      </c>
      <c r="J127" s="8" t="s">
        <v>3022</v>
      </c>
      <c r="K127" s="3" t="s">
        <v>12586</v>
      </c>
      <c r="L127" s="3" t="s">
        <v>12587</v>
      </c>
      <c r="M127" s="3" t="s">
        <v>12588</v>
      </c>
      <c r="N127" s="3" t="s">
        <v>12589</v>
      </c>
      <c r="O127" s="3" t="s">
        <v>12595</v>
      </c>
      <c r="P127" s="8" t="s">
        <v>2224</v>
      </c>
    </row>
    <row r="128" ht="12.75" customHeight="1">
      <c r="A128" s="8" t="s">
        <v>757</v>
      </c>
      <c r="B128" s="8" t="s">
        <v>6390</v>
      </c>
      <c r="C128" s="8" t="s">
        <v>6398</v>
      </c>
      <c r="D128" s="3" t="s">
        <v>3</v>
      </c>
      <c r="E128" s="8" t="s">
        <v>6401</v>
      </c>
      <c r="F128" s="8" t="s">
        <v>2147</v>
      </c>
      <c r="G128" s="8" t="s">
        <v>2217</v>
      </c>
      <c r="H128" s="8" t="s">
        <v>2216</v>
      </c>
      <c r="I128" s="8" t="s">
        <v>2954</v>
      </c>
      <c r="J128" s="8" t="s">
        <v>3022</v>
      </c>
      <c r="K128" s="3" t="s">
        <v>12586</v>
      </c>
      <c r="L128" s="3" t="s">
        <v>12587</v>
      </c>
      <c r="M128" s="3" t="s">
        <v>12588</v>
      </c>
      <c r="N128" s="3" t="s">
        <v>12589</v>
      </c>
      <c r="O128" s="3" t="s">
        <v>12595</v>
      </c>
      <c r="P128" s="8" t="s">
        <v>2224</v>
      </c>
    </row>
    <row r="129" ht="12.75" customHeight="1">
      <c r="A129" s="8" t="s">
        <v>874</v>
      </c>
      <c r="B129" s="8" t="s">
        <v>5500</v>
      </c>
      <c r="C129" s="8" t="s">
        <v>5507</v>
      </c>
      <c r="D129" s="3" t="s">
        <v>3</v>
      </c>
      <c r="E129" s="8" t="s">
        <v>5509</v>
      </c>
      <c r="F129" s="8" t="s">
        <v>2142</v>
      </c>
      <c r="G129" s="3" t="s">
        <v>12585</v>
      </c>
      <c r="H129" s="8" t="s">
        <v>2553</v>
      </c>
      <c r="I129" s="8" t="s">
        <v>2954</v>
      </c>
      <c r="J129" s="8" t="s">
        <v>3022</v>
      </c>
      <c r="K129" s="3" t="s">
        <v>12586</v>
      </c>
      <c r="L129" s="3" t="s">
        <v>12587</v>
      </c>
      <c r="M129" s="3" t="s">
        <v>12588</v>
      </c>
      <c r="N129" s="3" t="s">
        <v>12589</v>
      </c>
      <c r="O129" s="3" t="s">
        <v>12600</v>
      </c>
      <c r="P129" s="8" t="s">
        <v>2166</v>
      </c>
    </row>
    <row r="130" ht="12.75" customHeight="1">
      <c r="A130" s="8" t="s">
        <v>849</v>
      </c>
      <c r="B130" s="8" t="s">
        <v>5619</v>
      </c>
      <c r="C130" s="8" t="s">
        <v>2135</v>
      </c>
      <c r="D130" s="3" t="s">
        <v>3</v>
      </c>
      <c r="E130" s="8" t="s">
        <v>5630</v>
      </c>
      <c r="F130" s="8" t="s">
        <v>2147</v>
      </c>
      <c r="G130" s="8" t="s">
        <v>2217</v>
      </c>
      <c r="H130" s="8" t="s">
        <v>2600</v>
      </c>
      <c r="I130" s="8" t="s">
        <v>2954</v>
      </c>
      <c r="J130" s="8" t="s">
        <v>3022</v>
      </c>
      <c r="K130" s="3" t="s">
        <v>12586</v>
      </c>
      <c r="L130" s="3" t="s">
        <v>12587</v>
      </c>
      <c r="M130" s="3" t="s">
        <v>12588</v>
      </c>
      <c r="N130" s="3" t="s">
        <v>12589</v>
      </c>
      <c r="O130" s="3" t="s">
        <v>12600</v>
      </c>
      <c r="P130" s="8" t="s">
        <v>2221</v>
      </c>
    </row>
    <row r="131" ht="12.75" customHeight="1">
      <c r="A131" s="8" t="s">
        <v>664</v>
      </c>
      <c r="B131" s="8" t="s">
        <v>6894</v>
      </c>
      <c r="C131" s="8" t="s">
        <v>6897</v>
      </c>
      <c r="D131" s="3" t="s">
        <v>3</v>
      </c>
      <c r="E131" s="8" t="s">
        <v>6899</v>
      </c>
      <c r="F131" s="8" t="s">
        <v>2147</v>
      </c>
      <c r="G131" s="8" t="s">
        <v>2217</v>
      </c>
      <c r="H131" s="8" t="s">
        <v>2600</v>
      </c>
      <c r="I131" s="8" t="s">
        <v>2954</v>
      </c>
      <c r="J131" s="8" t="s">
        <v>3022</v>
      </c>
      <c r="K131" s="3" t="s">
        <v>12586</v>
      </c>
      <c r="L131" s="3" t="s">
        <v>12587</v>
      </c>
      <c r="M131" s="3" t="s">
        <v>12588</v>
      </c>
      <c r="N131" s="3" t="s">
        <v>12589</v>
      </c>
      <c r="O131" s="3" t="s">
        <v>12600</v>
      </c>
      <c r="P131" s="8" t="s">
        <v>2221</v>
      </c>
    </row>
    <row r="132" ht="12.75" customHeight="1">
      <c r="A132" s="8" t="s">
        <v>658</v>
      </c>
      <c r="B132" s="8" t="s">
        <v>6928</v>
      </c>
      <c r="C132" s="8" t="s">
        <v>2135</v>
      </c>
      <c r="D132" s="3" t="s">
        <v>3</v>
      </c>
      <c r="E132" s="8" t="s">
        <v>6935</v>
      </c>
      <c r="F132" s="8" t="s">
        <v>2147</v>
      </c>
      <c r="G132" s="8" t="s">
        <v>2217</v>
      </c>
      <c r="H132" s="8" t="s">
        <v>2600</v>
      </c>
      <c r="I132" s="8" t="s">
        <v>2954</v>
      </c>
      <c r="J132" s="8" t="s">
        <v>3022</v>
      </c>
      <c r="K132" s="3" t="s">
        <v>12586</v>
      </c>
      <c r="L132" s="3" t="s">
        <v>12587</v>
      </c>
      <c r="M132" s="3" t="s">
        <v>12588</v>
      </c>
      <c r="N132" s="3" t="s">
        <v>12589</v>
      </c>
      <c r="O132" s="3" t="s">
        <v>12600</v>
      </c>
      <c r="P132" s="8" t="s">
        <v>2221</v>
      </c>
    </row>
    <row r="133" ht="12.75" customHeight="1">
      <c r="A133" s="8" t="s">
        <v>791</v>
      </c>
      <c r="B133" s="8" t="s">
        <v>6117</v>
      </c>
      <c r="C133" s="8" t="s">
        <v>6127</v>
      </c>
      <c r="D133" s="3" t="s">
        <v>3</v>
      </c>
      <c r="E133" s="8" t="s">
        <v>6129</v>
      </c>
      <c r="F133" s="8" t="s">
        <v>2147</v>
      </c>
      <c r="G133" s="8" t="s">
        <v>2217</v>
      </c>
      <c r="H133" s="8" t="s">
        <v>2600</v>
      </c>
      <c r="I133" s="8" t="s">
        <v>2954</v>
      </c>
      <c r="J133" s="8" t="s">
        <v>3022</v>
      </c>
      <c r="K133" s="3" t="s">
        <v>12586</v>
      </c>
      <c r="L133" s="3" t="s">
        <v>12587</v>
      </c>
      <c r="M133" s="3" t="s">
        <v>12588</v>
      </c>
      <c r="N133" s="3" t="s">
        <v>12589</v>
      </c>
      <c r="O133" s="3" t="s">
        <v>12595</v>
      </c>
      <c r="P133" s="8" t="s">
        <v>2224</v>
      </c>
    </row>
    <row r="134" ht="12.75" customHeight="1">
      <c r="A134" s="8" t="s">
        <v>704</v>
      </c>
      <c r="B134" s="8" t="s">
        <v>6713</v>
      </c>
      <c r="C134" s="8" t="s">
        <v>6719</v>
      </c>
      <c r="D134" s="3" t="s">
        <v>3</v>
      </c>
      <c r="E134" s="8" t="s">
        <v>6721</v>
      </c>
      <c r="F134" s="8" t="s">
        <v>2147</v>
      </c>
      <c r="G134" s="8" t="s">
        <v>2217</v>
      </c>
      <c r="H134" s="8" t="s">
        <v>2600</v>
      </c>
      <c r="I134" s="8" t="s">
        <v>2954</v>
      </c>
      <c r="J134" s="8" t="s">
        <v>3022</v>
      </c>
      <c r="K134" s="3" t="s">
        <v>12586</v>
      </c>
      <c r="L134" s="3" t="s">
        <v>12587</v>
      </c>
      <c r="M134" s="3" t="s">
        <v>12588</v>
      </c>
      <c r="N134" s="3" t="s">
        <v>12589</v>
      </c>
      <c r="O134" s="3" t="s">
        <v>12595</v>
      </c>
      <c r="P134" s="8" t="s">
        <v>2224</v>
      </c>
    </row>
    <row r="135" ht="12.75" customHeight="1">
      <c r="A135" s="8" t="s">
        <v>807</v>
      </c>
      <c r="B135" s="8" t="s">
        <v>6048</v>
      </c>
      <c r="C135" s="8" t="s">
        <v>6059</v>
      </c>
      <c r="D135" s="3" t="s">
        <v>3</v>
      </c>
      <c r="E135" s="8" t="s">
        <v>6061</v>
      </c>
      <c r="F135" s="8" t="s">
        <v>2283</v>
      </c>
      <c r="G135" s="3" t="s">
        <v>12618</v>
      </c>
      <c r="H135" s="8" t="s">
        <v>2832</v>
      </c>
      <c r="I135" s="8" t="s">
        <v>2954</v>
      </c>
      <c r="J135" s="8" t="s">
        <v>3022</v>
      </c>
      <c r="K135" s="3" t="s">
        <v>12586</v>
      </c>
      <c r="L135" s="3" t="s">
        <v>12587</v>
      </c>
      <c r="M135" s="3" t="s">
        <v>12588</v>
      </c>
      <c r="N135" s="3" t="s">
        <v>12589</v>
      </c>
      <c r="O135" s="3" t="s">
        <v>12628</v>
      </c>
      <c r="P135" s="8" t="s">
        <v>2833</v>
      </c>
    </row>
    <row r="136" ht="12.75" customHeight="1">
      <c r="A136" s="8" t="s">
        <v>745</v>
      </c>
      <c r="B136" s="8" t="s">
        <v>6504</v>
      </c>
      <c r="C136" s="8" t="s">
        <v>6509</v>
      </c>
      <c r="D136" s="3" t="s">
        <v>3</v>
      </c>
      <c r="E136" s="8" t="s">
        <v>6511</v>
      </c>
      <c r="F136" s="8" t="s">
        <v>2147</v>
      </c>
      <c r="G136" s="8" t="s">
        <v>2217</v>
      </c>
      <c r="I136" s="8" t="s">
        <v>2954</v>
      </c>
      <c r="J136" s="8" t="s">
        <v>3022</v>
      </c>
      <c r="K136" s="3" t="s">
        <v>12586</v>
      </c>
      <c r="L136" s="3" t="s">
        <v>12587</v>
      </c>
      <c r="M136" s="3" t="s">
        <v>12588</v>
      </c>
      <c r="N136" s="3" t="s">
        <v>12589</v>
      </c>
      <c r="O136" s="3" t="s">
        <v>12595</v>
      </c>
      <c r="P136" s="8" t="s">
        <v>2224</v>
      </c>
    </row>
    <row r="137" ht="12.75" customHeight="1">
      <c r="A137" s="8" t="s">
        <v>304</v>
      </c>
      <c r="B137" s="8" t="s">
        <v>4053</v>
      </c>
      <c r="C137" s="8" t="s">
        <v>4059</v>
      </c>
      <c r="D137" s="3" t="s">
        <v>3</v>
      </c>
      <c r="E137" s="8" t="s">
        <v>4062</v>
      </c>
      <c r="F137" s="8" t="s">
        <v>2142</v>
      </c>
      <c r="G137" s="3" t="s">
        <v>12585</v>
      </c>
      <c r="H137" s="8" t="s">
        <v>2495</v>
      </c>
      <c r="I137" s="8" t="s">
        <v>2970</v>
      </c>
      <c r="J137" s="8" t="s">
        <v>3058</v>
      </c>
      <c r="K137" s="3" t="s">
        <v>12586</v>
      </c>
      <c r="L137" s="3" t="s">
        <v>12587</v>
      </c>
      <c r="M137" s="3" t="s">
        <v>12588</v>
      </c>
      <c r="N137" s="3" t="s">
        <v>12589</v>
      </c>
      <c r="O137" s="3" t="s">
        <v>12590</v>
      </c>
      <c r="P137" s="8" t="s">
        <v>2143</v>
      </c>
    </row>
    <row r="138" ht="12.75" customHeight="1">
      <c r="A138" s="8" t="s">
        <v>12415</v>
      </c>
      <c r="B138" s="8" t="s">
        <v>12418</v>
      </c>
      <c r="C138" s="8" t="s">
        <v>12423</v>
      </c>
      <c r="D138" s="3" t="s">
        <v>3</v>
      </c>
      <c r="E138" s="8" t="s">
        <v>12425</v>
      </c>
      <c r="F138" s="3" t="s">
        <v>2147</v>
      </c>
      <c r="G138" s="3" t="s">
        <v>12603</v>
      </c>
      <c r="H138" s="3" t="s">
        <v>2185</v>
      </c>
      <c r="I138" s="3" t="s">
        <v>3213</v>
      </c>
      <c r="J138" s="3" t="s">
        <v>3212</v>
      </c>
      <c r="K138" s="3" t="s">
        <v>12586</v>
      </c>
      <c r="L138" s="3" t="s">
        <v>12587</v>
      </c>
      <c r="M138" s="3" t="s">
        <v>12588</v>
      </c>
      <c r="N138" s="3" t="s">
        <v>12589</v>
      </c>
      <c r="O138" s="3" t="s">
        <v>12607</v>
      </c>
      <c r="P138" s="3" t="s">
        <v>2186</v>
      </c>
    </row>
    <row r="139" ht="12.75" customHeight="1">
      <c r="A139" s="8" t="s">
        <v>343</v>
      </c>
      <c r="B139" s="8" t="s">
        <v>4314</v>
      </c>
      <c r="C139" s="8" t="s">
        <v>4330</v>
      </c>
      <c r="D139" s="3" t="s">
        <v>3</v>
      </c>
      <c r="E139" s="8" t="s">
        <v>4333</v>
      </c>
      <c r="F139" s="8" t="s">
        <v>2283</v>
      </c>
      <c r="G139" s="8" t="s">
        <v>2357</v>
      </c>
      <c r="H139" s="8" t="s">
        <v>2356</v>
      </c>
      <c r="I139" s="8" t="s">
        <v>2967</v>
      </c>
      <c r="J139" s="8" t="s">
        <v>2966</v>
      </c>
      <c r="K139" s="3" t="s">
        <v>12586</v>
      </c>
      <c r="L139" s="3" t="s">
        <v>12587</v>
      </c>
      <c r="M139" s="3" t="s">
        <v>12588</v>
      </c>
      <c r="N139" s="3" t="s">
        <v>12589</v>
      </c>
      <c r="O139" s="3" t="s">
        <v>12602</v>
      </c>
      <c r="P139" s="8" t="s">
        <v>2358</v>
      </c>
    </row>
    <row r="140" ht="12.75" customHeight="1">
      <c r="A140" s="8" t="s">
        <v>397</v>
      </c>
      <c r="B140" s="8" t="s">
        <v>4575</v>
      </c>
      <c r="C140" s="8" t="s">
        <v>2135</v>
      </c>
      <c r="D140" s="3" t="s">
        <v>3</v>
      </c>
      <c r="E140" s="8" t="s">
        <v>4578</v>
      </c>
      <c r="F140" s="8" t="s">
        <v>2142</v>
      </c>
      <c r="G140" s="3" t="s">
        <v>12585</v>
      </c>
      <c r="H140" s="8" t="s">
        <v>2318</v>
      </c>
      <c r="I140" s="8" t="s">
        <v>2980</v>
      </c>
      <c r="J140" s="8" t="s">
        <v>3152</v>
      </c>
      <c r="K140" s="3" t="s">
        <v>12586</v>
      </c>
      <c r="L140" s="3" t="s">
        <v>12587</v>
      </c>
      <c r="M140" s="3" t="s">
        <v>12588</v>
      </c>
      <c r="N140" s="3" t="s">
        <v>12589</v>
      </c>
      <c r="O140" s="3" t="s">
        <v>12596</v>
      </c>
      <c r="P140" s="8" t="s">
        <v>2311</v>
      </c>
    </row>
    <row r="141" ht="12.75" customHeight="1">
      <c r="A141" s="8" t="s">
        <v>403</v>
      </c>
      <c r="B141" s="8" t="s">
        <v>4533</v>
      </c>
      <c r="C141" s="8" t="s">
        <v>2135</v>
      </c>
      <c r="D141" s="3" t="s">
        <v>3</v>
      </c>
      <c r="E141" s="8" t="s">
        <v>4544</v>
      </c>
      <c r="F141" s="8" t="s">
        <v>2147</v>
      </c>
      <c r="G141" s="8" t="s">
        <v>2217</v>
      </c>
      <c r="H141" s="8" t="s">
        <v>2600</v>
      </c>
      <c r="I141" s="8" t="s">
        <v>2980</v>
      </c>
      <c r="J141" s="8" t="s">
        <v>3152</v>
      </c>
      <c r="K141" s="3" t="s">
        <v>12586</v>
      </c>
      <c r="L141" s="3" t="s">
        <v>12587</v>
      </c>
      <c r="M141" s="3" t="s">
        <v>12588</v>
      </c>
      <c r="N141" s="3" t="s">
        <v>12589</v>
      </c>
      <c r="O141" s="3" t="s">
        <v>12599</v>
      </c>
      <c r="P141" s="8" t="s">
        <v>2256</v>
      </c>
    </row>
    <row r="142" ht="12.75" customHeight="1">
      <c r="A142" s="8" t="s">
        <v>348</v>
      </c>
      <c r="B142" s="8" t="s">
        <v>4339</v>
      </c>
      <c r="C142" s="8" t="s">
        <v>4353</v>
      </c>
      <c r="D142" s="3" t="s">
        <v>3</v>
      </c>
      <c r="E142" s="8" t="s">
        <v>4355</v>
      </c>
      <c r="F142" s="3" t="s">
        <v>2283</v>
      </c>
      <c r="G142" s="3" t="s">
        <v>2357</v>
      </c>
      <c r="H142" s="8" t="s">
        <v>2371</v>
      </c>
      <c r="I142" s="8" t="s">
        <v>3116</v>
      </c>
      <c r="J142" s="8" t="s">
        <v>3115</v>
      </c>
      <c r="K142" s="3" t="s">
        <v>12586</v>
      </c>
      <c r="L142" s="3" t="s">
        <v>12587</v>
      </c>
      <c r="M142" s="3" t="s">
        <v>12588</v>
      </c>
      <c r="N142" s="3" t="s">
        <v>12589</v>
      </c>
      <c r="O142" s="3" t="s">
        <v>12598</v>
      </c>
      <c r="P142" s="8" t="s">
        <v>2361</v>
      </c>
    </row>
    <row r="143" ht="12.75" customHeight="1">
      <c r="A143" s="8" t="s">
        <v>596</v>
      </c>
      <c r="B143" s="8" t="s">
        <v>5158</v>
      </c>
      <c r="C143" s="8" t="s">
        <v>5169</v>
      </c>
      <c r="D143" s="3" t="s">
        <v>3</v>
      </c>
      <c r="E143" s="8" t="s">
        <v>5171</v>
      </c>
      <c r="F143" s="8" t="s">
        <v>2142</v>
      </c>
      <c r="G143" s="3" t="s">
        <v>12585</v>
      </c>
      <c r="H143" s="3" t="s">
        <v>12629</v>
      </c>
      <c r="I143" s="8" t="s">
        <v>3155</v>
      </c>
      <c r="J143" s="8" t="s">
        <v>3154</v>
      </c>
      <c r="K143" s="3" t="s">
        <v>12586</v>
      </c>
      <c r="L143" s="3" t="s">
        <v>12587</v>
      </c>
      <c r="M143" s="3" t="s">
        <v>12588</v>
      </c>
      <c r="N143" s="3" t="s">
        <v>12589</v>
      </c>
      <c r="O143" s="3" t="s">
        <v>12596</v>
      </c>
      <c r="P143" s="8" t="s">
        <v>2311</v>
      </c>
    </row>
    <row r="144" ht="12.75" customHeight="1">
      <c r="A144" s="8" t="s">
        <v>589</v>
      </c>
      <c r="B144" s="8" t="s">
        <v>5138</v>
      </c>
      <c r="C144" s="8" t="s">
        <v>5152</v>
      </c>
      <c r="D144" s="3" t="s">
        <v>3</v>
      </c>
      <c r="E144" s="8" t="s">
        <v>5154</v>
      </c>
      <c r="F144" s="8" t="s">
        <v>2142</v>
      </c>
      <c r="G144" s="3" t="s">
        <v>12585</v>
      </c>
      <c r="H144" s="8" t="s">
        <v>2497</v>
      </c>
      <c r="I144" s="8" t="s">
        <v>3185</v>
      </c>
      <c r="J144" s="8" t="s">
        <v>3184</v>
      </c>
      <c r="K144" s="3" t="s">
        <v>12586</v>
      </c>
      <c r="L144" s="3" t="s">
        <v>12587</v>
      </c>
      <c r="M144" s="3" t="s">
        <v>12588</v>
      </c>
      <c r="N144" s="3" t="s">
        <v>12589</v>
      </c>
      <c r="O144" s="3" t="s">
        <v>12594</v>
      </c>
      <c r="P144" s="8" t="s">
        <v>2340</v>
      </c>
    </row>
    <row r="145" ht="12.75" customHeight="1">
      <c r="A145" s="8" t="s">
        <v>587</v>
      </c>
      <c r="B145" s="8" t="s">
        <v>5121</v>
      </c>
      <c r="C145" s="8" t="s">
        <v>5129</v>
      </c>
      <c r="D145" s="3" t="s">
        <v>3</v>
      </c>
      <c r="E145" s="8" t="s">
        <v>5132</v>
      </c>
      <c r="F145" s="8" t="s">
        <v>2147</v>
      </c>
      <c r="G145" s="8" t="s">
        <v>2217</v>
      </c>
      <c r="H145" s="8" t="s">
        <v>2216</v>
      </c>
      <c r="I145" s="8" t="s">
        <v>3020</v>
      </c>
      <c r="J145" s="8" t="s">
        <v>3008</v>
      </c>
      <c r="K145" s="3" t="s">
        <v>12586</v>
      </c>
      <c r="L145" s="3" t="s">
        <v>12587</v>
      </c>
      <c r="M145" s="3" t="s">
        <v>12588</v>
      </c>
      <c r="N145" s="3" t="s">
        <v>12589</v>
      </c>
      <c r="O145" s="3" t="s">
        <v>12616</v>
      </c>
      <c r="P145" s="8" t="s">
        <v>2218</v>
      </c>
    </row>
    <row r="146" ht="12.75" customHeight="1">
      <c r="A146" s="8" t="s">
        <v>594</v>
      </c>
      <c r="B146" s="8" t="s">
        <v>5225</v>
      </c>
      <c r="C146" s="8" t="s">
        <v>5243</v>
      </c>
      <c r="D146" s="3" t="s">
        <v>3</v>
      </c>
      <c r="E146" s="8" t="s">
        <v>5245</v>
      </c>
      <c r="F146" s="8" t="s">
        <v>2147</v>
      </c>
      <c r="G146" s="3" t="s">
        <v>12603</v>
      </c>
      <c r="H146" s="8" t="s">
        <v>2185</v>
      </c>
      <c r="I146" s="8" t="s">
        <v>3009</v>
      </c>
      <c r="J146" s="8" t="s">
        <v>3008</v>
      </c>
      <c r="K146" s="3" t="s">
        <v>12586</v>
      </c>
      <c r="L146" s="3" t="s">
        <v>12587</v>
      </c>
      <c r="M146" s="3" t="s">
        <v>12588</v>
      </c>
      <c r="N146" s="3" t="s">
        <v>12589</v>
      </c>
      <c r="O146" s="3" t="s">
        <v>12630</v>
      </c>
      <c r="P146" s="8" t="s">
        <v>2150</v>
      </c>
    </row>
    <row r="147" ht="12.75" customHeight="1">
      <c r="A147" s="8" t="s">
        <v>626</v>
      </c>
      <c r="B147" s="8" t="s">
        <v>5208</v>
      </c>
      <c r="C147" s="8" t="s">
        <v>5218</v>
      </c>
      <c r="D147" s="3" t="s">
        <v>3</v>
      </c>
      <c r="E147" s="8" t="s">
        <v>5219</v>
      </c>
      <c r="F147" s="8" t="s">
        <v>2147</v>
      </c>
      <c r="G147" s="8" t="s">
        <v>2217</v>
      </c>
      <c r="H147" s="8" t="s">
        <v>2216</v>
      </c>
      <c r="I147" s="8" t="s">
        <v>3009</v>
      </c>
      <c r="J147" s="8" t="s">
        <v>3008</v>
      </c>
      <c r="K147" s="3" t="s">
        <v>12586</v>
      </c>
      <c r="L147" s="3" t="s">
        <v>12587</v>
      </c>
      <c r="M147" s="3" t="s">
        <v>12588</v>
      </c>
      <c r="N147" s="3" t="s">
        <v>12589</v>
      </c>
      <c r="O147" s="3" t="s">
        <v>12616</v>
      </c>
      <c r="P147" s="8" t="s">
        <v>2218</v>
      </c>
    </row>
    <row r="148" ht="12.75" customHeight="1">
      <c r="A148" s="8" t="s">
        <v>616</v>
      </c>
      <c r="B148" s="8" t="s">
        <v>5283</v>
      </c>
      <c r="C148" s="8" t="s">
        <v>5292</v>
      </c>
      <c r="D148" s="3" t="s">
        <v>3</v>
      </c>
      <c r="E148" s="8" t="s">
        <v>5294</v>
      </c>
      <c r="F148" s="8" t="s">
        <v>2147</v>
      </c>
      <c r="G148" s="8" t="s">
        <v>2217</v>
      </c>
      <c r="H148" s="8" t="s">
        <v>2216</v>
      </c>
      <c r="I148" s="8" t="s">
        <v>3009</v>
      </c>
      <c r="J148" s="8" t="s">
        <v>3008</v>
      </c>
      <c r="K148" s="3" t="s">
        <v>12586</v>
      </c>
      <c r="L148" s="3" t="s">
        <v>12587</v>
      </c>
      <c r="M148" s="3" t="s">
        <v>12588</v>
      </c>
      <c r="N148" s="3" t="s">
        <v>12589</v>
      </c>
      <c r="O148" s="3" t="s">
        <v>12600</v>
      </c>
      <c r="P148" s="8" t="s">
        <v>2221</v>
      </c>
    </row>
    <row r="149" ht="12.75" customHeight="1">
      <c r="A149" s="8" t="s">
        <v>622</v>
      </c>
      <c r="B149" s="8" t="s">
        <v>5250</v>
      </c>
      <c r="C149" s="8" t="s">
        <v>5259</v>
      </c>
      <c r="D149" s="3" t="s">
        <v>3</v>
      </c>
      <c r="E149" s="8" t="s">
        <v>5261</v>
      </c>
      <c r="F149" s="8" t="s">
        <v>2142</v>
      </c>
      <c r="G149" s="3" t="s">
        <v>12585</v>
      </c>
      <c r="H149" s="8" t="s">
        <v>2325</v>
      </c>
      <c r="I149" s="8" t="s">
        <v>3009</v>
      </c>
      <c r="J149" s="8" t="s">
        <v>3008</v>
      </c>
      <c r="K149" s="3" t="s">
        <v>12586</v>
      </c>
      <c r="L149" s="3" t="s">
        <v>12587</v>
      </c>
      <c r="M149" s="3" t="s">
        <v>12588</v>
      </c>
      <c r="N149" s="3" t="s">
        <v>12589</v>
      </c>
      <c r="O149" s="3" t="s">
        <v>12600</v>
      </c>
      <c r="P149" s="8" t="s">
        <v>2329</v>
      </c>
    </row>
    <row r="150" ht="12.75" customHeight="1">
      <c r="A150" s="8" t="s">
        <v>608</v>
      </c>
      <c r="B150" s="8" t="s">
        <v>5332</v>
      </c>
      <c r="C150" s="8" t="s">
        <v>5336</v>
      </c>
      <c r="D150" s="3" t="s">
        <v>3</v>
      </c>
      <c r="E150" s="8" t="s">
        <v>5338</v>
      </c>
      <c r="F150" s="8" t="s">
        <v>2142</v>
      </c>
      <c r="G150" s="3" t="s">
        <v>12585</v>
      </c>
      <c r="H150" s="8" t="s">
        <v>2497</v>
      </c>
      <c r="I150" s="8" t="s">
        <v>3009</v>
      </c>
      <c r="J150" s="8" t="s">
        <v>3008</v>
      </c>
      <c r="K150" s="3" t="s">
        <v>12586</v>
      </c>
      <c r="L150" s="3" t="s">
        <v>12587</v>
      </c>
      <c r="M150" s="3" t="s">
        <v>12588</v>
      </c>
      <c r="N150" s="3" t="s">
        <v>12589</v>
      </c>
      <c r="O150" s="3" t="s">
        <v>12596</v>
      </c>
      <c r="P150" s="8" t="s">
        <v>2311</v>
      </c>
    </row>
    <row r="151" ht="12.75" customHeight="1">
      <c r="A151" s="8" t="s">
        <v>610</v>
      </c>
      <c r="B151" s="8" t="s">
        <v>5342</v>
      </c>
      <c r="C151" s="8" t="s">
        <v>2135</v>
      </c>
      <c r="D151" s="3" t="s">
        <v>3</v>
      </c>
      <c r="E151" s="8" t="s">
        <v>5352</v>
      </c>
      <c r="F151" s="8" t="s">
        <v>2147</v>
      </c>
      <c r="G151" s="8" t="s">
        <v>2217</v>
      </c>
      <c r="H151" s="8" t="s">
        <v>2600</v>
      </c>
      <c r="I151" s="8" t="s">
        <v>3009</v>
      </c>
      <c r="J151" s="8" t="s">
        <v>3008</v>
      </c>
      <c r="K151" s="3" t="s">
        <v>12586</v>
      </c>
      <c r="L151" s="3" t="s">
        <v>12587</v>
      </c>
      <c r="M151" s="3" t="s">
        <v>12588</v>
      </c>
      <c r="N151" s="3" t="s">
        <v>12589</v>
      </c>
      <c r="O151" s="3" t="s">
        <v>12631</v>
      </c>
      <c r="P151" s="8" t="s">
        <v>2658</v>
      </c>
    </row>
    <row r="152" ht="12.75" customHeight="1">
      <c r="A152" s="8" t="s">
        <v>614</v>
      </c>
      <c r="B152" s="8" t="s">
        <v>5298</v>
      </c>
      <c r="C152" s="8" t="s">
        <v>5304</v>
      </c>
      <c r="D152" s="3" t="s">
        <v>3</v>
      </c>
      <c r="E152" s="8" t="s">
        <v>5306</v>
      </c>
      <c r="F152" s="8" t="s">
        <v>2147</v>
      </c>
      <c r="G152" s="8" t="s">
        <v>2217</v>
      </c>
      <c r="H152" s="8" t="s">
        <v>2600</v>
      </c>
      <c r="I152" s="8" t="s">
        <v>3009</v>
      </c>
      <c r="J152" s="8" t="s">
        <v>3008</v>
      </c>
      <c r="K152" s="3" t="s">
        <v>12586</v>
      </c>
      <c r="L152" s="3" t="s">
        <v>12587</v>
      </c>
      <c r="M152" s="3" t="s">
        <v>12588</v>
      </c>
      <c r="N152" s="3" t="s">
        <v>12589</v>
      </c>
      <c r="O152" s="3" t="s">
        <v>12609</v>
      </c>
      <c r="P152" s="8" t="s">
        <v>2234</v>
      </c>
    </row>
    <row r="153" ht="12.75" customHeight="1">
      <c r="A153" s="8" t="s">
        <v>612</v>
      </c>
      <c r="B153" s="8" t="s">
        <v>5310</v>
      </c>
      <c r="C153" s="8" t="s">
        <v>5317</v>
      </c>
      <c r="D153" s="3" t="s">
        <v>3</v>
      </c>
      <c r="E153" s="8" t="s">
        <v>5319</v>
      </c>
      <c r="F153" s="8" t="s">
        <v>2147</v>
      </c>
      <c r="G153" s="8" t="s">
        <v>2217</v>
      </c>
      <c r="I153" s="8" t="s">
        <v>3009</v>
      </c>
      <c r="J153" s="8" t="s">
        <v>3008</v>
      </c>
      <c r="K153" s="3" t="s">
        <v>12586</v>
      </c>
      <c r="L153" s="3" t="s">
        <v>12587</v>
      </c>
      <c r="M153" s="3" t="s">
        <v>12588</v>
      </c>
      <c r="N153" s="3" t="s">
        <v>12589</v>
      </c>
      <c r="O153" s="3" t="s">
        <v>12616</v>
      </c>
      <c r="P153" s="8" t="s">
        <v>2218</v>
      </c>
    </row>
    <row r="154" ht="12.75" customHeight="1">
      <c r="A154" s="8" t="s">
        <v>607</v>
      </c>
      <c r="B154" s="8" t="s">
        <v>5355</v>
      </c>
      <c r="C154" s="8" t="s">
        <v>5358</v>
      </c>
      <c r="D154" s="3" t="s">
        <v>3</v>
      </c>
      <c r="E154" s="8" t="s">
        <v>5359</v>
      </c>
      <c r="F154" s="8" t="s">
        <v>2142</v>
      </c>
      <c r="I154" s="8" t="s">
        <v>3009</v>
      </c>
      <c r="J154" s="8" t="s">
        <v>3008</v>
      </c>
      <c r="K154" s="3" t="s">
        <v>12586</v>
      </c>
      <c r="L154" s="3" t="s">
        <v>12587</v>
      </c>
      <c r="M154" s="3" t="s">
        <v>12588</v>
      </c>
      <c r="N154" s="3" t="s">
        <v>12589</v>
      </c>
      <c r="O154" s="3" t="s">
        <v>12596</v>
      </c>
      <c r="P154" s="8" t="s">
        <v>2311</v>
      </c>
    </row>
    <row r="155" ht="12.75" customHeight="1">
      <c r="A155" s="8" t="s">
        <v>1591</v>
      </c>
      <c r="B155" s="8" t="s">
        <v>9946</v>
      </c>
      <c r="C155" s="8" t="s">
        <v>9954</v>
      </c>
      <c r="D155" s="3" t="s">
        <v>3</v>
      </c>
      <c r="E155" s="8" t="s">
        <v>9956</v>
      </c>
      <c r="F155" s="8" t="s">
        <v>2142</v>
      </c>
      <c r="G155" s="3" t="s">
        <v>12585</v>
      </c>
      <c r="H155" s="8" t="s">
        <v>2379</v>
      </c>
      <c r="I155" s="8" t="s">
        <v>3092</v>
      </c>
      <c r="J155" s="8" t="s">
        <v>3091</v>
      </c>
      <c r="K155" s="3" t="s">
        <v>12586</v>
      </c>
      <c r="L155" s="3" t="s">
        <v>12587</v>
      </c>
      <c r="M155" s="3" t="s">
        <v>12588</v>
      </c>
      <c r="N155" s="3" t="s">
        <v>12589</v>
      </c>
      <c r="O155" s="3" t="s">
        <v>12590</v>
      </c>
      <c r="P155" s="8" t="s">
        <v>2143</v>
      </c>
    </row>
    <row r="156" ht="12.75" customHeight="1">
      <c r="A156" s="8" t="s">
        <v>1587</v>
      </c>
      <c r="B156" s="8" t="s">
        <v>9972</v>
      </c>
      <c r="C156" s="8" t="s">
        <v>9975</v>
      </c>
      <c r="D156" s="3" t="s">
        <v>3</v>
      </c>
      <c r="E156" s="8" t="s">
        <v>9977</v>
      </c>
      <c r="F156" s="8" t="s">
        <v>2142</v>
      </c>
      <c r="G156" s="3" t="s">
        <v>12585</v>
      </c>
      <c r="H156" s="8" t="s">
        <v>2379</v>
      </c>
      <c r="I156" s="8" t="s">
        <v>3092</v>
      </c>
      <c r="J156" s="8" t="s">
        <v>3091</v>
      </c>
      <c r="K156" s="3" t="s">
        <v>12586</v>
      </c>
      <c r="L156" s="3" t="s">
        <v>12587</v>
      </c>
      <c r="M156" s="3" t="s">
        <v>12588</v>
      </c>
      <c r="N156" s="3" t="s">
        <v>12589</v>
      </c>
      <c r="O156" s="3" t="s">
        <v>12590</v>
      </c>
      <c r="P156" s="8" t="s">
        <v>2143</v>
      </c>
    </row>
    <row r="157" ht="12.75" customHeight="1">
      <c r="A157" s="8" t="s">
        <v>140</v>
      </c>
      <c r="B157" s="8" t="s">
        <v>3520</v>
      </c>
      <c r="C157" s="8" t="s">
        <v>2135</v>
      </c>
      <c r="D157" s="3" t="s">
        <v>3</v>
      </c>
      <c r="E157" s="8" t="s">
        <v>3534</v>
      </c>
      <c r="F157" s="3" t="s">
        <v>2283</v>
      </c>
      <c r="G157" s="3" t="s">
        <v>2357</v>
      </c>
      <c r="H157" s="8" t="s">
        <v>2367</v>
      </c>
      <c r="I157" s="8" t="s">
        <v>3053</v>
      </c>
      <c r="J157" s="8" t="s">
        <v>3044</v>
      </c>
      <c r="K157" s="3" t="s">
        <v>12586</v>
      </c>
      <c r="L157" s="3" t="s">
        <v>12587</v>
      </c>
      <c r="M157" s="3" t="s">
        <v>12588</v>
      </c>
      <c r="N157" s="3" t="s">
        <v>12589</v>
      </c>
      <c r="O157" s="3" t="s">
        <v>12590</v>
      </c>
      <c r="P157" s="8" t="s">
        <v>2143</v>
      </c>
    </row>
    <row r="158" ht="12.75" customHeight="1">
      <c r="A158" s="8" t="s">
        <v>283</v>
      </c>
      <c r="B158" s="8" t="s">
        <v>4144</v>
      </c>
      <c r="C158" s="8" t="s">
        <v>2135</v>
      </c>
      <c r="D158" s="3" t="s">
        <v>3</v>
      </c>
      <c r="E158" s="8" t="s">
        <v>4153</v>
      </c>
      <c r="F158" s="8" t="s">
        <v>2142</v>
      </c>
      <c r="G158" s="3" t="s">
        <v>12585</v>
      </c>
      <c r="H158" s="8" t="s">
        <v>2414</v>
      </c>
      <c r="I158" s="8" t="s">
        <v>2970</v>
      </c>
      <c r="J158" s="8" t="s">
        <v>2953</v>
      </c>
      <c r="K158" s="3" t="s">
        <v>12586</v>
      </c>
      <c r="L158" s="3" t="s">
        <v>12587</v>
      </c>
      <c r="M158" s="3" t="s">
        <v>12588</v>
      </c>
      <c r="N158" s="3" t="s">
        <v>12589</v>
      </c>
      <c r="O158" s="3" t="s">
        <v>12632</v>
      </c>
      <c r="P158" s="8" t="s">
        <v>2415</v>
      </c>
    </row>
    <row r="159" ht="12.75" customHeight="1">
      <c r="A159" s="8" t="s">
        <v>252</v>
      </c>
      <c r="B159" s="8" t="s">
        <v>4125</v>
      </c>
      <c r="C159" s="8" t="s">
        <v>4136</v>
      </c>
      <c r="D159" s="3" t="s">
        <v>3</v>
      </c>
      <c r="E159" s="8" t="s">
        <v>4138</v>
      </c>
      <c r="F159" s="8" t="s">
        <v>2142</v>
      </c>
      <c r="I159" s="8" t="s">
        <v>2970</v>
      </c>
      <c r="J159" s="8" t="s">
        <v>2953</v>
      </c>
      <c r="K159" s="3" t="s">
        <v>12586</v>
      </c>
      <c r="L159" s="3" t="s">
        <v>12587</v>
      </c>
      <c r="M159" s="3" t="s">
        <v>12588</v>
      </c>
      <c r="N159" s="3" t="s">
        <v>12589</v>
      </c>
      <c r="O159" s="3" t="s">
        <v>12616</v>
      </c>
      <c r="P159" s="8" t="s">
        <v>2218</v>
      </c>
    </row>
    <row r="160" ht="12.75" customHeight="1">
      <c r="A160" s="8" t="s">
        <v>331</v>
      </c>
      <c r="B160" s="8" t="s">
        <v>4286</v>
      </c>
      <c r="C160" s="8" t="s">
        <v>4290</v>
      </c>
      <c r="D160" s="3" t="s">
        <v>3</v>
      </c>
      <c r="E160" s="8" t="s">
        <v>4292</v>
      </c>
      <c r="F160" s="8" t="s">
        <v>2147</v>
      </c>
      <c r="G160" s="8" t="s">
        <v>2217</v>
      </c>
      <c r="I160" s="8" t="s">
        <v>3012</v>
      </c>
      <c r="J160" s="8" t="s">
        <v>2953</v>
      </c>
      <c r="K160" s="3" t="s">
        <v>12586</v>
      </c>
      <c r="L160" s="3" t="s">
        <v>12587</v>
      </c>
      <c r="M160" s="3" t="s">
        <v>12588</v>
      </c>
      <c r="N160" s="3" t="s">
        <v>12589</v>
      </c>
      <c r="O160" s="3" t="s">
        <v>12600</v>
      </c>
      <c r="P160" s="8" t="s">
        <v>2221</v>
      </c>
    </row>
    <row r="161" ht="12.75" customHeight="1">
      <c r="A161" s="8" t="s">
        <v>371</v>
      </c>
      <c r="B161" s="8" t="s">
        <v>4384</v>
      </c>
      <c r="C161" s="8" t="s">
        <v>4400</v>
      </c>
      <c r="D161" s="3" t="s">
        <v>3</v>
      </c>
      <c r="E161" s="8" t="s">
        <v>4403</v>
      </c>
      <c r="F161" s="8" t="s">
        <v>2283</v>
      </c>
      <c r="G161" s="3" t="s">
        <v>12633</v>
      </c>
      <c r="H161" s="8" t="s">
        <v>2396</v>
      </c>
      <c r="I161" s="8" t="s">
        <v>3059</v>
      </c>
      <c r="J161" s="8" t="s">
        <v>2953</v>
      </c>
      <c r="K161" s="3" t="s">
        <v>12586</v>
      </c>
      <c r="L161" s="3" t="s">
        <v>12587</v>
      </c>
      <c r="M161" s="3" t="s">
        <v>12588</v>
      </c>
      <c r="N161" s="3" t="s">
        <v>12589</v>
      </c>
      <c r="O161" s="3" t="s">
        <v>12590</v>
      </c>
      <c r="P161" s="8" t="s">
        <v>2143</v>
      </c>
    </row>
    <row r="162" ht="12.75" customHeight="1">
      <c r="A162" s="8" t="s">
        <v>381</v>
      </c>
      <c r="B162" s="8" t="s">
        <v>4411</v>
      </c>
      <c r="C162" s="8" t="s">
        <v>2135</v>
      </c>
      <c r="D162" s="3" t="s">
        <v>3</v>
      </c>
      <c r="E162" s="8" t="s">
        <v>4420</v>
      </c>
      <c r="F162" s="8" t="s">
        <v>2142</v>
      </c>
      <c r="G162" s="3" t="s">
        <v>12585</v>
      </c>
      <c r="H162" s="8" t="s">
        <v>2379</v>
      </c>
      <c r="I162" s="8" t="s">
        <v>3017</v>
      </c>
      <c r="J162" s="8" t="s">
        <v>2953</v>
      </c>
      <c r="K162" s="3" t="s">
        <v>12586</v>
      </c>
      <c r="L162" s="3" t="s">
        <v>12587</v>
      </c>
      <c r="M162" s="3" t="s">
        <v>12588</v>
      </c>
      <c r="N162" s="3" t="s">
        <v>12589</v>
      </c>
      <c r="O162" s="3" t="s">
        <v>12590</v>
      </c>
      <c r="P162" s="8" t="s">
        <v>2143</v>
      </c>
    </row>
    <row r="163" ht="12.75" customHeight="1">
      <c r="A163" s="8" t="s">
        <v>379</v>
      </c>
      <c r="B163" s="8" t="s">
        <v>4425</v>
      </c>
      <c r="C163" s="8" t="s">
        <v>4432</v>
      </c>
      <c r="D163" s="3" t="s">
        <v>3</v>
      </c>
      <c r="E163" s="8" t="s">
        <v>4436</v>
      </c>
      <c r="F163" s="8" t="s">
        <v>2147</v>
      </c>
      <c r="G163" s="8" t="s">
        <v>2217</v>
      </c>
      <c r="I163" s="8" t="s">
        <v>3017</v>
      </c>
      <c r="J163" s="8" t="s">
        <v>2953</v>
      </c>
      <c r="K163" s="3" t="s">
        <v>12586</v>
      </c>
      <c r="L163" s="3" t="s">
        <v>12587</v>
      </c>
      <c r="M163" s="3" t="s">
        <v>12588</v>
      </c>
      <c r="N163" s="3" t="s">
        <v>12589</v>
      </c>
      <c r="O163" s="3" t="s">
        <v>12616</v>
      </c>
      <c r="P163" s="8" t="s">
        <v>2218</v>
      </c>
    </row>
    <row r="164" ht="12.75" customHeight="1">
      <c r="A164" s="8" t="s">
        <v>12275</v>
      </c>
      <c r="B164" s="8" t="s">
        <v>12278</v>
      </c>
      <c r="C164" s="8" t="s">
        <v>12282</v>
      </c>
      <c r="D164" s="3" t="s">
        <v>3</v>
      </c>
      <c r="E164" s="8" t="s">
        <v>12284</v>
      </c>
      <c r="F164" s="3" t="s">
        <v>2142</v>
      </c>
      <c r="G164" s="3" t="s">
        <v>12585</v>
      </c>
      <c r="H164" s="3" t="s">
        <v>2379</v>
      </c>
      <c r="I164" s="3" t="s">
        <v>3063</v>
      </c>
      <c r="J164" s="3" t="s">
        <v>2953</v>
      </c>
      <c r="K164" s="3" t="s">
        <v>12586</v>
      </c>
      <c r="L164" s="3" t="s">
        <v>12587</v>
      </c>
      <c r="M164" s="3" t="s">
        <v>12588</v>
      </c>
      <c r="N164" s="3" t="s">
        <v>12589</v>
      </c>
      <c r="O164" s="3" t="s">
        <v>12590</v>
      </c>
      <c r="P164" s="3" t="s">
        <v>2143</v>
      </c>
    </row>
    <row r="165" ht="12.75" customHeight="1">
      <c r="A165" s="8" t="s">
        <v>440</v>
      </c>
      <c r="B165" s="8" t="s">
        <v>4640</v>
      </c>
      <c r="C165" s="8" t="s">
        <v>2135</v>
      </c>
      <c r="D165" s="3" t="s">
        <v>3</v>
      </c>
      <c r="E165" s="8" t="s">
        <v>4656</v>
      </c>
      <c r="F165" s="8" t="s">
        <v>2283</v>
      </c>
      <c r="G165" s="3" t="s">
        <v>12618</v>
      </c>
      <c r="H165" s="8" t="s">
        <v>2465</v>
      </c>
      <c r="I165" s="8" t="s">
        <v>2968</v>
      </c>
      <c r="J165" s="8" t="s">
        <v>2953</v>
      </c>
      <c r="K165" s="3" t="s">
        <v>12586</v>
      </c>
      <c r="L165" s="3" t="s">
        <v>12587</v>
      </c>
      <c r="M165" s="3" t="s">
        <v>12588</v>
      </c>
      <c r="N165" s="3" t="s">
        <v>12589</v>
      </c>
      <c r="O165" s="3" t="s">
        <v>12602</v>
      </c>
      <c r="P165" s="8" t="s">
        <v>2358</v>
      </c>
    </row>
    <row r="166" ht="12.75" customHeight="1">
      <c r="A166" s="8" t="s">
        <v>514</v>
      </c>
      <c r="B166" s="8" t="s">
        <v>4828</v>
      </c>
      <c r="C166" s="8" t="s">
        <v>4841</v>
      </c>
      <c r="D166" s="3" t="s">
        <v>3</v>
      </c>
      <c r="E166" s="8" t="s">
        <v>4843</v>
      </c>
      <c r="F166" s="8" t="s">
        <v>2142</v>
      </c>
      <c r="G166" s="3" t="s">
        <v>12585</v>
      </c>
      <c r="H166" s="8" t="s">
        <v>2345</v>
      </c>
      <c r="I166" s="8" t="s">
        <v>3069</v>
      </c>
      <c r="J166" s="8" t="s">
        <v>2953</v>
      </c>
      <c r="K166" s="3" t="s">
        <v>12586</v>
      </c>
      <c r="L166" s="3" t="s">
        <v>12587</v>
      </c>
      <c r="M166" s="3" t="s">
        <v>12588</v>
      </c>
      <c r="N166" s="3" t="s">
        <v>12589</v>
      </c>
      <c r="O166" s="3" t="s">
        <v>12590</v>
      </c>
      <c r="P166" s="8" t="s">
        <v>2143</v>
      </c>
    </row>
    <row r="167" ht="12.75" customHeight="1">
      <c r="A167" s="8" t="s">
        <v>512</v>
      </c>
      <c r="B167" s="8" t="s">
        <v>4849</v>
      </c>
      <c r="C167" s="8" t="s">
        <v>4860</v>
      </c>
      <c r="D167" s="3" t="s">
        <v>3</v>
      </c>
      <c r="E167" s="8" t="s">
        <v>4862</v>
      </c>
      <c r="F167" s="8" t="s">
        <v>2142</v>
      </c>
      <c r="G167" s="3" t="s">
        <v>12585</v>
      </c>
      <c r="H167" s="8" t="s">
        <v>2379</v>
      </c>
      <c r="I167" s="8" t="s">
        <v>3069</v>
      </c>
      <c r="J167" s="8" t="s">
        <v>2953</v>
      </c>
      <c r="K167" s="3" t="s">
        <v>12586</v>
      </c>
      <c r="L167" s="3" t="s">
        <v>12587</v>
      </c>
      <c r="M167" s="3" t="s">
        <v>12588</v>
      </c>
      <c r="N167" s="3" t="s">
        <v>12589</v>
      </c>
      <c r="O167" s="3" t="s">
        <v>12590</v>
      </c>
      <c r="P167" s="8" t="s">
        <v>2143</v>
      </c>
    </row>
    <row r="168" ht="12.75" customHeight="1">
      <c r="A168" s="8" t="s">
        <v>507</v>
      </c>
      <c r="B168" s="8" t="s">
        <v>4866</v>
      </c>
      <c r="C168" s="8" t="s">
        <v>4877</v>
      </c>
      <c r="D168" s="3" t="s">
        <v>3</v>
      </c>
      <c r="E168" s="8" t="s">
        <v>4879</v>
      </c>
      <c r="F168" s="8" t="s">
        <v>2142</v>
      </c>
      <c r="I168" s="8" t="s">
        <v>3069</v>
      </c>
      <c r="J168" s="8" t="s">
        <v>2953</v>
      </c>
      <c r="K168" s="3" t="s">
        <v>12586</v>
      </c>
      <c r="L168" s="3" t="s">
        <v>12587</v>
      </c>
      <c r="M168" s="3" t="s">
        <v>12588</v>
      </c>
      <c r="N168" s="3" t="s">
        <v>12589</v>
      </c>
      <c r="O168" s="3" t="s">
        <v>12590</v>
      </c>
      <c r="P168" s="8" t="s">
        <v>2143</v>
      </c>
    </row>
    <row r="169" ht="12.75" customHeight="1">
      <c r="A169" s="8" t="s">
        <v>524</v>
      </c>
      <c r="B169" s="8" t="s">
        <v>4883</v>
      </c>
      <c r="C169" s="8" t="s">
        <v>4890</v>
      </c>
      <c r="D169" s="3" t="s">
        <v>3</v>
      </c>
      <c r="E169" s="8" t="s">
        <v>4892</v>
      </c>
      <c r="F169" s="8" t="s">
        <v>2147</v>
      </c>
      <c r="G169" s="8" t="s">
        <v>2217</v>
      </c>
      <c r="H169" s="8" t="s">
        <v>2600</v>
      </c>
      <c r="I169" s="8" t="s">
        <v>3031</v>
      </c>
      <c r="J169" s="8" t="s">
        <v>2953</v>
      </c>
      <c r="K169" s="3" t="s">
        <v>12586</v>
      </c>
      <c r="L169" s="3" t="s">
        <v>12587</v>
      </c>
      <c r="M169" s="3" t="s">
        <v>12588</v>
      </c>
      <c r="N169" s="3" t="s">
        <v>12589</v>
      </c>
      <c r="O169" s="3" t="s">
        <v>12609</v>
      </c>
      <c r="P169" s="8" t="s">
        <v>2234</v>
      </c>
    </row>
    <row r="170" ht="12.75" customHeight="1">
      <c r="A170" s="8" t="s">
        <v>543</v>
      </c>
      <c r="B170" s="8" t="s">
        <v>4899</v>
      </c>
      <c r="C170" s="8" t="s">
        <v>2135</v>
      </c>
      <c r="D170" s="3" t="s">
        <v>3</v>
      </c>
      <c r="E170" s="8" t="s">
        <v>4913</v>
      </c>
      <c r="F170" s="8" t="s">
        <v>2147</v>
      </c>
      <c r="G170" s="3" t="s">
        <v>12603</v>
      </c>
      <c r="H170" s="8" t="s">
        <v>2272</v>
      </c>
      <c r="I170" s="8" t="s">
        <v>2976</v>
      </c>
      <c r="J170" s="8" t="s">
        <v>2953</v>
      </c>
      <c r="K170" s="3" t="s">
        <v>12586</v>
      </c>
      <c r="L170" s="3" t="s">
        <v>12587</v>
      </c>
      <c r="M170" s="3" t="s">
        <v>12588</v>
      </c>
      <c r="N170" s="3" t="s">
        <v>12589</v>
      </c>
      <c r="O170" s="3" t="s">
        <v>12609</v>
      </c>
      <c r="P170" s="8" t="s">
        <v>2275</v>
      </c>
    </row>
    <row r="171" ht="12.75" customHeight="1">
      <c r="A171" s="8" t="s">
        <v>522</v>
      </c>
      <c r="B171" s="8" t="s">
        <v>4918</v>
      </c>
      <c r="C171" s="8" t="s">
        <v>4935</v>
      </c>
      <c r="D171" s="3" t="s">
        <v>3</v>
      </c>
      <c r="E171" s="8" t="s">
        <v>4937</v>
      </c>
      <c r="F171" s="8" t="s">
        <v>2147</v>
      </c>
      <c r="G171" s="8" t="s">
        <v>2217</v>
      </c>
      <c r="H171" s="8" t="s">
        <v>2600</v>
      </c>
      <c r="I171" s="8" t="s">
        <v>2976</v>
      </c>
      <c r="J171" s="8" t="s">
        <v>2953</v>
      </c>
      <c r="K171" s="3" t="s">
        <v>12586</v>
      </c>
      <c r="L171" s="3" t="s">
        <v>12587</v>
      </c>
      <c r="M171" s="3" t="s">
        <v>12588</v>
      </c>
      <c r="N171" s="3" t="s">
        <v>12589</v>
      </c>
      <c r="O171" s="3" t="s">
        <v>12609</v>
      </c>
      <c r="P171" s="8" t="s">
        <v>2234</v>
      </c>
    </row>
    <row r="172" ht="12.75" customHeight="1">
      <c r="A172" s="8" t="s">
        <v>520</v>
      </c>
      <c r="B172" s="8" t="s">
        <v>4961</v>
      </c>
      <c r="C172" s="8" t="s">
        <v>2135</v>
      </c>
      <c r="D172" s="3" t="s">
        <v>3</v>
      </c>
      <c r="E172" s="8" t="s">
        <v>4970</v>
      </c>
      <c r="F172" s="8" t="s">
        <v>2147</v>
      </c>
      <c r="G172" s="8" t="s">
        <v>2217</v>
      </c>
      <c r="H172" s="8" t="s">
        <v>2600</v>
      </c>
      <c r="I172" s="8" t="s">
        <v>2976</v>
      </c>
      <c r="J172" s="8" t="s">
        <v>2953</v>
      </c>
      <c r="K172" s="3" t="s">
        <v>12586</v>
      </c>
      <c r="L172" s="3" t="s">
        <v>12587</v>
      </c>
      <c r="M172" s="3" t="s">
        <v>12588</v>
      </c>
      <c r="N172" s="3" t="s">
        <v>12589</v>
      </c>
      <c r="O172" s="3" t="s">
        <v>12609</v>
      </c>
      <c r="P172" s="8" t="s">
        <v>2234</v>
      </c>
    </row>
    <row r="173" ht="12.75" customHeight="1">
      <c r="A173" s="8" t="s">
        <v>795</v>
      </c>
      <c r="B173" s="8" t="s">
        <v>6134</v>
      </c>
      <c r="C173" s="8" t="s">
        <v>6139</v>
      </c>
      <c r="D173" s="3" t="s">
        <v>3</v>
      </c>
      <c r="E173" s="8" t="s">
        <v>6141</v>
      </c>
      <c r="F173" s="8" t="s">
        <v>2147</v>
      </c>
      <c r="G173" s="3" t="s">
        <v>12603</v>
      </c>
      <c r="H173" s="8" t="s">
        <v>2146</v>
      </c>
      <c r="I173" s="8" t="s">
        <v>2954</v>
      </c>
      <c r="J173" s="8" t="s">
        <v>2953</v>
      </c>
      <c r="K173" s="3" t="s">
        <v>12586</v>
      </c>
      <c r="L173" s="3" t="s">
        <v>12587</v>
      </c>
      <c r="M173" s="3" t="s">
        <v>12588</v>
      </c>
      <c r="N173" s="3" t="s">
        <v>12589</v>
      </c>
      <c r="O173" s="3" t="s">
        <v>12630</v>
      </c>
      <c r="P173" s="8" t="s">
        <v>2150</v>
      </c>
    </row>
    <row r="174" ht="12.75" customHeight="1">
      <c r="A174" s="8" t="s">
        <v>861</v>
      </c>
      <c r="B174" s="8" t="s">
        <v>5634</v>
      </c>
      <c r="C174" s="8" t="s">
        <v>5645</v>
      </c>
      <c r="D174" s="3" t="s">
        <v>3</v>
      </c>
      <c r="E174" s="8" t="s">
        <v>5647</v>
      </c>
      <c r="F174" s="8" t="s">
        <v>2147</v>
      </c>
      <c r="G174" s="3" t="s">
        <v>12603</v>
      </c>
      <c r="H174" s="8" t="s">
        <v>2185</v>
      </c>
      <c r="I174" s="8" t="s">
        <v>2954</v>
      </c>
      <c r="J174" s="8" t="s">
        <v>2953</v>
      </c>
      <c r="K174" s="3" t="s">
        <v>12586</v>
      </c>
      <c r="L174" s="3" t="s">
        <v>12587</v>
      </c>
      <c r="M174" s="3" t="s">
        <v>12588</v>
      </c>
      <c r="N174" s="3" t="s">
        <v>12589</v>
      </c>
      <c r="O174" s="3" t="s">
        <v>12634</v>
      </c>
      <c r="P174" s="8" t="s">
        <v>2203</v>
      </c>
    </row>
    <row r="175" ht="12.75" customHeight="1">
      <c r="A175" s="8" t="s">
        <v>797</v>
      </c>
      <c r="B175" s="8" t="s">
        <v>6174</v>
      </c>
      <c r="C175" s="8" t="s">
        <v>6187</v>
      </c>
      <c r="D175" s="3" t="s">
        <v>3</v>
      </c>
      <c r="E175" s="8" t="s">
        <v>6190</v>
      </c>
      <c r="F175" s="8" t="s">
        <v>2147</v>
      </c>
      <c r="G175" s="3" t="s">
        <v>12603</v>
      </c>
      <c r="H175" s="8" t="s">
        <v>2185</v>
      </c>
      <c r="I175" s="8" t="s">
        <v>2954</v>
      </c>
      <c r="J175" s="8" t="s">
        <v>2953</v>
      </c>
      <c r="K175" s="3" t="s">
        <v>12586</v>
      </c>
      <c r="L175" s="3" t="s">
        <v>12587</v>
      </c>
      <c r="M175" s="3" t="s">
        <v>12588</v>
      </c>
      <c r="N175" s="3" t="s">
        <v>12589</v>
      </c>
      <c r="O175" s="3" t="s">
        <v>12609</v>
      </c>
      <c r="P175" s="8" t="s">
        <v>2157</v>
      </c>
    </row>
    <row r="176" ht="12.75" customHeight="1">
      <c r="A176" s="8" t="s">
        <v>853</v>
      </c>
      <c r="B176" s="8" t="s">
        <v>5589</v>
      </c>
      <c r="C176" s="8" t="s">
        <v>5599</v>
      </c>
      <c r="D176" s="3" t="s">
        <v>3</v>
      </c>
      <c r="E176" s="8" t="s">
        <v>5601</v>
      </c>
      <c r="F176" s="8" t="s">
        <v>2147</v>
      </c>
      <c r="G176" s="3" t="s">
        <v>12603</v>
      </c>
      <c r="H176" s="8" t="s">
        <v>2185</v>
      </c>
      <c r="I176" s="8" t="s">
        <v>2954</v>
      </c>
      <c r="J176" s="8" t="s">
        <v>2953</v>
      </c>
      <c r="K176" s="3" t="s">
        <v>12586</v>
      </c>
      <c r="L176" s="3" t="s">
        <v>12587</v>
      </c>
      <c r="M176" s="3" t="s">
        <v>12588</v>
      </c>
      <c r="N176" s="3" t="s">
        <v>12589</v>
      </c>
      <c r="O176" s="3" t="s">
        <v>12607</v>
      </c>
      <c r="P176" s="8" t="s">
        <v>2186</v>
      </c>
    </row>
    <row r="177" ht="12.75" customHeight="1">
      <c r="A177" s="8" t="s">
        <v>779</v>
      </c>
      <c r="B177" s="8" t="s">
        <v>6321</v>
      </c>
      <c r="C177" s="8" t="s">
        <v>6326</v>
      </c>
      <c r="D177" s="3" t="s">
        <v>3</v>
      </c>
      <c r="E177" s="8" t="s">
        <v>6328</v>
      </c>
      <c r="F177" s="8" t="s">
        <v>2147</v>
      </c>
      <c r="G177" s="3" t="s">
        <v>12603</v>
      </c>
      <c r="H177" s="8" t="s">
        <v>2185</v>
      </c>
      <c r="I177" s="8" t="s">
        <v>2954</v>
      </c>
      <c r="J177" s="8" t="s">
        <v>2953</v>
      </c>
      <c r="K177" s="3" t="s">
        <v>12586</v>
      </c>
      <c r="L177" s="3" t="s">
        <v>12587</v>
      </c>
      <c r="M177" s="3" t="s">
        <v>12588</v>
      </c>
      <c r="N177" s="3" t="s">
        <v>12589</v>
      </c>
      <c r="O177" s="3" t="s">
        <v>12607</v>
      </c>
      <c r="P177" s="8" t="s">
        <v>2186</v>
      </c>
    </row>
    <row r="178" ht="12.75" customHeight="1">
      <c r="A178" s="8" t="s">
        <v>12369</v>
      </c>
      <c r="B178" s="8" t="s">
        <v>12373</v>
      </c>
      <c r="C178" s="8" t="s">
        <v>2135</v>
      </c>
      <c r="D178" s="3" t="s">
        <v>3</v>
      </c>
      <c r="E178" s="8" t="s">
        <v>12390</v>
      </c>
      <c r="F178" s="3" t="s">
        <v>2147</v>
      </c>
      <c r="G178" s="3" t="s">
        <v>12603</v>
      </c>
      <c r="H178" s="3" t="s">
        <v>2185</v>
      </c>
      <c r="I178" s="3" t="s">
        <v>2954</v>
      </c>
      <c r="J178" s="3" t="s">
        <v>2953</v>
      </c>
      <c r="K178" s="3" t="s">
        <v>12586</v>
      </c>
      <c r="L178" s="3" t="s">
        <v>12587</v>
      </c>
      <c r="M178" s="3" t="s">
        <v>12588</v>
      </c>
      <c r="N178" s="3" t="s">
        <v>12589</v>
      </c>
      <c r="O178" s="3" t="s">
        <v>12607</v>
      </c>
      <c r="P178" s="3" t="s">
        <v>2186</v>
      </c>
    </row>
    <row r="179" ht="12.75" customHeight="1">
      <c r="A179" s="8" t="s">
        <v>676</v>
      </c>
      <c r="B179" s="8" t="s">
        <v>6859</v>
      </c>
      <c r="C179" s="8" t="s">
        <v>2135</v>
      </c>
      <c r="D179" s="3" t="s">
        <v>3</v>
      </c>
      <c r="E179" s="8" t="s">
        <v>6864</v>
      </c>
      <c r="F179" s="8" t="s">
        <v>2147</v>
      </c>
      <c r="G179" s="8" t="s">
        <v>2217</v>
      </c>
      <c r="H179" s="8" t="s">
        <v>2216</v>
      </c>
      <c r="I179" s="8" t="s">
        <v>2954</v>
      </c>
      <c r="J179" s="8" t="s">
        <v>2953</v>
      </c>
      <c r="K179" s="3" t="s">
        <v>12586</v>
      </c>
      <c r="L179" s="3" t="s">
        <v>12587</v>
      </c>
      <c r="M179" s="3" t="s">
        <v>12588</v>
      </c>
      <c r="N179" s="3" t="s">
        <v>12589</v>
      </c>
      <c r="O179" s="3" t="s">
        <v>12611</v>
      </c>
      <c r="P179" s="8" t="s">
        <v>2237</v>
      </c>
    </row>
    <row r="180" ht="12.75" customHeight="1">
      <c r="A180" s="8" t="s">
        <v>12574</v>
      </c>
      <c r="B180" s="8" t="s">
        <v>12575</v>
      </c>
      <c r="C180" s="8" t="s">
        <v>2135</v>
      </c>
      <c r="D180" s="3" t="s">
        <v>3</v>
      </c>
      <c r="E180" s="8" t="s">
        <v>12578</v>
      </c>
      <c r="F180" s="3" t="s">
        <v>2147</v>
      </c>
      <c r="G180" s="3" t="s">
        <v>2217</v>
      </c>
      <c r="H180" s="3" t="s">
        <v>2216</v>
      </c>
      <c r="I180" s="3" t="s">
        <v>2954</v>
      </c>
      <c r="J180" s="3" t="s">
        <v>2953</v>
      </c>
      <c r="K180" s="3" t="s">
        <v>12586</v>
      </c>
      <c r="L180" s="3" t="s">
        <v>12587</v>
      </c>
      <c r="M180" s="3" t="s">
        <v>12588</v>
      </c>
      <c r="N180" s="3" t="s">
        <v>12589</v>
      </c>
      <c r="O180" s="3" t="s">
        <v>12611</v>
      </c>
      <c r="P180" s="3" t="s">
        <v>2237</v>
      </c>
    </row>
    <row r="181" ht="12.75" customHeight="1">
      <c r="A181" s="8" t="s">
        <v>884</v>
      </c>
      <c r="B181" s="8" t="s">
        <v>5364</v>
      </c>
      <c r="C181" s="8" t="s">
        <v>5373</v>
      </c>
      <c r="D181" s="3" t="s">
        <v>3</v>
      </c>
      <c r="E181" s="8" t="s">
        <v>5375</v>
      </c>
      <c r="F181" s="8" t="s">
        <v>2147</v>
      </c>
      <c r="G181" s="8" t="s">
        <v>2217</v>
      </c>
      <c r="H181" s="8" t="s">
        <v>2216</v>
      </c>
      <c r="I181" s="8" t="s">
        <v>2954</v>
      </c>
      <c r="J181" s="8" t="s">
        <v>2953</v>
      </c>
      <c r="K181" s="3" t="s">
        <v>12586</v>
      </c>
      <c r="L181" s="3" t="s">
        <v>12587</v>
      </c>
      <c r="M181" s="3" t="s">
        <v>12588</v>
      </c>
      <c r="N181" s="3" t="s">
        <v>12589</v>
      </c>
      <c r="O181" s="3" t="s">
        <v>12616</v>
      </c>
      <c r="P181" s="8" t="s">
        <v>2218</v>
      </c>
    </row>
    <row r="182" ht="12.75" customHeight="1">
      <c r="A182" s="8" t="s">
        <v>845</v>
      </c>
      <c r="B182" s="8" t="s">
        <v>5793</v>
      </c>
      <c r="C182" s="8" t="s">
        <v>5810</v>
      </c>
      <c r="D182" s="3" t="s">
        <v>3</v>
      </c>
      <c r="E182" s="8" t="s">
        <v>5812</v>
      </c>
      <c r="F182" s="8" t="s">
        <v>2147</v>
      </c>
      <c r="G182" s="8" t="s">
        <v>2217</v>
      </c>
      <c r="H182" s="8" t="s">
        <v>2216</v>
      </c>
      <c r="I182" s="8" t="s">
        <v>2954</v>
      </c>
      <c r="J182" s="8" t="s">
        <v>2953</v>
      </c>
      <c r="K182" s="3" t="s">
        <v>12586</v>
      </c>
      <c r="L182" s="3" t="s">
        <v>12587</v>
      </c>
      <c r="M182" s="3" t="s">
        <v>12588</v>
      </c>
      <c r="N182" s="3" t="s">
        <v>12589</v>
      </c>
      <c r="O182" s="3" t="s">
        <v>12616</v>
      </c>
      <c r="P182" s="8" t="s">
        <v>2218</v>
      </c>
    </row>
    <row r="183" ht="12.75" customHeight="1">
      <c r="A183" s="8" t="s">
        <v>747</v>
      </c>
      <c r="B183" s="8" t="s">
        <v>6473</v>
      </c>
      <c r="C183" s="8" t="s">
        <v>6477</v>
      </c>
      <c r="D183" s="3" t="s">
        <v>3</v>
      </c>
      <c r="E183" s="8" t="s">
        <v>6478</v>
      </c>
      <c r="F183" s="8" t="s">
        <v>2147</v>
      </c>
      <c r="G183" s="8" t="s">
        <v>2217</v>
      </c>
      <c r="H183" s="8" t="s">
        <v>2216</v>
      </c>
      <c r="I183" s="8" t="s">
        <v>2954</v>
      </c>
      <c r="J183" s="8" t="s">
        <v>2953</v>
      </c>
      <c r="K183" s="3" t="s">
        <v>12586</v>
      </c>
      <c r="L183" s="3" t="s">
        <v>12587</v>
      </c>
      <c r="M183" s="3" t="s">
        <v>12588</v>
      </c>
      <c r="N183" s="3" t="s">
        <v>12589</v>
      </c>
      <c r="O183" s="3" t="s">
        <v>12616</v>
      </c>
      <c r="P183" s="8" t="s">
        <v>2218</v>
      </c>
    </row>
    <row r="184" ht="12.75" customHeight="1">
      <c r="A184" s="8" t="s">
        <v>706</v>
      </c>
      <c r="B184" s="8" t="s">
        <v>6745</v>
      </c>
      <c r="C184" s="8" t="s">
        <v>6750</v>
      </c>
      <c r="D184" s="3" t="s">
        <v>3</v>
      </c>
      <c r="E184" s="8" t="s">
        <v>6752</v>
      </c>
      <c r="F184" s="8" t="s">
        <v>2147</v>
      </c>
      <c r="G184" s="8" t="s">
        <v>2217</v>
      </c>
      <c r="H184" s="8" t="s">
        <v>2216</v>
      </c>
      <c r="I184" s="8" t="s">
        <v>2954</v>
      </c>
      <c r="J184" s="8" t="s">
        <v>2953</v>
      </c>
      <c r="K184" s="3" t="s">
        <v>12586</v>
      </c>
      <c r="L184" s="3" t="s">
        <v>12587</v>
      </c>
      <c r="M184" s="3" t="s">
        <v>12588</v>
      </c>
      <c r="N184" s="3" t="s">
        <v>12589</v>
      </c>
      <c r="O184" s="3" t="s">
        <v>12616</v>
      </c>
      <c r="P184" s="8" t="s">
        <v>2218</v>
      </c>
    </row>
    <row r="185" ht="12.75" customHeight="1">
      <c r="A185" s="8" t="s">
        <v>465</v>
      </c>
      <c r="B185" s="8" t="s">
        <v>5988</v>
      </c>
      <c r="C185" s="8" t="s">
        <v>5999</v>
      </c>
      <c r="D185" s="3" t="s">
        <v>3</v>
      </c>
      <c r="E185" s="8" t="s">
        <v>6001</v>
      </c>
      <c r="F185" s="8" t="s">
        <v>2147</v>
      </c>
      <c r="G185" s="8" t="s">
        <v>2217</v>
      </c>
      <c r="H185" s="8" t="s">
        <v>2216</v>
      </c>
      <c r="I185" s="8" t="s">
        <v>2954</v>
      </c>
      <c r="J185" s="8" t="s">
        <v>2953</v>
      </c>
      <c r="K185" s="3" t="s">
        <v>12586</v>
      </c>
      <c r="L185" s="3" t="s">
        <v>12587</v>
      </c>
      <c r="M185" s="3" t="s">
        <v>12588</v>
      </c>
      <c r="N185" s="3" t="s">
        <v>12589</v>
      </c>
      <c r="O185" s="3" t="s">
        <v>12609</v>
      </c>
      <c r="P185" s="8" t="s">
        <v>2234</v>
      </c>
    </row>
    <row r="186" ht="12.75" customHeight="1">
      <c r="A186" s="8" t="s">
        <v>662</v>
      </c>
      <c r="B186" s="8" t="s">
        <v>2135</v>
      </c>
      <c r="C186" s="8" t="s">
        <v>2135</v>
      </c>
      <c r="D186" s="3" t="s">
        <v>3</v>
      </c>
      <c r="E186" s="8" t="s">
        <v>6890</v>
      </c>
      <c r="F186" s="8" t="s">
        <v>2147</v>
      </c>
      <c r="G186" s="8" t="s">
        <v>2217</v>
      </c>
      <c r="H186" s="8" t="s">
        <v>2216</v>
      </c>
      <c r="I186" s="8" t="s">
        <v>2954</v>
      </c>
      <c r="J186" s="8" t="s">
        <v>2953</v>
      </c>
      <c r="K186" s="3" t="s">
        <v>12586</v>
      </c>
      <c r="L186" s="3" t="s">
        <v>12587</v>
      </c>
      <c r="M186" s="3" t="s">
        <v>12588</v>
      </c>
      <c r="N186" s="3" t="s">
        <v>12589</v>
      </c>
      <c r="O186" s="3" t="s">
        <v>12600</v>
      </c>
      <c r="P186" s="8" t="s">
        <v>2221</v>
      </c>
    </row>
    <row r="187" ht="12.75" customHeight="1">
      <c r="A187" s="8" t="s">
        <v>831</v>
      </c>
      <c r="B187" s="8" t="s">
        <v>5840</v>
      </c>
      <c r="C187" s="8" t="s">
        <v>5854</v>
      </c>
      <c r="D187" s="3" t="s">
        <v>3</v>
      </c>
      <c r="E187" s="8" t="s">
        <v>5857</v>
      </c>
      <c r="F187" s="8" t="s">
        <v>2147</v>
      </c>
      <c r="G187" s="3" t="s">
        <v>12603</v>
      </c>
      <c r="H187" s="8" t="s">
        <v>2272</v>
      </c>
      <c r="I187" s="8" t="s">
        <v>2954</v>
      </c>
      <c r="J187" s="8" t="s">
        <v>2953</v>
      </c>
      <c r="K187" s="3" t="s">
        <v>12586</v>
      </c>
      <c r="L187" s="3" t="s">
        <v>12587</v>
      </c>
      <c r="M187" s="3" t="s">
        <v>12588</v>
      </c>
      <c r="N187" s="3" t="s">
        <v>12589</v>
      </c>
      <c r="O187" s="3" t="s">
        <v>12609</v>
      </c>
      <c r="P187" s="8" t="s">
        <v>2275</v>
      </c>
    </row>
    <row r="188" ht="12.75" customHeight="1">
      <c r="A188" s="8" t="s">
        <v>855</v>
      </c>
      <c r="B188" s="8" t="s">
        <v>5558</v>
      </c>
      <c r="C188" s="8" t="s">
        <v>5567</v>
      </c>
      <c r="D188" s="3" t="s">
        <v>3</v>
      </c>
      <c r="E188" s="8" t="s">
        <v>5569</v>
      </c>
      <c r="F188" s="8" t="s">
        <v>2283</v>
      </c>
      <c r="G188" s="3" t="s">
        <v>12624</v>
      </c>
      <c r="H188" s="8" t="s">
        <v>2282</v>
      </c>
      <c r="I188" s="8" t="s">
        <v>2954</v>
      </c>
      <c r="J188" s="8" t="s">
        <v>2953</v>
      </c>
      <c r="K188" s="3" t="s">
        <v>12586</v>
      </c>
      <c r="L188" s="3" t="s">
        <v>12587</v>
      </c>
      <c r="M188" s="3" t="s">
        <v>12588</v>
      </c>
      <c r="N188" s="3" t="s">
        <v>12589</v>
      </c>
      <c r="O188" s="3" t="s">
        <v>12635</v>
      </c>
      <c r="P188" s="8" t="s">
        <v>2295</v>
      </c>
    </row>
    <row r="189" ht="12.75" customHeight="1">
      <c r="A189" s="8" t="s">
        <v>821</v>
      </c>
      <c r="B189" s="8" t="s">
        <v>5939</v>
      </c>
      <c r="C189" s="8" t="s">
        <v>5953</v>
      </c>
      <c r="D189" s="3" t="s">
        <v>3</v>
      </c>
      <c r="E189" s="8" t="s">
        <v>5955</v>
      </c>
      <c r="F189" s="8" t="s">
        <v>2283</v>
      </c>
      <c r="G189" s="3" t="s">
        <v>12624</v>
      </c>
      <c r="H189" s="8" t="s">
        <v>2282</v>
      </c>
      <c r="I189" s="8" t="s">
        <v>2954</v>
      </c>
      <c r="J189" s="8" t="s">
        <v>2953</v>
      </c>
      <c r="K189" s="3" t="s">
        <v>12586</v>
      </c>
      <c r="L189" s="3" t="s">
        <v>12587</v>
      </c>
      <c r="M189" s="3" t="s">
        <v>12588</v>
      </c>
      <c r="N189" s="3" t="s">
        <v>12589</v>
      </c>
      <c r="O189" s="3" t="s">
        <v>12602</v>
      </c>
      <c r="P189" s="8" t="s">
        <v>2291</v>
      </c>
    </row>
    <row r="190" ht="12.75" customHeight="1">
      <c r="A190" s="8" t="s">
        <v>841</v>
      </c>
      <c r="B190" s="8" t="s">
        <v>5702</v>
      </c>
      <c r="C190" s="8" t="s">
        <v>5710</v>
      </c>
      <c r="D190" s="3" t="s">
        <v>3</v>
      </c>
      <c r="E190" s="8" t="s">
        <v>5712</v>
      </c>
      <c r="F190" s="8" t="s">
        <v>2283</v>
      </c>
      <c r="G190" s="3" t="s">
        <v>12624</v>
      </c>
      <c r="H190" s="8" t="s">
        <v>2282</v>
      </c>
      <c r="I190" s="8" t="s">
        <v>2954</v>
      </c>
      <c r="J190" s="8" t="s">
        <v>2953</v>
      </c>
      <c r="K190" s="3" t="s">
        <v>12586</v>
      </c>
      <c r="L190" s="3" t="s">
        <v>12587</v>
      </c>
      <c r="M190" s="3" t="s">
        <v>12588</v>
      </c>
      <c r="N190" s="3" t="s">
        <v>12589</v>
      </c>
      <c r="O190" s="3" t="s">
        <v>12600</v>
      </c>
      <c r="P190" s="8" t="s">
        <v>2284</v>
      </c>
    </row>
    <row r="191" ht="12.75" customHeight="1">
      <c r="A191" s="8" t="s">
        <v>839</v>
      </c>
      <c r="B191" s="8" t="s">
        <v>5772</v>
      </c>
      <c r="C191" s="8" t="s">
        <v>5785</v>
      </c>
      <c r="D191" s="3" t="s">
        <v>3</v>
      </c>
      <c r="E191" s="8" t="s">
        <v>5787</v>
      </c>
      <c r="F191" s="8" t="s">
        <v>2283</v>
      </c>
      <c r="G191" s="3" t="s">
        <v>12624</v>
      </c>
      <c r="H191" s="8" t="s">
        <v>2282</v>
      </c>
      <c r="I191" s="8" t="s">
        <v>2954</v>
      </c>
      <c r="J191" s="8" t="s">
        <v>2953</v>
      </c>
      <c r="K191" s="3" t="s">
        <v>12586</v>
      </c>
      <c r="L191" s="3" t="s">
        <v>12587</v>
      </c>
      <c r="M191" s="3" t="s">
        <v>12588</v>
      </c>
      <c r="N191" s="3" t="s">
        <v>12589</v>
      </c>
      <c r="O191" s="3" t="s">
        <v>12600</v>
      </c>
      <c r="P191" s="8" t="s">
        <v>2284</v>
      </c>
    </row>
    <row r="192" ht="12.75" customHeight="1">
      <c r="A192" s="8" t="s">
        <v>799</v>
      </c>
      <c r="B192" s="8" t="s">
        <v>6160</v>
      </c>
      <c r="C192" s="8" t="s">
        <v>6167</v>
      </c>
      <c r="D192" s="3" t="s">
        <v>3</v>
      </c>
      <c r="E192" s="8" t="s">
        <v>6169</v>
      </c>
      <c r="F192" s="8" t="s">
        <v>2142</v>
      </c>
      <c r="G192" s="3" t="s">
        <v>12585</v>
      </c>
      <c r="H192" s="8" t="s">
        <v>2307</v>
      </c>
      <c r="I192" s="8" t="s">
        <v>2954</v>
      </c>
      <c r="J192" s="8" t="s">
        <v>2953</v>
      </c>
      <c r="K192" s="3" t="s">
        <v>12586</v>
      </c>
      <c r="L192" s="3" t="s">
        <v>12587</v>
      </c>
      <c r="M192" s="3" t="s">
        <v>12588</v>
      </c>
      <c r="N192" s="3" t="s">
        <v>12589</v>
      </c>
      <c r="O192" s="3" t="s">
        <v>12636</v>
      </c>
      <c r="P192" s="8" t="s">
        <v>2309</v>
      </c>
    </row>
    <row r="193" ht="12.75" customHeight="1">
      <c r="A193" s="8" t="s">
        <v>690</v>
      </c>
      <c r="B193" s="8" t="s">
        <v>6793</v>
      </c>
      <c r="C193" s="8" t="s">
        <v>2135</v>
      </c>
      <c r="D193" s="3" t="s">
        <v>3</v>
      </c>
      <c r="E193" s="8" t="s">
        <v>6801</v>
      </c>
      <c r="F193" s="8" t="s">
        <v>2142</v>
      </c>
      <c r="G193" s="3" t="s">
        <v>12585</v>
      </c>
      <c r="H193" s="8" t="s">
        <v>2318</v>
      </c>
      <c r="I193" s="8" t="s">
        <v>2954</v>
      </c>
      <c r="J193" s="8" t="s">
        <v>2953</v>
      </c>
      <c r="K193" s="3" t="s">
        <v>12586</v>
      </c>
      <c r="L193" s="3" t="s">
        <v>12587</v>
      </c>
      <c r="M193" s="3" t="s">
        <v>12588</v>
      </c>
      <c r="N193" s="3" t="s">
        <v>12589</v>
      </c>
      <c r="O193" s="3" t="s">
        <v>12600</v>
      </c>
      <c r="P193" s="8" t="s">
        <v>2166</v>
      </c>
    </row>
    <row r="194" ht="12.75" customHeight="1">
      <c r="A194" s="8" t="s">
        <v>12563</v>
      </c>
      <c r="B194" s="8" t="s">
        <v>12566</v>
      </c>
      <c r="C194" s="8" t="s">
        <v>12570</v>
      </c>
      <c r="D194" s="3" t="s">
        <v>3</v>
      </c>
      <c r="E194" s="8" t="s">
        <v>12572</v>
      </c>
      <c r="F194" s="3" t="s">
        <v>2142</v>
      </c>
      <c r="G194" s="3" t="s">
        <v>12585</v>
      </c>
      <c r="H194" s="3" t="s">
        <v>2345</v>
      </c>
      <c r="I194" s="3" t="s">
        <v>2954</v>
      </c>
      <c r="J194" s="3" t="s">
        <v>2953</v>
      </c>
      <c r="K194" s="3" t="s">
        <v>12586</v>
      </c>
      <c r="L194" s="3" t="s">
        <v>12587</v>
      </c>
      <c r="M194" s="3" t="s">
        <v>12588</v>
      </c>
      <c r="N194" s="3" t="s">
        <v>12589</v>
      </c>
      <c r="O194" s="3" t="s">
        <v>12590</v>
      </c>
      <c r="P194" s="3" t="s">
        <v>2143</v>
      </c>
    </row>
    <row r="195" ht="12.75" customHeight="1">
      <c r="A195" s="8" t="s">
        <v>803</v>
      </c>
      <c r="B195" s="8" t="s">
        <v>6066</v>
      </c>
      <c r="C195" s="8" t="s">
        <v>6075</v>
      </c>
      <c r="D195" s="3" t="s">
        <v>3</v>
      </c>
      <c r="E195" s="8" t="s">
        <v>6077</v>
      </c>
      <c r="F195" s="8" t="s">
        <v>2142</v>
      </c>
      <c r="G195" s="3" t="s">
        <v>12585</v>
      </c>
      <c r="H195" s="8" t="s">
        <v>2373</v>
      </c>
      <c r="I195" s="8" t="s">
        <v>2954</v>
      </c>
      <c r="J195" s="8" t="s">
        <v>2953</v>
      </c>
      <c r="K195" s="3" t="s">
        <v>12586</v>
      </c>
      <c r="L195" s="3" t="s">
        <v>12587</v>
      </c>
      <c r="M195" s="3" t="s">
        <v>12588</v>
      </c>
      <c r="N195" s="3" t="s">
        <v>12589</v>
      </c>
      <c r="O195" s="3" t="s">
        <v>12596</v>
      </c>
      <c r="P195" s="8" t="s">
        <v>2311</v>
      </c>
    </row>
    <row r="196" ht="12.75" customHeight="1">
      <c r="A196" s="8" t="s">
        <v>767</v>
      </c>
      <c r="B196" s="8" t="s">
        <v>6348</v>
      </c>
      <c r="C196" s="8" t="s">
        <v>6353</v>
      </c>
      <c r="D196" s="3" t="s">
        <v>3</v>
      </c>
      <c r="E196" s="8" t="s">
        <v>6355</v>
      </c>
      <c r="F196" s="8" t="s">
        <v>2283</v>
      </c>
      <c r="G196" s="3" t="s">
        <v>12618</v>
      </c>
      <c r="H196" s="8" t="s">
        <v>2406</v>
      </c>
      <c r="I196" s="8" t="s">
        <v>2954</v>
      </c>
      <c r="J196" s="8" t="s">
        <v>2953</v>
      </c>
      <c r="K196" s="3" t="s">
        <v>12586</v>
      </c>
      <c r="L196" s="3" t="s">
        <v>12587</v>
      </c>
      <c r="M196" s="3" t="s">
        <v>12588</v>
      </c>
      <c r="N196" s="3" t="s">
        <v>12589</v>
      </c>
      <c r="O196" s="3" t="s">
        <v>12637</v>
      </c>
      <c r="P196" s="8" t="s">
        <v>2407</v>
      </c>
    </row>
    <row r="197" ht="12.75" customHeight="1">
      <c r="A197" s="8" t="s">
        <v>812</v>
      </c>
      <c r="B197" s="8" t="s">
        <v>6006</v>
      </c>
      <c r="C197" s="8" t="s">
        <v>2135</v>
      </c>
      <c r="D197" s="3" t="s">
        <v>3</v>
      </c>
      <c r="E197" s="8" t="s">
        <v>6012</v>
      </c>
      <c r="F197" s="8" t="s">
        <v>2283</v>
      </c>
      <c r="G197" s="3" t="s">
        <v>12618</v>
      </c>
      <c r="H197" s="8" t="s">
        <v>2406</v>
      </c>
      <c r="I197" s="8" t="s">
        <v>2954</v>
      </c>
      <c r="J197" s="8" t="s">
        <v>2953</v>
      </c>
    </row>
    <row r="198" ht="12.75" customHeight="1">
      <c r="A198" s="8" t="s">
        <v>879</v>
      </c>
      <c r="B198" s="8" t="s">
        <v>5479</v>
      </c>
      <c r="C198" s="8" t="s">
        <v>5493</v>
      </c>
      <c r="D198" s="3" t="s">
        <v>3</v>
      </c>
      <c r="E198" s="8" t="s">
        <v>5495</v>
      </c>
      <c r="F198" s="8" t="s">
        <v>2283</v>
      </c>
      <c r="G198" s="3" t="s">
        <v>12618</v>
      </c>
      <c r="H198" s="8" t="s">
        <v>2438</v>
      </c>
      <c r="I198" s="8" t="s">
        <v>2954</v>
      </c>
      <c r="J198" s="8" t="s">
        <v>2953</v>
      </c>
      <c r="K198" s="3" t="s">
        <v>12586</v>
      </c>
      <c r="L198" s="3" t="s">
        <v>12587</v>
      </c>
      <c r="M198" s="3" t="s">
        <v>12588</v>
      </c>
      <c r="N198" s="3" t="s">
        <v>12589</v>
      </c>
      <c r="O198" s="3" t="s">
        <v>12602</v>
      </c>
      <c r="P198" s="8" t="s">
        <v>2291</v>
      </c>
    </row>
    <row r="199" ht="12.75" customHeight="1">
      <c r="A199" s="8" t="s">
        <v>696</v>
      </c>
      <c r="B199" s="8" t="s">
        <v>6763</v>
      </c>
      <c r="C199" s="8" t="s">
        <v>6768</v>
      </c>
      <c r="D199" s="3" t="s">
        <v>3</v>
      </c>
      <c r="E199" s="8" t="s">
        <v>6770</v>
      </c>
      <c r="F199" s="8" t="s">
        <v>2142</v>
      </c>
      <c r="G199" s="3" t="s">
        <v>12585</v>
      </c>
      <c r="H199" s="8" t="s">
        <v>2450</v>
      </c>
      <c r="I199" s="8" t="s">
        <v>2954</v>
      </c>
      <c r="J199" s="8" t="s">
        <v>2953</v>
      </c>
      <c r="K199" s="3" t="s">
        <v>12586</v>
      </c>
      <c r="L199" s="3" t="s">
        <v>12587</v>
      </c>
      <c r="M199" s="3" t="s">
        <v>12588</v>
      </c>
      <c r="N199" s="3" t="s">
        <v>12589</v>
      </c>
      <c r="O199" s="3" t="s">
        <v>12616</v>
      </c>
      <c r="P199" s="8" t="s">
        <v>2218</v>
      </c>
    </row>
    <row r="200" ht="12.75" customHeight="1">
      <c r="A200" s="8" t="s">
        <v>686</v>
      </c>
      <c r="B200" s="8" t="s">
        <v>6839</v>
      </c>
      <c r="C200" s="8" t="s">
        <v>6844</v>
      </c>
      <c r="D200" s="3" t="s">
        <v>3</v>
      </c>
      <c r="E200" s="8" t="s">
        <v>6846</v>
      </c>
      <c r="F200" s="8" t="s">
        <v>2142</v>
      </c>
      <c r="G200" s="3" t="s">
        <v>12585</v>
      </c>
      <c r="H200" s="8" t="s">
        <v>2450</v>
      </c>
      <c r="I200" s="8" t="s">
        <v>2954</v>
      </c>
      <c r="J200" s="8" t="s">
        <v>2953</v>
      </c>
      <c r="K200" s="3" t="s">
        <v>12586</v>
      </c>
      <c r="L200" s="3" t="s">
        <v>12587</v>
      </c>
      <c r="M200" s="3" t="s">
        <v>12588</v>
      </c>
      <c r="N200" s="3" t="s">
        <v>12589</v>
      </c>
      <c r="O200" s="3" t="s">
        <v>12616</v>
      </c>
      <c r="P200" s="8" t="s">
        <v>2218</v>
      </c>
    </row>
    <row r="201" ht="12.75" customHeight="1">
      <c r="A201" s="8" t="s">
        <v>678</v>
      </c>
      <c r="B201" s="8" t="s">
        <v>6850</v>
      </c>
      <c r="C201" s="8" t="s">
        <v>6853</v>
      </c>
      <c r="D201" s="3" t="s">
        <v>3</v>
      </c>
      <c r="E201" s="8" t="s">
        <v>6855</v>
      </c>
      <c r="F201" s="8" t="s">
        <v>2142</v>
      </c>
      <c r="G201" s="3" t="s">
        <v>12585</v>
      </c>
      <c r="H201" s="8" t="s">
        <v>2450</v>
      </c>
      <c r="I201" s="8" t="s">
        <v>2954</v>
      </c>
      <c r="J201" s="8" t="s">
        <v>2953</v>
      </c>
      <c r="K201" s="3" t="s">
        <v>12586</v>
      </c>
      <c r="L201" s="3" t="s">
        <v>12587</v>
      </c>
      <c r="M201" s="3" t="s">
        <v>12588</v>
      </c>
      <c r="N201" s="3" t="s">
        <v>12589</v>
      </c>
      <c r="O201" s="3" t="s">
        <v>12616</v>
      </c>
      <c r="P201" s="8" t="s">
        <v>2218</v>
      </c>
    </row>
    <row r="202" ht="12.75" customHeight="1">
      <c r="A202" s="8" t="s">
        <v>773</v>
      </c>
      <c r="B202" s="8" t="s">
        <v>6291</v>
      </c>
      <c r="C202" s="8" t="s">
        <v>2135</v>
      </c>
      <c r="D202" s="3" t="s">
        <v>3</v>
      </c>
      <c r="E202" s="8" t="s">
        <v>6301</v>
      </c>
      <c r="F202" s="8" t="s">
        <v>2283</v>
      </c>
      <c r="G202" s="8" t="s">
        <v>2357</v>
      </c>
      <c r="H202" s="8" t="s">
        <v>2456</v>
      </c>
      <c r="I202" s="8" t="s">
        <v>2954</v>
      </c>
      <c r="J202" s="8" t="s">
        <v>2953</v>
      </c>
      <c r="K202" s="3" t="s">
        <v>12586</v>
      </c>
      <c r="L202" s="3" t="s">
        <v>12587</v>
      </c>
      <c r="M202" s="3" t="s">
        <v>12588</v>
      </c>
      <c r="N202" s="3" t="s">
        <v>12589</v>
      </c>
      <c r="O202" s="3" t="s">
        <v>12598</v>
      </c>
      <c r="P202" s="8" t="s">
        <v>2361</v>
      </c>
    </row>
    <row r="203" ht="12.75" customHeight="1">
      <c r="A203" s="8" t="s">
        <v>827</v>
      </c>
      <c r="B203" s="8" t="s">
        <v>5862</v>
      </c>
      <c r="C203" s="8" t="s">
        <v>5871</v>
      </c>
      <c r="D203" s="3" t="s">
        <v>3</v>
      </c>
      <c r="E203" s="8" t="s">
        <v>5873</v>
      </c>
      <c r="F203" s="8" t="s">
        <v>2283</v>
      </c>
      <c r="G203" s="8" t="s">
        <v>2357</v>
      </c>
      <c r="H203" s="8" t="s">
        <v>2456</v>
      </c>
      <c r="I203" s="8" t="s">
        <v>2954</v>
      </c>
      <c r="J203" s="8" t="s">
        <v>2953</v>
      </c>
      <c r="K203" s="3" t="s">
        <v>12586</v>
      </c>
      <c r="L203" s="3" t="s">
        <v>12587</v>
      </c>
      <c r="M203" s="3" t="s">
        <v>12588</v>
      </c>
      <c r="N203" s="3" t="s">
        <v>12589</v>
      </c>
      <c r="O203" s="3" t="s">
        <v>12600</v>
      </c>
      <c r="P203" s="8" t="s">
        <v>2460</v>
      </c>
    </row>
    <row r="204" ht="12.75" customHeight="1">
      <c r="A204" s="8" t="s">
        <v>815</v>
      </c>
      <c r="B204" s="8" t="s">
        <v>6017</v>
      </c>
      <c r="C204" s="8" t="s">
        <v>6026</v>
      </c>
      <c r="D204" s="3" t="s">
        <v>3</v>
      </c>
      <c r="E204" s="8" t="s">
        <v>6028</v>
      </c>
      <c r="F204" s="8" t="s">
        <v>2147</v>
      </c>
      <c r="G204" s="3" t="s">
        <v>12603</v>
      </c>
      <c r="H204" s="8" t="s">
        <v>2462</v>
      </c>
      <c r="I204" s="8" t="s">
        <v>2954</v>
      </c>
      <c r="J204" s="8" t="s">
        <v>2953</v>
      </c>
      <c r="K204" s="3" t="s">
        <v>12586</v>
      </c>
      <c r="L204" s="3" t="s">
        <v>12587</v>
      </c>
      <c r="M204" s="3" t="s">
        <v>12588</v>
      </c>
      <c r="N204" s="3" t="s">
        <v>12589</v>
      </c>
      <c r="O204" s="3" t="s">
        <v>12607</v>
      </c>
      <c r="P204" s="8" t="s">
        <v>2186</v>
      </c>
    </row>
    <row r="205" ht="12.75" customHeight="1">
      <c r="A205" s="8" t="s">
        <v>851</v>
      </c>
      <c r="B205" s="8" t="s">
        <v>5668</v>
      </c>
      <c r="C205" s="8" t="s">
        <v>5680</v>
      </c>
      <c r="D205" s="3" t="s">
        <v>3</v>
      </c>
      <c r="E205" s="8" t="s">
        <v>5682</v>
      </c>
      <c r="F205" s="8" t="s">
        <v>2142</v>
      </c>
      <c r="G205" s="3" t="s">
        <v>12620</v>
      </c>
      <c r="H205" s="3" t="s">
        <v>12621</v>
      </c>
      <c r="I205" s="8" t="s">
        <v>2954</v>
      </c>
      <c r="J205" s="8" t="s">
        <v>2953</v>
      </c>
      <c r="K205" s="3" t="s">
        <v>12586</v>
      </c>
      <c r="L205" s="3" t="s">
        <v>12587</v>
      </c>
      <c r="M205" s="3" t="s">
        <v>12588</v>
      </c>
      <c r="N205" s="3" t="s">
        <v>12589</v>
      </c>
      <c r="O205" s="3" t="s">
        <v>12600</v>
      </c>
      <c r="P205" s="8" t="s">
        <v>2284</v>
      </c>
    </row>
    <row r="206" ht="12.75" customHeight="1">
      <c r="A206" s="8" t="s">
        <v>809</v>
      </c>
      <c r="B206" s="8" t="s">
        <v>5960</v>
      </c>
      <c r="C206" s="8" t="s">
        <v>5971</v>
      </c>
      <c r="D206" s="3" t="s">
        <v>3</v>
      </c>
      <c r="E206" s="8" t="s">
        <v>5973</v>
      </c>
      <c r="F206" s="8" t="s">
        <v>2142</v>
      </c>
      <c r="G206" s="3" t="s">
        <v>12585</v>
      </c>
      <c r="H206" s="8" t="s">
        <v>2497</v>
      </c>
      <c r="I206" s="8" t="s">
        <v>2954</v>
      </c>
      <c r="J206" s="8" t="s">
        <v>2953</v>
      </c>
      <c r="K206" s="3" t="s">
        <v>12586</v>
      </c>
      <c r="L206" s="3" t="s">
        <v>12587</v>
      </c>
      <c r="M206" s="3" t="s">
        <v>12588</v>
      </c>
      <c r="N206" s="3" t="s">
        <v>12589</v>
      </c>
      <c r="O206" s="3" t="s">
        <v>12638</v>
      </c>
      <c r="P206" s="8" t="s">
        <v>2517</v>
      </c>
    </row>
    <row r="207" ht="12.75" customHeight="1">
      <c r="A207" s="8" t="s">
        <v>660</v>
      </c>
      <c r="B207" s="8" t="s">
        <v>6938</v>
      </c>
      <c r="C207" s="8" t="s">
        <v>6942</v>
      </c>
      <c r="D207" s="3" t="s">
        <v>3</v>
      </c>
      <c r="E207" s="8" t="s">
        <v>6944</v>
      </c>
      <c r="F207" s="8" t="s">
        <v>2142</v>
      </c>
      <c r="G207" s="3" t="s">
        <v>12585</v>
      </c>
      <c r="H207" s="8" t="s">
        <v>2497</v>
      </c>
      <c r="I207" s="8" t="s">
        <v>2954</v>
      </c>
      <c r="J207" s="8" t="s">
        <v>2953</v>
      </c>
      <c r="K207" s="3" t="s">
        <v>12586</v>
      </c>
      <c r="L207" s="3" t="s">
        <v>12587</v>
      </c>
      <c r="M207" s="3" t="s">
        <v>12588</v>
      </c>
      <c r="N207" s="3" t="s">
        <v>12589</v>
      </c>
      <c r="O207" s="3" t="s">
        <v>12600</v>
      </c>
      <c r="P207" s="8" t="s">
        <v>2166</v>
      </c>
    </row>
    <row r="208" ht="12.75" customHeight="1">
      <c r="A208" s="8" t="s">
        <v>733</v>
      </c>
      <c r="B208" s="8" t="s">
        <v>6540</v>
      </c>
      <c r="C208" s="8" t="s">
        <v>6546</v>
      </c>
      <c r="D208" s="3" t="s">
        <v>3</v>
      </c>
      <c r="E208" s="8" t="s">
        <v>6548</v>
      </c>
      <c r="F208" s="8" t="s">
        <v>2142</v>
      </c>
      <c r="G208" s="3" t="s">
        <v>12585</v>
      </c>
      <c r="H208" s="8" t="s">
        <v>2497</v>
      </c>
      <c r="I208" s="8" t="s">
        <v>2954</v>
      </c>
      <c r="J208" s="8" t="s">
        <v>2953</v>
      </c>
      <c r="K208" s="3" t="s">
        <v>12586</v>
      </c>
      <c r="L208" s="3" t="s">
        <v>12587</v>
      </c>
      <c r="M208" s="3" t="s">
        <v>12588</v>
      </c>
      <c r="N208" s="3" t="s">
        <v>12589</v>
      </c>
      <c r="O208" s="3" t="s">
        <v>12627</v>
      </c>
      <c r="P208" s="8" t="s">
        <v>2515</v>
      </c>
    </row>
    <row r="209" ht="12.75" customHeight="1">
      <c r="A209" s="8" t="s">
        <v>847</v>
      </c>
      <c r="B209" s="8" t="s">
        <v>5749</v>
      </c>
      <c r="C209" s="8" t="s">
        <v>5762</v>
      </c>
      <c r="D209" s="3" t="s">
        <v>3</v>
      </c>
      <c r="E209" s="8" t="s">
        <v>5766</v>
      </c>
      <c r="F209" s="8" t="s">
        <v>2142</v>
      </c>
      <c r="G209" s="3" t="s">
        <v>12585</v>
      </c>
      <c r="H209" s="8" t="s">
        <v>2538</v>
      </c>
      <c r="I209" s="8" t="s">
        <v>2954</v>
      </c>
      <c r="J209" s="8" t="s">
        <v>2953</v>
      </c>
      <c r="K209" s="3" t="s">
        <v>12586</v>
      </c>
      <c r="L209" s="3" t="s">
        <v>12587</v>
      </c>
      <c r="M209" s="3" t="s">
        <v>12588</v>
      </c>
      <c r="N209" s="3" t="s">
        <v>12589</v>
      </c>
      <c r="O209" s="3" t="s">
        <v>12616</v>
      </c>
      <c r="P209" s="8" t="s">
        <v>2218</v>
      </c>
    </row>
    <row r="210" ht="12.75" customHeight="1">
      <c r="A210" s="8" t="s">
        <v>857</v>
      </c>
      <c r="B210" s="8" t="s">
        <v>5537</v>
      </c>
      <c r="C210" s="8" t="s">
        <v>5549</v>
      </c>
      <c r="D210" s="3" t="s">
        <v>3</v>
      </c>
      <c r="E210" s="8" t="s">
        <v>5553</v>
      </c>
      <c r="F210" s="8" t="s">
        <v>2283</v>
      </c>
      <c r="G210" s="3" t="s">
        <v>12618</v>
      </c>
      <c r="H210" s="8" t="s">
        <v>2548</v>
      </c>
      <c r="I210" s="8" t="s">
        <v>2954</v>
      </c>
      <c r="J210" s="8" t="s">
        <v>2953</v>
      </c>
      <c r="K210" s="3" t="s">
        <v>12586</v>
      </c>
      <c r="L210" s="3" t="s">
        <v>12587</v>
      </c>
      <c r="M210" s="3" t="s">
        <v>12588</v>
      </c>
      <c r="N210" s="3" t="s">
        <v>12589</v>
      </c>
      <c r="O210" s="3" t="s">
        <v>12639</v>
      </c>
      <c r="P210" s="8" t="s">
        <v>2549</v>
      </c>
    </row>
    <row r="211" ht="12.75" customHeight="1">
      <c r="A211" s="8" t="s">
        <v>801</v>
      </c>
      <c r="B211" s="8" t="s">
        <v>6081</v>
      </c>
      <c r="C211" s="8" t="s">
        <v>6093</v>
      </c>
      <c r="D211" s="3" t="s">
        <v>3</v>
      </c>
      <c r="E211" s="8" t="s">
        <v>6095</v>
      </c>
      <c r="F211" s="8" t="s">
        <v>2142</v>
      </c>
      <c r="G211" s="3" t="s">
        <v>12585</v>
      </c>
      <c r="H211" s="8" t="s">
        <v>2553</v>
      </c>
      <c r="I211" s="8" t="s">
        <v>2954</v>
      </c>
      <c r="J211" s="8" t="s">
        <v>2953</v>
      </c>
      <c r="K211" s="3" t="s">
        <v>12586</v>
      </c>
      <c r="L211" s="3" t="s">
        <v>12587</v>
      </c>
      <c r="M211" s="3" t="s">
        <v>12588</v>
      </c>
      <c r="N211" s="3" t="s">
        <v>12589</v>
      </c>
      <c r="O211" s="3" t="s">
        <v>12596</v>
      </c>
      <c r="P211" s="8" t="s">
        <v>2311</v>
      </c>
    </row>
    <row r="212" ht="12.75" customHeight="1">
      <c r="A212" s="8" t="s">
        <v>684</v>
      </c>
      <c r="B212" s="8" t="s">
        <v>6816</v>
      </c>
      <c r="C212" s="8" t="s">
        <v>6823</v>
      </c>
      <c r="D212" s="3" t="s">
        <v>3</v>
      </c>
      <c r="E212" s="8" t="s">
        <v>6825</v>
      </c>
      <c r="F212" s="8" t="s">
        <v>2142</v>
      </c>
      <c r="G212" s="3" t="s">
        <v>12585</v>
      </c>
      <c r="H212" s="8" t="s">
        <v>2553</v>
      </c>
      <c r="I212" s="8" t="s">
        <v>2954</v>
      </c>
      <c r="J212" s="8" t="s">
        <v>2953</v>
      </c>
      <c r="K212" s="3" t="s">
        <v>12586</v>
      </c>
      <c r="L212" s="3" t="s">
        <v>12587</v>
      </c>
      <c r="M212" s="3" t="s">
        <v>12588</v>
      </c>
      <c r="N212" s="3" t="s">
        <v>12589</v>
      </c>
      <c r="O212" s="3" t="s">
        <v>12596</v>
      </c>
      <c r="P212" s="8" t="s">
        <v>2311</v>
      </c>
    </row>
    <row r="213" ht="12.75" customHeight="1">
      <c r="A213" s="8" t="s">
        <v>652</v>
      </c>
      <c r="B213" s="8" t="s">
        <v>2135</v>
      </c>
      <c r="C213" s="8" t="s">
        <v>6990</v>
      </c>
      <c r="D213" s="3" t="s">
        <v>3</v>
      </c>
      <c r="E213" s="8" t="s">
        <v>6992</v>
      </c>
      <c r="F213" s="8" t="s">
        <v>2142</v>
      </c>
      <c r="G213" s="3" t="s">
        <v>12585</v>
      </c>
      <c r="H213" s="8" t="s">
        <v>2553</v>
      </c>
      <c r="I213" s="8" t="s">
        <v>2954</v>
      </c>
      <c r="J213" s="8" t="s">
        <v>2953</v>
      </c>
      <c r="K213" s="3" t="s">
        <v>12586</v>
      </c>
      <c r="L213" s="3" t="s">
        <v>12587</v>
      </c>
      <c r="M213" s="3" t="s">
        <v>12588</v>
      </c>
      <c r="N213" s="3" t="s">
        <v>12589</v>
      </c>
      <c r="O213" s="3" t="s">
        <v>12596</v>
      </c>
      <c r="P213" s="8" t="s">
        <v>2311</v>
      </c>
    </row>
    <row r="214" ht="12.75" customHeight="1">
      <c r="A214" s="8" t="s">
        <v>694</v>
      </c>
      <c r="B214" s="8" t="s">
        <v>6774</v>
      </c>
      <c r="C214" s="8" t="s">
        <v>6777</v>
      </c>
      <c r="D214" s="3" t="s">
        <v>3</v>
      </c>
      <c r="E214" s="8" t="s">
        <v>6779</v>
      </c>
      <c r="F214" s="8" t="s">
        <v>2142</v>
      </c>
      <c r="G214" s="3" t="s">
        <v>12585</v>
      </c>
      <c r="H214" s="8" t="s">
        <v>2553</v>
      </c>
      <c r="I214" s="8" t="s">
        <v>2954</v>
      </c>
      <c r="J214" s="8" t="s">
        <v>2953</v>
      </c>
      <c r="K214" s="3" t="s">
        <v>12586</v>
      </c>
      <c r="L214" s="3" t="s">
        <v>12587</v>
      </c>
      <c r="M214" s="3" t="s">
        <v>12588</v>
      </c>
      <c r="N214" s="3" t="s">
        <v>12589</v>
      </c>
      <c r="O214" s="3" t="s">
        <v>12594</v>
      </c>
      <c r="P214" s="8" t="s">
        <v>2340</v>
      </c>
    </row>
    <row r="215" ht="12.75" customHeight="1">
      <c r="A215" s="8" t="s">
        <v>735</v>
      </c>
      <c r="B215" s="8" t="s">
        <v>6563</v>
      </c>
      <c r="C215" s="8" t="s">
        <v>2135</v>
      </c>
      <c r="D215" s="3" t="s">
        <v>3</v>
      </c>
      <c r="E215" s="8" t="s">
        <v>6575</v>
      </c>
      <c r="F215" s="8" t="s">
        <v>2147</v>
      </c>
      <c r="G215" s="8" t="s">
        <v>2217</v>
      </c>
      <c r="H215" s="8" t="s">
        <v>2600</v>
      </c>
      <c r="I215" s="8" t="s">
        <v>2954</v>
      </c>
      <c r="J215" s="8" t="s">
        <v>2953</v>
      </c>
      <c r="K215" s="3" t="s">
        <v>12586</v>
      </c>
      <c r="L215" s="3" t="s">
        <v>12587</v>
      </c>
      <c r="M215" s="3" t="s">
        <v>12588</v>
      </c>
      <c r="N215" s="3" t="s">
        <v>12589</v>
      </c>
      <c r="O215" s="3" t="s">
        <v>12611</v>
      </c>
      <c r="P215" s="8" t="s">
        <v>2237</v>
      </c>
    </row>
    <row r="216" ht="12.75" customHeight="1">
      <c r="A216" s="8" t="s">
        <v>455</v>
      </c>
      <c r="B216" s="8" t="s">
        <v>6612</v>
      </c>
      <c r="C216" s="8" t="s">
        <v>6619</v>
      </c>
      <c r="D216" s="3" t="s">
        <v>3</v>
      </c>
      <c r="E216" s="8" t="s">
        <v>6621</v>
      </c>
      <c r="F216" s="8" t="s">
        <v>2147</v>
      </c>
      <c r="G216" s="8" t="s">
        <v>2217</v>
      </c>
      <c r="H216" s="8" t="s">
        <v>2600</v>
      </c>
      <c r="I216" s="8" t="s">
        <v>2954</v>
      </c>
      <c r="J216" s="8" t="s">
        <v>2953</v>
      </c>
      <c r="K216" s="3" t="s">
        <v>12586</v>
      </c>
      <c r="L216" s="3" t="s">
        <v>12587</v>
      </c>
      <c r="M216" s="3" t="s">
        <v>12588</v>
      </c>
      <c r="N216" s="3" t="s">
        <v>12589</v>
      </c>
      <c r="O216" s="3" t="s">
        <v>12611</v>
      </c>
      <c r="P216" s="8" t="s">
        <v>2237</v>
      </c>
    </row>
    <row r="217" ht="12.75" customHeight="1">
      <c r="A217" s="8" t="s">
        <v>720</v>
      </c>
      <c r="B217" s="8" t="s">
        <v>6633</v>
      </c>
      <c r="C217" s="8" t="s">
        <v>6639</v>
      </c>
      <c r="D217" s="3" t="s">
        <v>3</v>
      </c>
      <c r="E217" s="8" t="s">
        <v>6641</v>
      </c>
      <c r="F217" s="8" t="s">
        <v>2147</v>
      </c>
      <c r="G217" s="8" t="s">
        <v>2217</v>
      </c>
      <c r="H217" s="8" t="s">
        <v>2600</v>
      </c>
      <c r="I217" s="8" t="s">
        <v>2954</v>
      </c>
      <c r="J217" s="8" t="s">
        <v>2953</v>
      </c>
      <c r="K217" s="3" t="s">
        <v>12586</v>
      </c>
      <c r="L217" s="3" t="s">
        <v>12587</v>
      </c>
      <c r="M217" s="3" t="s">
        <v>12588</v>
      </c>
      <c r="N217" s="3" t="s">
        <v>12589</v>
      </c>
      <c r="O217" s="3" t="s">
        <v>12611</v>
      </c>
      <c r="P217" s="8" t="s">
        <v>2237</v>
      </c>
    </row>
    <row r="218" ht="12.75" customHeight="1">
      <c r="A218" s="8" t="s">
        <v>670</v>
      </c>
      <c r="B218" s="8" t="s">
        <v>6910</v>
      </c>
      <c r="C218" s="8" t="s">
        <v>6914</v>
      </c>
      <c r="D218" s="3" t="s">
        <v>3</v>
      </c>
      <c r="E218" s="8" t="s">
        <v>6916</v>
      </c>
      <c r="F218" s="8" t="s">
        <v>2147</v>
      </c>
      <c r="G218" s="8" t="s">
        <v>2217</v>
      </c>
      <c r="H218" s="8" t="s">
        <v>2600</v>
      </c>
      <c r="I218" s="8" t="s">
        <v>2954</v>
      </c>
      <c r="J218" s="8" t="s">
        <v>2953</v>
      </c>
      <c r="K218" s="3" t="s">
        <v>12586</v>
      </c>
      <c r="L218" s="3" t="s">
        <v>12587</v>
      </c>
      <c r="M218" s="3" t="s">
        <v>12588</v>
      </c>
      <c r="N218" s="3" t="s">
        <v>12589</v>
      </c>
      <c r="O218" s="3" t="s">
        <v>12611</v>
      </c>
      <c r="P218" s="8" t="s">
        <v>2237</v>
      </c>
    </row>
    <row r="219" ht="12.75" customHeight="1">
      <c r="A219" s="8" t="s">
        <v>859</v>
      </c>
      <c r="B219" s="8" t="s">
        <v>5606</v>
      </c>
      <c r="C219" s="8" t="s">
        <v>5613</v>
      </c>
      <c r="D219" s="3" t="s">
        <v>3</v>
      </c>
      <c r="E219" s="8" t="s">
        <v>5615</v>
      </c>
      <c r="F219" s="8" t="s">
        <v>2147</v>
      </c>
      <c r="G219" s="8" t="s">
        <v>2217</v>
      </c>
      <c r="H219" s="8" t="s">
        <v>2600</v>
      </c>
      <c r="I219" s="8" t="s">
        <v>2954</v>
      </c>
      <c r="J219" s="8" t="s">
        <v>2953</v>
      </c>
      <c r="K219" s="3" t="s">
        <v>12586</v>
      </c>
      <c r="L219" s="3" t="s">
        <v>12587</v>
      </c>
      <c r="M219" s="3" t="s">
        <v>12588</v>
      </c>
      <c r="N219" s="3" t="s">
        <v>12589</v>
      </c>
      <c r="O219" s="3" t="s">
        <v>12616</v>
      </c>
      <c r="P219" s="8" t="s">
        <v>2218</v>
      </c>
    </row>
    <row r="220" ht="12.75" customHeight="1">
      <c r="A220" s="8" t="s">
        <v>763</v>
      </c>
      <c r="B220" s="8" t="s">
        <v>6375</v>
      </c>
      <c r="C220" s="8" t="s">
        <v>6382</v>
      </c>
      <c r="D220" s="3" t="s">
        <v>3</v>
      </c>
      <c r="E220" s="8" t="s">
        <v>6384</v>
      </c>
      <c r="F220" s="8" t="s">
        <v>2147</v>
      </c>
      <c r="G220" s="8" t="s">
        <v>2217</v>
      </c>
      <c r="H220" s="8" t="s">
        <v>2600</v>
      </c>
      <c r="I220" s="8" t="s">
        <v>2954</v>
      </c>
      <c r="J220" s="8" t="s">
        <v>2953</v>
      </c>
      <c r="K220" s="3" t="s">
        <v>12586</v>
      </c>
      <c r="L220" s="3" t="s">
        <v>12587</v>
      </c>
      <c r="M220" s="3" t="s">
        <v>12588</v>
      </c>
      <c r="N220" s="3" t="s">
        <v>12589</v>
      </c>
      <c r="O220" s="3" t="s">
        <v>12616</v>
      </c>
      <c r="P220" s="8" t="s">
        <v>2218</v>
      </c>
    </row>
    <row r="221" ht="12.75" customHeight="1">
      <c r="A221" s="8" t="s">
        <v>749</v>
      </c>
      <c r="B221" s="8" t="s">
        <v>6462</v>
      </c>
      <c r="C221" s="8" t="s">
        <v>6467</v>
      </c>
      <c r="D221" s="3" t="s">
        <v>3</v>
      </c>
      <c r="E221" s="8" t="s">
        <v>6468</v>
      </c>
      <c r="F221" s="8" t="s">
        <v>2147</v>
      </c>
      <c r="G221" s="8" t="s">
        <v>2217</v>
      </c>
      <c r="H221" s="8" t="s">
        <v>2600</v>
      </c>
      <c r="I221" s="8" t="s">
        <v>2954</v>
      </c>
      <c r="J221" s="8" t="s">
        <v>2953</v>
      </c>
      <c r="K221" s="3" t="s">
        <v>12586</v>
      </c>
      <c r="L221" s="3" t="s">
        <v>12587</v>
      </c>
      <c r="M221" s="3" t="s">
        <v>12588</v>
      </c>
      <c r="N221" s="3" t="s">
        <v>12589</v>
      </c>
      <c r="O221" s="3" t="s">
        <v>12616</v>
      </c>
      <c r="P221" s="8" t="s">
        <v>2218</v>
      </c>
    </row>
    <row r="222" ht="12.75" customHeight="1">
      <c r="A222" s="8" t="s">
        <v>708</v>
      </c>
      <c r="B222" s="8" t="s">
        <v>6685</v>
      </c>
      <c r="C222" s="8" t="s">
        <v>2135</v>
      </c>
      <c r="D222" s="3" t="s">
        <v>3</v>
      </c>
      <c r="E222" s="8" t="s">
        <v>6697</v>
      </c>
      <c r="F222" s="8" t="s">
        <v>2147</v>
      </c>
      <c r="G222" s="8" t="s">
        <v>2217</v>
      </c>
      <c r="H222" s="8" t="s">
        <v>2600</v>
      </c>
      <c r="I222" s="8" t="s">
        <v>2954</v>
      </c>
      <c r="J222" s="8" t="s">
        <v>2953</v>
      </c>
      <c r="K222" s="3" t="s">
        <v>12586</v>
      </c>
      <c r="L222" s="3" t="s">
        <v>12587</v>
      </c>
      <c r="M222" s="3" t="s">
        <v>12588</v>
      </c>
      <c r="N222" s="3" t="s">
        <v>12589</v>
      </c>
      <c r="O222" s="3" t="s">
        <v>12616</v>
      </c>
      <c r="P222" s="8" t="s">
        <v>2218</v>
      </c>
    </row>
    <row r="223" ht="12.75" customHeight="1">
      <c r="A223" s="8" t="s">
        <v>471</v>
      </c>
      <c r="B223" s="8" t="s">
        <v>5652</v>
      </c>
      <c r="C223" s="8" t="s">
        <v>5661</v>
      </c>
      <c r="D223" s="3" t="s">
        <v>3</v>
      </c>
      <c r="E223" s="8" t="s">
        <v>5663</v>
      </c>
      <c r="F223" s="8" t="s">
        <v>2147</v>
      </c>
      <c r="G223" s="8" t="s">
        <v>2217</v>
      </c>
      <c r="H223" s="8" t="s">
        <v>2600</v>
      </c>
      <c r="I223" s="8" t="s">
        <v>2954</v>
      </c>
      <c r="J223" s="8" t="s">
        <v>2953</v>
      </c>
      <c r="K223" s="3" t="s">
        <v>12586</v>
      </c>
      <c r="L223" s="3" t="s">
        <v>12587</v>
      </c>
      <c r="M223" s="3" t="s">
        <v>12588</v>
      </c>
      <c r="N223" s="3" t="s">
        <v>12589</v>
      </c>
      <c r="O223" s="3" t="s">
        <v>12609</v>
      </c>
      <c r="P223" s="8" t="s">
        <v>2234</v>
      </c>
    </row>
    <row r="224" ht="12.75" customHeight="1">
      <c r="A224" s="8" t="s">
        <v>463</v>
      </c>
      <c r="B224" s="8" t="s">
        <v>6033</v>
      </c>
      <c r="C224" s="8" t="s">
        <v>6041</v>
      </c>
      <c r="D224" s="3" t="s">
        <v>3</v>
      </c>
      <c r="E224" s="8" t="s">
        <v>6043</v>
      </c>
      <c r="F224" s="8" t="s">
        <v>2147</v>
      </c>
      <c r="G224" s="8" t="s">
        <v>2217</v>
      </c>
      <c r="H224" s="8" t="s">
        <v>2600</v>
      </c>
      <c r="I224" s="8" t="s">
        <v>2954</v>
      </c>
      <c r="J224" s="8" t="s">
        <v>2953</v>
      </c>
      <c r="K224" s="3" t="s">
        <v>12586</v>
      </c>
      <c r="L224" s="3" t="s">
        <v>12587</v>
      </c>
      <c r="M224" s="3" t="s">
        <v>12588</v>
      </c>
      <c r="N224" s="3" t="s">
        <v>12589</v>
      </c>
      <c r="O224" s="3" t="s">
        <v>12609</v>
      </c>
      <c r="P224" s="8" t="s">
        <v>2234</v>
      </c>
    </row>
    <row r="225" ht="12.75" customHeight="1">
      <c r="A225" s="8" t="s">
        <v>787</v>
      </c>
      <c r="B225" s="8" t="s">
        <v>6276</v>
      </c>
      <c r="C225" s="8" t="s">
        <v>6284</v>
      </c>
      <c r="D225" s="3" t="s">
        <v>3</v>
      </c>
      <c r="E225" s="8" t="s">
        <v>6286</v>
      </c>
      <c r="F225" s="8" t="s">
        <v>2147</v>
      </c>
      <c r="G225" s="8" t="s">
        <v>2217</v>
      </c>
      <c r="H225" s="8" t="s">
        <v>2600</v>
      </c>
      <c r="I225" s="8" t="s">
        <v>2954</v>
      </c>
      <c r="J225" s="8" t="s">
        <v>2953</v>
      </c>
      <c r="K225" s="3" t="s">
        <v>12586</v>
      </c>
      <c r="L225" s="3" t="s">
        <v>12587</v>
      </c>
      <c r="M225" s="3" t="s">
        <v>12588</v>
      </c>
      <c r="N225" s="3" t="s">
        <v>12589</v>
      </c>
      <c r="O225" s="3" t="s">
        <v>12609</v>
      </c>
      <c r="P225" s="8" t="s">
        <v>2234</v>
      </c>
    </row>
    <row r="226" ht="12.75" customHeight="1">
      <c r="A226" s="8" t="s">
        <v>452</v>
      </c>
      <c r="B226" s="8" t="s">
        <v>6948</v>
      </c>
      <c r="C226" s="8" t="s">
        <v>2135</v>
      </c>
      <c r="D226" s="3" t="s">
        <v>3</v>
      </c>
      <c r="E226" s="8" t="s">
        <v>6960</v>
      </c>
      <c r="F226" s="8" t="s">
        <v>2147</v>
      </c>
      <c r="G226" s="8" t="s">
        <v>2217</v>
      </c>
      <c r="H226" s="8" t="s">
        <v>2600</v>
      </c>
      <c r="I226" s="8" t="s">
        <v>2954</v>
      </c>
      <c r="J226" s="8" t="s">
        <v>2953</v>
      </c>
      <c r="K226" s="3" t="s">
        <v>12586</v>
      </c>
      <c r="L226" s="3" t="s">
        <v>12587</v>
      </c>
      <c r="M226" s="3" t="s">
        <v>12588</v>
      </c>
      <c r="N226" s="3" t="s">
        <v>12589</v>
      </c>
      <c r="O226" s="3" t="s">
        <v>12609</v>
      </c>
      <c r="P226" s="8" t="s">
        <v>2234</v>
      </c>
    </row>
    <row r="227" ht="12.75" customHeight="1">
      <c r="A227" s="8" t="s">
        <v>783</v>
      </c>
      <c r="B227" s="8" t="s">
        <v>6260</v>
      </c>
      <c r="C227" s="8" t="s">
        <v>6270</v>
      </c>
      <c r="D227" s="3" t="s">
        <v>3</v>
      </c>
      <c r="E227" s="8" t="s">
        <v>6271</v>
      </c>
      <c r="F227" s="8" t="s">
        <v>2147</v>
      </c>
      <c r="G227" s="8" t="s">
        <v>2217</v>
      </c>
      <c r="H227" s="8" t="s">
        <v>2600</v>
      </c>
      <c r="I227" s="8" t="s">
        <v>2954</v>
      </c>
      <c r="J227" s="8" t="s">
        <v>2953</v>
      </c>
      <c r="K227" s="3" t="s">
        <v>12586</v>
      </c>
      <c r="L227" s="3" t="s">
        <v>12587</v>
      </c>
      <c r="M227" s="3" t="s">
        <v>12588</v>
      </c>
      <c r="N227" s="3" t="s">
        <v>12589</v>
      </c>
      <c r="O227" s="3" t="s">
        <v>12600</v>
      </c>
      <c r="P227" s="8" t="s">
        <v>2221</v>
      </c>
    </row>
    <row r="228" ht="12.75" customHeight="1">
      <c r="A228" s="8" t="s">
        <v>765</v>
      </c>
      <c r="B228" s="8" t="s">
        <v>6333</v>
      </c>
      <c r="C228" s="8" t="s">
        <v>6341</v>
      </c>
      <c r="D228" s="3" t="s">
        <v>3</v>
      </c>
      <c r="E228" s="8" t="s">
        <v>6343</v>
      </c>
      <c r="F228" s="8" t="s">
        <v>2147</v>
      </c>
      <c r="G228" s="8" t="s">
        <v>2217</v>
      </c>
      <c r="H228" s="8" t="s">
        <v>2600</v>
      </c>
      <c r="I228" s="8" t="s">
        <v>2954</v>
      </c>
      <c r="J228" s="8" t="s">
        <v>2953</v>
      </c>
      <c r="K228" s="3" t="s">
        <v>12586</v>
      </c>
      <c r="L228" s="3" t="s">
        <v>12587</v>
      </c>
      <c r="M228" s="3" t="s">
        <v>12588</v>
      </c>
      <c r="N228" s="3" t="s">
        <v>12589</v>
      </c>
      <c r="O228" s="3" t="s">
        <v>12600</v>
      </c>
      <c r="P228" s="8" t="s">
        <v>2221</v>
      </c>
    </row>
    <row r="229" ht="12.75" customHeight="1">
      <c r="A229" s="8" t="s">
        <v>666</v>
      </c>
      <c r="B229" s="8" t="s">
        <v>6903</v>
      </c>
      <c r="C229" s="8" t="s">
        <v>6905</v>
      </c>
      <c r="D229" s="3" t="s">
        <v>3</v>
      </c>
      <c r="E229" s="8" t="s">
        <v>6906</v>
      </c>
      <c r="F229" s="8" t="s">
        <v>2147</v>
      </c>
      <c r="G229" s="8" t="s">
        <v>2217</v>
      </c>
      <c r="H229" s="8" t="s">
        <v>2600</v>
      </c>
      <c r="I229" s="8" t="s">
        <v>2954</v>
      </c>
      <c r="J229" s="8" t="s">
        <v>2953</v>
      </c>
      <c r="K229" s="3" t="s">
        <v>12586</v>
      </c>
      <c r="L229" s="3" t="s">
        <v>12587</v>
      </c>
      <c r="M229" s="3" t="s">
        <v>12588</v>
      </c>
      <c r="N229" s="3" t="s">
        <v>12589</v>
      </c>
      <c r="O229" s="3" t="s">
        <v>12600</v>
      </c>
      <c r="P229" s="8" t="s">
        <v>2221</v>
      </c>
    </row>
    <row r="230" ht="12.75" customHeight="1">
      <c r="A230" s="8" t="s">
        <v>674</v>
      </c>
      <c r="B230" s="8" t="s">
        <v>6866</v>
      </c>
      <c r="C230" s="8" t="s">
        <v>2135</v>
      </c>
      <c r="D230" s="3" t="s">
        <v>3</v>
      </c>
      <c r="E230" s="8" t="s">
        <v>6870</v>
      </c>
      <c r="F230" s="8" t="s">
        <v>2147</v>
      </c>
      <c r="G230" s="8" t="s">
        <v>2217</v>
      </c>
      <c r="H230" s="8" t="s">
        <v>2600</v>
      </c>
      <c r="I230" s="8" t="s">
        <v>2954</v>
      </c>
      <c r="J230" s="8" t="s">
        <v>2953</v>
      </c>
      <c r="K230" s="3" t="s">
        <v>12586</v>
      </c>
      <c r="L230" s="3" t="s">
        <v>12587</v>
      </c>
      <c r="M230" s="3" t="s">
        <v>12588</v>
      </c>
      <c r="N230" s="3" t="s">
        <v>12589</v>
      </c>
      <c r="O230" s="3" t="s">
        <v>12595</v>
      </c>
      <c r="P230" s="8" t="s">
        <v>2224</v>
      </c>
    </row>
    <row r="231" ht="12.75" customHeight="1">
      <c r="A231" s="8" t="s">
        <v>731</v>
      </c>
      <c r="B231" s="8" t="s">
        <v>6579</v>
      </c>
      <c r="C231" s="8" t="s">
        <v>6584</v>
      </c>
      <c r="D231" s="3" t="s">
        <v>3</v>
      </c>
      <c r="E231" s="8" t="s">
        <v>6586</v>
      </c>
      <c r="F231" s="8" t="s">
        <v>2147</v>
      </c>
      <c r="G231" s="8" t="s">
        <v>2217</v>
      </c>
      <c r="I231" s="8" t="s">
        <v>2954</v>
      </c>
      <c r="J231" s="8" t="s">
        <v>2953</v>
      </c>
      <c r="K231" s="3" t="s">
        <v>12586</v>
      </c>
      <c r="L231" s="3" t="s">
        <v>12587</v>
      </c>
      <c r="M231" s="3" t="s">
        <v>12588</v>
      </c>
      <c r="N231" s="3" t="s">
        <v>12589</v>
      </c>
      <c r="O231" s="3" t="s">
        <v>12616</v>
      </c>
      <c r="P231" s="8" t="s">
        <v>2218</v>
      </c>
    </row>
    <row r="232" ht="12.75" customHeight="1">
      <c r="A232" s="8" t="s">
        <v>721</v>
      </c>
      <c r="B232" s="8" t="s">
        <v>6624</v>
      </c>
      <c r="C232" s="8" t="s">
        <v>6627</v>
      </c>
      <c r="D232" s="3" t="s">
        <v>3</v>
      </c>
      <c r="E232" s="8" t="s">
        <v>6629</v>
      </c>
      <c r="F232" s="8" t="s">
        <v>2147</v>
      </c>
      <c r="G232" s="8" t="s">
        <v>2217</v>
      </c>
      <c r="I232" s="8" t="s">
        <v>2954</v>
      </c>
      <c r="J232" s="8" t="s">
        <v>2953</v>
      </c>
      <c r="K232" s="3" t="s">
        <v>12586</v>
      </c>
      <c r="L232" s="3" t="s">
        <v>12587</v>
      </c>
      <c r="M232" s="3" t="s">
        <v>12588</v>
      </c>
      <c r="N232" s="3" t="s">
        <v>12589</v>
      </c>
      <c r="O232" s="3" t="s">
        <v>12616</v>
      </c>
      <c r="P232" s="8" t="s">
        <v>2218</v>
      </c>
    </row>
    <row r="233" ht="12.75" customHeight="1">
      <c r="A233" s="8" t="s">
        <v>761</v>
      </c>
      <c r="B233" s="8" t="s">
        <v>6410</v>
      </c>
      <c r="C233" s="8" t="s">
        <v>6418</v>
      </c>
      <c r="D233" s="3" t="s">
        <v>3</v>
      </c>
      <c r="E233" s="8" t="s">
        <v>6420</v>
      </c>
      <c r="F233" s="8" t="s">
        <v>2943</v>
      </c>
      <c r="I233" s="8" t="s">
        <v>2954</v>
      </c>
      <c r="J233" s="8" t="s">
        <v>2953</v>
      </c>
    </row>
    <row r="234" ht="12.75" customHeight="1">
      <c r="A234" s="8" t="s">
        <v>649</v>
      </c>
      <c r="B234" s="8" t="s">
        <v>6704</v>
      </c>
      <c r="C234" s="8" t="s">
        <v>6707</v>
      </c>
      <c r="D234" s="3" t="s">
        <v>3</v>
      </c>
      <c r="E234" s="8" t="s">
        <v>6709</v>
      </c>
      <c r="F234" s="8" t="s">
        <v>2943</v>
      </c>
      <c r="I234" s="8" t="s">
        <v>2954</v>
      </c>
      <c r="J234" s="8" t="s">
        <v>2953</v>
      </c>
    </row>
    <row r="235" ht="12.75" customHeight="1">
      <c r="A235" s="8" t="s">
        <v>805</v>
      </c>
      <c r="B235" s="8" t="s">
        <v>6100</v>
      </c>
      <c r="C235" s="8" t="s">
        <v>6111</v>
      </c>
      <c r="D235" s="3" t="s">
        <v>3</v>
      </c>
      <c r="E235" s="8" t="s">
        <v>6113</v>
      </c>
      <c r="F235" s="8" t="s">
        <v>2943</v>
      </c>
      <c r="I235" s="8" t="s">
        <v>2954</v>
      </c>
      <c r="J235" s="8" t="s">
        <v>2953</v>
      </c>
      <c r="K235" s="3" t="s">
        <v>12586</v>
      </c>
      <c r="L235" s="3" t="s">
        <v>12587</v>
      </c>
      <c r="M235" s="3" t="s">
        <v>12588</v>
      </c>
      <c r="N235" s="3" t="s">
        <v>12589</v>
      </c>
      <c r="O235" s="3" t="s">
        <v>12623</v>
      </c>
      <c r="P235" s="8" t="s">
        <v>2944</v>
      </c>
    </row>
    <row r="236" ht="12.75" customHeight="1">
      <c r="A236" s="8" t="s">
        <v>876</v>
      </c>
      <c r="B236" s="8" t="s">
        <v>5442</v>
      </c>
      <c r="C236" s="8" t="s">
        <v>5457</v>
      </c>
      <c r="D236" s="3" t="s">
        <v>3</v>
      </c>
      <c r="E236" s="8" t="s">
        <v>5459</v>
      </c>
      <c r="F236" s="8" t="s">
        <v>2283</v>
      </c>
      <c r="I236" s="8" t="s">
        <v>2954</v>
      </c>
      <c r="J236" s="8" t="s">
        <v>2953</v>
      </c>
      <c r="K236" s="3" t="s">
        <v>12586</v>
      </c>
      <c r="L236" s="3" t="s">
        <v>12587</v>
      </c>
      <c r="M236" s="3" t="s">
        <v>12588</v>
      </c>
      <c r="N236" s="3" t="s">
        <v>12589</v>
      </c>
      <c r="O236" s="3" t="s">
        <v>12639</v>
      </c>
      <c r="P236" s="8" t="s">
        <v>2549</v>
      </c>
    </row>
    <row r="237" ht="12.75" customHeight="1">
      <c r="A237" s="8" t="s">
        <v>882</v>
      </c>
      <c r="B237" s="8" t="s">
        <v>5423</v>
      </c>
      <c r="C237" s="8" t="s">
        <v>5434</v>
      </c>
      <c r="D237" s="3" t="s">
        <v>3</v>
      </c>
      <c r="E237" s="8" t="s">
        <v>5436</v>
      </c>
      <c r="F237" s="8" t="s">
        <v>2142</v>
      </c>
      <c r="I237" s="8" t="s">
        <v>2954</v>
      </c>
      <c r="J237" s="8" t="s">
        <v>2953</v>
      </c>
      <c r="K237" s="3" t="s">
        <v>12586</v>
      </c>
      <c r="L237" s="3" t="s">
        <v>12587</v>
      </c>
      <c r="M237" s="3" t="s">
        <v>12588</v>
      </c>
      <c r="N237" s="3" t="s">
        <v>12589</v>
      </c>
      <c r="O237" s="3" t="s">
        <v>12616</v>
      </c>
      <c r="P237" s="8" t="s">
        <v>2218</v>
      </c>
    </row>
    <row r="238" ht="12.75" customHeight="1">
      <c r="A238" s="8" t="s">
        <v>823</v>
      </c>
      <c r="B238" s="8" t="s">
        <v>5905</v>
      </c>
      <c r="C238" s="8" t="s">
        <v>5915</v>
      </c>
      <c r="D238" s="3" t="s">
        <v>3</v>
      </c>
      <c r="E238" s="8" t="s">
        <v>5917</v>
      </c>
      <c r="F238" s="8" t="s">
        <v>2142</v>
      </c>
      <c r="I238" s="8" t="s">
        <v>2954</v>
      </c>
      <c r="J238" s="8" t="s">
        <v>2953</v>
      </c>
      <c r="K238" s="3" t="s">
        <v>12586</v>
      </c>
      <c r="L238" s="3" t="s">
        <v>12587</v>
      </c>
      <c r="M238" s="3" t="s">
        <v>12588</v>
      </c>
      <c r="N238" s="3" t="s">
        <v>12589</v>
      </c>
      <c r="O238" s="3" t="s">
        <v>12616</v>
      </c>
      <c r="P238" s="8" t="s">
        <v>2218</v>
      </c>
    </row>
    <row r="239" ht="12.75" customHeight="1">
      <c r="A239" s="8" t="s">
        <v>771</v>
      </c>
      <c r="B239" s="8" t="s">
        <v>6360</v>
      </c>
      <c r="C239" s="8" t="s">
        <v>6368</v>
      </c>
      <c r="D239" s="3" t="s">
        <v>3</v>
      </c>
      <c r="E239" s="8" t="s">
        <v>6370</v>
      </c>
      <c r="F239" s="8" t="s">
        <v>2142</v>
      </c>
      <c r="I239" s="8" t="s">
        <v>2954</v>
      </c>
      <c r="J239" s="8" t="s">
        <v>2953</v>
      </c>
      <c r="K239" s="3" t="s">
        <v>12586</v>
      </c>
      <c r="L239" s="3" t="s">
        <v>12587</v>
      </c>
      <c r="M239" s="3" t="s">
        <v>12588</v>
      </c>
      <c r="N239" s="3" t="s">
        <v>12589</v>
      </c>
      <c r="O239" s="3" t="s">
        <v>12616</v>
      </c>
      <c r="P239" s="8" t="s">
        <v>2218</v>
      </c>
    </row>
    <row r="240" ht="12.75" customHeight="1">
      <c r="A240" s="8" t="s">
        <v>743</v>
      </c>
      <c r="B240" s="8" t="s">
        <v>6527</v>
      </c>
      <c r="C240" s="8" t="s">
        <v>6534</v>
      </c>
      <c r="D240" s="3" t="s">
        <v>3</v>
      </c>
      <c r="E240" s="8" t="s">
        <v>6536</v>
      </c>
      <c r="F240" s="8" t="s">
        <v>2142</v>
      </c>
      <c r="I240" s="8" t="s">
        <v>2954</v>
      </c>
      <c r="J240" s="8" t="s">
        <v>2953</v>
      </c>
      <c r="K240" s="3" t="s">
        <v>12586</v>
      </c>
      <c r="L240" s="3" t="s">
        <v>12587</v>
      </c>
      <c r="M240" s="3" t="s">
        <v>12588</v>
      </c>
      <c r="N240" s="3" t="s">
        <v>12589</v>
      </c>
      <c r="O240" s="3" t="s">
        <v>12616</v>
      </c>
      <c r="P240" s="8" t="s">
        <v>2218</v>
      </c>
    </row>
    <row r="241" ht="12.75" customHeight="1">
      <c r="A241" s="8" t="s">
        <v>737</v>
      </c>
      <c r="B241" s="8" t="s">
        <v>6552</v>
      </c>
      <c r="C241" s="8" t="s">
        <v>6558</v>
      </c>
      <c r="D241" s="3" t="s">
        <v>3</v>
      </c>
      <c r="E241" s="8" t="s">
        <v>6560</v>
      </c>
      <c r="F241" s="8" t="s">
        <v>2142</v>
      </c>
      <c r="I241" s="8" t="s">
        <v>2954</v>
      </c>
      <c r="J241" s="8" t="s">
        <v>2953</v>
      </c>
      <c r="K241" s="3" t="s">
        <v>12586</v>
      </c>
      <c r="L241" s="3" t="s">
        <v>12587</v>
      </c>
      <c r="M241" s="3" t="s">
        <v>12588</v>
      </c>
      <c r="N241" s="3" t="s">
        <v>12589</v>
      </c>
      <c r="O241" s="3" t="s">
        <v>12616</v>
      </c>
      <c r="P241" s="8" t="s">
        <v>2218</v>
      </c>
    </row>
    <row r="242" ht="12.75" customHeight="1">
      <c r="A242" s="8" t="s">
        <v>716</v>
      </c>
      <c r="B242" s="8" t="s">
        <v>6669</v>
      </c>
      <c r="C242" s="8" t="s">
        <v>6678</v>
      </c>
      <c r="D242" s="3" t="s">
        <v>3</v>
      </c>
      <c r="E242" s="8" t="s">
        <v>6680</v>
      </c>
      <c r="F242" s="8" t="s">
        <v>2142</v>
      </c>
      <c r="I242" s="8" t="s">
        <v>2954</v>
      </c>
      <c r="J242" s="8" t="s">
        <v>2953</v>
      </c>
      <c r="K242" s="3" t="s">
        <v>12586</v>
      </c>
      <c r="L242" s="3" t="s">
        <v>12587</v>
      </c>
      <c r="M242" s="3" t="s">
        <v>12588</v>
      </c>
      <c r="N242" s="3" t="s">
        <v>12589</v>
      </c>
      <c r="O242" s="3" t="s">
        <v>12616</v>
      </c>
      <c r="P242" s="8" t="s">
        <v>2218</v>
      </c>
    </row>
    <row r="243" ht="12.75" customHeight="1">
      <c r="A243" s="8" t="s">
        <v>702</v>
      </c>
      <c r="B243" s="8" t="s">
        <v>6725</v>
      </c>
      <c r="C243" s="8" t="s">
        <v>6729</v>
      </c>
      <c r="D243" s="3" t="s">
        <v>3</v>
      </c>
      <c r="E243" s="8" t="s">
        <v>6731</v>
      </c>
      <c r="F243" s="8" t="s">
        <v>2142</v>
      </c>
      <c r="I243" s="8" t="s">
        <v>2954</v>
      </c>
      <c r="J243" s="8" t="s">
        <v>2953</v>
      </c>
      <c r="K243" s="3" t="s">
        <v>12586</v>
      </c>
      <c r="L243" s="3" t="s">
        <v>12587</v>
      </c>
      <c r="M243" s="3" t="s">
        <v>12588</v>
      </c>
      <c r="N243" s="3" t="s">
        <v>12589</v>
      </c>
      <c r="O243" s="3" t="s">
        <v>12600</v>
      </c>
      <c r="P243" s="8" t="s">
        <v>2166</v>
      </c>
    </row>
    <row r="244" ht="12.75" customHeight="1">
      <c r="A244" s="8" t="s">
        <v>793</v>
      </c>
      <c r="B244" s="8" t="s">
        <v>6195</v>
      </c>
      <c r="C244" s="8" t="s">
        <v>6202</v>
      </c>
      <c r="D244" s="3" t="s">
        <v>3</v>
      </c>
      <c r="E244" s="8" t="s">
        <v>6204</v>
      </c>
      <c r="F244" s="8" t="s">
        <v>2142</v>
      </c>
      <c r="I244" s="8" t="s">
        <v>2954</v>
      </c>
      <c r="J244" s="8" t="s">
        <v>2953</v>
      </c>
      <c r="K244" s="3" t="s">
        <v>12586</v>
      </c>
      <c r="L244" s="3" t="s">
        <v>12587</v>
      </c>
      <c r="M244" s="3" t="s">
        <v>12588</v>
      </c>
      <c r="N244" s="3" t="s">
        <v>12589</v>
      </c>
      <c r="O244" s="3" t="s">
        <v>12627</v>
      </c>
      <c r="P244" s="8" t="s">
        <v>2515</v>
      </c>
    </row>
    <row r="245" ht="12.75" customHeight="1">
      <c r="A245" s="8" t="s">
        <v>739</v>
      </c>
      <c r="B245" s="8" t="s">
        <v>6515</v>
      </c>
      <c r="C245" s="8" t="s">
        <v>6521</v>
      </c>
      <c r="D245" s="3" t="s">
        <v>3</v>
      </c>
      <c r="E245" s="8" t="s">
        <v>6523</v>
      </c>
      <c r="F245" s="8" t="s">
        <v>2142</v>
      </c>
      <c r="I245" s="8" t="s">
        <v>2954</v>
      </c>
      <c r="J245" s="8" t="s">
        <v>2953</v>
      </c>
      <c r="K245" s="3" t="s">
        <v>12586</v>
      </c>
      <c r="L245" s="3" t="s">
        <v>12587</v>
      </c>
      <c r="M245" s="3" t="s">
        <v>12588</v>
      </c>
      <c r="N245" s="3" t="s">
        <v>12589</v>
      </c>
      <c r="O245" s="3" t="s">
        <v>12596</v>
      </c>
      <c r="P245" s="8" t="s">
        <v>2311</v>
      </c>
    </row>
    <row r="246" ht="12.75" customHeight="1">
      <c r="A246" s="8" t="s">
        <v>1368</v>
      </c>
      <c r="B246" s="8" t="s">
        <v>9425</v>
      </c>
      <c r="C246" s="8" t="s">
        <v>9433</v>
      </c>
      <c r="D246" s="3" t="s">
        <v>3</v>
      </c>
      <c r="E246" s="8" t="s">
        <v>9435</v>
      </c>
      <c r="F246" s="8" t="s">
        <v>2142</v>
      </c>
      <c r="G246" s="3" t="s">
        <v>12585</v>
      </c>
      <c r="H246" s="8" t="s">
        <v>2553</v>
      </c>
      <c r="I246" s="8" t="s">
        <v>3076</v>
      </c>
      <c r="J246" s="8" t="s">
        <v>3044</v>
      </c>
      <c r="K246" s="3" t="s">
        <v>12586</v>
      </c>
      <c r="L246" s="3" t="s">
        <v>12587</v>
      </c>
      <c r="M246" s="3" t="s">
        <v>12588</v>
      </c>
      <c r="N246" s="3" t="s">
        <v>12589</v>
      </c>
      <c r="O246" s="3" t="s">
        <v>12590</v>
      </c>
      <c r="P246" s="8" t="s">
        <v>2143</v>
      </c>
    </row>
    <row r="247" ht="12.75" customHeight="1">
      <c r="A247" s="8" t="s">
        <v>1370</v>
      </c>
      <c r="B247" s="8" t="s">
        <v>9440</v>
      </c>
      <c r="C247" s="8" t="s">
        <v>9447</v>
      </c>
      <c r="D247" s="3" t="s">
        <v>3</v>
      </c>
      <c r="E247" s="8" t="s">
        <v>9449</v>
      </c>
      <c r="F247" s="8" t="s">
        <v>2147</v>
      </c>
      <c r="G247" s="3" t="s">
        <v>12603</v>
      </c>
      <c r="H247" s="8" t="s">
        <v>2272</v>
      </c>
      <c r="I247" s="8" t="s">
        <v>3045</v>
      </c>
      <c r="J247" s="8" t="s">
        <v>3044</v>
      </c>
      <c r="K247" s="3" t="s">
        <v>12586</v>
      </c>
      <c r="L247" s="3" t="s">
        <v>12587</v>
      </c>
      <c r="M247" s="3" t="s">
        <v>12588</v>
      </c>
      <c r="N247" s="3" t="s">
        <v>12589</v>
      </c>
      <c r="O247" s="3" t="s">
        <v>12609</v>
      </c>
      <c r="P247" s="8" t="s">
        <v>2148</v>
      </c>
    </row>
    <row r="248" ht="12.75" customHeight="1">
      <c r="A248" s="8" t="s">
        <v>1560</v>
      </c>
      <c r="B248" s="8" t="s">
        <v>9840</v>
      </c>
      <c r="C248" s="8" t="s">
        <v>9845</v>
      </c>
      <c r="D248" s="3" t="s">
        <v>3</v>
      </c>
      <c r="E248" s="8" t="s">
        <v>9847</v>
      </c>
      <c r="F248" s="8" t="s">
        <v>2142</v>
      </c>
      <c r="G248" s="3" t="s">
        <v>12585</v>
      </c>
      <c r="H248" s="8" t="s">
        <v>2497</v>
      </c>
      <c r="I248" s="8" t="s">
        <v>3087</v>
      </c>
      <c r="J248" s="8" t="s">
        <v>3044</v>
      </c>
      <c r="K248" s="3" t="s">
        <v>12586</v>
      </c>
      <c r="L248" s="3" t="s">
        <v>12587</v>
      </c>
      <c r="M248" s="3" t="s">
        <v>12588</v>
      </c>
      <c r="N248" s="3" t="s">
        <v>12589</v>
      </c>
      <c r="O248" s="3" t="s">
        <v>12590</v>
      </c>
      <c r="P248" s="8" t="s">
        <v>2143</v>
      </c>
    </row>
    <row r="249" ht="12.75" customHeight="1">
      <c r="A249" s="8" t="s">
        <v>1575</v>
      </c>
      <c r="B249" s="8" t="s">
        <v>9883</v>
      </c>
      <c r="C249" s="8" t="s">
        <v>2135</v>
      </c>
      <c r="D249" s="3" t="s">
        <v>3</v>
      </c>
      <c r="E249" s="8" t="s">
        <v>9889</v>
      </c>
      <c r="F249" s="8" t="s">
        <v>2142</v>
      </c>
      <c r="G249" s="3" t="s">
        <v>12585</v>
      </c>
      <c r="H249" s="8" t="s">
        <v>2379</v>
      </c>
      <c r="I249" s="8" t="s">
        <v>3088</v>
      </c>
      <c r="J249" s="8" t="s">
        <v>3044</v>
      </c>
      <c r="K249" s="3" t="s">
        <v>12586</v>
      </c>
      <c r="L249" s="3" t="s">
        <v>12587</v>
      </c>
      <c r="M249" s="3" t="s">
        <v>12588</v>
      </c>
      <c r="N249" s="3" t="s">
        <v>12589</v>
      </c>
      <c r="O249" s="3" t="s">
        <v>12590</v>
      </c>
      <c r="P249" s="8" t="s">
        <v>2143</v>
      </c>
    </row>
    <row r="250" ht="12.75" customHeight="1">
      <c r="A250" s="8" t="s">
        <v>1572</v>
      </c>
      <c r="B250" s="8" t="s">
        <v>9894</v>
      </c>
      <c r="C250" s="8" t="s">
        <v>9901</v>
      </c>
      <c r="D250" s="3" t="s">
        <v>3</v>
      </c>
      <c r="E250" s="8" t="s">
        <v>9903</v>
      </c>
      <c r="F250" s="8" t="s">
        <v>2142</v>
      </c>
      <c r="G250" s="3" t="s">
        <v>12585</v>
      </c>
      <c r="H250" s="8" t="s">
        <v>2497</v>
      </c>
      <c r="I250" s="8" t="s">
        <v>3088</v>
      </c>
      <c r="J250" s="8" t="s">
        <v>3044</v>
      </c>
      <c r="K250" s="3" t="s">
        <v>12586</v>
      </c>
      <c r="L250" s="3" t="s">
        <v>12587</v>
      </c>
      <c r="M250" s="3" t="s">
        <v>12588</v>
      </c>
      <c r="N250" s="3" t="s">
        <v>12589</v>
      </c>
      <c r="O250" s="3" t="s">
        <v>12590</v>
      </c>
      <c r="P250" s="8" t="s">
        <v>2143</v>
      </c>
    </row>
    <row r="251" ht="12.75" customHeight="1">
      <c r="A251" s="8" t="s">
        <v>1569</v>
      </c>
      <c r="B251" s="8" t="s">
        <v>9907</v>
      </c>
      <c r="C251" s="8" t="s">
        <v>9911</v>
      </c>
      <c r="D251" s="3" t="s">
        <v>3</v>
      </c>
      <c r="E251" s="8" t="s">
        <v>9913</v>
      </c>
      <c r="F251" s="8" t="s">
        <v>2142</v>
      </c>
      <c r="G251" s="3" t="s">
        <v>12585</v>
      </c>
      <c r="H251" s="8" t="s">
        <v>2553</v>
      </c>
      <c r="I251" s="8" t="s">
        <v>3088</v>
      </c>
      <c r="J251" s="8" t="s">
        <v>3044</v>
      </c>
      <c r="K251" s="3" t="s">
        <v>12586</v>
      </c>
      <c r="L251" s="3" t="s">
        <v>12587</v>
      </c>
      <c r="M251" s="3" t="s">
        <v>12588</v>
      </c>
      <c r="N251" s="3" t="s">
        <v>12589</v>
      </c>
      <c r="O251" s="3" t="s">
        <v>12590</v>
      </c>
      <c r="P251" s="8" t="s">
        <v>2143</v>
      </c>
    </row>
    <row r="252" ht="12.75" customHeight="1">
      <c r="A252" s="8" t="s">
        <v>1603</v>
      </c>
      <c r="B252" s="8" t="s">
        <v>9993</v>
      </c>
      <c r="C252" s="8" t="s">
        <v>10006</v>
      </c>
      <c r="D252" s="3" t="s">
        <v>3</v>
      </c>
      <c r="E252" s="8" t="s">
        <v>10010</v>
      </c>
      <c r="F252" s="8" t="s">
        <v>2142</v>
      </c>
      <c r="G252" s="3" t="s">
        <v>12585</v>
      </c>
      <c r="H252" s="8" t="s">
        <v>2177</v>
      </c>
      <c r="I252" s="8" t="s">
        <v>2995</v>
      </c>
      <c r="J252" s="8" t="s">
        <v>3044</v>
      </c>
      <c r="K252" s="3" t="s">
        <v>12586</v>
      </c>
      <c r="L252" s="3" t="s">
        <v>12587</v>
      </c>
      <c r="M252" s="3" t="s">
        <v>12588</v>
      </c>
      <c r="N252" s="3" t="s">
        <v>12589</v>
      </c>
      <c r="O252" s="3" t="s">
        <v>12590</v>
      </c>
      <c r="P252" s="8" t="s">
        <v>2143</v>
      </c>
    </row>
    <row r="253" ht="12.75" customHeight="1">
      <c r="A253" s="8" t="s">
        <v>1629</v>
      </c>
      <c r="B253" s="8" t="s">
        <v>10241</v>
      </c>
      <c r="C253" s="8" t="s">
        <v>2135</v>
      </c>
      <c r="D253" s="3" t="s">
        <v>3</v>
      </c>
      <c r="E253" s="8" t="s">
        <v>10249</v>
      </c>
      <c r="F253" s="8" t="s">
        <v>2283</v>
      </c>
      <c r="G253" s="8" t="s">
        <v>2357</v>
      </c>
      <c r="H253" s="8" t="s">
        <v>2456</v>
      </c>
      <c r="I253" s="8" t="s">
        <v>3099</v>
      </c>
      <c r="J253" s="8" t="s">
        <v>3044</v>
      </c>
      <c r="K253" s="3" t="s">
        <v>12586</v>
      </c>
      <c r="L253" s="3" t="s">
        <v>12587</v>
      </c>
      <c r="M253" s="3" t="s">
        <v>12588</v>
      </c>
      <c r="N253" s="3" t="s">
        <v>12589</v>
      </c>
      <c r="O253" s="3" t="s">
        <v>12590</v>
      </c>
      <c r="P253" s="8" t="s">
        <v>2143</v>
      </c>
    </row>
    <row r="254" ht="12.75" customHeight="1">
      <c r="A254" s="8" t="s">
        <v>1650</v>
      </c>
      <c r="B254" s="8" t="s">
        <v>10319</v>
      </c>
      <c r="C254" s="8" t="s">
        <v>2135</v>
      </c>
      <c r="D254" s="3" t="s">
        <v>3</v>
      </c>
      <c r="E254" s="8" t="s">
        <v>10331</v>
      </c>
      <c r="F254" s="8" t="s">
        <v>2283</v>
      </c>
      <c r="G254" s="3" t="s">
        <v>12633</v>
      </c>
      <c r="H254" s="8" t="s">
        <v>2396</v>
      </c>
      <c r="I254" s="8" t="s">
        <v>3101</v>
      </c>
      <c r="J254" s="8" t="s">
        <v>3100</v>
      </c>
      <c r="K254" s="3" t="s">
        <v>12586</v>
      </c>
      <c r="L254" s="3" t="s">
        <v>12587</v>
      </c>
      <c r="M254" s="3" t="s">
        <v>12588</v>
      </c>
      <c r="N254" s="3" t="s">
        <v>12589</v>
      </c>
      <c r="O254" s="3" t="s">
        <v>12590</v>
      </c>
      <c r="P254" s="8" t="s">
        <v>2143</v>
      </c>
    </row>
    <row r="255" ht="12.75" customHeight="1">
      <c r="A255" s="8" t="s">
        <v>1558</v>
      </c>
      <c r="B255" s="8" t="s">
        <v>9823</v>
      </c>
      <c r="C255" s="8" t="s">
        <v>9834</v>
      </c>
      <c r="D255" s="3" t="s">
        <v>3</v>
      </c>
      <c r="E255" s="8" t="s">
        <v>9836</v>
      </c>
      <c r="F255" s="8" t="s">
        <v>2142</v>
      </c>
      <c r="I255" s="8" t="s">
        <v>3086</v>
      </c>
      <c r="J255" s="8" t="s">
        <v>3085</v>
      </c>
      <c r="K255" s="3" t="s">
        <v>12586</v>
      </c>
      <c r="L255" s="3" t="s">
        <v>12587</v>
      </c>
      <c r="M255" s="3" t="s">
        <v>12588</v>
      </c>
      <c r="N255" s="3" t="s">
        <v>12589</v>
      </c>
      <c r="O255" s="3" t="s">
        <v>12590</v>
      </c>
      <c r="P255" s="8" t="s">
        <v>2143</v>
      </c>
    </row>
    <row r="256" ht="12.75" customHeight="1">
      <c r="A256" s="8" t="s">
        <v>1577</v>
      </c>
      <c r="B256" s="8" t="s">
        <v>9866</v>
      </c>
      <c r="C256" s="8" t="s">
        <v>9876</v>
      </c>
      <c r="D256" s="3" t="s">
        <v>3</v>
      </c>
      <c r="E256" s="8" t="s">
        <v>9878</v>
      </c>
      <c r="F256" s="8" t="s">
        <v>2142</v>
      </c>
      <c r="G256" s="3" t="s">
        <v>12585</v>
      </c>
      <c r="H256" s="8" t="s">
        <v>2497</v>
      </c>
      <c r="I256" s="8" t="s">
        <v>3088</v>
      </c>
      <c r="J256" s="8" t="s">
        <v>3090</v>
      </c>
      <c r="K256" s="3" t="s">
        <v>12586</v>
      </c>
      <c r="L256" s="3" t="s">
        <v>12587</v>
      </c>
      <c r="M256" s="3" t="s">
        <v>12588</v>
      </c>
      <c r="N256" s="3" t="s">
        <v>12589</v>
      </c>
      <c r="O256" s="3" t="s">
        <v>12590</v>
      </c>
      <c r="P256" s="8" t="s">
        <v>2143</v>
      </c>
    </row>
    <row r="257" ht="12.75" customHeight="1">
      <c r="A257" s="8" t="s">
        <v>1605</v>
      </c>
      <c r="B257" s="8" t="s">
        <v>10015</v>
      </c>
      <c r="C257" s="8" t="s">
        <v>10023</v>
      </c>
      <c r="D257" s="3" t="s">
        <v>3</v>
      </c>
      <c r="E257" s="8" t="s">
        <v>10025</v>
      </c>
      <c r="F257" s="8" t="s">
        <v>2283</v>
      </c>
      <c r="G257" s="3" t="s">
        <v>12633</v>
      </c>
      <c r="H257" s="8" t="s">
        <v>2396</v>
      </c>
      <c r="I257" s="8" t="s">
        <v>2995</v>
      </c>
      <c r="J257" s="8" t="s">
        <v>3090</v>
      </c>
      <c r="K257" s="3" t="s">
        <v>12586</v>
      </c>
      <c r="L257" s="3" t="s">
        <v>12587</v>
      </c>
      <c r="M257" s="3" t="s">
        <v>12588</v>
      </c>
      <c r="N257" s="3" t="s">
        <v>12589</v>
      </c>
      <c r="O257" s="3" t="s">
        <v>12590</v>
      </c>
      <c r="P257" s="8" t="s">
        <v>2143</v>
      </c>
    </row>
    <row r="258" ht="12.75" customHeight="1">
      <c r="A258" s="8" t="s">
        <v>1663</v>
      </c>
      <c r="B258" s="8" t="s">
        <v>10395</v>
      </c>
      <c r="C258" s="8" t="s">
        <v>10403</v>
      </c>
      <c r="D258" s="3" t="s">
        <v>3</v>
      </c>
      <c r="E258" s="8" t="s">
        <v>10405</v>
      </c>
      <c r="F258" s="8" t="s">
        <v>2283</v>
      </c>
      <c r="G258" s="3" t="s">
        <v>12633</v>
      </c>
      <c r="H258" s="8" t="s">
        <v>2396</v>
      </c>
      <c r="I258" s="8" t="s">
        <v>3109</v>
      </c>
      <c r="J258" s="8" t="s">
        <v>3108</v>
      </c>
      <c r="K258" s="3" t="s">
        <v>12586</v>
      </c>
      <c r="L258" s="3" t="s">
        <v>12587</v>
      </c>
      <c r="M258" s="3" t="s">
        <v>12588</v>
      </c>
      <c r="N258" s="3" t="s">
        <v>12589</v>
      </c>
      <c r="O258" s="3" t="s">
        <v>12590</v>
      </c>
      <c r="P258" s="8" t="s">
        <v>2143</v>
      </c>
    </row>
    <row r="259" ht="12.75" customHeight="1">
      <c r="A259" s="8" t="s">
        <v>149</v>
      </c>
      <c r="B259" s="8" t="s">
        <v>3567</v>
      </c>
      <c r="C259" s="8" t="s">
        <v>3581</v>
      </c>
      <c r="D259" s="3" t="s">
        <v>3</v>
      </c>
      <c r="E259" s="8" t="s">
        <v>3584</v>
      </c>
      <c r="F259" s="8" t="s">
        <v>2142</v>
      </c>
      <c r="G259" s="3" t="s">
        <v>12585</v>
      </c>
      <c r="H259" s="8" t="s">
        <v>2304</v>
      </c>
      <c r="I259" s="8" t="s">
        <v>3056</v>
      </c>
      <c r="J259" s="8" t="s">
        <v>3030</v>
      </c>
      <c r="K259" s="3" t="s">
        <v>12586</v>
      </c>
      <c r="L259" s="3" t="s">
        <v>12587</v>
      </c>
      <c r="M259" s="3" t="s">
        <v>12588</v>
      </c>
      <c r="N259" s="3" t="s">
        <v>12589</v>
      </c>
      <c r="O259" s="3" t="s">
        <v>12590</v>
      </c>
      <c r="P259" s="8" t="s">
        <v>2143</v>
      </c>
    </row>
    <row r="260" ht="12.75" customHeight="1">
      <c r="A260" s="8" t="s">
        <v>1801</v>
      </c>
      <c r="B260" s="8" t="s">
        <v>10986</v>
      </c>
      <c r="C260" s="8" t="s">
        <v>10993</v>
      </c>
      <c r="D260" s="3" t="s">
        <v>3</v>
      </c>
      <c r="E260" s="8" t="s">
        <v>10995</v>
      </c>
      <c r="F260" s="8" t="s">
        <v>2147</v>
      </c>
      <c r="G260" s="8" t="s">
        <v>2217</v>
      </c>
      <c r="H260" s="8" t="s">
        <v>2216</v>
      </c>
      <c r="I260" s="8" t="s">
        <v>2959</v>
      </c>
      <c r="J260" s="8" t="s">
        <v>3030</v>
      </c>
      <c r="K260" s="3" t="s">
        <v>12586</v>
      </c>
      <c r="L260" s="3" t="s">
        <v>12587</v>
      </c>
      <c r="M260" s="3" t="s">
        <v>12588</v>
      </c>
      <c r="N260" s="3" t="s">
        <v>12589</v>
      </c>
      <c r="O260" s="3" t="s">
        <v>12609</v>
      </c>
      <c r="P260" s="8" t="s">
        <v>2234</v>
      </c>
    </row>
    <row r="261" ht="12.75" customHeight="1">
      <c r="A261" s="8" t="s">
        <v>1799</v>
      </c>
      <c r="B261" s="8" t="s">
        <v>11045</v>
      </c>
      <c r="C261" s="8" t="s">
        <v>11051</v>
      </c>
      <c r="D261" s="3" t="s">
        <v>3</v>
      </c>
      <c r="E261" s="8" t="s">
        <v>11053</v>
      </c>
      <c r="F261" s="8" t="s">
        <v>2147</v>
      </c>
      <c r="G261" s="8" t="s">
        <v>2217</v>
      </c>
      <c r="H261" s="8" t="s">
        <v>2216</v>
      </c>
      <c r="I261" s="8" t="s">
        <v>2959</v>
      </c>
      <c r="J261" s="8" t="s">
        <v>3030</v>
      </c>
      <c r="K261" s="3" t="s">
        <v>12586</v>
      </c>
      <c r="L261" s="3" t="s">
        <v>12587</v>
      </c>
      <c r="M261" s="3" t="s">
        <v>12588</v>
      </c>
      <c r="N261" s="3" t="s">
        <v>12589</v>
      </c>
      <c r="O261" s="3" t="s">
        <v>12609</v>
      </c>
      <c r="P261" s="8" t="s">
        <v>2234</v>
      </c>
    </row>
    <row r="262" ht="12.75" customHeight="1">
      <c r="A262" s="8" t="s">
        <v>1791</v>
      </c>
      <c r="B262" s="8" t="s">
        <v>11103</v>
      </c>
      <c r="C262" s="8" t="s">
        <v>11105</v>
      </c>
      <c r="D262" s="3" t="s">
        <v>3</v>
      </c>
      <c r="E262" s="8" t="s">
        <v>11107</v>
      </c>
      <c r="F262" s="8" t="s">
        <v>2147</v>
      </c>
      <c r="G262" s="8" t="s">
        <v>2217</v>
      </c>
      <c r="H262" s="8" t="s">
        <v>2216</v>
      </c>
      <c r="I262" s="8" t="s">
        <v>2959</v>
      </c>
      <c r="J262" s="8" t="s">
        <v>3030</v>
      </c>
      <c r="K262" s="3" t="s">
        <v>12586</v>
      </c>
      <c r="L262" s="3" t="s">
        <v>12587</v>
      </c>
      <c r="M262" s="3" t="s">
        <v>12588</v>
      </c>
      <c r="N262" s="3" t="s">
        <v>12589</v>
      </c>
      <c r="O262" s="3" t="s">
        <v>12609</v>
      </c>
      <c r="P262" s="8" t="s">
        <v>2234</v>
      </c>
    </row>
    <row r="263" ht="12.75" customHeight="1">
      <c r="A263" s="8" t="s">
        <v>1803</v>
      </c>
      <c r="B263" s="8" t="s">
        <v>11015</v>
      </c>
      <c r="C263" s="8" t="s">
        <v>11025</v>
      </c>
      <c r="D263" s="3" t="s">
        <v>3</v>
      </c>
      <c r="E263" s="8" t="s">
        <v>11027</v>
      </c>
      <c r="F263" s="8" t="s">
        <v>2142</v>
      </c>
      <c r="G263" s="3" t="s">
        <v>12585</v>
      </c>
      <c r="H263" s="8" t="s">
        <v>2325</v>
      </c>
      <c r="I263" s="8" t="s">
        <v>2959</v>
      </c>
      <c r="J263" s="8" t="s">
        <v>3030</v>
      </c>
      <c r="K263" s="3" t="s">
        <v>12586</v>
      </c>
      <c r="L263" s="3" t="s">
        <v>12587</v>
      </c>
      <c r="M263" s="3" t="s">
        <v>12588</v>
      </c>
      <c r="N263" s="3" t="s">
        <v>12589</v>
      </c>
      <c r="O263" s="3" t="s">
        <v>12590</v>
      </c>
      <c r="P263" s="8" t="s">
        <v>2143</v>
      </c>
    </row>
    <row r="264" ht="12.75" customHeight="1">
      <c r="A264" s="8" t="s">
        <v>1682</v>
      </c>
      <c r="B264" s="8" t="s">
        <v>11672</v>
      </c>
      <c r="C264" s="8" t="s">
        <v>11675</v>
      </c>
      <c r="D264" s="3" t="s">
        <v>3</v>
      </c>
      <c r="E264" s="8" t="s">
        <v>11677</v>
      </c>
      <c r="F264" s="8" t="s">
        <v>2142</v>
      </c>
      <c r="G264" s="3" t="s">
        <v>12585</v>
      </c>
      <c r="H264" s="8" t="s">
        <v>2553</v>
      </c>
      <c r="I264" s="8" t="s">
        <v>2959</v>
      </c>
      <c r="J264" s="8" t="s">
        <v>3030</v>
      </c>
      <c r="K264" s="3" t="s">
        <v>12586</v>
      </c>
      <c r="L264" s="3" t="s">
        <v>12587</v>
      </c>
      <c r="M264" s="3" t="s">
        <v>12588</v>
      </c>
      <c r="N264" s="3" t="s">
        <v>12589</v>
      </c>
      <c r="O264" s="3" t="s">
        <v>12590</v>
      </c>
      <c r="P264" s="8" t="s">
        <v>2143</v>
      </c>
    </row>
    <row r="265" ht="12.75" customHeight="1">
      <c r="A265" s="8" t="s">
        <v>1714</v>
      </c>
      <c r="B265" s="8" t="s">
        <v>11518</v>
      </c>
      <c r="C265" s="8" t="s">
        <v>11524</v>
      </c>
      <c r="D265" s="3" t="s">
        <v>3</v>
      </c>
      <c r="E265" s="8" t="s">
        <v>11526</v>
      </c>
      <c r="F265" s="8" t="s">
        <v>2147</v>
      </c>
      <c r="G265" s="8" t="s">
        <v>2217</v>
      </c>
      <c r="H265" s="8" t="s">
        <v>2600</v>
      </c>
      <c r="I265" s="8" t="s">
        <v>2959</v>
      </c>
      <c r="J265" s="8" t="s">
        <v>3030</v>
      </c>
      <c r="K265" s="3" t="s">
        <v>12586</v>
      </c>
      <c r="L265" s="3" t="s">
        <v>12587</v>
      </c>
      <c r="M265" s="3" t="s">
        <v>12588</v>
      </c>
      <c r="N265" s="3" t="s">
        <v>12589</v>
      </c>
      <c r="O265" s="3" t="s">
        <v>12640</v>
      </c>
      <c r="P265" s="8" t="s">
        <v>2790</v>
      </c>
    </row>
    <row r="266" ht="12.75" customHeight="1">
      <c r="A266" s="8" t="s">
        <v>1852</v>
      </c>
      <c r="B266" s="8" t="s">
        <v>10617</v>
      </c>
      <c r="C266" s="8" t="s">
        <v>10627</v>
      </c>
      <c r="D266" s="3" t="s">
        <v>3</v>
      </c>
      <c r="E266" s="8" t="s">
        <v>10630</v>
      </c>
      <c r="F266" s="8" t="s">
        <v>2943</v>
      </c>
      <c r="I266" s="8" t="s">
        <v>2959</v>
      </c>
      <c r="J266" s="8" t="s">
        <v>3030</v>
      </c>
      <c r="K266" s="3" t="s">
        <v>12586</v>
      </c>
      <c r="L266" s="3" t="s">
        <v>12587</v>
      </c>
      <c r="M266" s="3" t="s">
        <v>12588</v>
      </c>
      <c r="N266" s="3" t="s">
        <v>12589</v>
      </c>
      <c r="O266" s="3" t="s">
        <v>12641</v>
      </c>
      <c r="P266" s="8" t="s">
        <v>2951</v>
      </c>
    </row>
    <row r="267" ht="12.75" customHeight="1">
      <c r="A267" s="8" t="s">
        <v>1633</v>
      </c>
      <c r="B267" s="8" t="s">
        <v>10254</v>
      </c>
      <c r="C267" s="8" t="s">
        <v>10266</v>
      </c>
      <c r="D267" s="3" t="s">
        <v>3</v>
      </c>
      <c r="E267" s="8" t="s">
        <v>10268</v>
      </c>
      <c r="F267" s="8" t="s">
        <v>2142</v>
      </c>
      <c r="I267" s="8" t="s">
        <v>3189</v>
      </c>
      <c r="J267" s="8" t="s">
        <v>3188</v>
      </c>
      <c r="K267" s="3" t="s">
        <v>12586</v>
      </c>
      <c r="L267" s="3" t="s">
        <v>12587</v>
      </c>
      <c r="M267" s="3" t="s">
        <v>12588</v>
      </c>
      <c r="N267" s="3" t="s">
        <v>12589</v>
      </c>
      <c r="O267" s="3" t="s">
        <v>12594</v>
      </c>
      <c r="P267" s="8" t="s">
        <v>2340</v>
      </c>
    </row>
    <row r="268" ht="12.75" customHeight="1">
      <c r="A268" s="8" t="s">
        <v>1639</v>
      </c>
      <c r="B268" s="8" t="s">
        <v>10285</v>
      </c>
      <c r="C268" s="8" t="s">
        <v>10290</v>
      </c>
      <c r="D268" s="3" t="s">
        <v>3</v>
      </c>
      <c r="E268" s="8" t="s">
        <v>10292</v>
      </c>
      <c r="F268" s="8" t="s">
        <v>2142</v>
      </c>
      <c r="I268" s="8" t="s">
        <v>3004</v>
      </c>
      <c r="J268" s="8" t="s">
        <v>3178</v>
      </c>
      <c r="K268" s="3" t="s">
        <v>12586</v>
      </c>
      <c r="L268" s="3" t="s">
        <v>12587</v>
      </c>
      <c r="M268" s="3" t="s">
        <v>12588</v>
      </c>
      <c r="N268" s="3" t="s">
        <v>12589</v>
      </c>
      <c r="O268" s="3" t="s">
        <v>12594</v>
      </c>
      <c r="P268" s="8" t="s">
        <v>2168</v>
      </c>
    </row>
    <row r="269" ht="12.75" customHeight="1">
      <c r="A269" s="8" t="s">
        <v>1601</v>
      </c>
      <c r="B269" s="8" t="s">
        <v>10030</v>
      </c>
      <c r="C269" s="8" t="s">
        <v>10039</v>
      </c>
      <c r="D269" s="3" t="s">
        <v>3</v>
      </c>
      <c r="E269" s="8" t="s">
        <v>10041</v>
      </c>
      <c r="F269" s="8" t="s">
        <v>2147</v>
      </c>
      <c r="G269" s="8" t="s">
        <v>2217</v>
      </c>
      <c r="H269" s="8" t="s">
        <v>2600</v>
      </c>
      <c r="I269" s="8" t="s">
        <v>2995</v>
      </c>
      <c r="J269" s="8" t="s">
        <v>2994</v>
      </c>
      <c r="K269" s="3" t="s">
        <v>12586</v>
      </c>
      <c r="L269" s="3" t="s">
        <v>12587</v>
      </c>
      <c r="M269" s="3" t="s">
        <v>12588</v>
      </c>
      <c r="N269" s="3" t="s">
        <v>12589</v>
      </c>
      <c r="O269" s="3" t="s">
        <v>12611</v>
      </c>
      <c r="P269" s="8" t="s">
        <v>2237</v>
      </c>
    </row>
    <row r="270" ht="12.75" customHeight="1">
      <c r="A270" s="8" t="s">
        <v>1579</v>
      </c>
      <c r="B270" s="8" t="s">
        <v>9852</v>
      </c>
      <c r="C270" s="8" t="s">
        <v>9859</v>
      </c>
      <c r="D270" s="3" t="s">
        <v>3</v>
      </c>
      <c r="E270" s="8" t="s">
        <v>9861</v>
      </c>
      <c r="F270" s="8" t="s">
        <v>2142</v>
      </c>
      <c r="I270" s="8" t="s">
        <v>3088</v>
      </c>
      <c r="J270" s="8" t="s">
        <v>3089</v>
      </c>
      <c r="K270" s="3" t="s">
        <v>12586</v>
      </c>
      <c r="L270" s="3" t="s">
        <v>12587</v>
      </c>
      <c r="M270" s="3" t="s">
        <v>12588</v>
      </c>
      <c r="N270" s="3" t="s">
        <v>12589</v>
      </c>
      <c r="O270" s="3" t="s">
        <v>12590</v>
      </c>
      <c r="P270" s="8" t="s">
        <v>2143</v>
      </c>
    </row>
    <row r="271" ht="12.75" customHeight="1">
      <c r="A271" s="8" t="s">
        <v>1583</v>
      </c>
      <c r="B271" s="8" t="s">
        <v>9918</v>
      </c>
      <c r="C271" s="8" t="s">
        <v>9925</v>
      </c>
      <c r="D271" s="3" t="s">
        <v>3</v>
      </c>
      <c r="E271" s="8" t="s">
        <v>9927</v>
      </c>
      <c r="F271" s="8" t="s">
        <v>2147</v>
      </c>
      <c r="I271" s="8" t="s">
        <v>3040</v>
      </c>
      <c r="J271" s="8" t="s">
        <v>3039</v>
      </c>
      <c r="K271" s="3" t="s">
        <v>12586</v>
      </c>
      <c r="L271" s="3" t="s">
        <v>12587</v>
      </c>
      <c r="M271" s="3" t="s">
        <v>12588</v>
      </c>
      <c r="N271" s="3" t="s">
        <v>12589</v>
      </c>
      <c r="O271" s="3" t="s">
        <v>12609</v>
      </c>
      <c r="P271" s="8" t="s">
        <v>2157</v>
      </c>
    </row>
    <row r="272" ht="12.75" customHeight="1">
      <c r="A272" s="8" t="s">
        <v>1593</v>
      </c>
      <c r="B272" s="8" t="s">
        <v>9932</v>
      </c>
      <c r="C272" s="8" t="s">
        <v>9939</v>
      </c>
      <c r="D272" s="3" t="s">
        <v>3</v>
      </c>
      <c r="E272" s="8" t="s">
        <v>9941</v>
      </c>
      <c r="F272" s="8" t="s">
        <v>2142</v>
      </c>
      <c r="G272" s="3" t="s">
        <v>12585</v>
      </c>
      <c r="H272" s="8" t="s">
        <v>2467</v>
      </c>
      <c r="I272" s="8" t="s">
        <v>3092</v>
      </c>
      <c r="J272" s="8" t="s">
        <v>3095</v>
      </c>
      <c r="K272" s="3" t="s">
        <v>12586</v>
      </c>
      <c r="L272" s="3" t="s">
        <v>12587</v>
      </c>
      <c r="M272" s="3" t="s">
        <v>12588</v>
      </c>
      <c r="N272" s="3" t="s">
        <v>12589</v>
      </c>
      <c r="O272" s="3" t="s">
        <v>12590</v>
      </c>
      <c r="P272" s="8" t="s">
        <v>2143</v>
      </c>
    </row>
    <row r="273" ht="12.75" customHeight="1">
      <c r="A273" s="8" t="s">
        <v>1599</v>
      </c>
      <c r="B273" s="8" t="s">
        <v>10046</v>
      </c>
      <c r="C273" s="8" t="s">
        <v>10055</v>
      </c>
      <c r="D273" s="3" t="s">
        <v>3</v>
      </c>
      <c r="E273" s="8" t="s">
        <v>10057</v>
      </c>
      <c r="F273" s="8" t="s">
        <v>2142</v>
      </c>
      <c r="G273" s="3" t="s">
        <v>12585</v>
      </c>
      <c r="H273" s="8" t="s">
        <v>2497</v>
      </c>
      <c r="I273" s="8" t="s">
        <v>2995</v>
      </c>
      <c r="J273" s="8" t="s">
        <v>2996</v>
      </c>
      <c r="K273" s="3" t="s">
        <v>12586</v>
      </c>
      <c r="L273" s="3" t="s">
        <v>12587</v>
      </c>
      <c r="M273" s="3" t="s">
        <v>12588</v>
      </c>
      <c r="N273" s="3" t="s">
        <v>12589</v>
      </c>
      <c r="O273" s="3" t="s">
        <v>12596</v>
      </c>
      <c r="P273" s="8" t="s">
        <v>2311</v>
      </c>
    </row>
    <row r="274" ht="12.75" customHeight="1">
      <c r="A274" s="8" t="s">
        <v>1595</v>
      </c>
      <c r="B274" s="8" t="s">
        <v>10062</v>
      </c>
      <c r="C274" s="8" t="s">
        <v>10072</v>
      </c>
      <c r="D274" s="3" t="s">
        <v>3</v>
      </c>
      <c r="E274" s="8" t="s">
        <v>10074</v>
      </c>
      <c r="F274" s="8" t="s">
        <v>2147</v>
      </c>
      <c r="G274" s="8" t="s">
        <v>2217</v>
      </c>
      <c r="H274" s="8" t="s">
        <v>2600</v>
      </c>
      <c r="I274" s="8" t="s">
        <v>2995</v>
      </c>
      <c r="J274" s="8" t="s">
        <v>2996</v>
      </c>
      <c r="K274" s="3" t="s">
        <v>12586</v>
      </c>
      <c r="L274" s="3" t="s">
        <v>12587</v>
      </c>
      <c r="M274" s="3" t="s">
        <v>12588</v>
      </c>
      <c r="N274" s="3" t="s">
        <v>12589</v>
      </c>
      <c r="O274" s="3" t="s">
        <v>12611</v>
      </c>
      <c r="P274" s="8" t="s">
        <v>2237</v>
      </c>
    </row>
    <row r="275" ht="12.75" customHeight="1">
      <c r="A275" s="8" t="s">
        <v>1597</v>
      </c>
      <c r="B275" s="8" t="s">
        <v>10079</v>
      </c>
      <c r="C275" s="8" t="s">
        <v>10087</v>
      </c>
      <c r="D275" s="3" t="s">
        <v>3</v>
      </c>
      <c r="E275" s="8" t="s">
        <v>10089</v>
      </c>
      <c r="F275" s="8" t="s">
        <v>2147</v>
      </c>
      <c r="G275" s="8" t="s">
        <v>2217</v>
      </c>
      <c r="H275" s="8" t="s">
        <v>2600</v>
      </c>
      <c r="I275" s="8" t="s">
        <v>2995</v>
      </c>
      <c r="J275" s="8" t="s">
        <v>2996</v>
      </c>
      <c r="K275" s="3" t="s">
        <v>12586</v>
      </c>
      <c r="L275" s="3" t="s">
        <v>12587</v>
      </c>
      <c r="M275" s="3" t="s">
        <v>12588</v>
      </c>
      <c r="N275" s="3" t="s">
        <v>12589</v>
      </c>
      <c r="O275" s="3" t="s">
        <v>12611</v>
      </c>
      <c r="P275" s="8" t="s">
        <v>2237</v>
      </c>
    </row>
    <row r="276" ht="12.75" customHeight="1">
      <c r="A276" s="8" t="s">
        <v>1619</v>
      </c>
      <c r="B276" s="8" t="s">
        <v>10222</v>
      </c>
      <c r="C276" s="8" t="s">
        <v>10232</v>
      </c>
      <c r="D276" s="3" t="s">
        <v>3</v>
      </c>
      <c r="E276" s="8" t="s">
        <v>10236</v>
      </c>
      <c r="F276" s="8" t="s">
        <v>2147</v>
      </c>
      <c r="G276" s="8" t="s">
        <v>2217</v>
      </c>
      <c r="H276" s="8" t="s">
        <v>2600</v>
      </c>
      <c r="I276" s="8" t="s">
        <v>3001</v>
      </c>
      <c r="J276" s="8" t="s">
        <v>3002</v>
      </c>
      <c r="K276" s="3" t="s">
        <v>12586</v>
      </c>
      <c r="L276" s="3" t="s">
        <v>12587</v>
      </c>
      <c r="M276" s="3" t="s">
        <v>12588</v>
      </c>
      <c r="N276" s="3" t="s">
        <v>12589</v>
      </c>
      <c r="O276" s="3" t="s">
        <v>12611</v>
      </c>
      <c r="P276" s="8" t="s">
        <v>2237</v>
      </c>
    </row>
    <row r="277" ht="12.75" customHeight="1">
      <c r="A277" s="8" t="s">
        <v>1615</v>
      </c>
      <c r="B277" s="8" t="s">
        <v>10127</v>
      </c>
      <c r="C277" s="8" t="s">
        <v>10143</v>
      </c>
      <c r="D277" s="3" t="s">
        <v>3</v>
      </c>
      <c r="E277" s="8" t="s">
        <v>10145</v>
      </c>
      <c r="F277" s="8" t="s">
        <v>2147</v>
      </c>
      <c r="G277" s="8" t="s">
        <v>2217</v>
      </c>
      <c r="H277" s="8" t="s">
        <v>2600</v>
      </c>
      <c r="I277" s="8" t="s">
        <v>2998</v>
      </c>
      <c r="J277" s="8" t="s">
        <v>2997</v>
      </c>
      <c r="K277" s="3" t="s">
        <v>12586</v>
      </c>
      <c r="L277" s="3" t="s">
        <v>12587</v>
      </c>
      <c r="M277" s="3" t="s">
        <v>12588</v>
      </c>
      <c r="N277" s="3" t="s">
        <v>12589</v>
      </c>
      <c r="O277" s="3" t="s">
        <v>12611</v>
      </c>
      <c r="P277" s="8" t="s">
        <v>2237</v>
      </c>
    </row>
    <row r="278" ht="12.75" customHeight="1">
      <c r="A278" s="8" t="s">
        <v>1623</v>
      </c>
      <c r="B278" s="8" t="s">
        <v>10195</v>
      </c>
      <c r="C278" s="8" t="s">
        <v>10205</v>
      </c>
      <c r="D278" s="3" t="s">
        <v>3</v>
      </c>
      <c r="E278" s="8" t="s">
        <v>10209</v>
      </c>
      <c r="F278" s="8" t="s">
        <v>2147</v>
      </c>
      <c r="G278" s="8" t="s">
        <v>2217</v>
      </c>
      <c r="H278" s="8" t="s">
        <v>2600</v>
      </c>
      <c r="I278" s="8" t="s">
        <v>3001</v>
      </c>
      <c r="J278" s="8" t="s">
        <v>3000</v>
      </c>
      <c r="K278" s="3" t="s">
        <v>12586</v>
      </c>
      <c r="L278" s="3" t="s">
        <v>12587</v>
      </c>
      <c r="M278" s="3" t="s">
        <v>12588</v>
      </c>
      <c r="N278" s="3" t="s">
        <v>12589</v>
      </c>
      <c r="O278" s="3" t="s">
        <v>12611</v>
      </c>
      <c r="P278" s="8" t="s">
        <v>2237</v>
      </c>
    </row>
    <row r="279" ht="12.75" customHeight="1">
      <c r="A279" s="8" t="s">
        <v>1621</v>
      </c>
      <c r="B279" s="8" t="s">
        <v>10213</v>
      </c>
      <c r="C279" s="8" t="s">
        <v>10216</v>
      </c>
      <c r="D279" s="3" t="s">
        <v>3</v>
      </c>
      <c r="E279" s="8" t="s">
        <v>10217</v>
      </c>
      <c r="F279" s="8" t="s">
        <v>2147</v>
      </c>
      <c r="G279" s="8" t="s">
        <v>2217</v>
      </c>
      <c r="H279" s="8" t="s">
        <v>2600</v>
      </c>
      <c r="I279" s="8" t="s">
        <v>3001</v>
      </c>
      <c r="J279" s="8" t="s">
        <v>3000</v>
      </c>
      <c r="K279" s="3" t="s">
        <v>12586</v>
      </c>
      <c r="L279" s="3" t="s">
        <v>12587</v>
      </c>
      <c r="M279" s="3" t="s">
        <v>12588</v>
      </c>
      <c r="N279" s="3" t="s">
        <v>12589</v>
      </c>
      <c r="O279" s="3" t="s">
        <v>12611</v>
      </c>
      <c r="P279" s="8" t="s">
        <v>2237</v>
      </c>
    </row>
    <row r="280" ht="12.75" customHeight="1">
      <c r="A280" s="8" t="s">
        <v>1610</v>
      </c>
      <c r="B280" s="8" t="s">
        <v>10094</v>
      </c>
      <c r="C280" s="8" t="s">
        <v>10105</v>
      </c>
      <c r="D280" s="3" t="s">
        <v>3</v>
      </c>
      <c r="E280" s="8" t="s">
        <v>10107</v>
      </c>
      <c r="F280" s="8" t="s">
        <v>2142</v>
      </c>
      <c r="G280" s="3" t="s">
        <v>12585</v>
      </c>
      <c r="H280" s="8" t="s">
        <v>2551</v>
      </c>
      <c r="I280" s="8" t="s">
        <v>3097</v>
      </c>
      <c r="J280" s="8" t="s">
        <v>3098</v>
      </c>
      <c r="K280" s="3" t="s">
        <v>12586</v>
      </c>
      <c r="L280" s="3" t="s">
        <v>12587</v>
      </c>
      <c r="M280" s="3" t="s">
        <v>12588</v>
      </c>
      <c r="N280" s="3" t="s">
        <v>12589</v>
      </c>
      <c r="O280" s="3" t="s">
        <v>12590</v>
      </c>
      <c r="P280" s="8" t="s">
        <v>2143</v>
      </c>
    </row>
    <row r="281" ht="12.75" customHeight="1">
      <c r="A281" s="8" t="s">
        <v>1641</v>
      </c>
      <c r="B281" s="8" t="s">
        <v>10273</v>
      </c>
      <c r="C281" s="8" t="s">
        <v>10279</v>
      </c>
      <c r="D281" s="3" t="s">
        <v>3</v>
      </c>
      <c r="E281" s="8" t="s">
        <v>10281</v>
      </c>
      <c r="F281" s="8" t="s">
        <v>2142</v>
      </c>
      <c r="G281" s="3" t="s">
        <v>12585</v>
      </c>
      <c r="H281" s="8" t="s">
        <v>2373</v>
      </c>
      <c r="I281" s="8" t="s">
        <v>3004</v>
      </c>
      <c r="J281" s="8" t="s">
        <v>2974</v>
      </c>
      <c r="K281" s="3" t="s">
        <v>12586</v>
      </c>
      <c r="L281" s="3" t="s">
        <v>12587</v>
      </c>
      <c r="M281" s="3" t="s">
        <v>12588</v>
      </c>
      <c r="N281" s="3" t="s">
        <v>12589</v>
      </c>
      <c r="O281" s="3" t="s">
        <v>12590</v>
      </c>
      <c r="P281" s="8" t="s">
        <v>2143</v>
      </c>
    </row>
    <row r="282" ht="12.75" customHeight="1">
      <c r="A282" s="8" t="s">
        <v>1637</v>
      </c>
      <c r="B282" s="8" t="s">
        <v>10296</v>
      </c>
      <c r="C282" s="8" t="s">
        <v>10301</v>
      </c>
      <c r="D282" s="3" t="s">
        <v>3</v>
      </c>
      <c r="E282" s="8" t="s">
        <v>10303</v>
      </c>
      <c r="F282" s="8" t="s">
        <v>2147</v>
      </c>
      <c r="G282" s="8" t="s">
        <v>2217</v>
      </c>
      <c r="H282" s="8" t="s">
        <v>2600</v>
      </c>
      <c r="I282" s="8" t="s">
        <v>3004</v>
      </c>
      <c r="J282" s="8" t="s">
        <v>2974</v>
      </c>
      <c r="K282" s="3" t="s">
        <v>12586</v>
      </c>
      <c r="L282" s="3" t="s">
        <v>12587</v>
      </c>
      <c r="M282" s="3" t="s">
        <v>12588</v>
      </c>
      <c r="N282" s="3" t="s">
        <v>12589</v>
      </c>
      <c r="O282" s="3" t="s">
        <v>12611</v>
      </c>
      <c r="P282" s="8" t="s">
        <v>2237</v>
      </c>
    </row>
    <row r="283" ht="12.75" customHeight="1">
      <c r="A283" s="8" t="s">
        <v>1745</v>
      </c>
      <c r="B283" s="8" t="s">
        <v>11311</v>
      </c>
      <c r="C283" s="8" t="s">
        <v>11318</v>
      </c>
      <c r="D283" s="3" t="s">
        <v>3</v>
      </c>
      <c r="E283" s="8" t="s">
        <v>11320</v>
      </c>
      <c r="F283" s="8" t="s">
        <v>2147</v>
      </c>
      <c r="G283" s="3" t="s">
        <v>12603</v>
      </c>
      <c r="H283" s="8" t="s">
        <v>2185</v>
      </c>
      <c r="I283" s="8" t="s">
        <v>2959</v>
      </c>
      <c r="J283" s="8" t="s">
        <v>2974</v>
      </c>
    </row>
    <row r="284" ht="12.75" customHeight="1">
      <c r="A284" s="8" t="s">
        <v>1807</v>
      </c>
      <c r="B284" s="8" t="s">
        <v>10925</v>
      </c>
      <c r="C284" s="8" t="s">
        <v>10937</v>
      </c>
      <c r="D284" s="3" t="s">
        <v>3</v>
      </c>
      <c r="E284" s="8" t="s">
        <v>10939</v>
      </c>
      <c r="F284" s="8" t="s">
        <v>2147</v>
      </c>
      <c r="G284" s="8" t="s">
        <v>2217</v>
      </c>
      <c r="H284" s="8" t="s">
        <v>2216</v>
      </c>
      <c r="I284" s="8" t="s">
        <v>2959</v>
      </c>
      <c r="J284" s="8" t="s">
        <v>2974</v>
      </c>
      <c r="K284" s="3" t="s">
        <v>12586</v>
      </c>
      <c r="L284" s="3" t="s">
        <v>12587</v>
      </c>
      <c r="M284" s="3" t="s">
        <v>12588</v>
      </c>
      <c r="N284" s="3" t="s">
        <v>12589</v>
      </c>
      <c r="O284" s="3" t="s">
        <v>12611</v>
      </c>
      <c r="P284" s="8" t="s">
        <v>2237</v>
      </c>
    </row>
    <row r="285" ht="12.75" customHeight="1">
      <c r="A285" s="8" t="s">
        <v>1867</v>
      </c>
      <c r="B285" s="8" t="s">
        <v>10486</v>
      </c>
      <c r="C285" s="8" t="s">
        <v>10493</v>
      </c>
      <c r="D285" s="3" t="s">
        <v>3</v>
      </c>
      <c r="E285" s="8" t="s">
        <v>10495</v>
      </c>
      <c r="F285" s="8" t="s">
        <v>2147</v>
      </c>
      <c r="G285" s="8" t="s">
        <v>2217</v>
      </c>
      <c r="H285" s="8" t="s">
        <v>2216</v>
      </c>
      <c r="I285" s="8" t="s">
        <v>2959</v>
      </c>
      <c r="J285" s="8" t="s">
        <v>2974</v>
      </c>
      <c r="K285" s="3" t="s">
        <v>12586</v>
      </c>
      <c r="L285" s="3" t="s">
        <v>12587</v>
      </c>
      <c r="M285" s="3" t="s">
        <v>12588</v>
      </c>
      <c r="N285" s="3" t="s">
        <v>12589</v>
      </c>
      <c r="O285" s="3" t="s">
        <v>12609</v>
      </c>
      <c r="P285" s="8" t="s">
        <v>2234</v>
      </c>
    </row>
    <row r="286" ht="12.75" customHeight="1">
      <c r="A286" s="8" t="s">
        <v>1813</v>
      </c>
      <c r="B286" s="8" t="s">
        <v>10944</v>
      </c>
      <c r="C286" s="8" t="s">
        <v>10953</v>
      </c>
      <c r="D286" s="3" t="s">
        <v>3</v>
      </c>
      <c r="E286" s="8" t="s">
        <v>10955</v>
      </c>
      <c r="F286" s="8" t="s">
        <v>2147</v>
      </c>
      <c r="G286" s="8" t="s">
        <v>2217</v>
      </c>
      <c r="H286" s="8" t="s">
        <v>2216</v>
      </c>
      <c r="I286" s="8" t="s">
        <v>2959</v>
      </c>
      <c r="J286" s="8" t="s">
        <v>2974</v>
      </c>
      <c r="K286" s="3" t="s">
        <v>12586</v>
      </c>
      <c r="L286" s="3" t="s">
        <v>12587</v>
      </c>
      <c r="M286" s="3" t="s">
        <v>12588</v>
      </c>
      <c r="N286" s="3" t="s">
        <v>12589</v>
      </c>
      <c r="O286" s="3" t="s">
        <v>12609</v>
      </c>
      <c r="P286" s="8" t="s">
        <v>2234</v>
      </c>
    </row>
    <row r="287" ht="12.75" customHeight="1">
      <c r="A287" s="8" t="s">
        <v>1741</v>
      </c>
      <c r="B287" s="8" t="s">
        <v>11337</v>
      </c>
      <c r="C287" s="8" t="s">
        <v>11342</v>
      </c>
      <c r="D287" s="3" t="s">
        <v>3</v>
      </c>
      <c r="E287" s="8" t="s">
        <v>11344</v>
      </c>
      <c r="F287" s="8" t="s">
        <v>2147</v>
      </c>
      <c r="G287" s="8" t="s">
        <v>2217</v>
      </c>
      <c r="H287" s="8" t="s">
        <v>2216</v>
      </c>
      <c r="I287" s="8" t="s">
        <v>2959</v>
      </c>
      <c r="J287" s="8" t="s">
        <v>2974</v>
      </c>
      <c r="K287" s="3" t="s">
        <v>12586</v>
      </c>
      <c r="L287" s="3" t="s">
        <v>12587</v>
      </c>
      <c r="M287" s="3" t="s">
        <v>12588</v>
      </c>
      <c r="N287" s="3" t="s">
        <v>12589</v>
      </c>
      <c r="O287" s="3" t="s">
        <v>12609</v>
      </c>
      <c r="P287" s="8" t="s">
        <v>2234</v>
      </c>
    </row>
    <row r="288" ht="12.75" customHeight="1">
      <c r="A288" s="8" t="s">
        <v>1773</v>
      </c>
      <c r="B288" s="8" t="s">
        <v>11209</v>
      </c>
      <c r="C288" s="8" t="s">
        <v>11214</v>
      </c>
      <c r="D288" s="3" t="s">
        <v>3</v>
      </c>
      <c r="E288" s="8" t="s">
        <v>11216</v>
      </c>
      <c r="F288" s="8" t="s">
        <v>2147</v>
      </c>
      <c r="G288" s="8" t="s">
        <v>2217</v>
      </c>
      <c r="H288" s="8" t="s">
        <v>2216</v>
      </c>
      <c r="I288" s="8" t="s">
        <v>2959</v>
      </c>
      <c r="J288" s="8" t="s">
        <v>2974</v>
      </c>
      <c r="K288" s="3" t="s">
        <v>12586</v>
      </c>
      <c r="L288" s="3" t="s">
        <v>12587</v>
      </c>
      <c r="M288" s="3" t="s">
        <v>12588</v>
      </c>
      <c r="N288" s="3" t="s">
        <v>12589</v>
      </c>
      <c r="O288" s="3" t="s">
        <v>12594</v>
      </c>
      <c r="P288" s="8" t="s">
        <v>2155</v>
      </c>
    </row>
    <row r="289" ht="12.75" customHeight="1">
      <c r="A289" s="8" t="s">
        <v>1716</v>
      </c>
      <c r="B289" s="8" t="s">
        <v>11498</v>
      </c>
      <c r="C289" s="8" t="s">
        <v>11502</v>
      </c>
      <c r="D289" s="3" t="s">
        <v>3</v>
      </c>
      <c r="E289" s="8" t="s">
        <v>11504</v>
      </c>
      <c r="F289" s="8" t="s">
        <v>2147</v>
      </c>
      <c r="G289" s="8" t="s">
        <v>2217</v>
      </c>
      <c r="H289" s="8" t="s">
        <v>2216</v>
      </c>
      <c r="I289" s="8" t="s">
        <v>2959</v>
      </c>
      <c r="J289" s="8" t="s">
        <v>2974</v>
      </c>
      <c r="K289" s="3" t="s">
        <v>12586</v>
      </c>
      <c r="L289" s="3" t="s">
        <v>12587</v>
      </c>
      <c r="M289" s="3" t="s">
        <v>12588</v>
      </c>
      <c r="N289" s="3" t="s">
        <v>12589</v>
      </c>
      <c r="O289" s="3" t="s">
        <v>12594</v>
      </c>
      <c r="P289" s="8" t="s">
        <v>2155</v>
      </c>
    </row>
    <row r="290" ht="12.75" customHeight="1">
      <c r="A290" s="8" t="s">
        <v>1731</v>
      </c>
      <c r="B290" s="8" t="s">
        <v>11408</v>
      </c>
      <c r="C290" s="8" t="s">
        <v>11419</v>
      </c>
      <c r="D290" s="3" t="s">
        <v>3</v>
      </c>
      <c r="E290" s="8" t="s">
        <v>11423</v>
      </c>
      <c r="F290" s="8" t="s">
        <v>2142</v>
      </c>
      <c r="G290" s="3" t="s">
        <v>12585</v>
      </c>
      <c r="H290" s="8" t="s">
        <v>2307</v>
      </c>
      <c r="I290" s="8" t="s">
        <v>2959</v>
      </c>
      <c r="J290" s="8" t="s">
        <v>2974</v>
      </c>
      <c r="K290" s="3" t="s">
        <v>12586</v>
      </c>
      <c r="L290" s="3" t="s">
        <v>12587</v>
      </c>
      <c r="M290" s="3" t="s">
        <v>12588</v>
      </c>
      <c r="N290" s="3" t="s">
        <v>12589</v>
      </c>
      <c r="O290" s="3" t="s">
        <v>12590</v>
      </c>
      <c r="P290" s="8" t="s">
        <v>2143</v>
      </c>
    </row>
    <row r="291" ht="12.75" customHeight="1">
      <c r="A291" s="8" t="s">
        <v>1692</v>
      </c>
      <c r="B291" s="8" t="s">
        <v>11614</v>
      </c>
      <c r="C291" s="8" t="s">
        <v>11616</v>
      </c>
      <c r="D291" s="3" t="s">
        <v>3</v>
      </c>
      <c r="E291" s="8" t="s">
        <v>11618</v>
      </c>
      <c r="F291" s="8" t="s">
        <v>2142</v>
      </c>
      <c r="G291" s="3" t="s">
        <v>12585</v>
      </c>
      <c r="H291" s="8" t="s">
        <v>2307</v>
      </c>
      <c r="I291" s="8" t="s">
        <v>2959</v>
      </c>
      <c r="J291" s="8" t="s">
        <v>2974</v>
      </c>
      <c r="K291" s="3" t="s">
        <v>12586</v>
      </c>
      <c r="L291" s="3" t="s">
        <v>12587</v>
      </c>
      <c r="M291" s="3" t="s">
        <v>12588</v>
      </c>
      <c r="N291" s="3" t="s">
        <v>12589</v>
      </c>
      <c r="O291" s="3" t="s">
        <v>12590</v>
      </c>
      <c r="P291" s="8" t="s">
        <v>2143</v>
      </c>
    </row>
    <row r="292" ht="12.75" customHeight="1">
      <c r="A292" s="8" t="s">
        <v>1793</v>
      </c>
      <c r="B292" s="8" t="s">
        <v>11073</v>
      </c>
      <c r="C292" s="8" t="s">
        <v>11082</v>
      </c>
      <c r="D292" s="3" t="s">
        <v>3</v>
      </c>
      <c r="E292" s="8" t="s">
        <v>11084</v>
      </c>
      <c r="F292" s="8" t="s">
        <v>2142</v>
      </c>
      <c r="G292" s="3" t="s">
        <v>12585</v>
      </c>
      <c r="H292" s="8" t="s">
        <v>2352</v>
      </c>
      <c r="I292" s="8" t="s">
        <v>2959</v>
      </c>
      <c r="J292" s="8" t="s">
        <v>2974</v>
      </c>
      <c r="K292" s="3" t="s">
        <v>12586</v>
      </c>
      <c r="L292" s="3" t="s">
        <v>12587</v>
      </c>
      <c r="M292" s="3" t="s">
        <v>12588</v>
      </c>
      <c r="N292" s="3" t="s">
        <v>12589</v>
      </c>
      <c r="O292" s="3" t="s">
        <v>12590</v>
      </c>
      <c r="P292" s="8" t="s">
        <v>2143</v>
      </c>
    </row>
    <row r="293" ht="12.75" customHeight="1">
      <c r="A293" s="8" t="s">
        <v>1771</v>
      </c>
      <c r="B293" s="8" t="s">
        <v>11182</v>
      </c>
      <c r="C293" s="8" t="s">
        <v>11189</v>
      </c>
      <c r="D293" s="3" t="s">
        <v>3</v>
      </c>
      <c r="E293" s="8" t="s">
        <v>11191</v>
      </c>
      <c r="F293" s="8" t="s">
        <v>2142</v>
      </c>
      <c r="G293" s="3" t="s">
        <v>12585</v>
      </c>
      <c r="H293" s="8" t="s">
        <v>2379</v>
      </c>
      <c r="I293" s="8" t="s">
        <v>2959</v>
      </c>
      <c r="J293" s="8" t="s">
        <v>2974</v>
      </c>
      <c r="K293" s="3" t="s">
        <v>12586</v>
      </c>
      <c r="L293" s="3" t="s">
        <v>12587</v>
      </c>
      <c r="M293" s="3" t="s">
        <v>12588</v>
      </c>
      <c r="N293" s="3" t="s">
        <v>12589</v>
      </c>
      <c r="O293" s="3" t="s">
        <v>12600</v>
      </c>
      <c r="P293" s="8" t="s">
        <v>2180</v>
      </c>
    </row>
    <row r="294" ht="12.75" customHeight="1">
      <c r="A294" s="8" t="s">
        <v>1846</v>
      </c>
      <c r="B294" s="8" t="s">
        <v>10659</v>
      </c>
      <c r="C294" s="8" t="s">
        <v>10670</v>
      </c>
      <c r="D294" s="3" t="s">
        <v>3</v>
      </c>
      <c r="E294" s="8" t="s">
        <v>10673</v>
      </c>
      <c r="F294" s="8" t="s">
        <v>2283</v>
      </c>
      <c r="G294" s="3" t="s">
        <v>12633</v>
      </c>
      <c r="H294" s="8" t="s">
        <v>2396</v>
      </c>
      <c r="I294" s="8" t="s">
        <v>2959</v>
      </c>
      <c r="J294" s="8" t="s">
        <v>2974</v>
      </c>
      <c r="K294" s="3" t="s">
        <v>12586</v>
      </c>
      <c r="L294" s="3" t="s">
        <v>12587</v>
      </c>
      <c r="M294" s="3" t="s">
        <v>12588</v>
      </c>
      <c r="N294" s="3" t="s">
        <v>12589</v>
      </c>
      <c r="O294" s="3" t="s">
        <v>12590</v>
      </c>
      <c r="P294" s="8" t="s">
        <v>2143</v>
      </c>
    </row>
    <row r="295" ht="12.75" customHeight="1">
      <c r="A295" s="8" t="s">
        <v>1833</v>
      </c>
      <c r="B295" s="8" t="s">
        <v>10795</v>
      </c>
      <c r="C295" s="8" t="s">
        <v>10805</v>
      </c>
      <c r="D295" s="3" t="s">
        <v>3</v>
      </c>
      <c r="E295" s="8" t="s">
        <v>10807</v>
      </c>
      <c r="F295" s="8" t="s">
        <v>2147</v>
      </c>
      <c r="G295" s="3" t="s">
        <v>12608</v>
      </c>
      <c r="H295" s="8" t="s">
        <v>2428</v>
      </c>
      <c r="I295" s="8" t="s">
        <v>2959</v>
      </c>
      <c r="J295" s="8" t="s">
        <v>2974</v>
      </c>
      <c r="K295" s="3" t="s">
        <v>12586</v>
      </c>
      <c r="L295" s="3" t="s">
        <v>12587</v>
      </c>
      <c r="M295" s="3" t="s">
        <v>12588</v>
      </c>
      <c r="N295" s="3" t="s">
        <v>12589</v>
      </c>
      <c r="O295" s="3" t="s">
        <v>12609</v>
      </c>
      <c r="P295" s="8" t="s">
        <v>2157</v>
      </c>
    </row>
    <row r="296" ht="12.75" customHeight="1">
      <c r="A296" s="8" t="s">
        <v>1821</v>
      </c>
      <c r="B296" s="8" t="s">
        <v>10858</v>
      </c>
      <c r="C296" s="8" t="s">
        <v>10868</v>
      </c>
      <c r="D296" s="3" t="s">
        <v>3</v>
      </c>
      <c r="E296" s="8" t="s">
        <v>10870</v>
      </c>
      <c r="F296" s="3" t="s">
        <v>2136</v>
      </c>
      <c r="G296" s="3" t="s">
        <v>12642</v>
      </c>
      <c r="H296" s="8" t="s">
        <v>2436</v>
      </c>
      <c r="I296" s="8" t="s">
        <v>2959</v>
      </c>
      <c r="J296" s="8" t="s">
        <v>2974</v>
      </c>
      <c r="K296" s="3" t="s">
        <v>12586</v>
      </c>
      <c r="L296" s="3" t="s">
        <v>12587</v>
      </c>
      <c r="M296" s="3" t="s">
        <v>12588</v>
      </c>
      <c r="N296" s="3" t="s">
        <v>12589</v>
      </c>
      <c r="O296" s="3" t="s">
        <v>12590</v>
      </c>
      <c r="P296" s="8" t="s">
        <v>2143</v>
      </c>
    </row>
    <row r="297" ht="12.75" customHeight="1">
      <c r="A297" s="8" t="s">
        <v>1749</v>
      </c>
      <c r="B297" s="8" t="s">
        <v>11324</v>
      </c>
      <c r="C297" s="8" t="s">
        <v>11331</v>
      </c>
      <c r="D297" s="3" t="s">
        <v>3</v>
      </c>
      <c r="E297" s="8" t="s">
        <v>11333</v>
      </c>
      <c r="F297" s="8" t="s">
        <v>2142</v>
      </c>
      <c r="G297" s="3" t="s">
        <v>12585</v>
      </c>
      <c r="H297" s="3" t="s">
        <v>12629</v>
      </c>
      <c r="I297" s="8" t="s">
        <v>2959</v>
      </c>
      <c r="J297" s="8" t="s">
        <v>2974</v>
      </c>
      <c r="K297" s="3" t="s">
        <v>12586</v>
      </c>
      <c r="L297" s="3" t="s">
        <v>12587</v>
      </c>
      <c r="M297" s="3" t="s">
        <v>12588</v>
      </c>
      <c r="N297" s="3" t="s">
        <v>12589</v>
      </c>
      <c r="O297" s="3" t="s">
        <v>12590</v>
      </c>
      <c r="P297" s="8" t="s">
        <v>2143</v>
      </c>
    </row>
    <row r="298" ht="12.75" customHeight="1">
      <c r="A298" s="8" t="s">
        <v>1723</v>
      </c>
      <c r="B298" s="8" t="s">
        <v>11468</v>
      </c>
      <c r="C298" s="8" t="s">
        <v>11474</v>
      </c>
      <c r="D298" s="3" t="s">
        <v>3</v>
      </c>
      <c r="E298" s="8" t="s">
        <v>11476</v>
      </c>
      <c r="F298" s="8" t="s">
        <v>2142</v>
      </c>
      <c r="G298" s="3" t="s">
        <v>12585</v>
      </c>
      <c r="H298" s="3" t="s">
        <v>12629</v>
      </c>
      <c r="I298" s="8" t="s">
        <v>2959</v>
      </c>
      <c r="J298" s="8" t="s">
        <v>2974</v>
      </c>
      <c r="K298" s="3" t="s">
        <v>12586</v>
      </c>
      <c r="L298" s="3" t="s">
        <v>12587</v>
      </c>
      <c r="M298" s="3" t="s">
        <v>12588</v>
      </c>
      <c r="N298" s="3" t="s">
        <v>12589</v>
      </c>
      <c r="O298" s="3" t="s">
        <v>12590</v>
      </c>
      <c r="P298" s="8" t="s">
        <v>2143</v>
      </c>
    </row>
    <row r="299" ht="12.75" customHeight="1">
      <c r="A299" s="8" t="s">
        <v>1727</v>
      </c>
      <c r="B299" s="8" t="s">
        <v>11393</v>
      </c>
      <c r="C299" s="8" t="s">
        <v>11401</v>
      </c>
      <c r="D299" s="3" t="s">
        <v>3</v>
      </c>
      <c r="E299" s="8" t="s">
        <v>11403</v>
      </c>
      <c r="F299" s="8" t="s">
        <v>2142</v>
      </c>
      <c r="G299" s="3" t="s">
        <v>12585</v>
      </c>
      <c r="H299" s="3" t="s">
        <v>12629</v>
      </c>
      <c r="I299" s="8" t="s">
        <v>2959</v>
      </c>
      <c r="J299" s="8" t="s">
        <v>2974</v>
      </c>
      <c r="K299" s="3" t="s">
        <v>12586</v>
      </c>
      <c r="L299" s="3" t="s">
        <v>12587</v>
      </c>
      <c r="M299" s="3" t="s">
        <v>12588</v>
      </c>
      <c r="N299" s="3" t="s">
        <v>12589</v>
      </c>
      <c r="O299" s="3" t="s">
        <v>12643</v>
      </c>
      <c r="P299" s="8" t="s">
        <v>2447</v>
      </c>
    </row>
    <row r="300" ht="12.75" customHeight="1">
      <c r="A300" s="8" t="s">
        <v>1805</v>
      </c>
      <c r="B300" s="8" t="s">
        <v>10999</v>
      </c>
      <c r="C300" s="8" t="s">
        <v>11008</v>
      </c>
      <c r="D300" s="3" t="s">
        <v>3</v>
      </c>
      <c r="E300" s="8" t="s">
        <v>11010</v>
      </c>
      <c r="F300" s="8" t="s">
        <v>2142</v>
      </c>
      <c r="G300" s="3" t="s">
        <v>12585</v>
      </c>
      <c r="H300" s="8" t="s">
        <v>2450</v>
      </c>
      <c r="I300" s="8" t="s">
        <v>2959</v>
      </c>
      <c r="J300" s="8" t="s">
        <v>2974</v>
      </c>
      <c r="K300" s="3" t="s">
        <v>12586</v>
      </c>
      <c r="L300" s="3" t="s">
        <v>12587</v>
      </c>
      <c r="M300" s="3" t="s">
        <v>12588</v>
      </c>
      <c r="N300" s="3" t="s">
        <v>12589</v>
      </c>
      <c r="O300" s="3" t="s">
        <v>12590</v>
      </c>
      <c r="P300" s="8" t="s">
        <v>2143</v>
      </c>
    </row>
    <row r="301" ht="12.75" customHeight="1">
      <c r="A301" s="8" t="s">
        <v>1823</v>
      </c>
      <c r="B301" s="8" t="s">
        <v>10875</v>
      </c>
      <c r="C301" s="8" t="s">
        <v>10885</v>
      </c>
      <c r="D301" s="3" t="s">
        <v>3</v>
      </c>
      <c r="E301" s="8" t="s">
        <v>10887</v>
      </c>
      <c r="F301" s="8" t="s">
        <v>2142</v>
      </c>
      <c r="G301" s="3" t="s">
        <v>12585</v>
      </c>
      <c r="H301" s="8" t="s">
        <v>2497</v>
      </c>
      <c r="I301" s="8" t="s">
        <v>2959</v>
      </c>
      <c r="J301" s="8" t="s">
        <v>2974</v>
      </c>
      <c r="K301" s="3" t="s">
        <v>12586</v>
      </c>
      <c r="L301" s="3" t="s">
        <v>12587</v>
      </c>
      <c r="M301" s="3" t="s">
        <v>12588</v>
      </c>
      <c r="N301" s="3" t="s">
        <v>12589</v>
      </c>
      <c r="O301" s="3" t="s">
        <v>12590</v>
      </c>
      <c r="P301" s="8" t="s">
        <v>2143</v>
      </c>
    </row>
    <row r="302" ht="12.75" customHeight="1">
      <c r="A302" s="8" t="s">
        <v>1825</v>
      </c>
      <c r="B302" s="8" t="s">
        <v>10909</v>
      </c>
      <c r="C302" s="8" t="s">
        <v>10917</v>
      </c>
      <c r="D302" s="3" t="s">
        <v>3</v>
      </c>
      <c r="E302" s="8" t="s">
        <v>10919</v>
      </c>
      <c r="F302" s="8" t="s">
        <v>2142</v>
      </c>
      <c r="G302" s="3" t="s">
        <v>12585</v>
      </c>
      <c r="H302" s="8" t="s">
        <v>2497</v>
      </c>
      <c r="I302" s="8" t="s">
        <v>2959</v>
      </c>
      <c r="J302" s="8" t="s">
        <v>2974</v>
      </c>
      <c r="K302" s="3" t="s">
        <v>12586</v>
      </c>
      <c r="L302" s="3" t="s">
        <v>12587</v>
      </c>
      <c r="M302" s="3" t="s">
        <v>12588</v>
      </c>
      <c r="N302" s="3" t="s">
        <v>12589</v>
      </c>
      <c r="O302" s="3" t="s">
        <v>12590</v>
      </c>
      <c r="P302" s="8" t="s">
        <v>2143</v>
      </c>
    </row>
    <row r="303" ht="12.75" customHeight="1">
      <c r="A303" s="8" t="s">
        <v>1795</v>
      </c>
      <c r="B303" s="8" t="s">
        <v>11058</v>
      </c>
      <c r="C303" s="8" t="s">
        <v>11067</v>
      </c>
      <c r="D303" s="3" t="s">
        <v>3</v>
      </c>
      <c r="E303" s="8" t="s">
        <v>11069</v>
      </c>
      <c r="F303" s="8" t="s">
        <v>2142</v>
      </c>
      <c r="G303" s="3" t="s">
        <v>12585</v>
      </c>
      <c r="H303" s="8" t="s">
        <v>2497</v>
      </c>
      <c r="I303" s="8" t="s">
        <v>2959</v>
      </c>
      <c r="J303" s="8" t="s">
        <v>2974</v>
      </c>
      <c r="K303" s="3" t="s">
        <v>12586</v>
      </c>
      <c r="L303" s="3" t="s">
        <v>12587</v>
      </c>
      <c r="M303" s="3" t="s">
        <v>12588</v>
      </c>
      <c r="N303" s="3" t="s">
        <v>12589</v>
      </c>
      <c r="O303" s="3" t="s">
        <v>12590</v>
      </c>
      <c r="P303" s="8" t="s">
        <v>2143</v>
      </c>
    </row>
    <row r="304" ht="12.75" customHeight="1">
      <c r="A304" s="8" t="s">
        <v>1785</v>
      </c>
      <c r="B304" s="8" t="s">
        <v>11089</v>
      </c>
      <c r="C304" s="8" t="s">
        <v>11096</v>
      </c>
      <c r="D304" s="3" t="s">
        <v>3</v>
      </c>
      <c r="E304" s="8" t="s">
        <v>11098</v>
      </c>
      <c r="F304" s="8" t="s">
        <v>2142</v>
      </c>
      <c r="G304" s="3" t="s">
        <v>12585</v>
      </c>
      <c r="H304" s="8" t="s">
        <v>2497</v>
      </c>
      <c r="I304" s="8" t="s">
        <v>2959</v>
      </c>
      <c r="J304" s="8" t="s">
        <v>2974</v>
      </c>
      <c r="K304" s="3" t="s">
        <v>12586</v>
      </c>
      <c r="L304" s="3" t="s">
        <v>12587</v>
      </c>
      <c r="M304" s="3" t="s">
        <v>12588</v>
      </c>
      <c r="N304" s="3" t="s">
        <v>12589</v>
      </c>
      <c r="O304" s="3" t="s">
        <v>12596</v>
      </c>
      <c r="P304" s="8" t="s">
        <v>2311</v>
      </c>
    </row>
    <row r="305" ht="12.75" customHeight="1">
      <c r="A305" s="8" t="s">
        <v>1700</v>
      </c>
      <c r="B305" s="8" t="s">
        <v>11571</v>
      </c>
      <c r="C305" s="8" t="s">
        <v>2135</v>
      </c>
      <c r="D305" s="3" t="s">
        <v>3</v>
      </c>
      <c r="E305" s="8" t="s">
        <v>11577</v>
      </c>
      <c r="F305" s="8" t="s">
        <v>2142</v>
      </c>
      <c r="G305" s="3" t="s">
        <v>12585</v>
      </c>
      <c r="H305" s="8" t="s">
        <v>2497</v>
      </c>
      <c r="I305" s="8" t="s">
        <v>2959</v>
      </c>
      <c r="J305" s="8" t="s">
        <v>2974</v>
      </c>
      <c r="K305" s="3" t="s">
        <v>12586</v>
      </c>
      <c r="L305" s="3" t="s">
        <v>12587</v>
      </c>
      <c r="M305" s="3" t="s">
        <v>12588</v>
      </c>
      <c r="N305" s="3" t="s">
        <v>12589</v>
      </c>
      <c r="O305" s="3" t="s">
        <v>12594</v>
      </c>
      <c r="P305" s="8" t="s">
        <v>2168</v>
      </c>
    </row>
    <row r="306" ht="12.75" customHeight="1">
      <c r="A306" s="8" t="s">
        <v>1827</v>
      </c>
      <c r="B306" s="8" t="s">
        <v>10829</v>
      </c>
      <c r="C306" s="8" t="s">
        <v>10837</v>
      </c>
      <c r="D306" s="3" t="s">
        <v>3</v>
      </c>
      <c r="E306" s="8" t="s">
        <v>10839</v>
      </c>
      <c r="F306" s="8" t="s">
        <v>2142</v>
      </c>
      <c r="G306" s="3" t="s">
        <v>12585</v>
      </c>
      <c r="H306" s="8" t="s">
        <v>2538</v>
      </c>
      <c r="I306" s="8" t="s">
        <v>2959</v>
      </c>
      <c r="J306" s="8" t="s">
        <v>2974</v>
      </c>
      <c r="K306" s="3" t="s">
        <v>12586</v>
      </c>
      <c r="L306" s="3" t="s">
        <v>12587</v>
      </c>
      <c r="M306" s="3" t="s">
        <v>12588</v>
      </c>
      <c r="N306" s="3" t="s">
        <v>12589</v>
      </c>
      <c r="O306" s="3" t="s">
        <v>12590</v>
      </c>
      <c r="P306" s="8" t="s">
        <v>2143</v>
      </c>
    </row>
    <row r="307" ht="12.75" customHeight="1">
      <c r="A307" s="8" t="s">
        <v>1844</v>
      </c>
      <c r="B307" s="8" t="s">
        <v>10679</v>
      </c>
      <c r="C307" s="8" t="s">
        <v>10692</v>
      </c>
      <c r="D307" s="3" t="s">
        <v>3</v>
      </c>
      <c r="E307" s="8" t="s">
        <v>10694</v>
      </c>
      <c r="F307" s="8" t="s">
        <v>2142</v>
      </c>
      <c r="G307" s="3" t="s">
        <v>12585</v>
      </c>
      <c r="H307" s="8" t="s">
        <v>2553</v>
      </c>
      <c r="I307" s="8" t="s">
        <v>2959</v>
      </c>
      <c r="J307" s="8" t="s">
        <v>2974</v>
      </c>
      <c r="K307" s="3" t="s">
        <v>12586</v>
      </c>
      <c r="L307" s="3" t="s">
        <v>12587</v>
      </c>
      <c r="M307" s="3" t="s">
        <v>12588</v>
      </c>
      <c r="N307" s="3" t="s">
        <v>12589</v>
      </c>
      <c r="O307" s="3" t="s">
        <v>12590</v>
      </c>
      <c r="P307" s="8" t="s">
        <v>2143</v>
      </c>
    </row>
    <row r="308" ht="12.75" customHeight="1">
      <c r="A308" s="8" t="s">
        <v>1815</v>
      </c>
      <c r="B308" s="8" t="s">
        <v>10959</v>
      </c>
      <c r="C308" s="8" t="s">
        <v>10967</v>
      </c>
      <c r="D308" s="3" t="s">
        <v>3</v>
      </c>
      <c r="E308" s="8" t="s">
        <v>10969</v>
      </c>
      <c r="F308" s="8" t="s">
        <v>2142</v>
      </c>
      <c r="G308" s="3" t="s">
        <v>12585</v>
      </c>
      <c r="H308" s="8" t="s">
        <v>2553</v>
      </c>
      <c r="I308" s="8" t="s">
        <v>2959</v>
      </c>
      <c r="J308" s="8" t="s">
        <v>2974</v>
      </c>
      <c r="K308" s="3" t="s">
        <v>12586</v>
      </c>
      <c r="L308" s="3" t="s">
        <v>12587</v>
      </c>
      <c r="M308" s="3" t="s">
        <v>12588</v>
      </c>
      <c r="N308" s="3" t="s">
        <v>12589</v>
      </c>
      <c r="O308" s="3" t="s">
        <v>12590</v>
      </c>
      <c r="P308" s="8" t="s">
        <v>2143</v>
      </c>
    </row>
    <row r="309" ht="12.75" customHeight="1">
      <c r="A309" s="8" t="s">
        <v>1735</v>
      </c>
      <c r="B309" s="8" t="s">
        <v>11445</v>
      </c>
      <c r="C309" s="8" t="s">
        <v>11446</v>
      </c>
      <c r="D309" s="3" t="s">
        <v>3</v>
      </c>
      <c r="E309" s="8" t="s">
        <v>11448</v>
      </c>
      <c r="F309" s="8" t="s">
        <v>2142</v>
      </c>
      <c r="G309" s="3" t="s">
        <v>12585</v>
      </c>
      <c r="H309" s="8" t="s">
        <v>2553</v>
      </c>
      <c r="I309" s="8" t="s">
        <v>2959</v>
      </c>
      <c r="J309" s="8" t="s">
        <v>2974</v>
      </c>
      <c r="K309" s="3" t="s">
        <v>12586</v>
      </c>
      <c r="L309" s="3" t="s">
        <v>12587</v>
      </c>
      <c r="M309" s="3" t="s">
        <v>12588</v>
      </c>
      <c r="N309" s="3" t="s">
        <v>12589</v>
      </c>
      <c r="O309" s="3" t="s">
        <v>12590</v>
      </c>
      <c r="P309" s="8" t="s">
        <v>2143</v>
      </c>
    </row>
    <row r="310" ht="12.75" customHeight="1">
      <c r="A310" s="8" t="s">
        <v>1698</v>
      </c>
      <c r="B310" s="8" t="s">
        <v>11606</v>
      </c>
      <c r="C310" s="8" t="s">
        <v>11611</v>
      </c>
      <c r="D310" s="3" t="s">
        <v>3</v>
      </c>
      <c r="E310" s="8" t="s">
        <v>11613</v>
      </c>
      <c r="F310" s="8" t="s">
        <v>2142</v>
      </c>
      <c r="G310" s="3" t="s">
        <v>12585</v>
      </c>
      <c r="H310" s="8" t="s">
        <v>2553</v>
      </c>
      <c r="I310" s="8" t="s">
        <v>2959</v>
      </c>
      <c r="J310" s="8" t="s">
        <v>2974</v>
      </c>
      <c r="K310" s="3" t="s">
        <v>12586</v>
      </c>
      <c r="L310" s="3" t="s">
        <v>12587</v>
      </c>
      <c r="M310" s="3" t="s">
        <v>12588</v>
      </c>
      <c r="N310" s="3" t="s">
        <v>12589</v>
      </c>
      <c r="O310" s="3" t="s">
        <v>12590</v>
      </c>
      <c r="P310" s="8" t="s">
        <v>2143</v>
      </c>
    </row>
    <row r="311" ht="12.75" customHeight="1">
      <c r="A311" s="8" t="s">
        <v>1684</v>
      </c>
      <c r="B311" s="8" t="s">
        <v>11664</v>
      </c>
      <c r="C311" s="8" t="s">
        <v>11668</v>
      </c>
      <c r="D311" s="3" t="s">
        <v>3</v>
      </c>
      <c r="E311" s="8" t="s">
        <v>11670</v>
      </c>
      <c r="F311" s="8" t="s">
        <v>2142</v>
      </c>
      <c r="G311" s="3" t="s">
        <v>12585</v>
      </c>
      <c r="H311" s="8" t="s">
        <v>2553</v>
      </c>
      <c r="I311" s="8" t="s">
        <v>2959</v>
      </c>
      <c r="J311" s="8" t="s">
        <v>2974</v>
      </c>
      <c r="K311" s="3" t="s">
        <v>12586</v>
      </c>
      <c r="L311" s="3" t="s">
        <v>12587</v>
      </c>
      <c r="M311" s="3" t="s">
        <v>12588</v>
      </c>
      <c r="N311" s="3" t="s">
        <v>12589</v>
      </c>
      <c r="O311" s="3" t="s">
        <v>12590</v>
      </c>
      <c r="P311" s="8" t="s">
        <v>2143</v>
      </c>
    </row>
    <row r="312" ht="12.75" customHeight="1">
      <c r="A312" s="8" t="s">
        <v>1865</v>
      </c>
      <c r="B312" s="8" t="s">
        <v>10539</v>
      </c>
      <c r="C312" s="8" t="s">
        <v>10552</v>
      </c>
      <c r="D312" s="3" t="s">
        <v>3</v>
      </c>
      <c r="E312" s="8" t="s">
        <v>10555</v>
      </c>
      <c r="F312" s="8" t="s">
        <v>2147</v>
      </c>
      <c r="G312" s="8" t="s">
        <v>2217</v>
      </c>
      <c r="H312" s="8" t="s">
        <v>2600</v>
      </c>
      <c r="I312" s="8" t="s">
        <v>2959</v>
      </c>
      <c r="J312" s="8" t="s">
        <v>2974</v>
      </c>
      <c r="K312" s="3" t="s">
        <v>12586</v>
      </c>
      <c r="L312" s="3" t="s">
        <v>12587</v>
      </c>
      <c r="M312" s="3" t="s">
        <v>12588</v>
      </c>
      <c r="N312" s="3" t="s">
        <v>12589</v>
      </c>
      <c r="O312" s="3" t="s">
        <v>12611</v>
      </c>
      <c r="P312" s="8" t="s">
        <v>2829</v>
      </c>
    </row>
    <row r="313" ht="12.75" customHeight="1">
      <c r="A313" s="8" t="s">
        <v>1646</v>
      </c>
      <c r="B313" s="8" t="s">
        <v>10449</v>
      </c>
      <c r="C313" s="8" t="s">
        <v>10462</v>
      </c>
      <c r="D313" s="3" t="s">
        <v>3</v>
      </c>
      <c r="E313" s="8" t="s">
        <v>10464</v>
      </c>
      <c r="F313" s="8" t="s">
        <v>2147</v>
      </c>
      <c r="G313" s="8" t="s">
        <v>2217</v>
      </c>
      <c r="H313" s="8" t="s">
        <v>2600</v>
      </c>
      <c r="I313" s="8" t="s">
        <v>2959</v>
      </c>
      <c r="J313" s="8" t="s">
        <v>2974</v>
      </c>
      <c r="K313" s="3" t="s">
        <v>12586</v>
      </c>
      <c r="L313" s="3" t="s">
        <v>12587</v>
      </c>
      <c r="M313" s="3" t="s">
        <v>12588</v>
      </c>
      <c r="N313" s="3" t="s">
        <v>12589</v>
      </c>
      <c r="O313" s="3" t="s">
        <v>12611</v>
      </c>
      <c r="P313" s="8" t="s">
        <v>2237</v>
      </c>
    </row>
    <row r="314" ht="12.75" customHeight="1">
      <c r="A314" s="8" t="s">
        <v>1850</v>
      </c>
      <c r="B314" s="8" t="s">
        <v>10595</v>
      </c>
      <c r="C314" s="8" t="s">
        <v>10607</v>
      </c>
      <c r="D314" s="3" t="s">
        <v>3</v>
      </c>
      <c r="E314" s="8" t="s">
        <v>10611</v>
      </c>
      <c r="F314" s="8" t="s">
        <v>2147</v>
      </c>
      <c r="G314" s="8" t="s">
        <v>2217</v>
      </c>
      <c r="H314" s="8" t="s">
        <v>2600</v>
      </c>
      <c r="I314" s="8" t="s">
        <v>2959</v>
      </c>
      <c r="J314" s="8" t="s">
        <v>2974</v>
      </c>
      <c r="K314" s="3" t="s">
        <v>12586</v>
      </c>
      <c r="L314" s="3" t="s">
        <v>12587</v>
      </c>
      <c r="M314" s="3" t="s">
        <v>12588</v>
      </c>
      <c r="N314" s="3" t="s">
        <v>12589</v>
      </c>
      <c r="O314" s="3" t="s">
        <v>12611</v>
      </c>
      <c r="P314" s="8" t="s">
        <v>2237</v>
      </c>
    </row>
    <row r="315" ht="12.75" customHeight="1">
      <c r="A315" s="8" t="s">
        <v>1842</v>
      </c>
      <c r="B315" s="8" t="s">
        <v>10738</v>
      </c>
      <c r="C315" s="8" t="s">
        <v>10753</v>
      </c>
      <c r="D315" s="3" t="s">
        <v>3</v>
      </c>
      <c r="E315" s="8" t="s">
        <v>10755</v>
      </c>
      <c r="F315" s="8" t="s">
        <v>2147</v>
      </c>
      <c r="G315" s="8" t="s">
        <v>2217</v>
      </c>
      <c r="H315" s="8" t="s">
        <v>2600</v>
      </c>
      <c r="I315" s="8" t="s">
        <v>2959</v>
      </c>
      <c r="J315" s="8" t="s">
        <v>2974</v>
      </c>
      <c r="K315" s="3" t="s">
        <v>12586</v>
      </c>
      <c r="L315" s="3" t="s">
        <v>12587</v>
      </c>
      <c r="M315" s="3" t="s">
        <v>12588</v>
      </c>
      <c r="N315" s="3" t="s">
        <v>12589</v>
      </c>
      <c r="O315" s="3" t="s">
        <v>12611</v>
      </c>
      <c r="P315" s="8" t="s">
        <v>2237</v>
      </c>
    </row>
    <row r="316" ht="12.75" customHeight="1">
      <c r="A316" s="8" t="s">
        <v>1243</v>
      </c>
      <c r="B316" s="8" t="s">
        <v>10778</v>
      </c>
      <c r="C316" s="8" t="s">
        <v>10788</v>
      </c>
      <c r="D316" s="3" t="s">
        <v>3</v>
      </c>
      <c r="E316" s="8" t="s">
        <v>10790</v>
      </c>
      <c r="F316" s="8" t="s">
        <v>2147</v>
      </c>
      <c r="G316" s="8" t="s">
        <v>2217</v>
      </c>
      <c r="H316" s="8" t="s">
        <v>2600</v>
      </c>
      <c r="I316" s="8" t="s">
        <v>2959</v>
      </c>
      <c r="J316" s="8" t="s">
        <v>2974</v>
      </c>
      <c r="K316" s="3" t="s">
        <v>12586</v>
      </c>
      <c r="L316" s="3" t="s">
        <v>12587</v>
      </c>
      <c r="M316" s="3" t="s">
        <v>12588</v>
      </c>
      <c r="N316" s="3" t="s">
        <v>12589</v>
      </c>
      <c r="O316" s="3" t="s">
        <v>12611</v>
      </c>
      <c r="P316" s="8" t="s">
        <v>2237</v>
      </c>
    </row>
    <row r="317" ht="12.75" customHeight="1">
      <c r="A317" s="8" t="s">
        <v>1829</v>
      </c>
      <c r="B317" s="8" t="s">
        <v>10812</v>
      </c>
      <c r="C317" s="8" t="s">
        <v>10816</v>
      </c>
      <c r="D317" s="3" t="s">
        <v>3</v>
      </c>
      <c r="E317" s="8" t="s">
        <v>10818</v>
      </c>
      <c r="F317" s="8" t="s">
        <v>2147</v>
      </c>
      <c r="G317" s="8" t="s">
        <v>2217</v>
      </c>
      <c r="H317" s="8" t="s">
        <v>2600</v>
      </c>
      <c r="I317" s="8" t="s">
        <v>2959</v>
      </c>
      <c r="J317" s="8" t="s">
        <v>2974</v>
      </c>
      <c r="K317" s="3" t="s">
        <v>12586</v>
      </c>
      <c r="L317" s="3" t="s">
        <v>12587</v>
      </c>
      <c r="M317" s="3" t="s">
        <v>12588</v>
      </c>
      <c r="N317" s="3" t="s">
        <v>12589</v>
      </c>
      <c r="O317" s="3" t="s">
        <v>12611</v>
      </c>
      <c r="P317" s="8" t="s">
        <v>2237</v>
      </c>
    </row>
    <row r="318" ht="12.75" customHeight="1">
      <c r="A318" s="8" t="s">
        <v>1831</v>
      </c>
      <c r="B318" s="8" t="s">
        <v>10821</v>
      </c>
      <c r="C318" s="8" t="s">
        <v>10823</v>
      </c>
      <c r="D318" s="3" t="s">
        <v>3</v>
      </c>
      <c r="E318" s="8" t="s">
        <v>10824</v>
      </c>
      <c r="F318" s="8" t="s">
        <v>2147</v>
      </c>
      <c r="G318" s="8" t="s">
        <v>2217</v>
      </c>
      <c r="H318" s="8" t="s">
        <v>2600</v>
      </c>
      <c r="I318" s="8" t="s">
        <v>2959</v>
      </c>
      <c r="J318" s="8" t="s">
        <v>2974</v>
      </c>
      <c r="K318" s="3" t="s">
        <v>12586</v>
      </c>
      <c r="L318" s="3" t="s">
        <v>12587</v>
      </c>
      <c r="M318" s="3" t="s">
        <v>12588</v>
      </c>
      <c r="N318" s="3" t="s">
        <v>12589</v>
      </c>
      <c r="O318" s="3" t="s">
        <v>12611</v>
      </c>
      <c r="P318" s="8" t="s">
        <v>2237</v>
      </c>
    </row>
    <row r="319" ht="12.75" customHeight="1">
      <c r="A319" s="8" t="s">
        <v>1819</v>
      </c>
      <c r="B319" s="8" t="s">
        <v>10892</v>
      </c>
      <c r="C319" s="8" t="s">
        <v>10902</v>
      </c>
      <c r="D319" s="3" t="s">
        <v>3</v>
      </c>
      <c r="E319" s="8" t="s">
        <v>10904</v>
      </c>
      <c r="F319" s="8" t="s">
        <v>2147</v>
      </c>
      <c r="G319" s="8" t="s">
        <v>2217</v>
      </c>
      <c r="H319" s="8" t="s">
        <v>2600</v>
      </c>
      <c r="I319" s="8" t="s">
        <v>2959</v>
      </c>
      <c r="J319" s="8" t="s">
        <v>2974</v>
      </c>
      <c r="K319" s="3" t="s">
        <v>12586</v>
      </c>
      <c r="L319" s="3" t="s">
        <v>12587</v>
      </c>
      <c r="M319" s="3" t="s">
        <v>12588</v>
      </c>
      <c r="N319" s="3" t="s">
        <v>12589</v>
      </c>
      <c r="O319" s="3" t="s">
        <v>12611</v>
      </c>
      <c r="P319" s="8" t="s">
        <v>2237</v>
      </c>
    </row>
    <row r="320" ht="12.75" customHeight="1">
      <c r="A320" s="8" t="s">
        <v>1811</v>
      </c>
      <c r="B320" s="8" t="s">
        <v>10974</v>
      </c>
      <c r="C320" s="8" t="s">
        <v>10980</v>
      </c>
      <c r="D320" s="3" t="s">
        <v>3</v>
      </c>
      <c r="E320" s="8" t="s">
        <v>10982</v>
      </c>
      <c r="F320" s="8" t="s">
        <v>2147</v>
      </c>
      <c r="G320" s="8" t="s">
        <v>2217</v>
      </c>
      <c r="H320" s="8" t="s">
        <v>2600</v>
      </c>
      <c r="I320" s="8" t="s">
        <v>2959</v>
      </c>
      <c r="J320" s="8" t="s">
        <v>2974</v>
      </c>
      <c r="K320" s="3" t="s">
        <v>12586</v>
      </c>
      <c r="L320" s="3" t="s">
        <v>12587</v>
      </c>
      <c r="M320" s="3" t="s">
        <v>12588</v>
      </c>
      <c r="N320" s="3" t="s">
        <v>12589</v>
      </c>
      <c r="O320" s="3" t="s">
        <v>12611</v>
      </c>
      <c r="P320" s="8" t="s">
        <v>2237</v>
      </c>
    </row>
    <row r="321" ht="12.75" customHeight="1">
      <c r="A321" s="8" t="s">
        <v>1797</v>
      </c>
      <c r="B321" s="8" t="s">
        <v>11032</v>
      </c>
      <c r="C321" s="8" t="s">
        <v>11038</v>
      </c>
      <c r="D321" s="3" t="s">
        <v>3</v>
      </c>
      <c r="E321" s="8" t="s">
        <v>11040</v>
      </c>
      <c r="F321" s="8" t="s">
        <v>2147</v>
      </c>
      <c r="G321" s="8" t="s">
        <v>2217</v>
      </c>
      <c r="H321" s="8" t="s">
        <v>2600</v>
      </c>
      <c r="I321" s="8" t="s">
        <v>2959</v>
      </c>
      <c r="J321" s="8" t="s">
        <v>2974</v>
      </c>
      <c r="K321" s="3" t="s">
        <v>12586</v>
      </c>
      <c r="L321" s="3" t="s">
        <v>12587</v>
      </c>
      <c r="M321" s="3" t="s">
        <v>12588</v>
      </c>
      <c r="N321" s="3" t="s">
        <v>12589</v>
      </c>
      <c r="O321" s="3" t="s">
        <v>12611</v>
      </c>
      <c r="P321" s="8" t="s">
        <v>2237</v>
      </c>
    </row>
    <row r="322" ht="12.75" customHeight="1">
      <c r="A322" s="8" t="s">
        <v>1789</v>
      </c>
      <c r="B322" s="8" t="s">
        <v>11112</v>
      </c>
      <c r="C322" s="8" t="s">
        <v>11118</v>
      </c>
      <c r="D322" s="3" t="s">
        <v>3</v>
      </c>
      <c r="E322" s="8" t="s">
        <v>11120</v>
      </c>
      <c r="F322" s="8" t="s">
        <v>2147</v>
      </c>
      <c r="G322" s="8" t="s">
        <v>2217</v>
      </c>
      <c r="H322" s="8" t="s">
        <v>2600</v>
      </c>
      <c r="I322" s="8" t="s">
        <v>2959</v>
      </c>
      <c r="J322" s="8" t="s">
        <v>2974</v>
      </c>
      <c r="K322" s="3" t="s">
        <v>12586</v>
      </c>
      <c r="L322" s="3" t="s">
        <v>12587</v>
      </c>
      <c r="M322" s="3" t="s">
        <v>12588</v>
      </c>
      <c r="N322" s="3" t="s">
        <v>12589</v>
      </c>
      <c r="O322" s="3" t="s">
        <v>12611</v>
      </c>
      <c r="P322" s="8" t="s">
        <v>2237</v>
      </c>
    </row>
    <row r="323" ht="12.75" customHeight="1">
      <c r="A323" s="8" t="s">
        <v>1779</v>
      </c>
      <c r="B323" s="8" t="s">
        <v>11145</v>
      </c>
      <c r="C323" s="8" t="s">
        <v>11152</v>
      </c>
      <c r="D323" s="3" t="s">
        <v>3</v>
      </c>
      <c r="E323" s="8" t="s">
        <v>11154</v>
      </c>
      <c r="F323" s="8" t="s">
        <v>2147</v>
      </c>
      <c r="G323" s="8" t="s">
        <v>2217</v>
      </c>
      <c r="H323" s="8" t="s">
        <v>2600</v>
      </c>
      <c r="I323" s="8" t="s">
        <v>2959</v>
      </c>
      <c r="J323" s="8" t="s">
        <v>2974</v>
      </c>
      <c r="K323" s="3" t="s">
        <v>12586</v>
      </c>
      <c r="L323" s="3" t="s">
        <v>12587</v>
      </c>
      <c r="M323" s="3" t="s">
        <v>12588</v>
      </c>
      <c r="N323" s="3" t="s">
        <v>12589</v>
      </c>
      <c r="O323" s="3" t="s">
        <v>12611</v>
      </c>
      <c r="P323" s="8" t="s">
        <v>2237</v>
      </c>
    </row>
    <row r="324" ht="12.75" customHeight="1">
      <c r="A324" s="8" t="s">
        <v>1777</v>
      </c>
      <c r="B324" s="8" t="s">
        <v>11158</v>
      </c>
      <c r="C324" s="8" t="s">
        <v>11162</v>
      </c>
      <c r="D324" s="3" t="s">
        <v>3</v>
      </c>
      <c r="E324" s="8" t="s">
        <v>11164</v>
      </c>
      <c r="F324" s="8" t="s">
        <v>2147</v>
      </c>
      <c r="G324" s="8" t="s">
        <v>2217</v>
      </c>
      <c r="H324" s="8" t="s">
        <v>2600</v>
      </c>
      <c r="I324" s="8" t="s">
        <v>2959</v>
      </c>
      <c r="J324" s="8" t="s">
        <v>2974</v>
      </c>
      <c r="K324" s="3" t="s">
        <v>12586</v>
      </c>
      <c r="L324" s="3" t="s">
        <v>12587</v>
      </c>
      <c r="M324" s="3" t="s">
        <v>12588</v>
      </c>
      <c r="N324" s="3" t="s">
        <v>12589</v>
      </c>
      <c r="O324" s="3" t="s">
        <v>12611</v>
      </c>
      <c r="P324" s="8" t="s">
        <v>2237</v>
      </c>
    </row>
    <row r="325" ht="12.75" customHeight="1">
      <c r="A325" s="8" t="s">
        <v>1763</v>
      </c>
      <c r="B325" s="8" t="s">
        <v>11244</v>
      </c>
      <c r="C325" s="8" t="s">
        <v>11250</v>
      </c>
      <c r="D325" s="3" t="s">
        <v>3</v>
      </c>
      <c r="E325" s="8" t="s">
        <v>11252</v>
      </c>
      <c r="F325" s="8" t="s">
        <v>2147</v>
      </c>
      <c r="G325" s="8" t="s">
        <v>2217</v>
      </c>
      <c r="H325" s="8" t="s">
        <v>2600</v>
      </c>
      <c r="I325" s="8" t="s">
        <v>2959</v>
      </c>
      <c r="J325" s="8" t="s">
        <v>2974</v>
      </c>
      <c r="K325" s="3" t="s">
        <v>12586</v>
      </c>
      <c r="L325" s="3" t="s">
        <v>12587</v>
      </c>
      <c r="M325" s="3" t="s">
        <v>12588</v>
      </c>
      <c r="N325" s="3" t="s">
        <v>12589</v>
      </c>
      <c r="O325" s="3" t="s">
        <v>12611</v>
      </c>
      <c r="P325" s="8" t="s">
        <v>2237</v>
      </c>
    </row>
    <row r="326" ht="12.75" customHeight="1">
      <c r="A326" s="8" t="s">
        <v>1757</v>
      </c>
      <c r="B326" s="8" t="s">
        <v>11276</v>
      </c>
      <c r="C326" s="8" t="s">
        <v>11280</v>
      </c>
      <c r="D326" s="3" t="s">
        <v>3</v>
      </c>
      <c r="E326" s="8" t="s">
        <v>11282</v>
      </c>
      <c r="F326" s="8" t="s">
        <v>2147</v>
      </c>
      <c r="G326" s="8" t="s">
        <v>2217</v>
      </c>
      <c r="H326" s="8" t="s">
        <v>2600</v>
      </c>
      <c r="I326" s="8" t="s">
        <v>2959</v>
      </c>
      <c r="J326" s="8" t="s">
        <v>2974</v>
      </c>
      <c r="K326" s="3" t="s">
        <v>12586</v>
      </c>
      <c r="L326" s="3" t="s">
        <v>12587</v>
      </c>
      <c r="M326" s="3" t="s">
        <v>12588</v>
      </c>
      <c r="N326" s="3" t="s">
        <v>12589</v>
      </c>
      <c r="O326" s="3" t="s">
        <v>12611</v>
      </c>
      <c r="P326" s="8" t="s">
        <v>2237</v>
      </c>
    </row>
    <row r="327" ht="12.75" customHeight="1">
      <c r="A327" s="8" t="s">
        <v>1755</v>
      </c>
      <c r="B327" s="8" t="s">
        <v>11286</v>
      </c>
      <c r="C327" s="8" t="s">
        <v>11291</v>
      </c>
      <c r="D327" s="3" t="s">
        <v>3</v>
      </c>
      <c r="E327" s="8" t="s">
        <v>11292</v>
      </c>
      <c r="F327" s="8" t="s">
        <v>2147</v>
      </c>
      <c r="G327" s="8" t="s">
        <v>2217</v>
      </c>
      <c r="H327" s="8" t="s">
        <v>2600</v>
      </c>
      <c r="I327" s="8" t="s">
        <v>2959</v>
      </c>
      <c r="J327" s="8" t="s">
        <v>2974</v>
      </c>
      <c r="K327" s="3" t="s">
        <v>12586</v>
      </c>
      <c r="L327" s="3" t="s">
        <v>12587</v>
      </c>
      <c r="M327" s="3" t="s">
        <v>12588</v>
      </c>
      <c r="N327" s="3" t="s">
        <v>12589</v>
      </c>
      <c r="O327" s="3" t="s">
        <v>12611</v>
      </c>
      <c r="P327" s="8" t="s">
        <v>2237</v>
      </c>
    </row>
    <row r="328" ht="12.75" customHeight="1">
      <c r="A328" s="8" t="s">
        <v>1739</v>
      </c>
      <c r="B328" s="8" t="s">
        <v>2135</v>
      </c>
      <c r="C328" s="8" t="s">
        <v>11356</v>
      </c>
      <c r="D328" s="3" t="s">
        <v>3</v>
      </c>
      <c r="E328" s="8" t="s">
        <v>11358</v>
      </c>
      <c r="F328" s="8" t="s">
        <v>2147</v>
      </c>
      <c r="G328" s="8" t="s">
        <v>2217</v>
      </c>
      <c r="H328" s="8" t="s">
        <v>2600</v>
      </c>
      <c r="I328" s="8" t="s">
        <v>2959</v>
      </c>
      <c r="J328" s="8" t="s">
        <v>2974</v>
      </c>
      <c r="K328" s="3" t="s">
        <v>12586</v>
      </c>
      <c r="L328" s="3" t="s">
        <v>12587</v>
      </c>
      <c r="M328" s="3" t="s">
        <v>12588</v>
      </c>
      <c r="N328" s="3" t="s">
        <v>12589</v>
      </c>
      <c r="O328" s="3" t="s">
        <v>12611</v>
      </c>
      <c r="P328" s="8" t="s">
        <v>2237</v>
      </c>
    </row>
    <row r="329" ht="12.75" customHeight="1">
      <c r="A329" s="8" t="s">
        <v>1718</v>
      </c>
      <c r="B329" s="8" t="s">
        <v>11479</v>
      </c>
      <c r="C329" s="8" t="s">
        <v>11481</v>
      </c>
      <c r="D329" s="3" t="s">
        <v>3</v>
      </c>
      <c r="E329" s="8" t="s">
        <v>11483</v>
      </c>
      <c r="F329" s="8" t="s">
        <v>2147</v>
      </c>
      <c r="G329" s="8" t="s">
        <v>2217</v>
      </c>
      <c r="H329" s="8" t="s">
        <v>2600</v>
      </c>
      <c r="I329" s="8" t="s">
        <v>2959</v>
      </c>
      <c r="J329" s="8" t="s">
        <v>2974</v>
      </c>
      <c r="K329" s="3" t="s">
        <v>12586</v>
      </c>
      <c r="L329" s="3" t="s">
        <v>12587</v>
      </c>
      <c r="M329" s="3" t="s">
        <v>12588</v>
      </c>
      <c r="N329" s="3" t="s">
        <v>12589</v>
      </c>
      <c r="O329" s="3" t="s">
        <v>12611</v>
      </c>
      <c r="P329" s="8" t="s">
        <v>2237</v>
      </c>
    </row>
    <row r="330" ht="12.75" customHeight="1">
      <c r="A330" s="8" t="s">
        <v>1712</v>
      </c>
      <c r="B330" s="8" t="s">
        <v>11507</v>
      </c>
      <c r="C330" s="8" t="s">
        <v>11512</v>
      </c>
      <c r="D330" s="3" t="s">
        <v>3</v>
      </c>
      <c r="E330" s="8" t="s">
        <v>11514</v>
      </c>
      <c r="F330" s="8" t="s">
        <v>2147</v>
      </c>
      <c r="G330" s="8" t="s">
        <v>2217</v>
      </c>
      <c r="H330" s="8" t="s">
        <v>2600</v>
      </c>
      <c r="I330" s="8" t="s">
        <v>2959</v>
      </c>
      <c r="J330" s="8" t="s">
        <v>2974</v>
      </c>
      <c r="K330" s="3" t="s">
        <v>12586</v>
      </c>
      <c r="L330" s="3" t="s">
        <v>12587</v>
      </c>
      <c r="M330" s="3" t="s">
        <v>12588</v>
      </c>
      <c r="N330" s="3" t="s">
        <v>12589</v>
      </c>
      <c r="O330" s="3" t="s">
        <v>12611</v>
      </c>
      <c r="P330" s="8" t="s">
        <v>2237</v>
      </c>
    </row>
    <row r="331" ht="12.75" customHeight="1">
      <c r="A331" s="8" t="s">
        <v>1696</v>
      </c>
      <c r="B331" s="8" t="s">
        <v>11588</v>
      </c>
      <c r="C331" s="8" t="s">
        <v>11592</v>
      </c>
      <c r="D331" s="3" t="s">
        <v>3</v>
      </c>
      <c r="E331" s="8" t="s">
        <v>11594</v>
      </c>
      <c r="F331" s="8" t="s">
        <v>2147</v>
      </c>
      <c r="G331" s="8" t="s">
        <v>2217</v>
      </c>
      <c r="H331" s="8" t="s">
        <v>2600</v>
      </c>
      <c r="I331" s="8" t="s">
        <v>2959</v>
      </c>
      <c r="J331" s="8" t="s">
        <v>2974</v>
      </c>
      <c r="K331" s="3" t="s">
        <v>12586</v>
      </c>
      <c r="L331" s="3" t="s">
        <v>12587</v>
      </c>
      <c r="M331" s="3" t="s">
        <v>12588</v>
      </c>
      <c r="N331" s="3" t="s">
        <v>12589</v>
      </c>
      <c r="O331" s="3" t="s">
        <v>12611</v>
      </c>
      <c r="P331" s="8" t="s">
        <v>2237</v>
      </c>
    </row>
    <row r="332" ht="12.75" customHeight="1">
      <c r="A332" s="8" t="s">
        <v>1686</v>
      </c>
      <c r="B332" s="8" t="s">
        <v>11656</v>
      </c>
      <c r="C332" s="8" t="s">
        <v>11660</v>
      </c>
      <c r="D332" s="3" t="s">
        <v>3</v>
      </c>
      <c r="E332" s="8" t="s">
        <v>11662</v>
      </c>
      <c r="F332" s="8" t="s">
        <v>2147</v>
      </c>
      <c r="G332" s="8" t="s">
        <v>2217</v>
      </c>
      <c r="H332" s="8" t="s">
        <v>2600</v>
      </c>
      <c r="I332" s="8" t="s">
        <v>2959</v>
      </c>
      <c r="J332" s="8" t="s">
        <v>2974</v>
      </c>
      <c r="K332" s="3" t="s">
        <v>12586</v>
      </c>
      <c r="L332" s="3" t="s">
        <v>12587</v>
      </c>
      <c r="M332" s="3" t="s">
        <v>12588</v>
      </c>
      <c r="N332" s="3" t="s">
        <v>12589</v>
      </c>
      <c r="O332" s="3" t="s">
        <v>12611</v>
      </c>
      <c r="P332" s="8" t="s">
        <v>2237</v>
      </c>
    </row>
    <row r="333" ht="12.75" customHeight="1">
      <c r="A333" s="8" t="s">
        <v>12306</v>
      </c>
      <c r="B333" s="8" t="s">
        <v>12309</v>
      </c>
      <c r="C333" s="8" t="s">
        <v>12315</v>
      </c>
      <c r="D333" s="3" t="s">
        <v>3</v>
      </c>
      <c r="E333" s="8" t="s">
        <v>12317</v>
      </c>
      <c r="F333" s="3" t="s">
        <v>2147</v>
      </c>
      <c r="G333" s="3" t="s">
        <v>2217</v>
      </c>
      <c r="H333" s="3" t="s">
        <v>2600</v>
      </c>
      <c r="I333" s="3" t="s">
        <v>2959</v>
      </c>
      <c r="J333" s="3" t="s">
        <v>2974</v>
      </c>
      <c r="K333" s="3" t="s">
        <v>12586</v>
      </c>
      <c r="L333" s="3" t="s">
        <v>12587</v>
      </c>
      <c r="M333" s="3" t="s">
        <v>12588</v>
      </c>
      <c r="N333" s="3" t="s">
        <v>12589</v>
      </c>
      <c r="O333" s="3" t="s">
        <v>12611</v>
      </c>
      <c r="P333" s="3" t="s">
        <v>2237</v>
      </c>
    </row>
    <row r="334" ht="12.75" customHeight="1">
      <c r="A334" s="8" t="s">
        <v>12552</v>
      </c>
      <c r="B334" s="8" t="s">
        <v>12555</v>
      </c>
      <c r="C334" s="8" t="s">
        <v>12559</v>
      </c>
      <c r="D334" s="3" t="s">
        <v>3</v>
      </c>
      <c r="E334" s="8" t="s">
        <v>12561</v>
      </c>
      <c r="F334" s="3" t="s">
        <v>2147</v>
      </c>
      <c r="G334" s="3" t="s">
        <v>2217</v>
      </c>
      <c r="H334" s="3" t="s">
        <v>2600</v>
      </c>
      <c r="I334" s="3" t="s">
        <v>2959</v>
      </c>
      <c r="J334" s="3" t="s">
        <v>2974</v>
      </c>
      <c r="K334" s="3" t="s">
        <v>12586</v>
      </c>
      <c r="L334" s="3" t="s">
        <v>12587</v>
      </c>
      <c r="M334" s="3" t="s">
        <v>12588</v>
      </c>
      <c r="N334" s="3" t="s">
        <v>12589</v>
      </c>
      <c r="O334" s="3" t="s">
        <v>12611</v>
      </c>
      <c r="P334" s="3" t="s">
        <v>2237</v>
      </c>
    </row>
    <row r="335" ht="12.75" customHeight="1">
      <c r="A335" s="8" t="s">
        <v>1759</v>
      </c>
      <c r="B335" s="8" t="s">
        <v>11256</v>
      </c>
      <c r="C335" s="8" t="s">
        <v>11259</v>
      </c>
      <c r="D335" s="3" t="s">
        <v>3</v>
      </c>
      <c r="E335" s="8" t="s">
        <v>11261</v>
      </c>
      <c r="F335" s="8" t="s">
        <v>2147</v>
      </c>
      <c r="G335" s="8" t="s">
        <v>2217</v>
      </c>
      <c r="H335" s="8" t="s">
        <v>2600</v>
      </c>
      <c r="I335" s="8" t="s">
        <v>2959</v>
      </c>
      <c r="J335" s="8" t="s">
        <v>2974</v>
      </c>
      <c r="K335" s="3" t="s">
        <v>12586</v>
      </c>
      <c r="L335" s="3" t="s">
        <v>12587</v>
      </c>
      <c r="M335" s="3" t="s">
        <v>12588</v>
      </c>
      <c r="N335" s="3" t="s">
        <v>12589</v>
      </c>
      <c r="O335" s="3" t="s">
        <v>12609</v>
      </c>
      <c r="P335" s="8" t="s">
        <v>2234</v>
      </c>
    </row>
    <row r="336" ht="12.75" customHeight="1">
      <c r="A336" s="8" t="s">
        <v>1747</v>
      </c>
      <c r="B336" s="8" t="s">
        <v>11297</v>
      </c>
      <c r="C336" s="8" t="s">
        <v>11305</v>
      </c>
      <c r="D336" s="3" t="s">
        <v>3</v>
      </c>
      <c r="E336" s="8" t="s">
        <v>11308</v>
      </c>
      <c r="F336" s="8" t="s">
        <v>2147</v>
      </c>
      <c r="G336" s="8" t="s">
        <v>2217</v>
      </c>
      <c r="H336" s="8" t="s">
        <v>2600</v>
      </c>
      <c r="I336" s="8" t="s">
        <v>2959</v>
      </c>
      <c r="J336" s="8" t="s">
        <v>2974</v>
      </c>
      <c r="K336" s="3" t="s">
        <v>12586</v>
      </c>
      <c r="L336" s="3" t="s">
        <v>12587</v>
      </c>
      <c r="M336" s="3" t="s">
        <v>12588</v>
      </c>
      <c r="N336" s="3" t="s">
        <v>12589</v>
      </c>
      <c r="O336" s="3" t="s">
        <v>12609</v>
      </c>
      <c r="P336" s="8" t="s">
        <v>2234</v>
      </c>
    </row>
    <row r="337" ht="12.75" customHeight="1">
      <c r="A337" s="8" t="s">
        <v>1708</v>
      </c>
      <c r="B337" s="8" t="s">
        <v>11541</v>
      </c>
      <c r="C337" s="8" t="s">
        <v>11544</v>
      </c>
      <c r="D337" s="3" t="s">
        <v>3</v>
      </c>
      <c r="E337" s="8" t="s">
        <v>11546</v>
      </c>
      <c r="F337" s="8" t="s">
        <v>2147</v>
      </c>
      <c r="G337" s="8" t="s">
        <v>2217</v>
      </c>
      <c r="H337" s="8" t="s">
        <v>2600</v>
      </c>
      <c r="I337" s="8" t="s">
        <v>2959</v>
      </c>
      <c r="J337" s="8" t="s">
        <v>2974</v>
      </c>
      <c r="K337" s="3" t="s">
        <v>12586</v>
      </c>
      <c r="L337" s="3" t="s">
        <v>12587</v>
      </c>
      <c r="M337" s="3" t="s">
        <v>12588</v>
      </c>
      <c r="N337" s="3" t="s">
        <v>12589</v>
      </c>
      <c r="O337" s="3" t="s">
        <v>12609</v>
      </c>
      <c r="P337" s="8" t="s">
        <v>2234</v>
      </c>
    </row>
    <row r="338" ht="12.75" customHeight="1">
      <c r="A338" s="8" t="s">
        <v>1706</v>
      </c>
      <c r="B338" s="8" t="s">
        <v>11562</v>
      </c>
      <c r="C338" s="8" t="s">
        <v>11566</v>
      </c>
      <c r="D338" s="3" t="s">
        <v>3</v>
      </c>
      <c r="E338" s="8" t="s">
        <v>11568</v>
      </c>
      <c r="F338" s="8" t="s">
        <v>2147</v>
      </c>
      <c r="G338" s="8" t="s">
        <v>2217</v>
      </c>
      <c r="H338" s="8" t="s">
        <v>2600</v>
      </c>
      <c r="I338" s="8" t="s">
        <v>2959</v>
      </c>
      <c r="J338" s="8" t="s">
        <v>2974</v>
      </c>
      <c r="K338" s="3" t="s">
        <v>12586</v>
      </c>
      <c r="L338" s="3" t="s">
        <v>12587</v>
      </c>
      <c r="M338" s="3" t="s">
        <v>12588</v>
      </c>
      <c r="N338" s="3" t="s">
        <v>12589</v>
      </c>
      <c r="O338" s="3" t="s">
        <v>12609</v>
      </c>
      <c r="P338" s="8" t="s">
        <v>2234</v>
      </c>
    </row>
    <row r="339" ht="12.75" customHeight="1">
      <c r="A339" s="8" t="s">
        <v>1704</v>
      </c>
      <c r="B339" s="8" t="s">
        <v>11580</v>
      </c>
      <c r="C339" s="8" t="s">
        <v>11583</v>
      </c>
      <c r="D339" s="3" t="s">
        <v>3</v>
      </c>
      <c r="E339" s="8" t="s">
        <v>11585</v>
      </c>
      <c r="F339" s="8" t="s">
        <v>2147</v>
      </c>
      <c r="G339" s="8" t="s">
        <v>2217</v>
      </c>
      <c r="H339" s="8" t="s">
        <v>2600</v>
      </c>
      <c r="I339" s="8" t="s">
        <v>2959</v>
      </c>
      <c r="J339" s="8" t="s">
        <v>2974</v>
      </c>
      <c r="K339" s="3" t="s">
        <v>12586</v>
      </c>
      <c r="L339" s="3" t="s">
        <v>12587</v>
      </c>
      <c r="M339" s="3" t="s">
        <v>12588</v>
      </c>
      <c r="N339" s="3" t="s">
        <v>12589</v>
      </c>
      <c r="O339" s="3" t="s">
        <v>12609</v>
      </c>
      <c r="P339" s="8" t="s">
        <v>2234</v>
      </c>
    </row>
    <row r="340" ht="12.75" customHeight="1">
      <c r="A340" s="8" t="s">
        <v>12496</v>
      </c>
      <c r="B340" s="8" t="s">
        <v>12500</v>
      </c>
      <c r="C340" s="8" t="s">
        <v>2135</v>
      </c>
      <c r="D340" s="3" t="s">
        <v>3</v>
      </c>
      <c r="E340" s="8" t="s">
        <v>12507</v>
      </c>
      <c r="F340" s="3" t="s">
        <v>2147</v>
      </c>
      <c r="G340" s="3" t="s">
        <v>2217</v>
      </c>
      <c r="H340" s="3" t="s">
        <v>2600</v>
      </c>
      <c r="I340" s="3" t="s">
        <v>2959</v>
      </c>
      <c r="J340" s="3" t="s">
        <v>2974</v>
      </c>
      <c r="K340" s="3" t="s">
        <v>12586</v>
      </c>
      <c r="L340" s="3" t="s">
        <v>12587</v>
      </c>
      <c r="M340" s="3" t="s">
        <v>12588</v>
      </c>
      <c r="N340" s="3" t="s">
        <v>12589</v>
      </c>
      <c r="O340" s="3" t="s">
        <v>12609</v>
      </c>
      <c r="P340" s="3" t="s">
        <v>2234</v>
      </c>
    </row>
    <row r="341" ht="12.75" customHeight="1">
      <c r="A341" s="8" t="s">
        <v>1688</v>
      </c>
      <c r="B341" s="8" t="s">
        <v>11638</v>
      </c>
      <c r="C341" s="8" t="s">
        <v>11645</v>
      </c>
      <c r="D341" s="3" t="s">
        <v>3</v>
      </c>
      <c r="E341" s="8" t="s">
        <v>11649</v>
      </c>
      <c r="F341" s="8" t="s">
        <v>2147</v>
      </c>
      <c r="G341" s="8" t="s">
        <v>2217</v>
      </c>
      <c r="H341" s="8" t="s">
        <v>2600</v>
      </c>
      <c r="I341" s="8" t="s">
        <v>2959</v>
      </c>
      <c r="J341" s="8" t="s">
        <v>2974</v>
      </c>
      <c r="K341" s="3" t="s">
        <v>12586</v>
      </c>
      <c r="L341" s="3" t="s">
        <v>12587</v>
      </c>
      <c r="M341" s="3" t="s">
        <v>12588</v>
      </c>
      <c r="N341" s="3" t="s">
        <v>12589</v>
      </c>
      <c r="O341" s="3" t="s">
        <v>12644</v>
      </c>
      <c r="P341" s="8" t="s">
        <v>2796</v>
      </c>
    </row>
    <row r="342" ht="12.75" customHeight="1">
      <c r="A342" s="8" t="s">
        <v>1863</v>
      </c>
      <c r="B342" s="8" t="s">
        <v>10468</v>
      </c>
      <c r="C342" s="8" t="s">
        <v>10479</v>
      </c>
      <c r="D342" s="3" t="s">
        <v>3</v>
      </c>
      <c r="E342" s="8" t="s">
        <v>10481</v>
      </c>
      <c r="F342" s="8" t="s">
        <v>2147</v>
      </c>
      <c r="G342" s="8" t="s">
        <v>2217</v>
      </c>
      <c r="H342" s="8" t="s">
        <v>2600</v>
      </c>
      <c r="I342" s="8" t="s">
        <v>2959</v>
      </c>
      <c r="J342" s="8" t="s">
        <v>2974</v>
      </c>
      <c r="K342" s="3" t="s">
        <v>12586</v>
      </c>
      <c r="L342" s="3" t="s">
        <v>12587</v>
      </c>
      <c r="M342" s="3" t="s">
        <v>12588</v>
      </c>
      <c r="N342" s="3" t="s">
        <v>12589</v>
      </c>
      <c r="O342" s="3" t="s">
        <v>12594</v>
      </c>
      <c r="P342" s="8" t="s">
        <v>2155</v>
      </c>
    </row>
    <row r="343" ht="12.75" customHeight="1">
      <c r="A343" s="8" t="s">
        <v>1710</v>
      </c>
      <c r="B343" s="8" t="s">
        <v>11529</v>
      </c>
      <c r="C343" s="8" t="s">
        <v>11535</v>
      </c>
      <c r="D343" s="3" t="s">
        <v>3</v>
      </c>
      <c r="E343" s="8" t="s">
        <v>11537</v>
      </c>
      <c r="F343" s="8" t="s">
        <v>2147</v>
      </c>
      <c r="G343" s="8" t="s">
        <v>2217</v>
      </c>
      <c r="H343" s="8" t="s">
        <v>2600</v>
      </c>
      <c r="I343" s="8" t="s">
        <v>2959</v>
      </c>
      <c r="J343" s="8" t="s">
        <v>2974</v>
      </c>
      <c r="K343" s="3" t="s">
        <v>12586</v>
      </c>
      <c r="L343" s="3" t="s">
        <v>12587</v>
      </c>
      <c r="M343" s="3" t="s">
        <v>12588</v>
      </c>
      <c r="N343" s="3" t="s">
        <v>12589</v>
      </c>
      <c r="O343" s="3" t="s">
        <v>12594</v>
      </c>
      <c r="P343" s="8" t="s">
        <v>2155</v>
      </c>
    </row>
    <row r="344" ht="12.75" customHeight="1">
      <c r="A344" s="8" t="s">
        <v>1702</v>
      </c>
      <c r="B344" s="8" t="s">
        <v>11549</v>
      </c>
      <c r="C344" s="8" t="s">
        <v>2135</v>
      </c>
      <c r="D344" s="3" t="s">
        <v>3</v>
      </c>
      <c r="E344" s="8" t="s">
        <v>11558</v>
      </c>
      <c r="F344" s="8" t="s">
        <v>2147</v>
      </c>
      <c r="G344" s="8" t="s">
        <v>2217</v>
      </c>
      <c r="H344" s="8" t="s">
        <v>2600</v>
      </c>
      <c r="I344" s="8" t="s">
        <v>2959</v>
      </c>
      <c r="J344" s="8" t="s">
        <v>2974</v>
      </c>
      <c r="K344" s="3" t="s">
        <v>12586</v>
      </c>
      <c r="L344" s="3" t="s">
        <v>12587</v>
      </c>
      <c r="M344" s="3" t="s">
        <v>12588</v>
      </c>
      <c r="N344" s="3" t="s">
        <v>12589</v>
      </c>
      <c r="O344" s="3" t="s">
        <v>12594</v>
      </c>
      <c r="P344" s="8" t="s">
        <v>2155</v>
      </c>
    </row>
    <row r="345" ht="12.75" customHeight="1">
      <c r="A345" s="8" t="s">
        <v>12258</v>
      </c>
      <c r="B345" s="8" t="s">
        <v>2135</v>
      </c>
      <c r="C345" s="8" t="s">
        <v>12263</v>
      </c>
      <c r="D345" s="3" t="s">
        <v>3</v>
      </c>
      <c r="E345" s="8" t="s">
        <v>12265</v>
      </c>
      <c r="F345" s="3" t="s">
        <v>2147</v>
      </c>
      <c r="G345" s="3" t="s">
        <v>2217</v>
      </c>
      <c r="H345" s="3" t="s">
        <v>2600</v>
      </c>
      <c r="I345" s="3" t="s">
        <v>2959</v>
      </c>
      <c r="J345" s="3" t="s">
        <v>2974</v>
      </c>
      <c r="K345" s="3" t="s">
        <v>12586</v>
      </c>
      <c r="L345" s="3" t="s">
        <v>12587</v>
      </c>
      <c r="M345" s="3" t="s">
        <v>12588</v>
      </c>
      <c r="N345" s="3" t="s">
        <v>12589</v>
      </c>
      <c r="O345" s="3" t="s">
        <v>12594</v>
      </c>
      <c r="P345" s="3" t="s">
        <v>2155</v>
      </c>
    </row>
    <row r="346" ht="12.75" customHeight="1">
      <c r="A346" s="8" t="s">
        <v>1775</v>
      </c>
      <c r="B346" s="8" t="s">
        <v>11195</v>
      </c>
      <c r="C346" s="8" t="s">
        <v>11203</v>
      </c>
      <c r="D346" s="3" t="s">
        <v>3</v>
      </c>
      <c r="E346" s="8" t="s">
        <v>11205</v>
      </c>
      <c r="F346" s="8" t="s">
        <v>2147</v>
      </c>
      <c r="G346" s="8" t="s">
        <v>2217</v>
      </c>
      <c r="H346" s="8" t="s">
        <v>2600</v>
      </c>
      <c r="I346" s="8" t="s">
        <v>2959</v>
      </c>
      <c r="J346" s="8" t="s">
        <v>2974</v>
      </c>
      <c r="K346" s="3" t="s">
        <v>12586</v>
      </c>
      <c r="L346" s="3" t="s">
        <v>12587</v>
      </c>
      <c r="M346" s="3" t="s">
        <v>12588</v>
      </c>
      <c r="N346" s="3" t="s">
        <v>12589</v>
      </c>
      <c r="O346" s="3" t="s">
        <v>12599</v>
      </c>
      <c r="P346" s="8" t="s">
        <v>2256</v>
      </c>
    </row>
    <row r="347" ht="12.75" customHeight="1">
      <c r="A347" s="8" t="s">
        <v>1781</v>
      </c>
      <c r="B347" s="8" t="s">
        <v>11172</v>
      </c>
      <c r="C347" s="8" t="s">
        <v>11177</v>
      </c>
      <c r="D347" s="3" t="s">
        <v>3</v>
      </c>
      <c r="E347" s="8" t="s">
        <v>11179</v>
      </c>
      <c r="F347" s="8" t="s">
        <v>2147</v>
      </c>
      <c r="G347" s="8" t="s">
        <v>2217</v>
      </c>
      <c r="I347" s="8" t="s">
        <v>2959</v>
      </c>
      <c r="J347" s="8" t="s">
        <v>2974</v>
      </c>
      <c r="K347" s="3" t="s">
        <v>12586</v>
      </c>
      <c r="L347" s="3" t="s">
        <v>12587</v>
      </c>
      <c r="M347" s="3" t="s">
        <v>12588</v>
      </c>
      <c r="N347" s="3" t="s">
        <v>12589</v>
      </c>
      <c r="O347" s="3" t="s">
        <v>12609</v>
      </c>
      <c r="P347" s="8" t="s">
        <v>2234</v>
      </c>
    </row>
    <row r="348" ht="12.75" customHeight="1">
      <c r="A348" s="8" t="s">
        <v>1743</v>
      </c>
      <c r="B348" s="8" t="s">
        <v>11363</v>
      </c>
      <c r="C348" s="8" t="s">
        <v>11373</v>
      </c>
      <c r="D348" s="3" t="s">
        <v>3</v>
      </c>
      <c r="E348" s="8" t="s">
        <v>11376</v>
      </c>
      <c r="F348" s="8" t="s">
        <v>2142</v>
      </c>
      <c r="I348" s="8" t="s">
        <v>2959</v>
      </c>
      <c r="J348" s="8" t="s">
        <v>2974</v>
      </c>
      <c r="K348" s="3" t="s">
        <v>12586</v>
      </c>
      <c r="L348" s="3" t="s">
        <v>12587</v>
      </c>
      <c r="M348" s="3" t="s">
        <v>12588</v>
      </c>
      <c r="N348" s="3" t="s">
        <v>12589</v>
      </c>
      <c r="O348" s="3" t="s">
        <v>12645</v>
      </c>
      <c r="P348" s="8" t="s">
        <v>2932</v>
      </c>
    </row>
    <row r="349" ht="12.75" customHeight="1">
      <c r="A349" s="8" t="s">
        <v>1854</v>
      </c>
      <c r="B349" s="8" t="s">
        <v>10577</v>
      </c>
      <c r="C349" s="8" t="s">
        <v>10588</v>
      </c>
      <c r="D349" s="3" t="s">
        <v>3</v>
      </c>
      <c r="E349" s="8" t="s">
        <v>10590</v>
      </c>
      <c r="F349" s="8" t="s">
        <v>2142</v>
      </c>
      <c r="I349" s="8" t="s">
        <v>2959</v>
      </c>
      <c r="J349" s="8" t="s">
        <v>2974</v>
      </c>
      <c r="K349" s="3" t="s">
        <v>12586</v>
      </c>
      <c r="L349" s="3" t="s">
        <v>12587</v>
      </c>
      <c r="M349" s="3" t="s">
        <v>12588</v>
      </c>
      <c r="N349" s="3" t="s">
        <v>12589</v>
      </c>
      <c r="O349" s="3" t="s">
        <v>12590</v>
      </c>
      <c r="P349" s="8" t="s">
        <v>2143</v>
      </c>
    </row>
    <row r="350" ht="12.75" customHeight="1">
      <c r="A350" s="8" t="s">
        <v>1733</v>
      </c>
      <c r="B350" s="8" t="s">
        <v>11436</v>
      </c>
      <c r="C350" s="8" t="s">
        <v>11441</v>
      </c>
      <c r="D350" s="3" t="s">
        <v>3</v>
      </c>
      <c r="E350" s="8" t="s">
        <v>11443</v>
      </c>
      <c r="F350" s="8" t="s">
        <v>2142</v>
      </c>
      <c r="I350" s="8" t="s">
        <v>2959</v>
      </c>
      <c r="J350" s="8" t="s">
        <v>2974</v>
      </c>
      <c r="K350" s="3" t="s">
        <v>12586</v>
      </c>
      <c r="L350" s="3" t="s">
        <v>12587</v>
      </c>
      <c r="M350" s="3" t="s">
        <v>12588</v>
      </c>
      <c r="N350" s="3" t="s">
        <v>12589</v>
      </c>
      <c r="O350" s="3" t="s">
        <v>12590</v>
      </c>
      <c r="P350" s="8" t="s">
        <v>2143</v>
      </c>
    </row>
    <row r="351" ht="12.75" customHeight="1">
      <c r="A351" s="8" t="s">
        <v>1720</v>
      </c>
      <c r="B351" s="8" t="s">
        <v>11486</v>
      </c>
      <c r="C351" s="8" t="s">
        <v>2135</v>
      </c>
      <c r="D351" s="3" t="s">
        <v>3</v>
      </c>
      <c r="E351" s="8" t="s">
        <v>11494</v>
      </c>
      <c r="F351" s="8" t="s">
        <v>2142</v>
      </c>
      <c r="I351" s="8" t="s">
        <v>2959</v>
      </c>
      <c r="J351" s="8" t="s">
        <v>2974</v>
      </c>
      <c r="K351" s="3" t="s">
        <v>12586</v>
      </c>
      <c r="L351" s="3" t="s">
        <v>12587</v>
      </c>
      <c r="M351" s="3" t="s">
        <v>12588</v>
      </c>
      <c r="N351" s="3" t="s">
        <v>12589</v>
      </c>
      <c r="O351" s="3" t="s">
        <v>12590</v>
      </c>
      <c r="P351" s="8" t="s">
        <v>2143</v>
      </c>
    </row>
    <row r="352" ht="12.75" customHeight="1">
      <c r="A352" s="8" t="s">
        <v>12336</v>
      </c>
      <c r="B352" s="8" t="s">
        <v>12339</v>
      </c>
      <c r="C352" s="8" t="s">
        <v>12348</v>
      </c>
      <c r="D352" s="3" t="s">
        <v>3</v>
      </c>
      <c r="E352" s="8" t="s">
        <v>12352</v>
      </c>
      <c r="F352" s="3" t="s">
        <v>2142</v>
      </c>
      <c r="I352" s="3" t="s">
        <v>3172</v>
      </c>
      <c r="J352" s="3" t="s">
        <v>3171</v>
      </c>
      <c r="K352" s="3" t="s">
        <v>12586</v>
      </c>
      <c r="L352" s="3" t="s">
        <v>12587</v>
      </c>
      <c r="M352" s="3" t="s">
        <v>12588</v>
      </c>
      <c r="N352" s="3" t="s">
        <v>12589</v>
      </c>
      <c r="O352" s="3" t="s">
        <v>12594</v>
      </c>
      <c r="P352" s="3" t="s">
        <v>2168</v>
      </c>
    </row>
    <row r="353" ht="12.75" customHeight="1">
      <c r="A353" s="8" t="s">
        <v>1287</v>
      </c>
      <c r="B353" s="8" t="s">
        <v>8138</v>
      </c>
      <c r="C353" s="8" t="s">
        <v>8154</v>
      </c>
      <c r="D353" s="3" t="s">
        <v>3</v>
      </c>
      <c r="E353" s="8" t="s">
        <v>8156</v>
      </c>
      <c r="F353" s="8" t="s">
        <v>2283</v>
      </c>
      <c r="G353" s="3" t="s">
        <v>12618</v>
      </c>
      <c r="H353" s="8" t="s">
        <v>2493</v>
      </c>
      <c r="I353" s="8" t="s">
        <v>2992</v>
      </c>
      <c r="J353" s="8" t="s">
        <v>3118</v>
      </c>
      <c r="K353" s="3" t="s">
        <v>12586</v>
      </c>
      <c r="L353" s="3" t="s">
        <v>12587</v>
      </c>
      <c r="M353" s="3" t="s">
        <v>12588</v>
      </c>
      <c r="N353" s="3" t="s">
        <v>12589</v>
      </c>
      <c r="O353" s="3" t="s">
        <v>12598</v>
      </c>
      <c r="P353" s="8" t="s">
        <v>2361</v>
      </c>
    </row>
    <row r="354" ht="12.75" customHeight="1">
      <c r="A354" s="8" t="s">
        <v>1327</v>
      </c>
      <c r="B354" s="8" t="s">
        <v>7877</v>
      </c>
      <c r="C354" s="8" t="s">
        <v>7885</v>
      </c>
      <c r="D354" s="3" t="s">
        <v>3</v>
      </c>
      <c r="E354" s="8" t="s">
        <v>7886</v>
      </c>
      <c r="F354" s="8" t="s">
        <v>2147</v>
      </c>
      <c r="G354" s="8" t="s">
        <v>2217</v>
      </c>
      <c r="I354" s="8" t="s">
        <v>2992</v>
      </c>
      <c r="J354" s="8" t="s">
        <v>3118</v>
      </c>
      <c r="K354" s="3" t="s">
        <v>12586</v>
      </c>
      <c r="L354" s="3" t="s">
        <v>12587</v>
      </c>
      <c r="M354" s="3" t="s">
        <v>12588</v>
      </c>
      <c r="N354" s="3" t="s">
        <v>12589</v>
      </c>
      <c r="O354" s="3" t="s">
        <v>12600</v>
      </c>
      <c r="P354" s="8" t="s">
        <v>2700</v>
      </c>
    </row>
    <row r="355" ht="12.75" customHeight="1">
      <c r="A355" s="8" t="s">
        <v>1218</v>
      </c>
      <c r="B355" s="8" t="s">
        <v>8713</v>
      </c>
      <c r="C355" s="8" t="s">
        <v>8723</v>
      </c>
      <c r="D355" s="3" t="s">
        <v>3</v>
      </c>
      <c r="E355" s="8" t="s">
        <v>8725</v>
      </c>
      <c r="F355" s="8" t="s">
        <v>2142</v>
      </c>
      <c r="I355" s="8" t="s">
        <v>2992</v>
      </c>
      <c r="J355" s="8" t="s">
        <v>3118</v>
      </c>
      <c r="K355" s="3" t="s">
        <v>12586</v>
      </c>
      <c r="L355" s="3" t="s">
        <v>12587</v>
      </c>
      <c r="M355" s="3" t="s">
        <v>12588</v>
      </c>
      <c r="N355" s="3" t="s">
        <v>12589</v>
      </c>
      <c r="O355" s="3" t="s">
        <v>12594</v>
      </c>
      <c r="P355" s="8" t="s">
        <v>2168</v>
      </c>
    </row>
    <row r="356" ht="12.75" customHeight="1">
      <c r="A356" s="8" t="s">
        <v>1136</v>
      </c>
      <c r="B356" s="8" t="s">
        <v>9299</v>
      </c>
      <c r="C356" s="8" t="s">
        <v>2135</v>
      </c>
      <c r="D356" s="3" t="s">
        <v>3</v>
      </c>
      <c r="E356" s="8" t="s">
        <v>9307</v>
      </c>
      <c r="F356" s="8" t="s">
        <v>2142</v>
      </c>
      <c r="I356" s="8" t="s">
        <v>2992</v>
      </c>
      <c r="J356" s="8" t="s">
        <v>3118</v>
      </c>
      <c r="K356" s="3" t="s">
        <v>12586</v>
      </c>
      <c r="L356" s="3" t="s">
        <v>12587</v>
      </c>
      <c r="M356" s="3" t="s">
        <v>12588</v>
      </c>
      <c r="N356" s="3" t="s">
        <v>12589</v>
      </c>
      <c r="O356" s="3" t="s">
        <v>12594</v>
      </c>
      <c r="P356" s="8" t="s">
        <v>2168</v>
      </c>
    </row>
    <row r="357" ht="12.75" customHeight="1">
      <c r="A357" s="8" t="s">
        <v>1069</v>
      </c>
      <c r="B357" s="8" t="s">
        <v>7549</v>
      </c>
      <c r="C357" s="8" t="s">
        <v>7558</v>
      </c>
      <c r="D357" s="3" t="s">
        <v>3</v>
      </c>
      <c r="E357" s="8" t="s">
        <v>7560</v>
      </c>
      <c r="F357" s="8" t="s">
        <v>2142</v>
      </c>
      <c r="I357" s="8" t="s">
        <v>3170</v>
      </c>
      <c r="J357" s="8" t="s">
        <v>3169</v>
      </c>
      <c r="K357" s="3" t="s">
        <v>12586</v>
      </c>
      <c r="L357" s="3" t="s">
        <v>12587</v>
      </c>
      <c r="M357" s="3" t="s">
        <v>12588</v>
      </c>
      <c r="N357" s="3" t="s">
        <v>12589</v>
      </c>
      <c r="O357" s="3" t="s">
        <v>12594</v>
      </c>
      <c r="P357" s="8" t="s">
        <v>2168</v>
      </c>
    </row>
    <row r="358" ht="12.75" customHeight="1">
      <c r="A358" s="8" t="s">
        <v>1184</v>
      </c>
      <c r="B358" s="8" t="s">
        <v>8982</v>
      </c>
      <c r="C358" s="8" t="s">
        <v>8989</v>
      </c>
      <c r="D358" s="3" t="s">
        <v>3</v>
      </c>
      <c r="E358" s="8" t="s">
        <v>8991</v>
      </c>
      <c r="F358" s="8" t="s">
        <v>2147</v>
      </c>
      <c r="G358" s="8" t="s">
        <v>2217</v>
      </c>
      <c r="H358" s="8" t="s">
        <v>2216</v>
      </c>
      <c r="I358" s="8" t="s">
        <v>2992</v>
      </c>
      <c r="J358" s="8" t="s">
        <v>3190</v>
      </c>
      <c r="K358" s="3" t="s">
        <v>12586</v>
      </c>
      <c r="L358" s="3" t="s">
        <v>12587</v>
      </c>
      <c r="M358" s="3" t="s">
        <v>12588</v>
      </c>
      <c r="N358" s="3" t="s">
        <v>12589</v>
      </c>
      <c r="O358" s="3" t="s">
        <v>12594</v>
      </c>
      <c r="P358" s="8" t="s">
        <v>2155</v>
      </c>
    </row>
    <row r="359" ht="12.75" customHeight="1">
      <c r="A359" s="8" t="s">
        <v>1117</v>
      </c>
      <c r="B359" s="8" t="s">
        <v>7725</v>
      </c>
      <c r="C359" s="8" t="s">
        <v>2135</v>
      </c>
      <c r="D359" s="3" t="s">
        <v>3</v>
      </c>
      <c r="E359" s="8" t="s">
        <v>7731</v>
      </c>
      <c r="F359" s="8" t="s">
        <v>2142</v>
      </c>
      <c r="G359" s="3" t="s">
        <v>12585</v>
      </c>
      <c r="H359" s="8" t="s">
        <v>2497</v>
      </c>
      <c r="I359" s="8" t="s">
        <v>3175</v>
      </c>
      <c r="J359" s="8" t="s">
        <v>3174</v>
      </c>
      <c r="K359" s="3" t="s">
        <v>12586</v>
      </c>
      <c r="L359" s="3" t="s">
        <v>12587</v>
      </c>
      <c r="M359" s="3" t="s">
        <v>12588</v>
      </c>
      <c r="N359" s="3" t="s">
        <v>12589</v>
      </c>
      <c r="O359" s="3" t="s">
        <v>12594</v>
      </c>
      <c r="P359" s="8" t="s">
        <v>2168</v>
      </c>
    </row>
    <row r="360" ht="12.75" customHeight="1">
      <c r="A360" s="8" t="s">
        <v>1132</v>
      </c>
      <c r="B360" s="8" t="s">
        <v>9312</v>
      </c>
      <c r="C360" s="8" t="s">
        <v>2135</v>
      </c>
      <c r="D360" s="3" t="s">
        <v>3</v>
      </c>
      <c r="E360" s="8" t="s">
        <v>9320</v>
      </c>
      <c r="F360" s="8" t="s">
        <v>2142</v>
      </c>
      <c r="G360" s="3" t="s">
        <v>12620</v>
      </c>
      <c r="H360" s="8" t="s">
        <v>2163</v>
      </c>
      <c r="I360" s="8" t="s">
        <v>2992</v>
      </c>
      <c r="J360" s="8" t="s">
        <v>3010</v>
      </c>
      <c r="K360" s="3" t="s">
        <v>12586</v>
      </c>
      <c r="L360" s="3" t="s">
        <v>12587</v>
      </c>
      <c r="M360" s="3" t="s">
        <v>12588</v>
      </c>
      <c r="N360" s="3" t="s">
        <v>12589</v>
      </c>
      <c r="O360" s="3" t="s">
        <v>12646</v>
      </c>
      <c r="P360" s="8" t="s">
        <v>2170</v>
      </c>
    </row>
    <row r="361" ht="12.75" customHeight="1">
      <c r="A361" s="8" t="s">
        <v>1166</v>
      </c>
      <c r="B361" s="8" t="s">
        <v>9096</v>
      </c>
      <c r="C361" s="8" t="s">
        <v>9103</v>
      </c>
      <c r="D361" s="3" t="s">
        <v>3</v>
      </c>
      <c r="E361" s="8" t="s">
        <v>9105</v>
      </c>
      <c r="F361" s="8" t="s">
        <v>2142</v>
      </c>
      <c r="G361" s="3" t="s">
        <v>12620</v>
      </c>
      <c r="H361" s="8" t="s">
        <v>2163</v>
      </c>
      <c r="I361" s="8" t="s">
        <v>2992</v>
      </c>
      <c r="J361" s="8" t="s">
        <v>3010</v>
      </c>
      <c r="K361" s="3" t="s">
        <v>12586</v>
      </c>
      <c r="L361" s="3" t="s">
        <v>12587</v>
      </c>
      <c r="M361" s="3" t="s">
        <v>12588</v>
      </c>
      <c r="N361" s="3" t="s">
        <v>12589</v>
      </c>
      <c r="O361" s="3" t="s">
        <v>12594</v>
      </c>
      <c r="P361" s="8" t="s">
        <v>2173</v>
      </c>
    </row>
    <row r="362" ht="12.75" customHeight="1">
      <c r="A362" s="8" t="s">
        <v>1176</v>
      </c>
      <c r="B362" s="8" t="s">
        <v>9034</v>
      </c>
      <c r="C362" s="8" t="s">
        <v>2135</v>
      </c>
      <c r="D362" s="3" t="s">
        <v>3</v>
      </c>
      <c r="E362" s="8" t="s">
        <v>9042</v>
      </c>
      <c r="F362" s="8" t="s">
        <v>2142</v>
      </c>
      <c r="G362" s="3" t="s">
        <v>12620</v>
      </c>
      <c r="H362" s="8" t="s">
        <v>2163</v>
      </c>
      <c r="I362" s="8" t="s">
        <v>2992</v>
      </c>
      <c r="J362" s="8" t="s">
        <v>3010</v>
      </c>
      <c r="K362" s="3" t="s">
        <v>12586</v>
      </c>
      <c r="L362" s="3" t="s">
        <v>12587</v>
      </c>
      <c r="M362" s="3" t="s">
        <v>12588</v>
      </c>
      <c r="N362" s="3" t="s">
        <v>12589</v>
      </c>
      <c r="O362" s="3" t="s">
        <v>12647</v>
      </c>
      <c r="P362" s="8" t="s">
        <v>2175</v>
      </c>
    </row>
    <row r="363" ht="12.75" customHeight="1">
      <c r="A363" s="8" t="s">
        <v>1138</v>
      </c>
      <c r="B363" s="8" t="s">
        <v>9271</v>
      </c>
      <c r="C363" s="8" t="s">
        <v>9281</v>
      </c>
      <c r="D363" s="3" t="s">
        <v>3</v>
      </c>
      <c r="E363" s="8" t="s">
        <v>9283</v>
      </c>
      <c r="F363" s="8" t="s">
        <v>2142</v>
      </c>
      <c r="G363" s="3" t="s">
        <v>12620</v>
      </c>
      <c r="H363" s="8" t="s">
        <v>2163</v>
      </c>
      <c r="I363" s="8" t="s">
        <v>2992</v>
      </c>
      <c r="J363" s="8" t="s">
        <v>3010</v>
      </c>
      <c r="K363" s="3" t="s">
        <v>12586</v>
      </c>
      <c r="L363" s="3" t="s">
        <v>12587</v>
      </c>
      <c r="M363" s="3" t="s">
        <v>12588</v>
      </c>
      <c r="N363" s="3" t="s">
        <v>12589</v>
      </c>
      <c r="O363" s="3" t="s">
        <v>12594</v>
      </c>
      <c r="P363" s="8" t="s">
        <v>2168</v>
      </c>
    </row>
    <row r="364" ht="12.75" customHeight="1">
      <c r="A364" s="8" t="s">
        <v>1129</v>
      </c>
      <c r="B364" s="8" t="s">
        <v>9337</v>
      </c>
      <c r="C364" s="8" t="s">
        <v>9342</v>
      </c>
      <c r="D364" s="3" t="s">
        <v>3</v>
      </c>
      <c r="E364" s="8" t="s">
        <v>9344</v>
      </c>
      <c r="F364" s="8" t="s">
        <v>2142</v>
      </c>
      <c r="G364" s="3" t="s">
        <v>12620</v>
      </c>
      <c r="H364" s="8" t="s">
        <v>2163</v>
      </c>
      <c r="I364" s="8" t="s">
        <v>2992</v>
      </c>
      <c r="J364" s="8" t="s">
        <v>3010</v>
      </c>
      <c r="K364" s="3" t="s">
        <v>12586</v>
      </c>
      <c r="L364" s="3" t="s">
        <v>12587</v>
      </c>
      <c r="M364" s="3" t="s">
        <v>12588</v>
      </c>
      <c r="N364" s="3" t="s">
        <v>12589</v>
      </c>
      <c r="O364" s="3" t="s">
        <v>12594</v>
      </c>
      <c r="P364" s="8" t="s">
        <v>2168</v>
      </c>
    </row>
    <row r="365" ht="12.75" customHeight="1">
      <c r="A365" s="8" t="s">
        <v>1302</v>
      </c>
      <c r="B365" s="8" t="s">
        <v>8073</v>
      </c>
      <c r="C365" s="8" t="s">
        <v>8083</v>
      </c>
      <c r="D365" s="3" t="s">
        <v>3</v>
      </c>
      <c r="E365" s="8" t="s">
        <v>8085</v>
      </c>
      <c r="F365" s="8" t="s">
        <v>2147</v>
      </c>
      <c r="G365" s="8" t="s">
        <v>2217</v>
      </c>
      <c r="H365" s="8" t="s">
        <v>2216</v>
      </c>
      <c r="I365" s="8" t="s">
        <v>2992</v>
      </c>
      <c r="J365" s="8" t="s">
        <v>3010</v>
      </c>
      <c r="K365" s="3" t="s">
        <v>12586</v>
      </c>
      <c r="L365" s="3" t="s">
        <v>12587</v>
      </c>
      <c r="M365" s="3" t="s">
        <v>12588</v>
      </c>
      <c r="N365" s="3" t="s">
        <v>12589</v>
      </c>
      <c r="O365" s="3" t="s">
        <v>12594</v>
      </c>
      <c r="P365" s="8" t="s">
        <v>2155</v>
      </c>
    </row>
    <row r="366" ht="12.75" customHeight="1">
      <c r="A366" s="8" t="s">
        <v>1170</v>
      </c>
      <c r="B366" s="8" t="s">
        <v>9060</v>
      </c>
      <c r="C366" s="8" t="s">
        <v>9064</v>
      </c>
      <c r="D366" s="3" t="s">
        <v>3</v>
      </c>
      <c r="E366" s="8" t="s">
        <v>9066</v>
      </c>
      <c r="F366" s="8" t="s">
        <v>2147</v>
      </c>
      <c r="G366" s="8" t="s">
        <v>2217</v>
      </c>
      <c r="H366" s="8" t="s">
        <v>2216</v>
      </c>
      <c r="I366" s="8" t="s">
        <v>2992</v>
      </c>
      <c r="J366" s="8" t="s">
        <v>3010</v>
      </c>
      <c r="K366" s="3" t="s">
        <v>12586</v>
      </c>
      <c r="L366" s="3" t="s">
        <v>12587</v>
      </c>
      <c r="M366" s="3" t="s">
        <v>12588</v>
      </c>
      <c r="N366" s="3" t="s">
        <v>12589</v>
      </c>
      <c r="O366" s="3" t="s">
        <v>12594</v>
      </c>
      <c r="P366" s="8" t="s">
        <v>2155</v>
      </c>
    </row>
    <row r="367" ht="12.75" customHeight="1">
      <c r="A367" s="8" t="s">
        <v>1130</v>
      </c>
      <c r="B367" s="8" t="s">
        <v>9348</v>
      </c>
      <c r="C367" s="8" t="s">
        <v>9353</v>
      </c>
      <c r="D367" s="3" t="s">
        <v>3</v>
      </c>
      <c r="E367" s="8" t="s">
        <v>9355</v>
      </c>
      <c r="F367" s="8" t="s">
        <v>2142</v>
      </c>
      <c r="G367" s="3" t="s">
        <v>12585</v>
      </c>
      <c r="H367" s="8" t="s">
        <v>2325</v>
      </c>
      <c r="I367" s="8" t="s">
        <v>2992</v>
      </c>
      <c r="J367" s="8" t="s">
        <v>3010</v>
      </c>
      <c r="K367" s="3" t="s">
        <v>12586</v>
      </c>
      <c r="L367" s="3" t="s">
        <v>12587</v>
      </c>
      <c r="M367" s="3" t="s">
        <v>12588</v>
      </c>
      <c r="N367" s="3" t="s">
        <v>12589</v>
      </c>
      <c r="O367" s="3" t="s">
        <v>12594</v>
      </c>
      <c r="P367" s="8" t="s">
        <v>2168</v>
      </c>
    </row>
    <row r="368" ht="12.75" customHeight="1">
      <c r="A368" s="8" t="s">
        <v>1314</v>
      </c>
      <c r="B368" s="8" t="s">
        <v>7907</v>
      </c>
      <c r="C368" s="8" t="s">
        <v>7911</v>
      </c>
      <c r="D368" s="3" t="s">
        <v>3</v>
      </c>
      <c r="E368" s="8" t="s">
        <v>7913</v>
      </c>
      <c r="F368" s="8" t="s">
        <v>2142</v>
      </c>
      <c r="G368" s="3" t="s">
        <v>12585</v>
      </c>
      <c r="H368" s="8" t="s">
        <v>2497</v>
      </c>
      <c r="I368" s="8" t="s">
        <v>2992</v>
      </c>
      <c r="J368" s="8" t="s">
        <v>3010</v>
      </c>
      <c r="K368" s="3" t="s">
        <v>12586</v>
      </c>
      <c r="L368" s="3" t="s">
        <v>12587</v>
      </c>
      <c r="M368" s="3" t="s">
        <v>12588</v>
      </c>
      <c r="N368" s="3" t="s">
        <v>12589</v>
      </c>
      <c r="O368" s="3" t="s">
        <v>12594</v>
      </c>
      <c r="P368" s="8" t="s">
        <v>2168</v>
      </c>
    </row>
    <row r="369" ht="12.75" customHeight="1">
      <c r="A369" s="8" t="s">
        <v>1272</v>
      </c>
      <c r="B369" s="8" t="s">
        <v>8289</v>
      </c>
      <c r="C369" s="8" t="s">
        <v>8298</v>
      </c>
      <c r="D369" s="3" t="s">
        <v>3</v>
      </c>
      <c r="E369" s="8" t="s">
        <v>8300</v>
      </c>
      <c r="F369" s="8" t="s">
        <v>2142</v>
      </c>
      <c r="G369" s="3" t="s">
        <v>12585</v>
      </c>
      <c r="H369" s="8" t="s">
        <v>2497</v>
      </c>
      <c r="I369" s="8" t="s">
        <v>2992</v>
      </c>
      <c r="J369" s="8" t="s">
        <v>3010</v>
      </c>
      <c r="K369" s="3" t="s">
        <v>12586</v>
      </c>
      <c r="L369" s="3" t="s">
        <v>12587</v>
      </c>
      <c r="M369" s="3" t="s">
        <v>12588</v>
      </c>
      <c r="N369" s="3" t="s">
        <v>12589</v>
      </c>
      <c r="O369" s="3" t="s">
        <v>12594</v>
      </c>
      <c r="P369" s="8" t="s">
        <v>2168</v>
      </c>
    </row>
    <row r="370" ht="12.75" customHeight="1">
      <c r="A370" s="8" t="s">
        <v>1249</v>
      </c>
      <c r="B370" s="8" t="s">
        <v>8429</v>
      </c>
      <c r="C370" s="8" t="s">
        <v>8438</v>
      </c>
      <c r="D370" s="3" t="s">
        <v>3</v>
      </c>
      <c r="E370" s="8" t="s">
        <v>8440</v>
      </c>
      <c r="F370" s="8" t="s">
        <v>2142</v>
      </c>
      <c r="G370" s="3" t="s">
        <v>12585</v>
      </c>
      <c r="H370" s="8" t="s">
        <v>2497</v>
      </c>
      <c r="I370" s="8" t="s">
        <v>2992</v>
      </c>
      <c r="J370" s="8" t="s">
        <v>3010</v>
      </c>
      <c r="K370" s="3" t="s">
        <v>12586</v>
      </c>
      <c r="L370" s="3" t="s">
        <v>12587</v>
      </c>
      <c r="M370" s="3" t="s">
        <v>12588</v>
      </c>
      <c r="N370" s="3" t="s">
        <v>12589</v>
      </c>
      <c r="O370" s="3" t="s">
        <v>12594</v>
      </c>
      <c r="P370" s="8" t="s">
        <v>2168</v>
      </c>
    </row>
    <row r="371" ht="12.75" customHeight="1">
      <c r="A371" s="8" t="s">
        <v>1142</v>
      </c>
      <c r="B371" s="8" t="s">
        <v>9261</v>
      </c>
      <c r="C371" s="8" t="s">
        <v>9265</v>
      </c>
      <c r="D371" s="3" t="s">
        <v>3</v>
      </c>
      <c r="E371" s="8" t="s">
        <v>9267</v>
      </c>
      <c r="F371" s="8" t="s">
        <v>2142</v>
      </c>
      <c r="G371" s="3" t="s">
        <v>12585</v>
      </c>
      <c r="H371" s="8" t="s">
        <v>2553</v>
      </c>
      <c r="I371" s="8" t="s">
        <v>2992</v>
      </c>
      <c r="J371" s="8" t="s">
        <v>3010</v>
      </c>
      <c r="K371" s="3" t="s">
        <v>12586</v>
      </c>
      <c r="L371" s="3" t="s">
        <v>12587</v>
      </c>
      <c r="M371" s="3" t="s">
        <v>12588</v>
      </c>
      <c r="N371" s="3" t="s">
        <v>12589</v>
      </c>
      <c r="O371" s="3" t="s">
        <v>12610</v>
      </c>
      <c r="P371" s="8" t="s">
        <v>2575</v>
      </c>
    </row>
    <row r="372" ht="12.75" customHeight="1">
      <c r="A372" s="8" t="s">
        <v>1194</v>
      </c>
      <c r="B372" s="8" t="s">
        <v>8926</v>
      </c>
      <c r="C372" s="8" t="s">
        <v>8936</v>
      </c>
      <c r="D372" s="3" t="s">
        <v>3</v>
      </c>
      <c r="E372" s="8" t="s">
        <v>8938</v>
      </c>
      <c r="F372" s="8" t="s">
        <v>2142</v>
      </c>
      <c r="G372" s="3" t="s">
        <v>12585</v>
      </c>
      <c r="H372" s="8" t="s">
        <v>2553</v>
      </c>
      <c r="I372" s="8" t="s">
        <v>2992</v>
      </c>
      <c r="J372" s="8" t="s">
        <v>3010</v>
      </c>
      <c r="K372" s="3" t="s">
        <v>12586</v>
      </c>
      <c r="L372" s="3" t="s">
        <v>12587</v>
      </c>
      <c r="M372" s="3" t="s">
        <v>12588</v>
      </c>
      <c r="N372" s="3" t="s">
        <v>12589</v>
      </c>
      <c r="O372" s="3" t="s">
        <v>12590</v>
      </c>
      <c r="P372" s="8" t="s">
        <v>2143</v>
      </c>
    </row>
    <row r="373" ht="12.75" customHeight="1">
      <c r="A373" s="8" t="s">
        <v>1196</v>
      </c>
      <c r="B373" s="8" t="s">
        <v>8959</v>
      </c>
      <c r="C373" s="8" t="s">
        <v>8975</v>
      </c>
      <c r="D373" s="3" t="s">
        <v>3</v>
      </c>
      <c r="E373" s="8" t="s">
        <v>8977</v>
      </c>
      <c r="F373" s="8" t="s">
        <v>2142</v>
      </c>
      <c r="G373" s="3" t="s">
        <v>12585</v>
      </c>
      <c r="H373" s="8" t="s">
        <v>2553</v>
      </c>
      <c r="I373" s="8" t="s">
        <v>2992</v>
      </c>
      <c r="J373" s="8" t="s">
        <v>3010</v>
      </c>
      <c r="K373" s="3" t="s">
        <v>12586</v>
      </c>
      <c r="L373" s="3" t="s">
        <v>12587</v>
      </c>
      <c r="M373" s="3" t="s">
        <v>12588</v>
      </c>
      <c r="N373" s="3" t="s">
        <v>12589</v>
      </c>
      <c r="O373" s="3" t="s">
        <v>12590</v>
      </c>
      <c r="P373" s="8" t="s">
        <v>2143</v>
      </c>
    </row>
    <row r="374" ht="12.75" customHeight="1">
      <c r="A374" s="8" t="s">
        <v>1164</v>
      </c>
      <c r="B374" s="8" t="s">
        <v>9136</v>
      </c>
      <c r="C374" s="8" t="s">
        <v>9139</v>
      </c>
      <c r="D374" s="3" t="s">
        <v>3</v>
      </c>
      <c r="E374" s="8" t="s">
        <v>9141</v>
      </c>
      <c r="F374" s="8" t="s">
        <v>2147</v>
      </c>
      <c r="G374" s="8" t="s">
        <v>2217</v>
      </c>
      <c r="H374" s="8" t="s">
        <v>2600</v>
      </c>
      <c r="I374" s="8" t="s">
        <v>2992</v>
      </c>
      <c r="J374" s="8" t="s">
        <v>3010</v>
      </c>
      <c r="K374" s="3" t="s">
        <v>12586</v>
      </c>
      <c r="L374" s="3" t="s">
        <v>12587</v>
      </c>
      <c r="M374" s="3" t="s">
        <v>12588</v>
      </c>
      <c r="N374" s="3" t="s">
        <v>12589</v>
      </c>
      <c r="O374" s="3" t="s">
        <v>12609</v>
      </c>
      <c r="P374" s="8" t="s">
        <v>2234</v>
      </c>
    </row>
    <row r="375" ht="12.75" customHeight="1">
      <c r="A375" s="8" t="s">
        <v>1255</v>
      </c>
      <c r="B375" s="8" t="s">
        <v>8380</v>
      </c>
      <c r="C375" s="8" t="s">
        <v>8391</v>
      </c>
      <c r="D375" s="3" t="s">
        <v>3</v>
      </c>
      <c r="E375" s="8" t="s">
        <v>8393</v>
      </c>
      <c r="F375" s="8" t="s">
        <v>2147</v>
      </c>
      <c r="I375" s="8" t="s">
        <v>2992</v>
      </c>
      <c r="J375" s="8" t="s">
        <v>3010</v>
      </c>
      <c r="K375" s="3" t="s">
        <v>12586</v>
      </c>
      <c r="L375" s="3" t="s">
        <v>12587</v>
      </c>
      <c r="M375" s="3" t="s">
        <v>12588</v>
      </c>
      <c r="N375" s="3" t="s">
        <v>12589</v>
      </c>
      <c r="O375" s="3" t="s">
        <v>12630</v>
      </c>
      <c r="P375" s="8" t="s">
        <v>2150</v>
      </c>
    </row>
    <row r="376" ht="12.75" customHeight="1">
      <c r="A376" s="8" t="s">
        <v>1227</v>
      </c>
      <c r="B376" s="8" t="s">
        <v>8694</v>
      </c>
      <c r="C376" s="8" t="s">
        <v>8706</v>
      </c>
      <c r="D376" s="3" t="s">
        <v>3</v>
      </c>
      <c r="E376" s="8" t="s">
        <v>8708</v>
      </c>
      <c r="F376" s="8" t="s">
        <v>2147</v>
      </c>
      <c r="I376" s="8" t="s">
        <v>2992</v>
      </c>
      <c r="J376" s="8" t="s">
        <v>3010</v>
      </c>
      <c r="K376" s="3" t="s">
        <v>12586</v>
      </c>
      <c r="L376" s="3" t="s">
        <v>12587</v>
      </c>
      <c r="M376" s="3" t="s">
        <v>12588</v>
      </c>
      <c r="N376" s="3" t="s">
        <v>12589</v>
      </c>
      <c r="O376" s="3" t="s">
        <v>12609</v>
      </c>
      <c r="P376" s="8" t="s">
        <v>2275</v>
      </c>
    </row>
    <row r="377" ht="12.75" customHeight="1">
      <c r="A377" s="8" t="s">
        <v>1281</v>
      </c>
      <c r="B377" s="8" t="s">
        <v>8241</v>
      </c>
      <c r="C377" s="8" t="s">
        <v>8248</v>
      </c>
      <c r="D377" s="3" t="s">
        <v>3</v>
      </c>
      <c r="E377" s="8" t="s">
        <v>8250</v>
      </c>
      <c r="F377" s="8" t="s">
        <v>2142</v>
      </c>
      <c r="I377" s="8" t="s">
        <v>2992</v>
      </c>
      <c r="J377" s="8" t="s">
        <v>3010</v>
      </c>
      <c r="K377" s="3" t="s">
        <v>12586</v>
      </c>
      <c r="L377" s="3" t="s">
        <v>12587</v>
      </c>
      <c r="M377" s="3" t="s">
        <v>12588</v>
      </c>
      <c r="N377" s="3" t="s">
        <v>12589</v>
      </c>
      <c r="O377" s="3" t="s">
        <v>12594</v>
      </c>
      <c r="P377" s="8" t="s">
        <v>2168</v>
      </c>
    </row>
    <row r="378" ht="12.75" customHeight="1">
      <c r="A378" s="8" t="s">
        <v>1279</v>
      </c>
      <c r="B378" s="8" t="s">
        <v>8255</v>
      </c>
      <c r="C378" s="8" t="s">
        <v>8264</v>
      </c>
      <c r="D378" s="3" t="s">
        <v>3</v>
      </c>
      <c r="E378" s="8" t="s">
        <v>8266</v>
      </c>
      <c r="F378" s="8" t="s">
        <v>2142</v>
      </c>
      <c r="I378" s="8" t="s">
        <v>2992</v>
      </c>
      <c r="J378" s="8" t="s">
        <v>3010</v>
      </c>
      <c r="K378" s="3" t="s">
        <v>12586</v>
      </c>
      <c r="L378" s="3" t="s">
        <v>12587</v>
      </c>
      <c r="M378" s="3" t="s">
        <v>12588</v>
      </c>
      <c r="N378" s="3" t="s">
        <v>12589</v>
      </c>
      <c r="O378" s="3" t="s">
        <v>12594</v>
      </c>
      <c r="P378" s="8" t="s">
        <v>2168</v>
      </c>
    </row>
    <row r="379" ht="12.75" customHeight="1">
      <c r="A379" s="8" t="s">
        <v>1168</v>
      </c>
      <c r="B379" s="8" t="s">
        <v>9110</v>
      </c>
      <c r="C379" s="8" t="s">
        <v>9116</v>
      </c>
      <c r="D379" s="3" t="s">
        <v>3</v>
      </c>
      <c r="E379" s="8" t="s">
        <v>9118</v>
      </c>
      <c r="F379" s="8" t="s">
        <v>2142</v>
      </c>
      <c r="I379" s="8" t="s">
        <v>2992</v>
      </c>
      <c r="J379" s="8" t="s">
        <v>3010</v>
      </c>
      <c r="K379" s="3" t="s">
        <v>12586</v>
      </c>
      <c r="L379" s="3" t="s">
        <v>12587</v>
      </c>
      <c r="M379" s="3" t="s">
        <v>12588</v>
      </c>
      <c r="N379" s="3" t="s">
        <v>12589</v>
      </c>
      <c r="O379" s="3" t="s">
        <v>12594</v>
      </c>
      <c r="P379" s="8" t="s">
        <v>2168</v>
      </c>
    </row>
    <row r="380" ht="12.75" customHeight="1">
      <c r="A380" s="8" t="s">
        <v>1148</v>
      </c>
      <c r="B380" s="8" t="s">
        <v>9207</v>
      </c>
      <c r="C380" s="8" t="s">
        <v>9210</v>
      </c>
      <c r="D380" s="3" t="s">
        <v>3</v>
      </c>
      <c r="E380" s="8" t="s">
        <v>9212</v>
      </c>
      <c r="F380" s="8" t="s">
        <v>2142</v>
      </c>
      <c r="I380" s="8" t="s">
        <v>2992</v>
      </c>
      <c r="J380" s="8" t="s">
        <v>3010</v>
      </c>
      <c r="K380" s="3" t="s">
        <v>12586</v>
      </c>
      <c r="L380" s="3" t="s">
        <v>12587</v>
      </c>
      <c r="M380" s="3" t="s">
        <v>12588</v>
      </c>
      <c r="N380" s="3" t="s">
        <v>12589</v>
      </c>
      <c r="O380" s="3" t="s">
        <v>12594</v>
      </c>
      <c r="P380" s="8" t="s">
        <v>2168</v>
      </c>
    </row>
    <row r="381" ht="12.75" customHeight="1">
      <c r="A381" s="8" t="s">
        <v>1220</v>
      </c>
      <c r="B381" s="8" t="s">
        <v>8731</v>
      </c>
      <c r="C381" s="8" t="s">
        <v>8742</v>
      </c>
      <c r="D381" s="3" t="s">
        <v>3</v>
      </c>
      <c r="E381" s="8" t="s">
        <v>8744</v>
      </c>
      <c r="F381" s="8" t="s">
        <v>2142</v>
      </c>
      <c r="I381" s="8" t="s">
        <v>2992</v>
      </c>
      <c r="J381" s="8" t="s">
        <v>3010</v>
      </c>
      <c r="K381" s="3" t="s">
        <v>12586</v>
      </c>
      <c r="L381" s="3" t="s">
        <v>12587</v>
      </c>
      <c r="M381" s="3" t="s">
        <v>12588</v>
      </c>
      <c r="N381" s="3" t="s">
        <v>12589</v>
      </c>
      <c r="O381" s="3" t="s">
        <v>12647</v>
      </c>
      <c r="P381" s="8" t="s">
        <v>2908</v>
      </c>
    </row>
    <row r="382" ht="12.75" customHeight="1">
      <c r="A382" s="8" t="s">
        <v>1265</v>
      </c>
      <c r="B382" s="8" t="s">
        <v>8323</v>
      </c>
      <c r="C382" s="8" t="s">
        <v>8333</v>
      </c>
      <c r="D382" s="3" t="s">
        <v>3</v>
      </c>
      <c r="E382" s="8" t="s">
        <v>8335</v>
      </c>
      <c r="F382" s="8" t="s">
        <v>2142</v>
      </c>
      <c r="I382" s="8" t="s">
        <v>2992</v>
      </c>
      <c r="J382" s="8" t="s">
        <v>3010</v>
      </c>
      <c r="K382" s="3" t="s">
        <v>12586</v>
      </c>
      <c r="L382" s="3" t="s">
        <v>12587</v>
      </c>
      <c r="M382" s="3" t="s">
        <v>12588</v>
      </c>
      <c r="N382" s="3" t="s">
        <v>12589</v>
      </c>
      <c r="O382" s="3" t="s">
        <v>12594</v>
      </c>
      <c r="P382" s="8" t="s">
        <v>2340</v>
      </c>
    </row>
    <row r="383" ht="12.75" customHeight="1">
      <c r="A383" s="8" t="s">
        <v>12401</v>
      </c>
      <c r="B383" s="8" t="s">
        <v>12404</v>
      </c>
      <c r="C383" s="8" t="s">
        <v>12410</v>
      </c>
      <c r="D383" s="3" t="s">
        <v>3</v>
      </c>
      <c r="E383" s="8" t="s">
        <v>12412</v>
      </c>
      <c r="F383" s="3" t="s">
        <v>2147</v>
      </c>
      <c r="G383" s="3" t="s">
        <v>12603</v>
      </c>
      <c r="H383" s="3" t="s">
        <v>2272</v>
      </c>
      <c r="I383" s="3" t="s">
        <v>3042</v>
      </c>
      <c r="J383" s="3" t="s">
        <v>3041</v>
      </c>
      <c r="K383" s="3" t="s">
        <v>12586</v>
      </c>
      <c r="L383" s="3" t="s">
        <v>12587</v>
      </c>
      <c r="M383" s="3" t="s">
        <v>12588</v>
      </c>
      <c r="N383" s="3" t="s">
        <v>12589</v>
      </c>
      <c r="O383" s="3" t="s">
        <v>12609</v>
      </c>
      <c r="P383" s="3" t="s">
        <v>2148</v>
      </c>
    </row>
    <row r="384" ht="12.75" customHeight="1">
      <c r="A384" s="8" t="s">
        <v>42</v>
      </c>
      <c r="B384" s="8" t="s">
        <v>3335</v>
      </c>
      <c r="C384" s="8" t="s">
        <v>3350</v>
      </c>
      <c r="D384" s="3" t="s">
        <v>3</v>
      </c>
      <c r="E384" s="8" t="s">
        <v>3356</v>
      </c>
      <c r="F384" s="8" t="s">
        <v>2147</v>
      </c>
      <c r="G384" s="3" t="s">
        <v>12603</v>
      </c>
      <c r="H384" s="8" t="s">
        <v>2185</v>
      </c>
      <c r="I384" s="8" t="s">
        <v>3207</v>
      </c>
      <c r="J384" s="8" t="s">
        <v>3206</v>
      </c>
      <c r="K384" s="3" t="s">
        <v>12586</v>
      </c>
      <c r="L384" s="3" t="s">
        <v>12587</v>
      </c>
      <c r="M384" s="3" t="s">
        <v>12588</v>
      </c>
      <c r="N384" s="3" t="s">
        <v>12589</v>
      </c>
      <c r="O384" s="3" t="s">
        <v>12607</v>
      </c>
      <c r="P384" s="8" t="s">
        <v>2186</v>
      </c>
    </row>
    <row r="385" ht="12.75" customHeight="1">
      <c r="A385" s="8" t="s">
        <v>200</v>
      </c>
      <c r="B385" s="8" t="s">
        <v>3688</v>
      </c>
      <c r="C385" s="8" t="s">
        <v>3699</v>
      </c>
      <c r="D385" s="3" t="s">
        <v>3</v>
      </c>
      <c r="E385" s="8" t="s">
        <v>3701</v>
      </c>
      <c r="F385" s="8" t="s">
        <v>2142</v>
      </c>
      <c r="G385" s="3" t="s">
        <v>12585</v>
      </c>
      <c r="H385" s="8" t="s">
        <v>2379</v>
      </c>
      <c r="I385" s="8" t="s">
        <v>2965</v>
      </c>
      <c r="J385" s="8" t="s">
        <v>3147</v>
      </c>
      <c r="K385" s="3" t="s">
        <v>12586</v>
      </c>
      <c r="L385" s="3" t="s">
        <v>12587</v>
      </c>
      <c r="M385" s="3" t="s">
        <v>12588</v>
      </c>
      <c r="N385" s="3" t="s">
        <v>12589</v>
      </c>
      <c r="O385" s="3" t="s">
        <v>12596</v>
      </c>
      <c r="P385" s="8" t="s">
        <v>2311</v>
      </c>
    </row>
    <row r="386" ht="12.75" customHeight="1">
      <c r="A386" s="8" t="s">
        <v>438</v>
      </c>
      <c r="B386" s="8" t="s">
        <v>4661</v>
      </c>
      <c r="C386" s="8" t="s">
        <v>4669</v>
      </c>
      <c r="D386" s="3" t="s">
        <v>3</v>
      </c>
      <c r="E386" s="8" t="s">
        <v>4671</v>
      </c>
      <c r="F386" s="8" t="s">
        <v>2147</v>
      </c>
      <c r="G386" s="8" t="s">
        <v>2217</v>
      </c>
      <c r="H386" s="8" t="s">
        <v>2600</v>
      </c>
      <c r="I386" s="8" t="s">
        <v>2968</v>
      </c>
      <c r="J386" s="8" t="s">
        <v>3198</v>
      </c>
      <c r="K386" s="3" t="s">
        <v>12586</v>
      </c>
      <c r="L386" s="3" t="s">
        <v>12587</v>
      </c>
      <c r="M386" s="3" t="s">
        <v>12588</v>
      </c>
      <c r="N386" s="3" t="s">
        <v>12589</v>
      </c>
      <c r="O386" s="3" t="s">
        <v>12595</v>
      </c>
      <c r="P386" s="8" t="s">
        <v>2224</v>
      </c>
    </row>
    <row r="387" ht="12.75" customHeight="1">
      <c r="A387" s="8" t="s">
        <v>338</v>
      </c>
      <c r="B387" s="8" t="s">
        <v>4210</v>
      </c>
      <c r="C387" s="8" t="s">
        <v>4219</v>
      </c>
      <c r="D387" s="3" t="s">
        <v>3</v>
      </c>
      <c r="E387" s="8" t="s">
        <v>4221</v>
      </c>
      <c r="F387" s="8" t="s">
        <v>2147</v>
      </c>
      <c r="G387" s="8" t="s">
        <v>2217</v>
      </c>
      <c r="H387" s="8" t="s">
        <v>2600</v>
      </c>
      <c r="I387" s="8" t="s">
        <v>3012</v>
      </c>
      <c r="J387" s="8" t="s">
        <v>3122</v>
      </c>
      <c r="K387" s="3" t="s">
        <v>12586</v>
      </c>
      <c r="L387" s="3" t="s">
        <v>12587</v>
      </c>
      <c r="M387" s="3" t="s">
        <v>12588</v>
      </c>
      <c r="N387" s="3" t="s">
        <v>12589</v>
      </c>
      <c r="O387" s="3" t="s">
        <v>12600</v>
      </c>
      <c r="P387" s="8" t="s">
        <v>2221</v>
      </c>
    </row>
    <row r="388" ht="12.75" customHeight="1">
      <c r="A388" s="8" t="s">
        <v>336</v>
      </c>
      <c r="B388" s="8" t="s">
        <v>4227</v>
      </c>
      <c r="C388" s="8" t="s">
        <v>4243</v>
      </c>
      <c r="D388" s="3" t="s">
        <v>3</v>
      </c>
      <c r="E388" s="8" t="s">
        <v>4245</v>
      </c>
      <c r="F388" s="8" t="s">
        <v>2147</v>
      </c>
      <c r="G388" s="8" t="s">
        <v>2217</v>
      </c>
      <c r="H388" s="8" t="s">
        <v>2600</v>
      </c>
      <c r="I388" s="8" t="s">
        <v>3012</v>
      </c>
      <c r="J388" s="8" t="s">
        <v>3122</v>
      </c>
      <c r="K388" s="3" t="s">
        <v>12586</v>
      </c>
      <c r="L388" s="3" t="s">
        <v>12587</v>
      </c>
      <c r="M388" s="3" t="s">
        <v>12588</v>
      </c>
      <c r="N388" s="3" t="s">
        <v>12589</v>
      </c>
      <c r="O388" s="3" t="s">
        <v>12600</v>
      </c>
      <c r="P388" s="8" t="s">
        <v>2221</v>
      </c>
    </row>
    <row r="389" ht="12.75" customHeight="1">
      <c r="A389" s="8" t="s">
        <v>579</v>
      </c>
      <c r="B389" s="8" t="s">
        <v>5086</v>
      </c>
      <c r="C389" s="8" t="s">
        <v>5095</v>
      </c>
      <c r="D389" s="3" t="s">
        <v>3</v>
      </c>
      <c r="E389" s="8" t="s">
        <v>5099</v>
      </c>
      <c r="F389" s="8" t="s">
        <v>2147</v>
      </c>
      <c r="G389" s="8" t="s">
        <v>2217</v>
      </c>
      <c r="H389" s="8" t="s">
        <v>2600</v>
      </c>
      <c r="I389" s="8" t="s">
        <v>3120</v>
      </c>
      <c r="J389" s="8" t="s">
        <v>3119</v>
      </c>
      <c r="K389" s="3" t="s">
        <v>12586</v>
      </c>
      <c r="L389" s="3" t="s">
        <v>12587</v>
      </c>
      <c r="M389" s="3" t="s">
        <v>12588</v>
      </c>
      <c r="N389" s="3" t="s">
        <v>12589</v>
      </c>
      <c r="O389" s="3" t="s">
        <v>12648</v>
      </c>
      <c r="P389" s="8" t="s">
        <v>2654</v>
      </c>
    </row>
    <row r="390" ht="12.75" customHeight="1">
      <c r="A390" s="8" t="s">
        <v>577</v>
      </c>
      <c r="B390" s="8" t="s">
        <v>5026</v>
      </c>
      <c r="C390" s="8" t="s">
        <v>5034</v>
      </c>
      <c r="D390" s="3" t="s">
        <v>3</v>
      </c>
      <c r="E390" s="8" t="s">
        <v>5035</v>
      </c>
      <c r="F390" s="8" t="s">
        <v>2283</v>
      </c>
      <c r="G390" s="3" t="s">
        <v>12624</v>
      </c>
      <c r="H390" s="8" t="s">
        <v>2282</v>
      </c>
      <c r="I390" s="8" t="s">
        <v>3019</v>
      </c>
      <c r="J390" s="8" t="s">
        <v>3018</v>
      </c>
      <c r="K390" s="3" t="s">
        <v>12586</v>
      </c>
      <c r="L390" s="3" t="s">
        <v>12587</v>
      </c>
      <c r="M390" s="3" t="s">
        <v>12588</v>
      </c>
      <c r="N390" s="3" t="s">
        <v>12589</v>
      </c>
      <c r="O390" s="3" t="s">
        <v>12616</v>
      </c>
      <c r="P390" s="8" t="s">
        <v>2218</v>
      </c>
    </row>
    <row r="391" ht="12.75" customHeight="1">
      <c r="A391" s="8" t="s">
        <v>297</v>
      </c>
      <c r="B391" s="8" t="s">
        <v>4067</v>
      </c>
      <c r="C391" s="8" t="s">
        <v>2135</v>
      </c>
      <c r="D391" s="3" t="s">
        <v>3</v>
      </c>
      <c r="E391" s="8" t="s">
        <v>4082</v>
      </c>
      <c r="F391" s="8" t="s">
        <v>2283</v>
      </c>
      <c r="G391" s="3" t="s">
        <v>12618</v>
      </c>
      <c r="H391" s="8" t="s">
        <v>2420</v>
      </c>
      <c r="I391" s="8" t="s">
        <v>2970</v>
      </c>
      <c r="J391" s="8" t="s">
        <v>3157</v>
      </c>
      <c r="K391" s="3" t="s">
        <v>12586</v>
      </c>
      <c r="L391" s="3" t="s">
        <v>12587</v>
      </c>
      <c r="M391" s="3" t="s">
        <v>12588</v>
      </c>
      <c r="N391" s="3" t="s">
        <v>12589</v>
      </c>
      <c r="O391" s="3" t="s">
        <v>12649</v>
      </c>
      <c r="P391" s="8" t="s">
        <v>2424</v>
      </c>
    </row>
    <row r="392" ht="12.75" customHeight="1">
      <c r="A392" s="8" t="s">
        <v>837</v>
      </c>
      <c r="B392" s="8" t="s">
        <v>5717</v>
      </c>
      <c r="C392" s="8" t="s">
        <v>5726</v>
      </c>
      <c r="D392" s="3" t="s">
        <v>3</v>
      </c>
      <c r="E392" s="8" t="s">
        <v>5727</v>
      </c>
      <c r="F392" s="8" t="s">
        <v>2283</v>
      </c>
      <c r="G392" s="3" t="s">
        <v>12618</v>
      </c>
      <c r="H392" s="8" t="s">
        <v>2420</v>
      </c>
      <c r="I392" s="8" t="s">
        <v>2954</v>
      </c>
      <c r="J392" s="8" t="s">
        <v>3131</v>
      </c>
      <c r="K392" s="3" t="s">
        <v>12586</v>
      </c>
      <c r="L392" s="3" t="s">
        <v>12587</v>
      </c>
      <c r="M392" s="3" t="s">
        <v>12588</v>
      </c>
      <c r="N392" s="3" t="s">
        <v>12589</v>
      </c>
      <c r="O392" s="3" t="s">
        <v>12600</v>
      </c>
      <c r="P392" s="8" t="s">
        <v>2401</v>
      </c>
    </row>
    <row r="393" ht="12.75" customHeight="1">
      <c r="A393" s="8" t="s">
        <v>405</v>
      </c>
      <c r="B393" s="8" t="s">
        <v>4516</v>
      </c>
      <c r="C393" s="8" t="s">
        <v>4526</v>
      </c>
      <c r="D393" s="3" t="s">
        <v>3</v>
      </c>
      <c r="E393" s="8" t="s">
        <v>4528</v>
      </c>
      <c r="F393" s="8" t="s">
        <v>2147</v>
      </c>
      <c r="G393" s="8" t="s">
        <v>2217</v>
      </c>
      <c r="H393" s="8" t="s">
        <v>2216</v>
      </c>
      <c r="I393" s="8" t="s">
        <v>2980</v>
      </c>
      <c r="J393" s="8" t="s">
        <v>3123</v>
      </c>
      <c r="K393" s="3" t="s">
        <v>12586</v>
      </c>
      <c r="L393" s="3" t="s">
        <v>12587</v>
      </c>
      <c r="M393" s="3" t="s">
        <v>12588</v>
      </c>
      <c r="N393" s="3" t="s">
        <v>12589</v>
      </c>
      <c r="O393" s="3" t="s">
        <v>12600</v>
      </c>
      <c r="P393" s="8" t="s">
        <v>2221</v>
      </c>
    </row>
    <row r="394" ht="12.75" customHeight="1">
      <c r="A394" s="8" t="s">
        <v>407</v>
      </c>
      <c r="B394" s="8" t="s">
        <v>4491</v>
      </c>
      <c r="C394" s="8" t="s">
        <v>4506</v>
      </c>
      <c r="D394" s="3" t="s">
        <v>3</v>
      </c>
      <c r="E394" s="8" t="s">
        <v>4510</v>
      </c>
      <c r="F394" s="8" t="s">
        <v>2147</v>
      </c>
      <c r="G394" s="8" t="s">
        <v>2217</v>
      </c>
      <c r="H394" s="8" t="s">
        <v>2600</v>
      </c>
      <c r="I394" s="8" t="s">
        <v>2980</v>
      </c>
      <c r="J394" s="8" t="s">
        <v>3123</v>
      </c>
      <c r="K394" s="3" t="s">
        <v>12586</v>
      </c>
      <c r="L394" s="3" t="s">
        <v>12587</v>
      </c>
      <c r="M394" s="3" t="s">
        <v>12588</v>
      </c>
      <c r="N394" s="3" t="s">
        <v>12589</v>
      </c>
      <c r="O394" s="3" t="s">
        <v>12595</v>
      </c>
      <c r="P394" s="8" t="s">
        <v>2224</v>
      </c>
    </row>
    <row r="395" ht="12.75" customHeight="1">
      <c r="A395" s="8" t="s">
        <v>355</v>
      </c>
      <c r="B395" s="8" t="s">
        <v>4363</v>
      </c>
      <c r="C395" s="8" t="s">
        <v>4366</v>
      </c>
      <c r="D395" s="3" t="s">
        <v>3</v>
      </c>
      <c r="E395" s="8" t="s">
        <v>4368</v>
      </c>
      <c r="F395" s="8" t="s">
        <v>2147</v>
      </c>
      <c r="G395" s="8" t="s">
        <v>2217</v>
      </c>
      <c r="H395" s="8" t="s">
        <v>2216</v>
      </c>
      <c r="I395" s="8" t="s">
        <v>3014</v>
      </c>
      <c r="J395" s="8" t="s">
        <v>3013</v>
      </c>
      <c r="K395" s="3" t="s">
        <v>12586</v>
      </c>
      <c r="L395" s="3" t="s">
        <v>12587</v>
      </c>
      <c r="M395" s="3" t="s">
        <v>12588</v>
      </c>
      <c r="N395" s="3" t="s">
        <v>12589</v>
      </c>
      <c r="O395" s="3" t="s">
        <v>12616</v>
      </c>
      <c r="P395" s="8" t="s">
        <v>2218</v>
      </c>
    </row>
    <row r="396" ht="12.75" customHeight="1">
      <c r="A396" s="8" t="s">
        <v>618</v>
      </c>
      <c r="B396" s="8" t="s">
        <v>5265</v>
      </c>
      <c r="C396" s="8" t="s">
        <v>5276</v>
      </c>
      <c r="D396" s="3" t="s">
        <v>3</v>
      </c>
      <c r="E396" s="8" t="s">
        <v>5278</v>
      </c>
      <c r="F396" s="8" t="s">
        <v>2147</v>
      </c>
      <c r="G396" s="8" t="s">
        <v>2217</v>
      </c>
      <c r="H396" s="8" t="s">
        <v>2216</v>
      </c>
      <c r="I396" s="8" t="s">
        <v>3009</v>
      </c>
      <c r="J396" s="8" t="s">
        <v>3021</v>
      </c>
      <c r="K396" s="3" t="s">
        <v>12586</v>
      </c>
      <c r="L396" s="3" t="s">
        <v>12587</v>
      </c>
      <c r="M396" s="3" t="s">
        <v>12588</v>
      </c>
      <c r="N396" s="3" t="s">
        <v>12589</v>
      </c>
      <c r="O396" s="3" t="s">
        <v>12616</v>
      </c>
      <c r="P396" s="8" t="s">
        <v>2218</v>
      </c>
    </row>
    <row r="397" ht="12.75" customHeight="1">
      <c r="A397" s="8" t="s">
        <v>366</v>
      </c>
      <c r="B397" s="8" t="s">
        <v>4438</v>
      </c>
      <c r="C397" s="8" t="s">
        <v>4439</v>
      </c>
      <c r="D397" s="3" t="s">
        <v>3</v>
      </c>
      <c r="E397" s="8" t="s">
        <v>4441</v>
      </c>
      <c r="F397" s="8" t="s">
        <v>2142</v>
      </c>
      <c r="G397" s="3" t="s">
        <v>12585</v>
      </c>
      <c r="H397" s="3" t="s">
        <v>12629</v>
      </c>
      <c r="I397" s="8" t="s">
        <v>3017</v>
      </c>
      <c r="J397" s="8" t="s">
        <v>3151</v>
      </c>
      <c r="K397" s="3" t="s">
        <v>12586</v>
      </c>
      <c r="L397" s="3" t="s">
        <v>12587</v>
      </c>
      <c r="M397" s="3" t="s">
        <v>12588</v>
      </c>
      <c r="N397" s="3" t="s">
        <v>12589</v>
      </c>
      <c r="O397" s="3" t="s">
        <v>12596</v>
      </c>
      <c r="P397" s="8" t="s">
        <v>2311</v>
      </c>
    </row>
    <row r="398" ht="12.75" customHeight="1">
      <c r="A398" s="8" t="s">
        <v>274</v>
      </c>
      <c r="B398" s="8" t="s">
        <v>4012</v>
      </c>
      <c r="C398" s="8" t="s">
        <v>4024</v>
      </c>
      <c r="D398" s="3" t="s">
        <v>3</v>
      </c>
      <c r="E398" s="8" t="s">
        <v>4026</v>
      </c>
      <c r="F398" s="8" t="s">
        <v>2147</v>
      </c>
      <c r="G398" s="3" t="s">
        <v>12603</v>
      </c>
      <c r="H398" s="8" t="s">
        <v>2185</v>
      </c>
      <c r="I398" s="8" t="s">
        <v>2972</v>
      </c>
      <c r="J398" s="8" t="s">
        <v>2971</v>
      </c>
      <c r="K398" s="3" t="s">
        <v>12586</v>
      </c>
      <c r="L398" s="3" t="s">
        <v>12587</v>
      </c>
      <c r="M398" s="3" t="s">
        <v>12588</v>
      </c>
      <c r="N398" s="3" t="s">
        <v>12589</v>
      </c>
      <c r="O398" s="3" t="s">
        <v>12650</v>
      </c>
      <c r="P398" s="8" t="s">
        <v>2192</v>
      </c>
    </row>
    <row r="399" ht="12.75" customHeight="1">
      <c r="A399" s="8" t="s">
        <v>399</v>
      </c>
      <c r="B399" s="8" t="s">
        <v>4565</v>
      </c>
      <c r="C399" s="8" t="s">
        <v>4571</v>
      </c>
      <c r="D399" s="3" t="s">
        <v>3</v>
      </c>
      <c r="E399" s="8" t="s">
        <v>4573</v>
      </c>
      <c r="F399" s="8" t="s">
        <v>2147</v>
      </c>
      <c r="G399" s="8" t="s">
        <v>2217</v>
      </c>
      <c r="H399" s="8" t="s">
        <v>2216</v>
      </c>
      <c r="I399" s="8" t="s">
        <v>2980</v>
      </c>
      <c r="J399" s="8" t="s">
        <v>2971</v>
      </c>
      <c r="K399" s="3" t="s">
        <v>12586</v>
      </c>
      <c r="L399" s="3" t="s">
        <v>12587</v>
      </c>
      <c r="M399" s="3" t="s">
        <v>12588</v>
      </c>
      <c r="N399" s="3" t="s">
        <v>12589</v>
      </c>
      <c r="O399" s="3" t="s">
        <v>12600</v>
      </c>
      <c r="P399" s="8" t="s">
        <v>2221</v>
      </c>
    </row>
    <row r="400" ht="12.75" customHeight="1">
      <c r="A400" s="8" t="s">
        <v>583</v>
      </c>
      <c r="B400" s="8" t="s">
        <v>5041</v>
      </c>
      <c r="C400" s="8" t="s">
        <v>5057</v>
      </c>
      <c r="D400" s="3" t="s">
        <v>3</v>
      </c>
      <c r="E400" s="8" t="s">
        <v>5061</v>
      </c>
      <c r="F400" s="8" t="s">
        <v>2283</v>
      </c>
      <c r="G400" s="3" t="s">
        <v>12633</v>
      </c>
      <c r="H400" s="8" t="s">
        <v>2396</v>
      </c>
      <c r="I400" s="8" t="s">
        <v>3120</v>
      </c>
      <c r="J400" s="8" t="s">
        <v>2971</v>
      </c>
      <c r="K400" s="3" t="s">
        <v>12586</v>
      </c>
      <c r="L400" s="3" t="s">
        <v>12587</v>
      </c>
      <c r="M400" s="3" t="s">
        <v>12588</v>
      </c>
      <c r="N400" s="3" t="s">
        <v>12589</v>
      </c>
      <c r="O400" s="3" t="s">
        <v>12600</v>
      </c>
      <c r="P400" s="8" t="s">
        <v>2401</v>
      </c>
    </row>
    <row r="401" ht="12.75" customHeight="1">
      <c r="A401" s="8" t="s">
        <v>755</v>
      </c>
      <c r="B401" s="8" t="s">
        <v>6444</v>
      </c>
      <c r="C401" s="8" t="s">
        <v>2135</v>
      </c>
      <c r="D401" s="3" t="s">
        <v>3</v>
      </c>
      <c r="E401" s="8" t="s">
        <v>6457</v>
      </c>
      <c r="F401" s="8" t="s">
        <v>2142</v>
      </c>
      <c r="G401" s="3" t="s">
        <v>12620</v>
      </c>
      <c r="H401" s="8" t="s">
        <v>2163</v>
      </c>
      <c r="I401" s="8" t="s">
        <v>2954</v>
      </c>
      <c r="J401" s="8" t="s">
        <v>2971</v>
      </c>
      <c r="K401" s="3" t="s">
        <v>12586</v>
      </c>
      <c r="L401" s="3" t="s">
        <v>12587</v>
      </c>
      <c r="M401" s="3" t="s">
        <v>12588</v>
      </c>
      <c r="N401" s="3" t="s">
        <v>12589</v>
      </c>
      <c r="O401" s="3" t="s">
        <v>12600</v>
      </c>
      <c r="P401" s="8" t="s">
        <v>2166</v>
      </c>
    </row>
    <row r="402" ht="12.75" customHeight="1">
      <c r="A402" s="8" t="s">
        <v>729</v>
      </c>
      <c r="B402" s="8" t="s">
        <v>6603</v>
      </c>
      <c r="C402" s="8" t="s">
        <v>6606</v>
      </c>
      <c r="D402" s="3" t="s">
        <v>3</v>
      </c>
      <c r="E402" s="8" t="s">
        <v>6608</v>
      </c>
      <c r="F402" s="8" t="s">
        <v>2147</v>
      </c>
      <c r="G402" s="8" t="s">
        <v>2217</v>
      </c>
      <c r="H402" s="8" t="s">
        <v>2216</v>
      </c>
      <c r="I402" s="8" t="s">
        <v>2954</v>
      </c>
      <c r="J402" s="8" t="s">
        <v>2971</v>
      </c>
      <c r="K402" s="3" t="s">
        <v>12586</v>
      </c>
      <c r="L402" s="3" t="s">
        <v>12587</v>
      </c>
      <c r="M402" s="3" t="s">
        <v>12588</v>
      </c>
      <c r="N402" s="3" t="s">
        <v>12589</v>
      </c>
      <c r="O402" s="3" t="s">
        <v>12616</v>
      </c>
      <c r="P402" s="8" t="s">
        <v>2218</v>
      </c>
    </row>
    <row r="403" ht="12.75" customHeight="1">
      <c r="A403" s="8" t="s">
        <v>833</v>
      </c>
      <c r="B403" s="8" t="s">
        <v>5687</v>
      </c>
      <c r="C403" s="8" t="s">
        <v>5695</v>
      </c>
      <c r="D403" s="3" t="s">
        <v>3</v>
      </c>
      <c r="E403" s="8" t="s">
        <v>5697</v>
      </c>
      <c r="F403" s="8" t="s">
        <v>2147</v>
      </c>
      <c r="G403" s="8" t="s">
        <v>2217</v>
      </c>
      <c r="H403" s="8" t="s">
        <v>2216</v>
      </c>
      <c r="I403" s="8" t="s">
        <v>2954</v>
      </c>
      <c r="J403" s="8" t="s">
        <v>2971</v>
      </c>
      <c r="K403" s="3" t="s">
        <v>12586</v>
      </c>
      <c r="L403" s="3" t="s">
        <v>12587</v>
      </c>
      <c r="M403" s="3" t="s">
        <v>12588</v>
      </c>
      <c r="N403" s="3" t="s">
        <v>12589</v>
      </c>
      <c r="O403" s="3" t="s">
        <v>12600</v>
      </c>
      <c r="P403" s="8" t="s">
        <v>2221</v>
      </c>
    </row>
    <row r="404" ht="12.75" customHeight="1">
      <c r="A404" s="8" t="s">
        <v>775</v>
      </c>
      <c r="B404" s="8" t="s">
        <v>6306</v>
      </c>
      <c r="C404" s="8" t="s">
        <v>6314</v>
      </c>
      <c r="D404" s="3" t="s">
        <v>3</v>
      </c>
      <c r="E404" s="8" t="s">
        <v>6316</v>
      </c>
      <c r="F404" s="8" t="s">
        <v>2147</v>
      </c>
      <c r="G404" s="8" t="s">
        <v>2217</v>
      </c>
      <c r="H404" s="8" t="s">
        <v>2216</v>
      </c>
      <c r="I404" s="8" t="s">
        <v>2954</v>
      </c>
      <c r="J404" s="8" t="s">
        <v>2971</v>
      </c>
      <c r="K404" s="3" t="s">
        <v>12586</v>
      </c>
      <c r="L404" s="3" t="s">
        <v>12587</v>
      </c>
      <c r="M404" s="3" t="s">
        <v>12588</v>
      </c>
      <c r="N404" s="3" t="s">
        <v>12589</v>
      </c>
      <c r="O404" s="3" t="s">
        <v>12600</v>
      </c>
      <c r="P404" s="8" t="s">
        <v>2221</v>
      </c>
    </row>
    <row r="405" ht="12.75" customHeight="1">
      <c r="A405" s="8" t="s">
        <v>753</v>
      </c>
      <c r="B405" s="8" t="s">
        <v>6426</v>
      </c>
      <c r="C405" s="8" t="s">
        <v>6436</v>
      </c>
      <c r="D405" s="3" t="s">
        <v>3</v>
      </c>
      <c r="E405" s="8" t="s">
        <v>6438</v>
      </c>
      <c r="F405" s="8" t="s">
        <v>2147</v>
      </c>
      <c r="G405" s="8" t="s">
        <v>2217</v>
      </c>
      <c r="H405" s="8" t="s">
        <v>2216</v>
      </c>
      <c r="I405" s="8" t="s">
        <v>2954</v>
      </c>
      <c r="J405" s="8" t="s">
        <v>2971</v>
      </c>
      <c r="K405" s="3" t="s">
        <v>12586</v>
      </c>
      <c r="L405" s="3" t="s">
        <v>12587</v>
      </c>
      <c r="M405" s="3" t="s">
        <v>12588</v>
      </c>
      <c r="N405" s="3" t="s">
        <v>12589</v>
      </c>
      <c r="O405" s="3" t="s">
        <v>12600</v>
      </c>
      <c r="P405" s="8" t="s">
        <v>2221</v>
      </c>
    </row>
    <row r="406" ht="12.75" customHeight="1">
      <c r="A406" s="8" t="s">
        <v>700</v>
      </c>
      <c r="B406" s="8" t="s">
        <v>6734</v>
      </c>
      <c r="C406" s="8" t="s">
        <v>6739</v>
      </c>
      <c r="D406" s="3" t="s">
        <v>3</v>
      </c>
      <c r="E406" s="8" t="s">
        <v>6741</v>
      </c>
      <c r="F406" s="8" t="s">
        <v>2147</v>
      </c>
      <c r="G406" s="8" t="s">
        <v>2217</v>
      </c>
      <c r="H406" s="8" t="s">
        <v>2216</v>
      </c>
      <c r="I406" s="8" t="s">
        <v>2954</v>
      </c>
      <c r="J406" s="8" t="s">
        <v>2971</v>
      </c>
      <c r="K406" s="3" t="s">
        <v>12586</v>
      </c>
      <c r="L406" s="3" t="s">
        <v>12587</v>
      </c>
      <c r="M406" s="3" t="s">
        <v>12588</v>
      </c>
      <c r="N406" s="3" t="s">
        <v>12589</v>
      </c>
      <c r="O406" s="3" t="s">
        <v>12600</v>
      </c>
      <c r="P406" s="8" t="s">
        <v>2221</v>
      </c>
    </row>
    <row r="407" ht="12.75" customHeight="1">
      <c r="A407" s="8" t="s">
        <v>672</v>
      </c>
      <c r="B407" s="8" t="s">
        <v>6874</v>
      </c>
      <c r="C407" s="8" t="s">
        <v>6880</v>
      </c>
      <c r="D407" s="3" t="s">
        <v>3</v>
      </c>
      <c r="E407" s="8" t="s">
        <v>6882</v>
      </c>
      <c r="F407" s="8" t="s">
        <v>2147</v>
      </c>
      <c r="G407" s="8" t="s">
        <v>2217</v>
      </c>
      <c r="H407" s="8" t="s">
        <v>2216</v>
      </c>
      <c r="I407" s="8" t="s">
        <v>2954</v>
      </c>
      <c r="J407" s="8" t="s">
        <v>2971</v>
      </c>
      <c r="K407" s="3" t="s">
        <v>12586</v>
      </c>
      <c r="L407" s="3" t="s">
        <v>12587</v>
      </c>
      <c r="M407" s="3" t="s">
        <v>12588</v>
      </c>
      <c r="N407" s="3" t="s">
        <v>12589</v>
      </c>
      <c r="O407" s="3" t="s">
        <v>12600</v>
      </c>
      <c r="P407" s="8" t="s">
        <v>2221</v>
      </c>
    </row>
    <row r="408" ht="12.75" customHeight="1">
      <c r="A408" s="8" t="s">
        <v>457</v>
      </c>
      <c r="B408" s="8" t="s">
        <v>6230</v>
      </c>
      <c r="C408" s="8" t="s">
        <v>6237</v>
      </c>
      <c r="D408" s="3" t="s">
        <v>3</v>
      </c>
      <c r="E408" s="8" t="s">
        <v>6239</v>
      </c>
      <c r="F408" s="8" t="s">
        <v>2142</v>
      </c>
      <c r="G408" s="3" t="s">
        <v>12585</v>
      </c>
      <c r="H408" s="8" t="s">
        <v>2373</v>
      </c>
      <c r="I408" s="8" t="s">
        <v>2954</v>
      </c>
      <c r="J408" s="8" t="s">
        <v>2971</v>
      </c>
      <c r="K408" s="3" t="s">
        <v>12586</v>
      </c>
      <c r="L408" s="3" t="s">
        <v>12587</v>
      </c>
      <c r="M408" s="3" t="s">
        <v>12588</v>
      </c>
      <c r="N408" s="3" t="s">
        <v>12589</v>
      </c>
      <c r="O408" s="3" t="s">
        <v>12600</v>
      </c>
      <c r="P408" s="8" t="s">
        <v>2166</v>
      </c>
    </row>
    <row r="409" ht="12.75" customHeight="1">
      <c r="A409" s="8" t="s">
        <v>843</v>
      </c>
      <c r="B409" s="8" t="s">
        <v>5818</v>
      </c>
      <c r="C409" s="8" t="s">
        <v>5831</v>
      </c>
      <c r="D409" s="3" t="s">
        <v>3</v>
      </c>
      <c r="E409" s="8" t="s">
        <v>5834</v>
      </c>
      <c r="F409" s="8" t="s">
        <v>2283</v>
      </c>
      <c r="G409" s="3" t="s">
        <v>12633</v>
      </c>
      <c r="H409" s="8" t="s">
        <v>2396</v>
      </c>
      <c r="I409" s="8" t="s">
        <v>2954</v>
      </c>
      <c r="J409" s="8" t="s">
        <v>2971</v>
      </c>
      <c r="K409" s="3" t="s">
        <v>12586</v>
      </c>
      <c r="L409" s="3" t="s">
        <v>12587</v>
      </c>
      <c r="M409" s="3" t="s">
        <v>12588</v>
      </c>
      <c r="N409" s="3" t="s">
        <v>12589</v>
      </c>
      <c r="O409" s="3" t="s">
        <v>12596</v>
      </c>
      <c r="P409" s="8" t="s">
        <v>2311</v>
      </c>
    </row>
    <row r="410" ht="12.75" customHeight="1">
      <c r="A410" s="8" t="s">
        <v>825</v>
      </c>
      <c r="B410" s="8" t="s">
        <v>5893</v>
      </c>
      <c r="C410" s="8" t="s">
        <v>2135</v>
      </c>
      <c r="D410" s="3" t="s">
        <v>3</v>
      </c>
      <c r="E410" s="8" t="s">
        <v>5900</v>
      </c>
      <c r="F410" s="8" t="s">
        <v>2283</v>
      </c>
      <c r="G410" s="3" t="s">
        <v>12618</v>
      </c>
      <c r="H410" s="8" t="s">
        <v>2420</v>
      </c>
      <c r="I410" s="8" t="s">
        <v>2954</v>
      </c>
      <c r="J410" s="8" t="s">
        <v>2971</v>
      </c>
      <c r="K410" s="3" t="s">
        <v>12586</v>
      </c>
      <c r="L410" s="3" t="s">
        <v>12587</v>
      </c>
      <c r="M410" s="3" t="s">
        <v>12588</v>
      </c>
      <c r="N410" s="3" t="s">
        <v>12589</v>
      </c>
      <c r="O410" s="3" t="s">
        <v>12600</v>
      </c>
      <c r="P410" s="8" t="s">
        <v>2401</v>
      </c>
    </row>
    <row r="411" ht="12.75" customHeight="1">
      <c r="A411" s="8" t="s">
        <v>718</v>
      </c>
      <c r="B411" s="8" t="s">
        <v>6648</v>
      </c>
      <c r="C411" s="8" t="s">
        <v>6654</v>
      </c>
      <c r="D411" s="3" t="s">
        <v>3</v>
      </c>
      <c r="E411" s="8" t="s">
        <v>6656</v>
      </c>
      <c r="F411" s="8" t="s">
        <v>2142</v>
      </c>
      <c r="G411" s="3" t="s">
        <v>12585</v>
      </c>
      <c r="H411" s="8" t="s">
        <v>2497</v>
      </c>
      <c r="I411" s="8" t="s">
        <v>2954</v>
      </c>
      <c r="J411" s="8" t="s">
        <v>2971</v>
      </c>
      <c r="K411" s="3" t="s">
        <v>12586</v>
      </c>
      <c r="L411" s="3" t="s">
        <v>12587</v>
      </c>
      <c r="M411" s="3" t="s">
        <v>12588</v>
      </c>
      <c r="N411" s="3" t="s">
        <v>12589</v>
      </c>
      <c r="O411" s="3" t="s">
        <v>12627</v>
      </c>
      <c r="P411" s="8" t="s">
        <v>2515</v>
      </c>
    </row>
    <row r="412" ht="12.75" customHeight="1">
      <c r="A412" s="8" t="s">
        <v>12543</v>
      </c>
      <c r="B412" s="8" t="s">
        <v>12546</v>
      </c>
      <c r="C412" s="8" t="s">
        <v>12548</v>
      </c>
      <c r="D412" s="3" t="s">
        <v>3</v>
      </c>
      <c r="E412" s="8" t="s">
        <v>12550</v>
      </c>
      <c r="F412" s="3" t="s">
        <v>2142</v>
      </c>
      <c r="G412" s="3" t="s">
        <v>12585</v>
      </c>
      <c r="H412" s="3" t="s">
        <v>2497</v>
      </c>
      <c r="I412" s="3" t="s">
        <v>2954</v>
      </c>
      <c r="J412" s="3" t="s">
        <v>2971</v>
      </c>
      <c r="K412" s="3" t="s">
        <v>12586</v>
      </c>
      <c r="L412" s="3" t="s">
        <v>12587</v>
      </c>
      <c r="M412" s="3" t="s">
        <v>12588</v>
      </c>
      <c r="N412" s="3" t="s">
        <v>12589</v>
      </c>
      <c r="O412" s="3" t="s">
        <v>12596</v>
      </c>
      <c r="P412" s="3" t="s">
        <v>2311</v>
      </c>
    </row>
    <row r="413" ht="12.75" customHeight="1">
      <c r="A413" s="8" t="s">
        <v>682</v>
      </c>
      <c r="B413" s="8" t="s">
        <v>6829</v>
      </c>
      <c r="C413" s="8" t="s">
        <v>6834</v>
      </c>
      <c r="D413" s="3" t="s">
        <v>3</v>
      </c>
      <c r="E413" s="8" t="s">
        <v>6836</v>
      </c>
      <c r="F413" s="8" t="s">
        <v>2147</v>
      </c>
      <c r="G413" s="8" t="s">
        <v>2217</v>
      </c>
      <c r="H413" s="8" t="s">
        <v>2600</v>
      </c>
      <c r="I413" s="8" t="s">
        <v>2954</v>
      </c>
      <c r="J413" s="8" t="s">
        <v>2971</v>
      </c>
      <c r="K413" s="3" t="s">
        <v>12586</v>
      </c>
      <c r="L413" s="3" t="s">
        <v>12587</v>
      </c>
      <c r="M413" s="3" t="s">
        <v>12588</v>
      </c>
      <c r="N413" s="3" t="s">
        <v>12589</v>
      </c>
      <c r="O413" s="3" t="s">
        <v>12651</v>
      </c>
      <c r="P413" s="8" t="s">
        <v>2692</v>
      </c>
    </row>
    <row r="414" ht="12.75" customHeight="1">
      <c r="A414" s="8" t="s">
        <v>835</v>
      </c>
      <c r="B414" s="8" t="s">
        <v>5732</v>
      </c>
      <c r="C414" s="8" t="s">
        <v>5741</v>
      </c>
      <c r="D414" s="3" t="s">
        <v>3</v>
      </c>
      <c r="E414" s="8" t="s">
        <v>5743</v>
      </c>
      <c r="F414" s="8" t="s">
        <v>2147</v>
      </c>
      <c r="G414" s="8" t="s">
        <v>2217</v>
      </c>
      <c r="H414" s="8" t="s">
        <v>2600</v>
      </c>
      <c r="I414" s="8" t="s">
        <v>2954</v>
      </c>
      <c r="J414" s="8" t="s">
        <v>2971</v>
      </c>
      <c r="K414" s="3" t="s">
        <v>12586</v>
      </c>
      <c r="L414" s="3" t="s">
        <v>12587</v>
      </c>
      <c r="M414" s="3" t="s">
        <v>12588</v>
      </c>
      <c r="N414" s="3" t="s">
        <v>12589</v>
      </c>
      <c r="O414" s="3" t="s">
        <v>12600</v>
      </c>
      <c r="P414" s="8" t="s">
        <v>2221</v>
      </c>
    </row>
    <row r="415" ht="12.75" customHeight="1">
      <c r="A415" s="8" t="s">
        <v>781</v>
      </c>
      <c r="B415" s="8" t="s">
        <v>6244</v>
      </c>
      <c r="C415" s="8" t="s">
        <v>6253</v>
      </c>
      <c r="D415" s="3" t="s">
        <v>3</v>
      </c>
      <c r="E415" s="8" t="s">
        <v>6255</v>
      </c>
      <c r="F415" s="8" t="s">
        <v>2147</v>
      </c>
      <c r="G415" s="8" t="s">
        <v>2217</v>
      </c>
      <c r="H415" s="8" t="s">
        <v>2600</v>
      </c>
      <c r="I415" s="8" t="s">
        <v>2954</v>
      </c>
      <c r="J415" s="8" t="s">
        <v>2971</v>
      </c>
      <c r="K415" s="3" t="s">
        <v>12586</v>
      </c>
      <c r="L415" s="3" t="s">
        <v>12587</v>
      </c>
      <c r="M415" s="3" t="s">
        <v>12588</v>
      </c>
      <c r="N415" s="3" t="s">
        <v>12589</v>
      </c>
      <c r="O415" s="3" t="s">
        <v>12600</v>
      </c>
      <c r="P415" s="8" t="s">
        <v>2221</v>
      </c>
    </row>
    <row r="416" ht="12.75" customHeight="1">
      <c r="A416" s="8" t="s">
        <v>710</v>
      </c>
      <c r="B416" s="8" t="s">
        <v>6660</v>
      </c>
      <c r="C416" s="8" t="s">
        <v>6663</v>
      </c>
      <c r="D416" s="3" t="s">
        <v>3</v>
      </c>
      <c r="E416" s="8" t="s">
        <v>6665</v>
      </c>
      <c r="F416" s="8" t="s">
        <v>2147</v>
      </c>
      <c r="G416" s="8" t="s">
        <v>2217</v>
      </c>
      <c r="H416" s="8" t="s">
        <v>2600</v>
      </c>
      <c r="I416" s="8" t="s">
        <v>2954</v>
      </c>
      <c r="J416" s="8" t="s">
        <v>2971</v>
      </c>
      <c r="K416" s="3" t="s">
        <v>12586</v>
      </c>
      <c r="L416" s="3" t="s">
        <v>12587</v>
      </c>
      <c r="M416" s="3" t="s">
        <v>12588</v>
      </c>
      <c r="N416" s="3" t="s">
        <v>12589</v>
      </c>
      <c r="O416" s="3" t="s">
        <v>12600</v>
      </c>
      <c r="P416" s="8" t="s">
        <v>2221</v>
      </c>
    </row>
    <row r="417" ht="12.75" customHeight="1">
      <c r="A417" s="8" t="s">
        <v>688</v>
      </c>
      <c r="B417" s="8" t="s">
        <v>6783</v>
      </c>
      <c r="C417" s="8" t="s">
        <v>6788</v>
      </c>
      <c r="D417" s="3" t="s">
        <v>3</v>
      </c>
      <c r="E417" s="8" t="s">
        <v>6790</v>
      </c>
      <c r="F417" s="8" t="s">
        <v>2147</v>
      </c>
      <c r="G417" s="8" t="s">
        <v>2217</v>
      </c>
      <c r="H417" s="8" t="s">
        <v>2600</v>
      </c>
      <c r="I417" s="8" t="s">
        <v>2954</v>
      </c>
      <c r="J417" s="8" t="s">
        <v>2971</v>
      </c>
      <c r="K417" s="3" t="s">
        <v>12586</v>
      </c>
      <c r="L417" s="3" t="s">
        <v>12587</v>
      </c>
      <c r="M417" s="3" t="s">
        <v>12588</v>
      </c>
      <c r="N417" s="3" t="s">
        <v>12589</v>
      </c>
      <c r="O417" s="3" t="s">
        <v>12600</v>
      </c>
      <c r="P417" s="8" t="s">
        <v>2221</v>
      </c>
    </row>
    <row r="418" ht="12.75" customHeight="1">
      <c r="A418" s="8" t="s">
        <v>680</v>
      </c>
      <c r="B418" s="8" t="s">
        <v>6804</v>
      </c>
      <c r="C418" s="8" t="s">
        <v>6811</v>
      </c>
      <c r="D418" s="3" t="s">
        <v>3</v>
      </c>
      <c r="E418" s="8" t="s">
        <v>6813</v>
      </c>
      <c r="F418" s="8" t="s">
        <v>2147</v>
      </c>
      <c r="G418" s="8" t="s">
        <v>2217</v>
      </c>
      <c r="H418" s="8" t="s">
        <v>2600</v>
      </c>
      <c r="I418" s="8" t="s">
        <v>2954</v>
      </c>
      <c r="J418" s="8" t="s">
        <v>2971</v>
      </c>
      <c r="K418" s="3" t="s">
        <v>12586</v>
      </c>
      <c r="L418" s="3" t="s">
        <v>12587</v>
      </c>
      <c r="M418" s="3" t="s">
        <v>12588</v>
      </c>
      <c r="N418" s="3" t="s">
        <v>12589</v>
      </c>
      <c r="O418" s="3" t="s">
        <v>12600</v>
      </c>
      <c r="P418" s="8" t="s">
        <v>2221</v>
      </c>
    </row>
    <row r="419" ht="12.75" customHeight="1">
      <c r="A419" s="8" t="s">
        <v>668</v>
      </c>
      <c r="B419" s="8" t="s">
        <v>6920</v>
      </c>
      <c r="C419" s="8" t="s">
        <v>6922</v>
      </c>
      <c r="D419" s="3" t="s">
        <v>3</v>
      </c>
      <c r="E419" s="8" t="s">
        <v>6924</v>
      </c>
      <c r="F419" s="8" t="s">
        <v>2147</v>
      </c>
      <c r="G419" s="8" t="s">
        <v>2217</v>
      </c>
      <c r="H419" s="8" t="s">
        <v>2600</v>
      </c>
      <c r="I419" s="8" t="s">
        <v>2954</v>
      </c>
      <c r="J419" s="8" t="s">
        <v>2971</v>
      </c>
      <c r="K419" s="3" t="s">
        <v>12586</v>
      </c>
      <c r="L419" s="3" t="s">
        <v>12587</v>
      </c>
      <c r="M419" s="3" t="s">
        <v>12588</v>
      </c>
      <c r="N419" s="3" t="s">
        <v>12589</v>
      </c>
      <c r="O419" s="3" t="s">
        <v>12600</v>
      </c>
      <c r="P419" s="8" t="s">
        <v>2221</v>
      </c>
    </row>
    <row r="420" ht="12.75" customHeight="1">
      <c r="A420" s="8" t="s">
        <v>868</v>
      </c>
      <c r="B420" s="8" t="s">
        <v>5380</v>
      </c>
      <c r="C420" s="8" t="s">
        <v>5394</v>
      </c>
      <c r="D420" s="3" t="s">
        <v>3</v>
      </c>
      <c r="E420" s="8" t="s">
        <v>5396</v>
      </c>
      <c r="F420" s="8" t="s">
        <v>2147</v>
      </c>
      <c r="G420" s="8" t="s">
        <v>2217</v>
      </c>
      <c r="H420" s="8" t="s">
        <v>2600</v>
      </c>
      <c r="I420" s="8" t="s">
        <v>2954</v>
      </c>
      <c r="J420" s="8" t="s">
        <v>2971</v>
      </c>
      <c r="K420" s="3" t="s">
        <v>12586</v>
      </c>
      <c r="L420" s="3" t="s">
        <v>12587</v>
      </c>
      <c r="M420" s="3" t="s">
        <v>12588</v>
      </c>
      <c r="N420" s="3" t="s">
        <v>12589</v>
      </c>
      <c r="O420" s="3" t="s">
        <v>12600</v>
      </c>
      <c r="P420" s="8" t="s">
        <v>2700</v>
      </c>
    </row>
    <row r="421" ht="12.75" customHeight="1">
      <c r="A421" s="8" t="s">
        <v>865</v>
      </c>
      <c r="B421" s="8" t="s">
        <v>5402</v>
      </c>
      <c r="C421" s="8" t="s">
        <v>5415</v>
      </c>
      <c r="D421" s="3" t="s">
        <v>3</v>
      </c>
      <c r="E421" s="8" t="s">
        <v>5417</v>
      </c>
      <c r="F421" s="8" t="s">
        <v>2147</v>
      </c>
      <c r="G421" s="8" t="s">
        <v>2217</v>
      </c>
      <c r="H421" s="8" t="s">
        <v>2600</v>
      </c>
      <c r="I421" s="8" t="s">
        <v>2954</v>
      </c>
      <c r="J421" s="8" t="s">
        <v>2971</v>
      </c>
      <c r="K421" s="3" t="s">
        <v>12586</v>
      </c>
      <c r="L421" s="3" t="s">
        <v>12587</v>
      </c>
      <c r="M421" s="3" t="s">
        <v>12588</v>
      </c>
      <c r="N421" s="3" t="s">
        <v>12589</v>
      </c>
      <c r="O421" s="3" t="s">
        <v>12600</v>
      </c>
      <c r="P421" s="8" t="s">
        <v>2700</v>
      </c>
    </row>
    <row r="422" ht="12.75" customHeight="1">
      <c r="A422" s="8" t="s">
        <v>872</v>
      </c>
      <c r="B422" s="8" t="s">
        <v>5464</v>
      </c>
      <c r="C422" s="8" t="s">
        <v>5471</v>
      </c>
      <c r="D422" s="3" t="s">
        <v>3</v>
      </c>
      <c r="E422" s="8" t="s">
        <v>5473</v>
      </c>
      <c r="F422" s="8" t="s">
        <v>2147</v>
      </c>
      <c r="G422" s="8" t="s">
        <v>2217</v>
      </c>
      <c r="H422" s="8" t="s">
        <v>2600</v>
      </c>
      <c r="I422" s="8" t="s">
        <v>2954</v>
      </c>
      <c r="J422" s="8" t="s">
        <v>2971</v>
      </c>
      <c r="K422" s="3" t="s">
        <v>12586</v>
      </c>
      <c r="L422" s="3" t="s">
        <v>12587</v>
      </c>
      <c r="M422" s="3" t="s">
        <v>12588</v>
      </c>
      <c r="N422" s="3" t="s">
        <v>12589</v>
      </c>
      <c r="O422" s="3" t="s">
        <v>12600</v>
      </c>
      <c r="P422" s="8" t="s">
        <v>2700</v>
      </c>
    </row>
    <row r="423" ht="12.75" customHeight="1">
      <c r="A423" s="8" t="s">
        <v>810</v>
      </c>
      <c r="B423" s="8" t="s">
        <v>5976</v>
      </c>
      <c r="C423" s="8" t="s">
        <v>5981</v>
      </c>
      <c r="D423" s="3" t="s">
        <v>3</v>
      </c>
      <c r="E423" s="8" t="s">
        <v>5983</v>
      </c>
      <c r="F423" s="8" t="s">
        <v>2147</v>
      </c>
      <c r="G423" s="8" t="s">
        <v>2217</v>
      </c>
      <c r="H423" s="8" t="s">
        <v>2600</v>
      </c>
      <c r="I423" s="8" t="s">
        <v>2954</v>
      </c>
      <c r="J423" s="8" t="s">
        <v>2971</v>
      </c>
      <c r="K423" s="3" t="s">
        <v>12586</v>
      </c>
      <c r="L423" s="3" t="s">
        <v>12587</v>
      </c>
      <c r="M423" s="3" t="s">
        <v>12588</v>
      </c>
      <c r="N423" s="3" t="s">
        <v>12589</v>
      </c>
      <c r="O423" s="3" t="s">
        <v>12595</v>
      </c>
      <c r="P423" s="8" t="s">
        <v>2224</v>
      </c>
    </row>
    <row r="424" ht="12.75" customHeight="1">
      <c r="A424" s="8" t="s">
        <v>692</v>
      </c>
      <c r="B424" s="8" t="s">
        <v>6755</v>
      </c>
      <c r="C424" s="8" t="s">
        <v>6757</v>
      </c>
      <c r="D424" s="3" t="s">
        <v>3</v>
      </c>
      <c r="E424" s="8" t="s">
        <v>6759</v>
      </c>
      <c r="F424" s="8" t="s">
        <v>2147</v>
      </c>
      <c r="G424" s="8" t="s">
        <v>2217</v>
      </c>
      <c r="H424" s="8" t="s">
        <v>2600</v>
      </c>
      <c r="I424" s="8" t="s">
        <v>2954</v>
      </c>
      <c r="J424" s="8" t="s">
        <v>2971</v>
      </c>
      <c r="K424" s="3" t="s">
        <v>12586</v>
      </c>
      <c r="L424" s="3" t="s">
        <v>12587</v>
      </c>
      <c r="M424" s="3" t="s">
        <v>12588</v>
      </c>
      <c r="N424" s="3" t="s">
        <v>12589</v>
      </c>
      <c r="O424" s="3" t="s">
        <v>12595</v>
      </c>
      <c r="P424" s="8" t="s">
        <v>2224</v>
      </c>
    </row>
    <row r="425" ht="12.75" customHeight="1">
      <c r="A425" s="8" t="s">
        <v>829</v>
      </c>
      <c r="B425" s="8" t="s">
        <v>5878</v>
      </c>
      <c r="C425" s="8" t="s">
        <v>5887</v>
      </c>
      <c r="D425" s="3" t="s">
        <v>3</v>
      </c>
      <c r="E425" s="8" t="s">
        <v>5889</v>
      </c>
      <c r="F425" s="8" t="s">
        <v>2147</v>
      </c>
      <c r="G425" s="8" t="s">
        <v>2217</v>
      </c>
      <c r="I425" s="8" t="s">
        <v>2954</v>
      </c>
      <c r="J425" s="8" t="s">
        <v>2971</v>
      </c>
      <c r="K425" s="3" t="s">
        <v>12586</v>
      </c>
      <c r="L425" s="3" t="s">
        <v>12587</v>
      </c>
      <c r="M425" s="3" t="s">
        <v>12588</v>
      </c>
      <c r="N425" s="3" t="s">
        <v>12589</v>
      </c>
      <c r="O425" s="3" t="s">
        <v>12595</v>
      </c>
      <c r="P425" s="8" t="s">
        <v>2224</v>
      </c>
    </row>
    <row r="426" ht="12.75" customHeight="1">
      <c r="A426" s="8" t="s">
        <v>1542</v>
      </c>
      <c r="B426" s="8" t="s">
        <v>9769</v>
      </c>
      <c r="C426" s="8" t="s">
        <v>9775</v>
      </c>
      <c r="D426" s="3" t="s">
        <v>3</v>
      </c>
      <c r="E426" s="8" t="s">
        <v>9776</v>
      </c>
      <c r="F426" s="8" t="s">
        <v>2142</v>
      </c>
      <c r="I426" s="8" t="s">
        <v>3080</v>
      </c>
      <c r="J426" s="8" t="s">
        <v>3079</v>
      </c>
      <c r="K426" s="3" t="s">
        <v>12586</v>
      </c>
      <c r="L426" s="3" t="s">
        <v>12587</v>
      </c>
      <c r="M426" s="3" t="s">
        <v>12588</v>
      </c>
      <c r="N426" s="3" t="s">
        <v>12589</v>
      </c>
      <c r="O426" s="3" t="s">
        <v>12590</v>
      </c>
      <c r="P426" s="8" t="s">
        <v>2143</v>
      </c>
    </row>
    <row r="427" ht="12.75" customHeight="1">
      <c r="A427" s="8" t="s">
        <v>145</v>
      </c>
      <c r="B427" s="8" t="s">
        <v>3540</v>
      </c>
      <c r="C427" s="8" t="s">
        <v>3557</v>
      </c>
      <c r="D427" s="3" t="s">
        <v>3</v>
      </c>
      <c r="E427" s="8" t="s">
        <v>3561</v>
      </c>
      <c r="F427" s="8" t="s">
        <v>2142</v>
      </c>
      <c r="G427" s="3" t="s">
        <v>12585</v>
      </c>
      <c r="H427" s="8" t="s">
        <v>2141</v>
      </c>
      <c r="I427" s="8" t="s">
        <v>3055</v>
      </c>
      <c r="J427" s="8" t="s">
        <v>3054</v>
      </c>
      <c r="K427" s="3" t="s">
        <v>12586</v>
      </c>
      <c r="L427" s="3" t="s">
        <v>12587</v>
      </c>
      <c r="M427" s="3" t="s">
        <v>12588</v>
      </c>
      <c r="N427" s="3" t="s">
        <v>12589</v>
      </c>
      <c r="O427" s="3" t="s">
        <v>12590</v>
      </c>
      <c r="P427" s="8" t="s">
        <v>2143</v>
      </c>
    </row>
    <row r="428" ht="12.75" customHeight="1">
      <c r="A428" s="8" t="s">
        <v>194</v>
      </c>
      <c r="B428" s="8" t="s">
        <v>3774</v>
      </c>
      <c r="C428" s="8" t="s">
        <v>3791</v>
      </c>
      <c r="D428" s="3" t="s">
        <v>3</v>
      </c>
      <c r="E428" s="8" t="s">
        <v>3793</v>
      </c>
      <c r="F428" s="8" t="s">
        <v>2142</v>
      </c>
      <c r="G428" s="3" t="s">
        <v>12585</v>
      </c>
      <c r="H428" s="8" t="s">
        <v>2304</v>
      </c>
      <c r="I428" s="8" t="s">
        <v>2965</v>
      </c>
      <c r="J428" s="8" t="s">
        <v>2964</v>
      </c>
      <c r="K428" s="3" t="s">
        <v>12586</v>
      </c>
      <c r="L428" s="3" t="s">
        <v>12587</v>
      </c>
      <c r="M428" s="3" t="s">
        <v>12588</v>
      </c>
      <c r="N428" s="3" t="s">
        <v>12589</v>
      </c>
      <c r="O428" s="3" t="s">
        <v>12590</v>
      </c>
      <c r="P428" s="8" t="s">
        <v>2143</v>
      </c>
    </row>
    <row r="429" ht="12.75" customHeight="1">
      <c r="A429" s="8" t="s">
        <v>203</v>
      </c>
      <c r="B429" s="8" t="s">
        <v>3666</v>
      </c>
      <c r="C429" s="8" t="s">
        <v>3680</v>
      </c>
      <c r="D429" s="3" t="s">
        <v>3</v>
      </c>
      <c r="E429" s="8" t="s">
        <v>3683</v>
      </c>
      <c r="F429" s="8" t="s">
        <v>2283</v>
      </c>
      <c r="G429" s="3" t="s">
        <v>12618</v>
      </c>
      <c r="H429" s="8" t="s">
        <v>2365</v>
      </c>
      <c r="I429" s="8" t="s">
        <v>2965</v>
      </c>
      <c r="J429" s="8" t="s">
        <v>2964</v>
      </c>
      <c r="K429" s="3" t="s">
        <v>12586</v>
      </c>
      <c r="L429" s="3" t="s">
        <v>12587</v>
      </c>
      <c r="M429" s="3" t="s">
        <v>12588</v>
      </c>
      <c r="N429" s="3" t="s">
        <v>12589</v>
      </c>
      <c r="O429" s="3" t="s">
        <v>12602</v>
      </c>
      <c r="P429" s="8" t="s">
        <v>2358</v>
      </c>
    </row>
    <row r="430" ht="12.75" customHeight="1">
      <c r="A430" s="8" t="s">
        <v>189</v>
      </c>
      <c r="B430" s="8" t="s">
        <v>3819</v>
      </c>
      <c r="C430" s="8" t="s">
        <v>3826</v>
      </c>
      <c r="D430" s="3" t="s">
        <v>3</v>
      </c>
      <c r="E430" s="8" t="s">
        <v>3828</v>
      </c>
      <c r="F430" s="8" t="s">
        <v>2142</v>
      </c>
      <c r="G430" s="3" t="s">
        <v>12585</v>
      </c>
      <c r="H430" s="8" t="s">
        <v>2471</v>
      </c>
      <c r="I430" s="8" t="s">
        <v>2965</v>
      </c>
      <c r="J430" s="8" t="s">
        <v>2964</v>
      </c>
      <c r="K430" s="3" t="s">
        <v>12586</v>
      </c>
      <c r="L430" s="3" t="s">
        <v>12587</v>
      </c>
      <c r="M430" s="3" t="s">
        <v>12588</v>
      </c>
      <c r="N430" s="3" t="s">
        <v>12589</v>
      </c>
      <c r="O430" s="3" t="s">
        <v>12590</v>
      </c>
      <c r="P430" s="8" t="s">
        <v>2143</v>
      </c>
    </row>
    <row r="431" ht="12.75" customHeight="1">
      <c r="A431" s="8" t="s">
        <v>1017</v>
      </c>
      <c r="B431" s="8" t="s">
        <v>7259</v>
      </c>
      <c r="C431" s="8" t="s">
        <v>7264</v>
      </c>
      <c r="D431" s="3" t="s">
        <v>3</v>
      </c>
      <c r="E431" s="8" t="s">
        <v>7266</v>
      </c>
      <c r="F431" s="8" t="s">
        <v>2147</v>
      </c>
      <c r="I431" s="8" t="s">
        <v>3217</v>
      </c>
      <c r="J431" s="8" t="s">
        <v>3216</v>
      </c>
      <c r="K431" s="3" t="s">
        <v>12586</v>
      </c>
      <c r="L431" s="3" t="s">
        <v>12587</v>
      </c>
      <c r="M431" s="3" t="s">
        <v>12588</v>
      </c>
      <c r="N431" s="3" t="s">
        <v>12589</v>
      </c>
      <c r="O431" s="3" t="s">
        <v>12607</v>
      </c>
      <c r="P431" s="8" t="s">
        <v>2186</v>
      </c>
    </row>
    <row r="432" ht="12.75" customHeight="1">
      <c r="A432" s="8" t="s">
        <v>1109</v>
      </c>
      <c r="B432" s="8" t="s">
        <v>7640</v>
      </c>
      <c r="C432" s="8" t="s">
        <v>7652</v>
      </c>
      <c r="D432" s="3" t="s">
        <v>3</v>
      </c>
      <c r="E432" s="8" t="s">
        <v>7654</v>
      </c>
      <c r="F432" s="8" t="s">
        <v>2147</v>
      </c>
      <c r="G432" s="8" t="s">
        <v>2217</v>
      </c>
      <c r="H432" s="8" t="s">
        <v>2600</v>
      </c>
      <c r="I432" s="8" t="s">
        <v>3200</v>
      </c>
      <c r="J432" s="8" t="s">
        <v>3199</v>
      </c>
      <c r="K432" s="3" t="s">
        <v>12586</v>
      </c>
      <c r="L432" s="3" t="s">
        <v>12587</v>
      </c>
      <c r="M432" s="3" t="s">
        <v>12588</v>
      </c>
      <c r="N432" s="3" t="s">
        <v>12589</v>
      </c>
      <c r="O432" s="3" t="s">
        <v>12595</v>
      </c>
      <c r="P432" s="8" t="s">
        <v>2224</v>
      </c>
    </row>
    <row r="433" ht="12.75" customHeight="1">
      <c r="A433" s="8" t="s">
        <v>1111</v>
      </c>
      <c r="B433" s="8" t="s">
        <v>7659</v>
      </c>
      <c r="C433" s="8" t="s">
        <v>7667</v>
      </c>
      <c r="D433" s="3" t="s">
        <v>3</v>
      </c>
      <c r="E433" s="8" t="s">
        <v>7669</v>
      </c>
      <c r="F433" s="8" t="s">
        <v>2147</v>
      </c>
      <c r="G433" s="8" t="s">
        <v>2217</v>
      </c>
      <c r="H433" s="8" t="s">
        <v>2600</v>
      </c>
      <c r="I433" s="8" t="s">
        <v>3200</v>
      </c>
      <c r="J433" s="8" t="s">
        <v>3199</v>
      </c>
      <c r="K433" s="3" t="s">
        <v>12586</v>
      </c>
      <c r="L433" s="3" t="s">
        <v>12587</v>
      </c>
      <c r="M433" s="3" t="s">
        <v>12588</v>
      </c>
      <c r="N433" s="3" t="s">
        <v>12589</v>
      </c>
      <c r="O433" s="3" t="s">
        <v>12595</v>
      </c>
      <c r="P433" s="8" t="s">
        <v>2224</v>
      </c>
    </row>
    <row r="434" ht="12.75" customHeight="1">
      <c r="A434" s="8" t="s">
        <v>1091</v>
      </c>
      <c r="B434" s="8" t="s">
        <v>7418</v>
      </c>
      <c r="C434" s="8" t="s">
        <v>7425</v>
      </c>
      <c r="D434" s="3" t="s">
        <v>3</v>
      </c>
      <c r="E434" s="8" t="s">
        <v>7427</v>
      </c>
      <c r="F434" s="8" t="s">
        <v>2147</v>
      </c>
      <c r="G434" s="8" t="s">
        <v>2217</v>
      </c>
      <c r="H434" s="8" t="s">
        <v>2600</v>
      </c>
      <c r="I434" s="8" t="s">
        <v>3182</v>
      </c>
      <c r="J434" s="8" t="s">
        <v>3181</v>
      </c>
      <c r="K434" s="3" t="s">
        <v>12586</v>
      </c>
      <c r="L434" s="3" t="s">
        <v>12587</v>
      </c>
      <c r="M434" s="3" t="s">
        <v>12588</v>
      </c>
      <c r="N434" s="3" t="s">
        <v>12589</v>
      </c>
      <c r="O434" s="3" t="s">
        <v>12594</v>
      </c>
      <c r="P434" s="8" t="s">
        <v>2601</v>
      </c>
    </row>
    <row r="435" ht="12.75" customHeight="1">
      <c r="A435" s="8" t="s">
        <v>1087</v>
      </c>
      <c r="B435" s="8" t="s">
        <v>7431</v>
      </c>
      <c r="C435" s="8" t="s">
        <v>7438</v>
      </c>
      <c r="D435" s="3" t="s">
        <v>3</v>
      </c>
      <c r="E435" s="8" t="s">
        <v>7440</v>
      </c>
      <c r="F435" s="8" t="s">
        <v>2147</v>
      </c>
      <c r="G435" s="8" t="s">
        <v>2217</v>
      </c>
      <c r="H435" s="8" t="s">
        <v>2600</v>
      </c>
      <c r="I435" s="8" t="s">
        <v>3182</v>
      </c>
      <c r="J435" s="8" t="s">
        <v>3181</v>
      </c>
      <c r="K435" s="3" t="s">
        <v>12586</v>
      </c>
      <c r="L435" s="3" t="s">
        <v>12587</v>
      </c>
      <c r="M435" s="3" t="s">
        <v>12588</v>
      </c>
      <c r="N435" s="3" t="s">
        <v>12589</v>
      </c>
      <c r="O435" s="3" t="s">
        <v>12594</v>
      </c>
      <c r="P435" s="8" t="s">
        <v>2601</v>
      </c>
    </row>
    <row r="436" ht="12.75" customHeight="1">
      <c r="A436" s="8" t="s">
        <v>1089</v>
      </c>
      <c r="B436" s="8" t="s">
        <v>7444</v>
      </c>
      <c r="C436" s="8" t="s">
        <v>7448</v>
      </c>
      <c r="D436" s="3" t="s">
        <v>3</v>
      </c>
      <c r="E436" s="8" t="s">
        <v>7449</v>
      </c>
      <c r="F436" s="8" t="s">
        <v>2147</v>
      </c>
      <c r="G436" s="8" t="s">
        <v>2217</v>
      </c>
      <c r="H436" s="8" t="s">
        <v>2600</v>
      </c>
      <c r="I436" s="8" t="s">
        <v>3182</v>
      </c>
      <c r="J436" s="8" t="s">
        <v>3181</v>
      </c>
      <c r="K436" s="3" t="s">
        <v>12586</v>
      </c>
      <c r="L436" s="3" t="s">
        <v>12587</v>
      </c>
      <c r="M436" s="3" t="s">
        <v>12588</v>
      </c>
      <c r="N436" s="3" t="s">
        <v>12589</v>
      </c>
      <c r="O436" s="3" t="s">
        <v>12594</v>
      </c>
      <c r="P436" s="8" t="s">
        <v>2601</v>
      </c>
    </row>
    <row r="437" ht="12.75" customHeight="1">
      <c r="A437" s="8" t="s">
        <v>1085</v>
      </c>
      <c r="B437" s="8" t="s">
        <v>7454</v>
      </c>
      <c r="C437" s="8" t="s">
        <v>7463</v>
      </c>
      <c r="D437" s="3" t="s">
        <v>3</v>
      </c>
      <c r="E437" s="8" t="s">
        <v>7465</v>
      </c>
      <c r="F437" s="8" t="s">
        <v>2147</v>
      </c>
      <c r="G437" s="8" t="s">
        <v>2217</v>
      </c>
      <c r="H437" s="8" t="s">
        <v>2600</v>
      </c>
      <c r="I437" s="8" t="s">
        <v>3182</v>
      </c>
      <c r="J437" s="8" t="s">
        <v>3181</v>
      </c>
      <c r="K437" s="3" t="s">
        <v>12586</v>
      </c>
      <c r="L437" s="3" t="s">
        <v>12587</v>
      </c>
      <c r="M437" s="3" t="s">
        <v>12588</v>
      </c>
      <c r="N437" s="3" t="s">
        <v>12589</v>
      </c>
      <c r="O437" s="3" t="s">
        <v>12594</v>
      </c>
      <c r="P437" s="8" t="s">
        <v>2601</v>
      </c>
    </row>
    <row r="438" ht="12.75" customHeight="1">
      <c r="A438" s="8" t="s">
        <v>1083</v>
      </c>
      <c r="B438" s="8" t="s">
        <v>7469</v>
      </c>
      <c r="C438" s="8" t="s">
        <v>7480</v>
      </c>
      <c r="D438" s="3" t="s">
        <v>3</v>
      </c>
      <c r="E438" s="8" t="s">
        <v>7483</v>
      </c>
      <c r="F438" s="8" t="s">
        <v>2147</v>
      </c>
      <c r="G438" s="8" t="s">
        <v>2217</v>
      </c>
      <c r="H438" s="8" t="s">
        <v>2600</v>
      </c>
      <c r="I438" s="8" t="s">
        <v>3182</v>
      </c>
      <c r="J438" s="8" t="s">
        <v>3181</v>
      </c>
      <c r="K438" s="3" t="s">
        <v>12586</v>
      </c>
      <c r="L438" s="3" t="s">
        <v>12587</v>
      </c>
      <c r="M438" s="3" t="s">
        <v>12588</v>
      </c>
      <c r="N438" s="3" t="s">
        <v>12589</v>
      </c>
      <c r="O438" s="3" t="s">
        <v>12594</v>
      </c>
      <c r="P438" s="8" t="s">
        <v>2601</v>
      </c>
    </row>
    <row r="439" ht="12.75" customHeight="1">
      <c r="A439" s="8" t="s">
        <v>1079</v>
      </c>
      <c r="B439" s="8" t="s">
        <v>7584</v>
      </c>
      <c r="C439" s="8" t="s">
        <v>7596</v>
      </c>
      <c r="D439" s="3" t="s">
        <v>3</v>
      </c>
      <c r="E439" s="8" t="s">
        <v>7599</v>
      </c>
      <c r="F439" s="8" t="s">
        <v>2142</v>
      </c>
      <c r="G439" s="3" t="s">
        <v>12585</v>
      </c>
      <c r="H439" s="8" t="s">
        <v>2497</v>
      </c>
      <c r="I439" s="8" t="s">
        <v>2986</v>
      </c>
      <c r="J439" s="8" t="s">
        <v>3173</v>
      </c>
      <c r="K439" s="3" t="s">
        <v>12586</v>
      </c>
      <c r="L439" s="3" t="s">
        <v>12587</v>
      </c>
      <c r="M439" s="3" t="s">
        <v>12588</v>
      </c>
      <c r="N439" s="3" t="s">
        <v>12589</v>
      </c>
      <c r="O439" s="3" t="s">
        <v>12594</v>
      </c>
      <c r="P439" s="8" t="s">
        <v>2168</v>
      </c>
    </row>
    <row r="440" ht="12.75" customHeight="1">
      <c r="A440" s="8" t="s">
        <v>1104</v>
      </c>
      <c r="B440" s="8" t="s">
        <v>7628</v>
      </c>
      <c r="C440" s="8" t="s">
        <v>7635</v>
      </c>
      <c r="D440" s="3" t="s">
        <v>3</v>
      </c>
      <c r="E440" s="8" t="s">
        <v>7636</v>
      </c>
      <c r="F440" s="8" t="s">
        <v>2147</v>
      </c>
      <c r="G440" s="8" t="s">
        <v>2217</v>
      </c>
      <c r="H440" s="8" t="s">
        <v>2600</v>
      </c>
      <c r="I440" s="8" t="s">
        <v>2988</v>
      </c>
      <c r="J440" s="8" t="s">
        <v>2987</v>
      </c>
      <c r="K440" s="3" t="s">
        <v>12586</v>
      </c>
      <c r="L440" s="3" t="s">
        <v>12587</v>
      </c>
      <c r="M440" s="3" t="s">
        <v>12588</v>
      </c>
      <c r="N440" s="3" t="s">
        <v>12589</v>
      </c>
      <c r="O440" s="3" t="s">
        <v>12611</v>
      </c>
      <c r="P440" s="8" t="s">
        <v>2237</v>
      </c>
    </row>
    <row r="441" ht="12.75" customHeight="1">
      <c r="A441" s="8" t="s">
        <v>1065</v>
      </c>
      <c r="B441" s="8" t="s">
        <v>7509</v>
      </c>
      <c r="C441" s="8" t="s">
        <v>2135</v>
      </c>
      <c r="D441" s="3" t="s">
        <v>3</v>
      </c>
      <c r="E441" s="8" t="s">
        <v>7525</v>
      </c>
      <c r="F441" s="8" t="s">
        <v>2142</v>
      </c>
      <c r="G441" s="3" t="s">
        <v>12585</v>
      </c>
      <c r="H441" s="8" t="s">
        <v>2497</v>
      </c>
      <c r="I441" s="8" t="s">
        <v>3166</v>
      </c>
      <c r="J441" s="8" t="s">
        <v>2983</v>
      </c>
      <c r="K441" s="3" t="s">
        <v>12586</v>
      </c>
      <c r="L441" s="3" t="s">
        <v>12587</v>
      </c>
      <c r="M441" s="3" t="s">
        <v>12588</v>
      </c>
      <c r="N441" s="3" t="s">
        <v>12589</v>
      </c>
      <c r="O441" s="3" t="s">
        <v>12594</v>
      </c>
      <c r="P441" s="8" t="s">
        <v>2168</v>
      </c>
    </row>
    <row r="442" ht="12.75" customHeight="1">
      <c r="A442" s="8" t="s">
        <v>1443</v>
      </c>
      <c r="B442" s="8" t="s">
        <v>7566</v>
      </c>
      <c r="C442" s="8" t="s">
        <v>7576</v>
      </c>
      <c r="D442" s="3" t="s">
        <v>3</v>
      </c>
      <c r="E442" s="8" t="s">
        <v>7578</v>
      </c>
      <c r="F442" s="8" t="s">
        <v>2147</v>
      </c>
      <c r="G442" s="8" t="s">
        <v>2217</v>
      </c>
      <c r="H442" s="8" t="s">
        <v>2600</v>
      </c>
      <c r="I442" s="8" t="s">
        <v>2984</v>
      </c>
      <c r="J442" s="8" t="s">
        <v>2983</v>
      </c>
      <c r="K442" s="3" t="s">
        <v>12586</v>
      </c>
      <c r="L442" s="3" t="s">
        <v>12587</v>
      </c>
      <c r="M442" s="3" t="s">
        <v>12588</v>
      </c>
      <c r="N442" s="3" t="s">
        <v>12589</v>
      </c>
      <c r="O442" s="3" t="s">
        <v>12611</v>
      </c>
      <c r="P442" s="8" t="s">
        <v>2237</v>
      </c>
    </row>
    <row r="443" ht="12.75" customHeight="1">
      <c r="A443" s="8" t="s">
        <v>1300</v>
      </c>
      <c r="B443" s="8" t="s">
        <v>8162</v>
      </c>
      <c r="C443" s="8" t="s">
        <v>8175</v>
      </c>
      <c r="D443" s="3" t="s">
        <v>3</v>
      </c>
      <c r="E443" s="8" t="s">
        <v>8178</v>
      </c>
      <c r="F443" s="8" t="s">
        <v>2147</v>
      </c>
      <c r="G443" s="3" t="s">
        <v>12603</v>
      </c>
      <c r="H443" s="8" t="s">
        <v>2146</v>
      </c>
      <c r="I443" s="8" t="s">
        <v>2992</v>
      </c>
      <c r="J443" s="8" t="s">
        <v>2983</v>
      </c>
      <c r="K443" s="3" t="s">
        <v>12586</v>
      </c>
      <c r="L443" s="3" t="s">
        <v>12587</v>
      </c>
      <c r="M443" s="3" t="s">
        <v>12588</v>
      </c>
      <c r="N443" s="3" t="s">
        <v>12589</v>
      </c>
      <c r="O443" s="3" t="s">
        <v>12594</v>
      </c>
      <c r="P443" s="8" t="s">
        <v>2155</v>
      </c>
    </row>
    <row r="444" ht="12.75" customHeight="1">
      <c r="A444" s="8" t="s">
        <v>1304</v>
      </c>
      <c r="B444" s="8" t="s">
        <v>7991</v>
      </c>
      <c r="C444" s="8" t="s">
        <v>8002</v>
      </c>
      <c r="D444" s="3" t="s">
        <v>3</v>
      </c>
      <c r="E444" s="8" t="s">
        <v>8004</v>
      </c>
      <c r="F444" s="8" t="s">
        <v>2147</v>
      </c>
      <c r="G444" s="3" t="s">
        <v>12603</v>
      </c>
      <c r="H444" s="8" t="s">
        <v>2185</v>
      </c>
      <c r="I444" s="8" t="s">
        <v>2992</v>
      </c>
      <c r="J444" s="8" t="s">
        <v>2983</v>
      </c>
      <c r="K444" s="3" t="s">
        <v>12586</v>
      </c>
      <c r="L444" s="3" t="s">
        <v>12587</v>
      </c>
      <c r="M444" s="3" t="s">
        <v>12588</v>
      </c>
      <c r="N444" s="3" t="s">
        <v>12589</v>
      </c>
      <c r="O444" s="3" t="s">
        <v>12652</v>
      </c>
      <c r="P444" s="8" t="s">
        <v>2206</v>
      </c>
    </row>
    <row r="445" ht="12.75" customHeight="1">
      <c r="A445" s="8" t="s">
        <v>1123</v>
      </c>
      <c r="B445" s="8" t="s">
        <v>9369</v>
      </c>
      <c r="C445" s="8" t="s">
        <v>9373</v>
      </c>
      <c r="D445" s="3" t="s">
        <v>3</v>
      </c>
      <c r="E445" s="8" t="s">
        <v>9375</v>
      </c>
      <c r="F445" s="8" t="s">
        <v>2147</v>
      </c>
      <c r="G445" s="8" t="s">
        <v>2217</v>
      </c>
      <c r="H445" s="8" t="s">
        <v>2216</v>
      </c>
      <c r="I445" s="8" t="s">
        <v>2992</v>
      </c>
      <c r="J445" s="8" t="s">
        <v>2983</v>
      </c>
      <c r="K445" s="3" t="s">
        <v>12586</v>
      </c>
      <c r="L445" s="3" t="s">
        <v>12587</v>
      </c>
      <c r="M445" s="3" t="s">
        <v>12588</v>
      </c>
      <c r="N445" s="3" t="s">
        <v>12589</v>
      </c>
      <c r="O445" s="3" t="s">
        <v>12594</v>
      </c>
      <c r="P445" s="8" t="s">
        <v>2254</v>
      </c>
    </row>
    <row r="446" ht="12.75" customHeight="1">
      <c r="A446" s="8" t="s">
        <v>1306</v>
      </c>
      <c r="B446" s="8" t="s">
        <v>8183</v>
      </c>
      <c r="C446" s="8" t="s">
        <v>8192</v>
      </c>
      <c r="D446" s="3" t="s">
        <v>3</v>
      </c>
      <c r="E446" s="8" t="s">
        <v>8194</v>
      </c>
      <c r="F446" s="8" t="s">
        <v>2147</v>
      </c>
      <c r="G446" s="8" t="s">
        <v>2217</v>
      </c>
      <c r="H446" s="8" t="s">
        <v>2216</v>
      </c>
      <c r="I446" s="8" t="s">
        <v>2992</v>
      </c>
      <c r="J446" s="8" t="s">
        <v>2983</v>
      </c>
      <c r="K446" s="3" t="s">
        <v>12586</v>
      </c>
      <c r="L446" s="3" t="s">
        <v>12587</v>
      </c>
      <c r="M446" s="3" t="s">
        <v>12588</v>
      </c>
      <c r="N446" s="3" t="s">
        <v>12589</v>
      </c>
      <c r="O446" s="3" t="s">
        <v>12599</v>
      </c>
      <c r="P446" s="8" t="s">
        <v>2256</v>
      </c>
    </row>
    <row r="447" ht="12.75" customHeight="1">
      <c r="A447" s="8" t="s">
        <v>1204</v>
      </c>
      <c r="B447" s="8" t="s">
        <v>8768</v>
      </c>
      <c r="C447" s="8" t="s">
        <v>8776</v>
      </c>
      <c r="D447" s="3" t="s">
        <v>3</v>
      </c>
      <c r="E447" s="8" t="s">
        <v>8778</v>
      </c>
      <c r="F447" s="8" t="s">
        <v>2142</v>
      </c>
      <c r="G447" s="3" t="s">
        <v>12585</v>
      </c>
      <c r="H447" s="8" t="s">
        <v>2325</v>
      </c>
      <c r="I447" s="8" t="s">
        <v>2992</v>
      </c>
      <c r="J447" s="8" t="s">
        <v>2983</v>
      </c>
      <c r="K447" s="3" t="s">
        <v>12586</v>
      </c>
      <c r="L447" s="3" t="s">
        <v>12587</v>
      </c>
      <c r="M447" s="3" t="s">
        <v>12588</v>
      </c>
      <c r="N447" s="3" t="s">
        <v>12589</v>
      </c>
      <c r="O447" s="3" t="s">
        <v>12594</v>
      </c>
      <c r="P447" s="8" t="s">
        <v>2168</v>
      </c>
    </row>
    <row r="448" ht="12.75" customHeight="1">
      <c r="A448" s="8" t="s">
        <v>1290</v>
      </c>
      <c r="B448" s="8" t="s">
        <v>8089</v>
      </c>
      <c r="C448" s="8" t="s">
        <v>8101</v>
      </c>
      <c r="D448" s="3" t="s">
        <v>3</v>
      </c>
      <c r="E448" s="8" t="s">
        <v>8103</v>
      </c>
      <c r="F448" s="8" t="s">
        <v>2142</v>
      </c>
      <c r="G448" s="3" t="s">
        <v>12585</v>
      </c>
      <c r="H448" s="8" t="s">
        <v>2345</v>
      </c>
      <c r="I448" s="8" t="s">
        <v>2992</v>
      </c>
      <c r="J448" s="8" t="s">
        <v>2983</v>
      </c>
      <c r="K448" s="3" t="s">
        <v>12586</v>
      </c>
      <c r="L448" s="3" t="s">
        <v>12587</v>
      </c>
      <c r="M448" s="3" t="s">
        <v>12588</v>
      </c>
      <c r="N448" s="3" t="s">
        <v>12589</v>
      </c>
      <c r="O448" s="3" t="s">
        <v>12600</v>
      </c>
      <c r="P448" s="8" t="s">
        <v>2180</v>
      </c>
    </row>
    <row r="449" ht="12.75" customHeight="1">
      <c r="A449" s="8" t="s">
        <v>1263</v>
      </c>
      <c r="B449" s="8" t="s">
        <v>8446</v>
      </c>
      <c r="C449" s="8" t="s">
        <v>2135</v>
      </c>
      <c r="D449" s="3" t="s">
        <v>3</v>
      </c>
      <c r="E449" s="8" t="s">
        <v>8462</v>
      </c>
      <c r="F449" s="8" t="s">
        <v>2142</v>
      </c>
      <c r="G449" s="3" t="s">
        <v>12585</v>
      </c>
      <c r="H449" s="8" t="s">
        <v>2379</v>
      </c>
      <c r="I449" s="8" t="s">
        <v>2992</v>
      </c>
      <c r="J449" s="8" t="s">
        <v>2983</v>
      </c>
      <c r="K449" s="3" t="s">
        <v>12586</v>
      </c>
      <c r="L449" s="3" t="s">
        <v>12587</v>
      </c>
      <c r="M449" s="3" t="s">
        <v>12588</v>
      </c>
      <c r="N449" s="3" t="s">
        <v>12589</v>
      </c>
      <c r="O449" s="3" t="s">
        <v>12590</v>
      </c>
      <c r="P449" s="8" t="s">
        <v>2143</v>
      </c>
    </row>
    <row r="450" ht="12.75" customHeight="1">
      <c r="A450" s="8" t="s">
        <v>1202</v>
      </c>
      <c r="B450" s="8" t="s">
        <v>2135</v>
      </c>
      <c r="C450" s="8" t="s">
        <v>8884</v>
      </c>
      <c r="D450" s="3" t="s">
        <v>3</v>
      </c>
      <c r="E450" s="8" t="s">
        <v>8886</v>
      </c>
      <c r="F450" s="8" t="s">
        <v>2142</v>
      </c>
      <c r="G450" s="3" t="s">
        <v>12585</v>
      </c>
      <c r="H450" s="8" t="s">
        <v>2379</v>
      </c>
      <c r="I450" s="8" t="s">
        <v>2992</v>
      </c>
      <c r="J450" s="8" t="s">
        <v>2983</v>
      </c>
      <c r="K450" s="3" t="s">
        <v>12586</v>
      </c>
      <c r="L450" s="3" t="s">
        <v>12587</v>
      </c>
      <c r="M450" s="3" t="s">
        <v>12588</v>
      </c>
      <c r="N450" s="3" t="s">
        <v>12589</v>
      </c>
      <c r="O450" s="3" t="s">
        <v>12596</v>
      </c>
      <c r="P450" s="8" t="s">
        <v>2311</v>
      </c>
    </row>
    <row r="451" ht="12.75" customHeight="1">
      <c r="A451" s="8" t="s">
        <v>1156</v>
      </c>
      <c r="B451" s="8" t="s">
        <v>9158</v>
      </c>
      <c r="C451" s="8" t="s">
        <v>9163</v>
      </c>
      <c r="D451" s="3" t="s">
        <v>3</v>
      </c>
      <c r="E451" s="8" t="s">
        <v>9165</v>
      </c>
      <c r="F451" s="8" t="s">
        <v>2147</v>
      </c>
      <c r="G451" s="3" t="s">
        <v>12608</v>
      </c>
      <c r="H451" s="8" t="s">
        <v>2428</v>
      </c>
      <c r="I451" s="8" t="s">
        <v>2992</v>
      </c>
      <c r="J451" s="8" t="s">
        <v>2983</v>
      </c>
      <c r="K451" s="3" t="s">
        <v>12586</v>
      </c>
      <c r="L451" s="3" t="s">
        <v>12587</v>
      </c>
      <c r="M451" s="3" t="s">
        <v>12588</v>
      </c>
      <c r="N451" s="3" t="s">
        <v>12589</v>
      </c>
      <c r="O451" s="3" t="s">
        <v>12594</v>
      </c>
      <c r="P451" s="8" t="s">
        <v>2433</v>
      </c>
    </row>
    <row r="452" ht="12.75" customHeight="1">
      <c r="A452" s="8" t="s">
        <v>1331</v>
      </c>
      <c r="B452" s="8" t="s">
        <v>7853</v>
      </c>
      <c r="C452" s="8" t="s">
        <v>7869</v>
      </c>
      <c r="D452" s="3" t="s">
        <v>3</v>
      </c>
      <c r="E452" s="8" t="s">
        <v>7872</v>
      </c>
      <c r="F452" s="8" t="s">
        <v>2142</v>
      </c>
      <c r="G452" s="3" t="s">
        <v>12585</v>
      </c>
      <c r="H452" s="8" t="s">
        <v>2484</v>
      </c>
      <c r="I452" s="8" t="s">
        <v>2992</v>
      </c>
      <c r="J452" s="8" t="s">
        <v>2983</v>
      </c>
      <c r="K452" s="3" t="s">
        <v>12586</v>
      </c>
      <c r="L452" s="3" t="s">
        <v>12587</v>
      </c>
      <c r="M452" s="3" t="s">
        <v>12588</v>
      </c>
      <c r="N452" s="3" t="s">
        <v>12589</v>
      </c>
      <c r="O452" s="3" t="s">
        <v>12596</v>
      </c>
      <c r="P452" s="8" t="s">
        <v>2311</v>
      </c>
    </row>
    <row r="453" ht="12.75" customHeight="1">
      <c r="A453" s="8" t="s">
        <v>1322</v>
      </c>
      <c r="B453" s="8" t="s">
        <v>7958</v>
      </c>
      <c r="C453" s="8" t="s">
        <v>7968</v>
      </c>
      <c r="D453" s="3" t="s">
        <v>3</v>
      </c>
      <c r="E453" s="8" t="s">
        <v>7970</v>
      </c>
      <c r="F453" s="8" t="s">
        <v>2142</v>
      </c>
      <c r="G453" s="3" t="s">
        <v>12585</v>
      </c>
      <c r="H453" s="8" t="s">
        <v>2491</v>
      </c>
      <c r="I453" s="8" t="s">
        <v>2992</v>
      </c>
      <c r="J453" s="8" t="s">
        <v>2983</v>
      </c>
      <c r="K453" s="3" t="s">
        <v>12586</v>
      </c>
      <c r="L453" s="3" t="s">
        <v>12587</v>
      </c>
      <c r="M453" s="3" t="s">
        <v>12588</v>
      </c>
      <c r="N453" s="3" t="s">
        <v>12589</v>
      </c>
      <c r="O453" s="3" t="s">
        <v>12590</v>
      </c>
      <c r="P453" s="8" t="s">
        <v>2143</v>
      </c>
    </row>
    <row r="454" ht="12.75" customHeight="1">
      <c r="A454" s="8" t="s">
        <v>1134</v>
      </c>
      <c r="B454" s="8" t="s">
        <v>9324</v>
      </c>
      <c r="C454" s="8" t="s">
        <v>9331</v>
      </c>
      <c r="D454" s="3" t="s">
        <v>3</v>
      </c>
      <c r="E454" s="8" t="s">
        <v>9333</v>
      </c>
      <c r="F454" s="8" t="s">
        <v>2142</v>
      </c>
      <c r="G454" s="3" t="s">
        <v>12585</v>
      </c>
      <c r="H454" s="8" t="s">
        <v>2553</v>
      </c>
      <c r="I454" s="8" t="s">
        <v>2992</v>
      </c>
      <c r="J454" s="8" t="s">
        <v>2983</v>
      </c>
      <c r="K454" s="3" t="s">
        <v>12586</v>
      </c>
      <c r="L454" s="3" t="s">
        <v>12587</v>
      </c>
      <c r="M454" s="3" t="s">
        <v>12588</v>
      </c>
      <c r="N454" s="3" t="s">
        <v>12589</v>
      </c>
      <c r="O454" s="3" t="s">
        <v>12596</v>
      </c>
      <c r="P454" s="8" t="s">
        <v>2311</v>
      </c>
    </row>
    <row r="455" ht="12.75" customHeight="1">
      <c r="A455" s="8" t="s">
        <v>1257</v>
      </c>
      <c r="B455" s="8" t="s">
        <v>8507</v>
      </c>
      <c r="C455" s="8" t="s">
        <v>8516</v>
      </c>
      <c r="D455" s="3" t="s">
        <v>3</v>
      </c>
      <c r="E455" s="8" t="s">
        <v>8518</v>
      </c>
      <c r="F455" s="8" t="s">
        <v>2147</v>
      </c>
      <c r="G455" s="8" t="s">
        <v>2217</v>
      </c>
      <c r="H455" s="8" t="s">
        <v>2600</v>
      </c>
      <c r="I455" s="8" t="s">
        <v>2992</v>
      </c>
      <c r="J455" s="8" t="s">
        <v>2983</v>
      </c>
      <c r="K455" s="3" t="s">
        <v>12586</v>
      </c>
      <c r="L455" s="3" t="s">
        <v>12587</v>
      </c>
      <c r="M455" s="3" t="s">
        <v>12588</v>
      </c>
      <c r="N455" s="3" t="s">
        <v>12589</v>
      </c>
      <c r="O455" s="3" t="s">
        <v>12609</v>
      </c>
      <c r="P455" s="8" t="s">
        <v>2234</v>
      </c>
    </row>
    <row r="456" ht="12.75" customHeight="1">
      <c r="A456" s="8" t="s">
        <v>1294</v>
      </c>
      <c r="B456" s="8" t="s">
        <v>8011</v>
      </c>
      <c r="C456" s="8" t="s">
        <v>8019</v>
      </c>
      <c r="D456" s="3" t="s">
        <v>3</v>
      </c>
      <c r="E456" s="8" t="s">
        <v>8021</v>
      </c>
      <c r="F456" s="8" t="s">
        <v>2147</v>
      </c>
      <c r="G456" s="8" t="s">
        <v>2217</v>
      </c>
      <c r="H456" s="8" t="s">
        <v>2600</v>
      </c>
      <c r="I456" s="8" t="s">
        <v>2992</v>
      </c>
      <c r="J456" s="8" t="s">
        <v>2983</v>
      </c>
      <c r="K456" s="3" t="s">
        <v>12586</v>
      </c>
      <c r="L456" s="3" t="s">
        <v>12587</v>
      </c>
      <c r="M456" s="3" t="s">
        <v>12588</v>
      </c>
      <c r="N456" s="3" t="s">
        <v>12589</v>
      </c>
      <c r="O456" s="3" t="s">
        <v>12594</v>
      </c>
      <c r="P456" s="8" t="s">
        <v>2601</v>
      </c>
    </row>
    <row r="457" ht="12.75" customHeight="1">
      <c r="A457" s="8" t="s">
        <v>1296</v>
      </c>
      <c r="B457" s="8" t="s">
        <v>8026</v>
      </c>
      <c r="C457" s="8" t="s">
        <v>8034</v>
      </c>
      <c r="D457" s="3" t="s">
        <v>3</v>
      </c>
      <c r="E457" s="8" t="s">
        <v>8035</v>
      </c>
      <c r="F457" s="8" t="s">
        <v>2147</v>
      </c>
      <c r="G457" s="8" t="s">
        <v>2217</v>
      </c>
      <c r="H457" s="8" t="s">
        <v>2600</v>
      </c>
      <c r="I457" s="8" t="s">
        <v>2992</v>
      </c>
      <c r="J457" s="8" t="s">
        <v>2983</v>
      </c>
      <c r="K457" s="3" t="s">
        <v>12586</v>
      </c>
      <c r="L457" s="3" t="s">
        <v>12587</v>
      </c>
      <c r="M457" s="3" t="s">
        <v>12588</v>
      </c>
      <c r="N457" s="3" t="s">
        <v>12589</v>
      </c>
      <c r="O457" s="3" t="s">
        <v>12594</v>
      </c>
      <c r="P457" s="8" t="s">
        <v>2601</v>
      </c>
    </row>
    <row r="458" ht="12.75" customHeight="1">
      <c r="A458" s="8" t="s">
        <v>1298</v>
      </c>
      <c r="B458" s="8" t="s">
        <v>8040</v>
      </c>
      <c r="C458" s="8" t="s">
        <v>8050</v>
      </c>
      <c r="D458" s="3" t="s">
        <v>3</v>
      </c>
      <c r="E458" s="8" t="s">
        <v>8052</v>
      </c>
      <c r="F458" s="8" t="s">
        <v>2147</v>
      </c>
      <c r="G458" s="8" t="s">
        <v>2217</v>
      </c>
      <c r="H458" s="8" t="s">
        <v>2600</v>
      </c>
      <c r="I458" s="8" t="s">
        <v>2992</v>
      </c>
      <c r="J458" s="8" t="s">
        <v>2983</v>
      </c>
      <c r="K458" s="3" t="s">
        <v>12586</v>
      </c>
      <c r="L458" s="3" t="s">
        <v>12587</v>
      </c>
      <c r="M458" s="3" t="s">
        <v>12588</v>
      </c>
      <c r="N458" s="3" t="s">
        <v>12589</v>
      </c>
      <c r="O458" s="3" t="s">
        <v>12594</v>
      </c>
      <c r="P458" s="8" t="s">
        <v>2601</v>
      </c>
    </row>
    <row r="459" ht="12.75" customHeight="1">
      <c r="A459" s="8" t="s">
        <v>1099</v>
      </c>
      <c r="B459" s="8" t="s">
        <v>8490</v>
      </c>
      <c r="C459" s="8" t="s">
        <v>8500</v>
      </c>
      <c r="D459" s="3" t="s">
        <v>3</v>
      </c>
      <c r="E459" s="8" t="s">
        <v>8502</v>
      </c>
      <c r="F459" s="8" t="s">
        <v>2147</v>
      </c>
      <c r="G459" s="8" t="s">
        <v>2217</v>
      </c>
      <c r="H459" s="8" t="s">
        <v>2600</v>
      </c>
      <c r="I459" s="8" t="s">
        <v>2992</v>
      </c>
      <c r="J459" s="8" t="s">
        <v>2983</v>
      </c>
      <c r="K459" s="3" t="s">
        <v>12586</v>
      </c>
      <c r="L459" s="3" t="s">
        <v>12587</v>
      </c>
      <c r="M459" s="3" t="s">
        <v>12588</v>
      </c>
      <c r="N459" s="3" t="s">
        <v>12589</v>
      </c>
      <c r="O459" s="3" t="s">
        <v>12594</v>
      </c>
      <c r="P459" s="8" t="s">
        <v>2601</v>
      </c>
    </row>
    <row r="460" ht="12.75" customHeight="1">
      <c r="A460" s="8" t="s">
        <v>1241</v>
      </c>
      <c r="B460" s="8" t="s">
        <v>8523</v>
      </c>
      <c r="C460" s="8" t="s">
        <v>8527</v>
      </c>
      <c r="D460" s="3" t="s">
        <v>3</v>
      </c>
      <c r="E460" s="8" t="s">
        <v>8529</v>
      </c>
      <c r="F460" s="8" t="s">
        <v>2147</v>
      </c>
      <c r="G460" s="8" t="s">
        <v>2217</v>
      </c>
      <c r="H460" s="8" t="s">
        <v>2600</v>
      </c>
      <c r="I460" s="8" t="s">
        <v>2992</v>
      </c>
      <c r="J460" s="8" t="s">
        <v>2983</v>
      </c>
      <c r="K460" s="3" t="s">
        <v>12586</v>
      </c>
      <c r="L460" s="3" t="s">
        <v>12587</v>
      </c>
      <c r="M460" s="3" t="s">
        <v>12588</v>
      </c>
      <c r="N460" s="3" t="s">
        <v>12589</v>
      </c>
      <c r="O460" s="3" t="s">
        <v>12594</v>
      </c>
      <c r="P460" s="8" t="s">
        <v>2601</v>
      </c>
    </row>
    <row r="461" ht="12.75" customHeight="1">
      <c r="A461" s="8" t="s">
        <v>1097</v>
      </c>
      <c r="B461" s="8" t="s">
        <v>8675</v>
      </c>
      <c r="C461" s="8" t="s">
        <v>8687</v>
      </c>
      <c r="D461" s="3" t="s">
        <v>3</v>
      </c>
      <c r="E461" s="8" t="s">
        <v>8689</v>
      </c>
      <c r="F461" s="8" t="s">
        <v>2147</v>
      </c>
      <c r="G461" s="8" t="s">
        <v>2217</v>
      </c>
      <c r="H461" s="8" t="s">
        <v>2600</v>
      </c>
      <c r="I461" s="8" t="s">
        <v>2992</v>
      </c>
      <c r="J461" s="8" t="s">
        <v>2983</v>
      </c>
      <c r="K461" s="3" t="s">
        <v>12586</v>
      </c>
      <c r="L461" s="3" t="s">
        <v>12587</v>
      </c>
      <c r="M461" s="3" t="s">
        <v>12588</v>
      </c>
      <c r="N461" s="3" t="s">
        <v>12589</v>
      </c>
      <c r="O461" s="3" t="s">
        <v>12594</v>
      </c>
      <c r="P461" s="8" t="s">
        <v>2601</v>
      </c>
    </row>
    <row r="462" ht="12.75" customHeight="1">
      <c r="A462" s="8" t="s">
        <v>1206</v>
      </c>
      <c r="B462" s="8" t="s">
        <v>8849</v>
      </c>
      <c r="C462" s="8" t="s">
        <v>8853</v>
      </c>
      <c r="D462" s="3" t="s">
        <v>3</v>
      </c>
      <c r="E462" s="8" t="s">
        <v>8855</v>
      </c>
      <c r="F462" s="8" t="s">
        <v>2147</v>
      </c>
      <c r="G462" s="8" t="s">
        <v>2217</v>
      </c>
      <c r="H462" s="8" t="s">
        <v>2600</v>
      </c>
      <c r="I462" s="8" t="s">
        <v>2992</v>
      </c>
      <c r="J462" s="8" t="s">
        <v>2983</v>
      </c>
      <c r="K462" s="3" t="s">
        <v>12586</v>
      </c>
      <c r="L462" s="3" t="s">
        <v>12587</v>
      </c>
      <c r="M462" s="3" t="s">
        <v>12588</v>
      </c>
      <c r="N462" s="3" t="s">
        <v>12589</v>
      </c>
      <c r="O462" s="3" t="s">
        <v>12594</v>
      </c>
      <c r="P462" s="8" t="s">
        <v>2601</v>
      </c>
    </row>
    <row r="463" ht="12.75" customHeight="1">
      <c r="A463" s="8" t="s">
        <v>1182</v>
      </c>
      <c r="B463" s="8" t="s">
        <v>9047</v>
      </c>
      <c r="C463" s="8" t="s">
        <v>9053</v>
      </c>
      <c r="D463" s="3" t="s">
        <v>3</v>
      </c>
      <c r="E463" s="8" t="s">
        <v>9055</v>
      </c>
      <c r="F463" s="8" t="s">
        <v>2147</v>
      </c>
      <c r="G463" s="8" t="s">
        <v>2217</v>
      </c>
      <c r="H463" s="8" t="s">
        <v>2600</v>
      </c>
      <c r="I463" s="8" t="s">
        <v>2992</v>
      </c>
      <c r="J463" s="8" t="s">
        <v>2983</v>
      </c>
      <c r="K463" s="3" t="s">
        <v>12586</v>
      </c>
      <c r="L463" s="3" t="s">
        <v>12587</v>
      </c>
      <c r="M463" s="3" t="s">
        <v>12588</v>
      </c>
      <c r="N463" s="3" t="s">
        <v>12589</v>
      </c>
      <c r="O463" s="3" t="s">
        <v>12594</v>
      </c>
      <c r="P463" s="8" t="s">
        <v>2601</v>
      </c>
    </row>
    <row r="464" ht="12.75" customHeight="1">
      <c r="A464" s="8" t="s">
        <v>1150</v>
      </c>
      <c r="B464" s="8" t="s">
        <v>9216</v>
      </c>
      <c r="C464" s="8" t="s">
        <v>9221</v>
      </c>
      <c r="D464" s="3" t="s">
        <v>3</v>
      </c>
      <c r="E464" s="8" t="s">
        <v>9223</v>
      </c>
      <c r="F464" s="8" t="s">
        <v>2147</v>
      </c>
      <c r="G464" s="8" t="s">
        <v>2217</v>
      </c>
      <c r="H464" s="8" t="s">
        <v>2600</v>
      </c>
      <c r="I464" s="8" t="s">
        <v>2992</v>
      </c>
      <c r="J464" s="8" t="s">
        <v>2983</v>
      </c>
      <c r="K464" s="3" t="s">
        <v>12586</v>
      </c>
      <c r="L464" s="3" t="s">
        <v>12587</v>
      </c>
      <c r="M464" s="3" t="s">
        <v>12588</v>
      </c>
      <c r="N464" s="3" t="s">
        <v>12589</v>
      </c>
      <c r="O464" s="3" t="s">
        <v>12594</v>
      </c>
      <c r="P464" s="8" t="s">
        <v>2601</v>
      </c>
    </row>
    <row r="465" ht="12.75" customHeight="1">
      <c r="A465" s="8" t="s">
        <v>1125</v>
      </c>
      <c r="B465" s="8" t="s">
        <v>9360</v>
      </c>
      <c r="C465" s="8" t="s">
        <v>9364</v>
      </c>
      <c r="D465" s="3" t="s">
        <v>3</v>
      </c>
      <c r="E465" s="8" t="s">
        <v>9366</v>
      </c>
      <c r="F465" s="8" t="s">
        <v>2147</v>
      </c>
      <c r="G465" s="8" t="s">
        <v>2217</v>
      </c>
      <c r="H465" s="8" t="s">
        <v>2600</v>
      </c>
      <c r="I465" s="8" t="s">
        <v>2992</v>
      </c>
      <c r="J465" s="8" t="s">
        <v>2983</v>
      </c>
      <c r="K465" s="3" t="s">
        <v>12586</v>
      </c>
      <c r="L465" s="3" t="s">
        <v>12587</v>
      </c>
      <c r="M465" s="3" t="s">
        <v>12588</v>
      </c>
      <c r="N465" s="3" t="s">
        <v>12589</v>
      </c>
      <c r="O465" s="3" t="s">
        <v>12594</v>
      </c>
      <c r="P465" s="8" t="s">
        <v>2601</v>
      </c>
    </row>
    <row r="466" ht="12.75" customHeight="1">
      <c r="A466" s="8" t="s">
        <v>1222</v>
      </c>
      <c r="B466" s="8" t="s">
        <v>8639</v>
      </c>
      <c r="C466" s="8" t="s">
        <v>8651</v>
      </c>
      <c r="D466" s="3" t="s">
        <v>3</v>
      </c>
      <c r="E466" s="8" t="s">
        <v>8653</v>
      </c>
      <c r="F466" s="8" t="s">
        <v>2147</v>
      </c>
      <c r="G466" s="8" t="s">
        <v>2217</v>
      </c>
      <c r="I466" s="8" t="s">
        <v>2992</v>
      </c>
      <c r="J466" s="8" t="s">
        <v>2983</v>
      </c>
      <c r="K466" s="3" t="s">
        <v>12586</v>
      </c>
      <c r="L466" s="3" t="s">
        <v>12587</v>
      </c>
      <c r="M466" s="3" t="s">
        <v>12588</v>
      </c>
      <c r="N466" s="3" t="s">
        <v>12589</v>
      </c>
      <c r="O466" s="3" t="s">
        <v>12594</v>
      </c>
      <c r="P466" s="8" t="s">
        <v>2155</v>
      </c>
    </row>
    <row r="467" ht="12.75" customHeight="1">
      <c r="A467" s="8" t="s">
        <v>1274</v>
      </c>
      <c r="B467" s="8" t="s">
        <v>8223</v>
      </c>
      <c r="C467" s="8" t="s">
        <v>8234</v>
      </c>
      <c r="D467" s="3" t="s">
        <v>3</v>
      </c>
      <c r="E467" s="8" t="s">
        <v>8236</v>
      </c>
      <c r="F467" s="8" t="s">
        <v>2142</v>
      </c>
      <c r="I467" s="8" t="s">
        <v>2992</v>
      </c>
      <c r="J467" s="8" t="s">
        <v>2983</v>
      </c>
      <c r="K467" s="3" t="s">
        <v>12586</v>
      </c>
      <c r="L467" s="3" t="s">
        <v>12587</v>
      </c>
      <c r="M467" s="3" t="s">
        <v>12588</v>
      </c>
      <c r="N467" s="3" t="s">
        <v>12589</v>
      </c>
      <c r="O467" s="3" t="s">
        <v>12638</v>
      </c>
      <c r="P467" s="8" t="s">
        <v>2517</v>
      </c>
    </row>
    <row r="468" ht="12.75" customHeight="1">
      <c r="A468" s="8" t="s">
        <v>1292</v>
      </c>
      <c r="B468" s="8" t="s">
        <v>8124</v>
      </c>
      <c r="C468" s="8" t="s">
        <v>8131</v>
      </c>
      <c r="D468" s="3" t="s">
        <v>3</v>
      </c>
      <c r="E468" s="8" t="s">
        <v>8133</v>
      </c>
      <c r="F468" s="8" t="s">
        <v>2142</v>
      </c>
      <c r="I468" s="8" t="s">
        <v>2992</v>
      </c>
      <c r="J468" s="8" t="s">
        <v>2983</v>
      </c>
      <c r="K468" s="3" t="s">
        <v>12586</v>
      </c>
      <c r="L468" s="3" t="s">
        <v>12587</v>
      </c>
      <c r="M468" s="3" t="s">
        <v>12588</v>
      </c>
      <c r="N468" s="3" t="s">
        <v>12589</v>
      </c>
      <c r="O468" s="3" t="s">
        <v>12594</v>
      </c>
      <c r="P468" s="8" t="s">
        <v>2168</v>
      </c>
    </row>
    <row r="469" ht="12.75" customHeight="1">
      <c r="A469" s="8" t="s">
        <v>1235</v>
      </c>
      <c r="B469" s="8" t="s">
        <v>8567</v>
      </c>
      <c r="C469" s="8" t="s">
        <v>8582</v>
      </c>
      <c r="D469" s="3" t="s">
        <v>3</v>
      </c>
      <c r="E469" s="8" t="s">
        <v>8584</v>
      </c>
      <c r="F469" s="8" t="s">
        <v>2142</v>
      </c>
      <c r="I469" s="8" t="s">
        <v>2992</v>
      </c>
      <c r="J469" s="8" t="s">
        <v>2983</v>
      </c>
      <c r="K469" s="3" t="s">
        <v>12586</v>
      </c>
      <c r="L469" s="3" t="s">
        <v>12587</v>
      </c>
      <c r="M469" s="3" t="s">
        <v>12588</v>
      </c>
      <c r="N469" s="3" t="s">
        <v>12589</v>
      </c>
      <c r="O469" s="3" t="s">
        <v>12653</v>
      </c>
      <c r="P469" s="8" t="s">
        <v>2913</v>
      </c>
    </row>
    <row r="470" ht="12.75" customHeight="1">
      <c r="A470" s="8" t="s">
        <v>2483</v>
      </c>
      <c r="B470" s="8" t="s">
        <v>7271</v>
      </c>
      <c r="C470" s="8" t="s">
        <v>2135</v>
      </c>
      <c r="D470" s="3" t="s">
        <v>3</v>
      </c>
      <c r="E470" s="8" t="s">
        <v>7287</v>
      </c>
      <c r="F470" s="8" t="s">
        <v>2142</v>
      </c>
      <c r="G470" s="3" t="s">
        <v>12585</v>
      </c>
      <c r="H470" s="8" t="s">
        <v>2484</v>
      </c>
      <c r="I470" s="8" t="s">
        <v>3072</v>
      </c>
      <c r="J470" s="8" t="s">
        <v>3071</v>
      </c>
      <c r="K470" s="3" t="s">
        <v>12586</v>
      </c>
      <c r="L470" s="3" t="s">
        <v>12587</v>
      </c>
      <c r="M470" s="3" t="s">
        <v>12588</v>
      </c>
      <c r="N470" s="3" t="s">
        <v>12589</v>
      </c>
      <c r="O470" s="3" t="s">
        <v>12590</v>
      </c>
      <c r="P470" s="8" t="s">
        <v>2143</v>
      </c>
    </row>
    <row r="471" ht="12.75" customHeight="1">
      <c r="A471" s="8" t="s">
        <v>1036</v>
      </c>
      <c r="B471" s="8" t="s">
        <v>7322</v>
      </c>
      <c r="C471" s="8" t="s">
        <v>7325</v>
      </c>
      <c r="D471" s="3" t="s">
        <v>3</v>
      </c>
      <c r="E471" s="8" t="s">
        <v>7326</v>
      </c>
      <c r="F471" s="8" t="s">
        <v>2147</v>
      </c>
      <c r="G471" s="8" t="s">
        <v>2217</v>
      </c>
      <c r="H471" s="8" t="s">
        <v>2216</v>
      </c>
      <c r="I471" s="8" t="s">
        <v>3028</v>
      </c>
      <c r="J471" s="8" t="s">
        <v>3027</v>
      </c>
      <c r="K471" s="3" t="s">
        <v>12586</v>
      </c>
      <c r="L471" s="3" t="s">
        <v>12587</v>
      </c>
      <c r="M471" s="3" t="s">
        <v>12588</v>
      </c>
      <c r="N471" s="3" t="s">
        <v>12589</v>
      </c>
      <c r="O471" s="3" t="s">
        <v>12616</v>
      </c>
      <c r="P471" s="8" t="s">
        <v>2218</v>
      </c>
    </row>
    <row r="472" ht="12.75" customHeight="1">
      <c r="A472" s="8" t="s">
        <v>1038</v>
      </c>
      <c r="B472" s="8" t="s">
        <v>7331</v>
      </c>
      <c r="C472" s="8" t="s">
        <v>7334</v>
      </c>
      <c r="D472" s="3" t="s">
        <v>3</v>
      </c>
      <c r="E472" s="8" t="s">
        <v>7335</v>
      </c>
      <c r="F472" s="8" t="s">
        <v>2147</v>
      </c>
      <c r="G472" s="8" t="s">
        <v>2217</v>
      </c>
      <c r="H472" s="8" t="s">
        <v>2216</v>
      </c>
      <c r="I472" s="8" t="s">
        <v>3028</v>
      </c>
      <c r="J472" s="8" t="s">
        <v>3027</v>
      </c>
      <c r="K472" s="3" t="s">
        <v>12586</v>
      </c>
      <c r="L472" s="3" t="s">
        <v>12587</v>
      </c>
      <c r="M472" s="3" t="s">
        <v>12588</v>
      </c>
      <c r="N472" s="3" t="s">
        <v>12589</v>
      </c>
      <c r="O472" s="3" t="s">
        <v>12616</v>
      </c>
      <c r="P472" s="8" t="s">
        <v>2218</v>
      </c>
    </row>
    <row r="473" ht="12.75" customHeight="1">
      <c r="A473" s="8" t="s">
        <v>1053</v>
      </c>
      <c r="B473" s="8" t="s">
        <v>7355</v>
      </c>
      <c r="C473" s="8" t="s">
        <v>7363</v>
      </c>
      <c r="D473" s="3" t="s">
        <v>3</v>
      </c>
      <c r="E473" s="8" t="s">
        <v>7365</v>
      </c>
      <c r="F473" s="8" t="s">
        <v>2142</v>
      </c>
      <c r="G473" s="3" t="s">
        <v>12585</v>
      </c>
      <c r="H473" s="8" t="s">
        <v>2161</v>
      </c>
      <c r="I473" s="8" t="s">
        <v>2982</v>
      </c>
      <c r="J473" s="8" t="s">
        <v>3029</v>
      </c>
      <c r="K473" s="3" t="s">
        <v>12586</v>
      </c>
      <c r="L473" s="3" t="s">
        <v>12587</v>
      </c>
      <c r="M473" s="3" t="s">
        <v>12588</v>
      </c>
      <c r="N473" s="3" t="s">
        <v>12589</v>
      </c>
      <c r="O473" s="3" t="s">
        <v>12590</v>
      </c>
      <c r="P473" s="8" t="s">
        <v>2143</v>
      </c>
    </row>
    <row r="474" ht="12.75" customHeight="1">
      <c r="A474" s="8" t="s">
        <v>1051</v>
      </c>
      <c r="B474" s="8" t="s">
        <v>7370</v>
      </c>
      <c r="C474" s="8" t="s">
        <v>7381</v>
      </c>
      <c r="D474" s="3" t="s">
        <v>3</v>
      </c>
      <c r="E474" s="8" t="s">
        <v>7383</v>
      </c>
      <c r="F474" s="8" t="s">
        <v>2147</v>
      </c>
      <c r="G474" s="8" t="s">
        <v>2217</v>
      </c>
      <c r="H474" s="8" t="s">
        <v>2600</v>
      </c>
      <c r="I474" s="8" t="s">
        <v>2982</v>
      </c>
      <c r="J474" s="8" t="s">
        <v>3029</v>
      </c>
      <c r="K474" s="3" t="s">
        <v>12586</v>
      </c>
      <c r="L474" s="3" t="s">
        <v>12587</v>
      </c>
      <c r="M474" s="3" t="s">
        <v>12588</v>
      </c>
      <c r="N474" s="3" t="s">
        <v>12589</v>
      </c>
      <c r="O474" s="3" t="s">
        <v>12616</v>
      </c>
      <c r="P474" s="8" t="s">
        <v>2218</v>
      </c>
    </row>
    <row r="475" ht="12.75" customHeight="1">
      <c r="A475" s="8" t="s">
        <v>1049</v>
      </c>
      <c r="B475" s="8" t="s">
        <v>7388</v>
      </c>
      <c r="C475" s="8" t="s">
        <v>7393</v>
      </c>
      <c r="D475" s="3" t="s">
        <v>3</v>
      </c>
      <c r="E475" s="8" t="s">
        <v>7395</v>
      </c>
      <c r="F475" s="8" t="s">
        <v>2147</v>
      </c>
      <c r="G475" s="8" t="s">
        <v>2217</v>
      </c>
      <c r="H475" s="8" t="s">
        <v>2600</v>
      </c>
      <c r="I475" s="8" t="s">
        <v>2982</v>
      </c>
      <c r="J475" s="8" t="s">
        <v>3029</v>
      </c>
      <c r="K475" s="3" t="s">
        <v>12586</v>
      </c>
      <c r="L475" s="3" t="s">
        <v>12587</v>
      </c>
      <c r="M475" s="3" t="s">
        <v>12588</v>
      </c>
      <c r="N475" s="3" t="s">
        <v>12589</v>
      </c>
      <c r="O475" s="3" t="s">
        <v>12600</v>
      </c>
      <c r="P475" s="8" t="s">
        <v>2700</v>
      </c>
    </row>
    <row r="476" ht="12.75" customHeight="1">
      <c r="A476" s="8" t="s">
        <v>1659</v>
      </c>
      <c r="B476" s="8" t="s">
        <v>10380</v>
      </c>
      <c r="C476" s="8" t="s">
        <v>10388</v>
      </c>
      <c r="D476" s="3" t="s">
        <v>3</v>
      </c>
      <c r="E476" s="8" t="s">
        <v>10390</v>
      </c>
      <c r="F476" s="8" t="s">
        <v>2142</v>
      </c>
      <c r="G476" s="3" t="s">
        <v>12585</v>
      </c>
      <c r="H476" s="8" t="s">
        <v>2325</v>
      </c>
      <c r="I476" s="8" t="s">
        <v>3107</v>
      </c>
      <c r="J476" s="8" t="s">
        <v>3106</v>
      </c>
      <c r="K476" s="3" t="s">
        <v>12586</v>
      </c>
      <c r="L476" s="3" t="s">
        <v>12587</v>
      </c>
      <c r="M476" s="3" t="s">
        <v>12588</v>
      </c>
      <c r="N476" s="3" t="s">
        <v>12589</v>
      </c>
      <c r="O476" s="3" t="s">
        <v>12590</v>
      </c>
      <c r="P476" s="8" t="s">
        <v>2143</v>
      </c>
    </row>
    <row r="477" ht="12.75" customHeight="1">
      <c r="A477" s="8" t="s">
        <v>1655</v>
      </c>
      <c r="B477" s="8" t="s">
        <v>10348</v>
      </c>
      <c r="C477" s="8" t="s">
        <v>10361</v>
      </c>
      <c r="D477" s="3" t="s">
        <v>3</v>
      </c>
      <c r="E477" s="8" t="s">
        <v>10364</v>
      </c>
      <c r="F477" s="8" t="s">
        <v>2142</v>
      </c>
      <c r="G477" s="3" t="s">
        <v>12585</v>
      </c>
      <c r="H477" s="8" t="s">
        <v>2345</v>
      </c>
      <c r="I477" s="8" t="s">
        <v>3103</v>
      </c>
      <c r="J477" s="8" t="s">
        <v>3102</v>
      </c>
      <c r="K477" s="3" t="s">
        <v>12586</v>
      </c>
      <c r="L477" s="3" t="s">
        <v>12587</v>
      </c>
      <c r="M477" s="3" t="s">
        <v>12588</v>
      </c>
      <c r="N477" s="3" t="s">
        <v>12589</v>
      </c>
      <c r="O477" s="3" t="s">
        <v>12590</v>
      </c>
      <c r="P477" s="8" t="s">
        <v>2143</v>
      </c>
    </row>
    <row r="478" ht="12.75" customHeight="1">
      <c r="A478" s="8" t="s">
        <v>1657</v>
      </c>
      <c r="B478" s="8" t="s">
        <v>10369</v>
      </c>
      <c r="C478" s="8" t="s">
        <v>10374</v>
      </c>
      <c r="D478" s="3" t="s">
        <v>3</v>
      </c>
      <c r="E478" s="8" t="s">
        <v>10375</v>
      </c>
      <c r="F478" s="8" t="s">
        <v>2142</v>
      </c>
      <c r="G478" s="3" t="s">
        <v>12585</v>
      </c>
      <c r="H478" s="3" t="s">
        <v>12629</v>
      </c>
      <c r="I478" s="8" t="s">
        <v>3105</v>
      </c>
      <c r="J478" s="8" t="s">
        <v>3104</v>
      </c>
      <c r="K478" s="3" t="s">
        <v>12586</v>
      </c>
      <c r="L478" s="3" t="s">
        <v>12587</v>
      </c>
      <c r="M478" s="3" t="s">
        <v>12588</v>
      </c>
      <c r="N478" s="3" t="s">
        <v>12589</v>
      </c>
      <c r="O478" s="3" t="s">
        <v>12590</v>
      </c>
      <c r="P478" s="8" t="s">
        <v>2143</v>
      </c>
    </row>
    <row r="479" ht="12.75" customHeight="1">
      <c r="A479" s="8" t="s">
        <v>1029</v>
      </c>
      <c r="B479" s="8" t="s">
        <v>7292</v>
      </c>
      <c r="C479" s="8" t="s">
        <v>7298</v>
      </c>
      <c r="D479" s="3" t="s">
        <v>3</v>
      </c>
      <c r="E479" s="8" t="s">
        <v>7300</v>
      </c>
      <c r="F479" s="8" t="s">
        <v>2142</v>
      </c>
      <c r="G479" s="3" t="s">
        <v>12585</v>
      </c>
      <c r="H479" s="8" t="s">
        <v>2379</v>
      </c>
      <c r="I479" s="8" t="s">
        <v>3074</v>
      </c>
      <c r="J479" s="8" t="s">
        <v>3073</v>
      </c>
      <c r="K479" s="3" t="s">
        <v>12586</v>
      </c>
      <c r="L479" s="3" t="s">
        <v>12587</v>
      </c>
      <c r="M479" s="3" t="s">
        <v>12588</v>
      </c>
      <c r="N479" s="3" t="s">
        <v>12589</v>
      </c>
      <c r="O479" s="3" t="s">
        <v>12590</v>
      </c>
      <c r="P479" s="8" t="s">
        <v>2143</v>
      </c>
    </row>
    <row r="480" ht="12.75" customHeight="1">
      <c r="A480" s="8" t="s">
        <v>1661</v>
      </c>
      <c r="B480" s="8" t="s">
        <v>10410</v>
      </c>
      <c r="C480" s="8" t="s">
        <v>10424</v>
      </c>
      <c r="D480" s="3" t="s">
        <v>3</v>
      </c>
      <c r="E480" s="8" t="s">
        <v>10426</v>
      </c>
      <c r="F480" s="8" t="s">
        <v>2142</v>
      </c>
      <c r="G480" s="3" t="s">
        <v>12585</v>
      </c>
      <c r="H480" s="8" t="s">
        <v>2417</v>
      </c>
      <c r="I480" s="8" t="s">
        <v>3110</v>
      </c>
      <c r="J480" s="8" t="s">
        <v>3073</v>
      </c>
      <c r="K480" s="3" t="s">
        <v>12586</v>
      </c>
      <c r="L480" s="3" t="s">
        <v>12587</v>
      </c>
      <c r="M480" s="3" t="s">
        <v>12588</v>
      </c>
      <c r="N480" s="3" t="s">
        <v>12589</v>
      </c>
      <c r="O480" s="3" t="s">
        <v>12590</v>
      </c>
      <c r="P480" s="8" t="s">
        <v>2143</v>
      </c>
    </row>
    <row r="481" ht="12.75" customHeight="1">
      <c r="A481" s="8" t="s">
        <v>1067</v>
      </c>
      <c r="B481" s="8" t="s">
        <v>7530</v>
      </c>
      <c r="C481" s="8" t="s">
        <v>7542</v>
      </c>
      <c r="D481" s="3" t="s">
        <v>3</v>
      </c>
      <c r="E481" s="8" t="s">
        <v>7544</v>
      </c>
      <c r="F481" s="8" t="s">
        <v>2142</v>
      </c>
      <c r="G481" s="3" t="s">
        <v>12585</v>
      </c>
      <c r="H481" s="8" t="s">
        <v>2497</v>
      </c>
      <c r="I481" s="8" t="s">
        <v>3168</v>
      </c>
      <c r="J481" s="8" t="s">
        <v>3167</v>
      </c>
      <c r="K481" s="3" t="s">
        <v>12586</v>
      </c>
      <c r="L481" s="3" t="s">
        <v>12587</v>
      </c>
      <c r="M481" s="3" t="s">
        <v>12588</v>
      </c>
      <c r="N481" s="3" t="s">
        <v>12589</v>
      </c>
      <c r="O481" s="3" t="s">
        <v>12594</v>
      </c>
      <c r="P481" s="8" t="s">
        <v>2168</v>
      </c>
    </row>
    <row r="482" ht="12.75" customHeight="1">
      <c r="A482" s="8" t="s">
        <v>1113</v>
      </c>
      <c r="B482" s="8" t="s">
        <v>7673</v>
      </c>
      <c r="C482" s="8" t="s">
        <v>7682</v>
      </c>
      <c r="D482" s="3" t="s">
        <v>3</v>
      </c>
      <c r="E482" s="8" t="s">
        <v>7685</v>
      </c>
      <c r="F482" s="8" t="s">
        <v>2147</v>
      </c>
      <c r="G482" s="8" t="s">
        <v>2217</v>
      </c>
      <c r="H482" s="8" t="s">
        <v>2600</v>
      </c>
      <c r="I482" s="8" t="s">
        <v>2990</v>
      </c>
      <c r="J482" s="8" t="s">
        <v>2989</v>
      </c>
      <c r="K482" s="3" t="s">
        <v>12586</v>
      </c>
      <c r="L482" s="3" t="s">
        <v>12587</v>
      </c>
      <c r="M482" s="3" t="s">
        <v>12588</v>
      </c>
      <c r="N482" s="3" t="s">
        <v>12589</v>
      </c>
      <c r="O482" s="3" t="s">
        <v>12611</v>
      </c>
      <c r="P482" s="8" t="s">
        <v>2237</v>
      </c>
    </row>
    <row r="483" ht="12.75" customHeight="1">
      <c r="A483" s="8" t="s">
        <v>1119</v>
      </c>
      <c r="B483" s="8" t="s">
        <v>7711</v>
      </c>
      <c r="C483" s="8" t="s">
        <v>7719</v>
      </c>
      <c r="D483" s="3" t="s">
        <v>3</v>
      </c>
      <c r="E483" s="8" t="s">
        <v>7721</v>
      </c>
      <c r="F483" s="8" t="s">
        <v>2147</v>
      </c>
      <c r="G483" s="8" t="s">
        <v>2217</v>
      </c>
      <c r="H483" s="8" t="s">
        <v>2600</v>
      </c>
      <c r="I483" s="8" t="s">
        <v>3175</v>
      </c>
      <c r="J483" s="8" t="s">
        <v>3201</v>
      </c>
      <c r="K483" s="3" t="s">
        <v>12586</v>
      </c>
      <c r="L483" s="3" t="s">
        <v>12587</v>
      </c>
      <c r="M483" s="3" t="s">
        <v>12588</v>
      </c>
      <c r="N483" s="3" t="s">
        <v>12589</v>
      </c>
      <c r="O483" s="3" t="s">
        <v>12595</v>
      </c>
      <c r="P483" s="8" t="s">
        <v>2224</v>
      </c>
    </row>
    <row r="484" ht="12.75" customHeight="1">
      <c r="A484" s="8" t="s">
        <v>1077</v>
      </c>
      <c r="B484" s="8" t="s">
        <v>7605</v>
      </c>
      <c r="C484" s="8" t="s">
        <v>7621</v>
      </c>
      <c r="D484" s="3" t="s">
        <v>3</v>
      </c>
      <c r="E484" s="8" t="s">
        <v>7623</v>
      </c>
      <c r="F484" s="8" t="s">
        <v>2147</v>
      </c>
      <c r="G484" s="8" t="s">
        <v>2217</v>
      </c>
      <c r="H484" s="8" t="s">
        <v>2600</v>
      </c>
      <c r="I484" s="8" t="s">
        <v>2986</v>
      </c>
      <c r="J484" s="8" t="s">
        <v>2985</v>
      </c>
      <c r="K484" s="3" t="s">
        <v>12586</v>
      </c>
      <c r="L484" s="3" t="s">
        <v>12587</v>
      </c>
      <c r="M484" s="3" t="s">
        <v>12588</v>
      </c>
      <c r="N484" s="3" t="s">
        <v>12589</v>
      </c>
      <c r="O484" s="3" t="s">
        <v>12611</v>
      </c>
      <c r="P484" s="8" t="s">
        <v>2237</v>
      </c>
    </row>
    <row r="485" ht="12.75" customHeight="1">
      <c r="A485" s="8" t="s">
        <v>1115</v>
      </c>
      <c r="B485" s="8" t="s">
        <v>7690</v>
      </c>
      <c r="C485" s="8" t="s">
        <v>7703</v>
      </c>
      <c r="D485" s="3" t="s">
        <v>3</v>
      </c>
      <c r="E485" s="8" t="s">
        <v>7706</v>
      </c>
      <c r="F485" s="8" t="s">
        <v>2147</v>
      </c>
      <c r="G485" s="8" t="s">
        <v>2217</v>
      </c>
      <c r="H485" s="8" t="s">
        <v>2600</v>
      </c>
      <c r="I485" s="8" t="s">
        <v>2991</v>
      </c>
      <c r="J485" s="8" t="s">
        <v>2985</v>
      </c>
      <c r="K485" s="3" t="s">
        <v>12586</v>
      </c>
      <c r="L485" s="3" t="s">
        <v>12587</v>
      </c>
      <c r="M485" s="3" t="s">
        <v>12588</v>
      </c>
      <c r="N485" s="3" t="s">
        <v>12589</v>
      </c>
      <c r="O485" s="3" t="s">
        <v>12611</v>
      </c>
      <c r="P485" s="8" t="s">
        <v>2237</v>
      </c>
    </row>
    <row r="486" ht="12.75" customHeight="1">
      <c r="A486" s="8" t="s">
        <v>12299</v>
      </c>
      <c r="B486" s="8" t="s">
        <v>2135</v>
      </c>
      <c r="C486" s="8" t="s">
        <v>12301</v>
      </c>
      <c r="D486" s="3" t="s">
        <v>3</v>
      </c>
      <c r="E486" s="8" t="s">
        <v>12303</v>
      </c>
      <c r="F486" s="3" t="s">
        <v>2147</v>
      </c>
      <c r="G486" s="3" t="s">
        <v>2217</v>
      </c>
      <c r="H486" s="3" t="s">
        <v>2600</v>
      </c>
      <c r="I486" s="3" t="s">
        <v>2991</v>
      </c>
      <c r="J486" s="3" t="s">
        <v>2985</v>
      </c>
      <c r="K486" s="3" t="s">
        <v>12586</v>
      </c>
      <c r="L486" s="3" t="s">
        <v>12587</v>
      </c>
      <c r="M486" s="3" t="s">
        <v>12588</v>
      </c>
      <c r="N486" s="3" t="s">
        <v>12589</v>
      </c>
      <c r="O486" s="3" t="s">
        <v>12611</v>
      </c>
      <c r="P486" s="3" t="s">
        <v>2237</v>
      </c>
    </row>
    <row r="487" ht="12.75" customHeight="1">
      <c r="A487" s="8" t="s">
        <v>1229</v>
      </c>
      <c r="B487" s="8" t="s">
        <v>8610</v>
      </c>
      <c r="C487" s="8" t="s">
        <v>8623</v>
      </c>
      <c r="D487" s="3" t="s">
        <v>3</v>
      </c>
      <c r="E487" s="8" t="s">
        <v>8625</v>
      </c>
      <c r="F487" s="8" t="s">
        <v>2142</v>
      </c>
      <c r="G487" s="3" t="s">
        <v>12585</v>
      </c>
      <c r="H487" s="8" t="s">
        <v>2177</v>
      </c>
      <c r="I487" s="8" t="s">
        <v>2992</v>
      </c>
      <c r="J487" s="8" t="s">
        <v>2985</v>
      </c>
      <c r="K487" s="3" t="s">
        <v>12586</v>
      </c>
      <c r="L487" s="3" t="s">
        <v>12587</v>
      </c>
      <c r="M487" s="3" t="s">
        <v>12588</v>
      </c>
      <c r="N487" s="3" t="s">
        <v>12589</v>
      </c>
      <c r="O487" s="3" t="s">
        <v>12600</v>
      </c>
      <c r="P487" s="8" t="s">
        <v>2180</v>
      </c>
    </row>
    <row r="488" ht="12.75" customHeight="1">
      <c r="A488" s="8" t="s">
        <v>1245</v>
      </c>
      <c r="B488" s="8" t="s">
        <v>8551</v>
      </c>
      <c r="C488" s="8" t="s">
        <v>8558</v>
      </c>
      <c r="D488" s="3" t="s">
        <v>3</v>
      </c>
      <c r="E488" s="8" t="s">
        <v>8561</v>
      </c>
      <c r="F488" s="8" t="s">
        <v>2147</v>
      </c>
      <c r="G488" s="3" t="s">
        <v>12603</v>
      </c>
      <c r="H488" s="8" t="s">
        <v>2185</v>
      </c>
      <c r="I488" s="8" t="s">
        <v>2992</v>
      </c>
      <c r="J488" s="8" t="s">
        <v>2985</v>
      </c>
      <c r="K488" s="3" t="s">
        <v>12586</v>
      </c>
      <c r="L488" s="3" t="s">
        <v>12587</v>
      </c>
      <c r="M488" s="3" t="s">
        <v>12588</v>
      </c>
      <c r="N488" s="3" t="s">
        <v>12589</v>
      </c>
      <c r="O488" s="3" t="s">
        <v>12630</v>
      </c>
      <c r="P488" s="8" t="s">
        <v>2150</v>
      </c>
    </row>
    <row r="489" ht="12.75" customHeight="1">
      <c r="A489" s="8" t="s">
        <v>1318</v>
      </c>
      <c r="B489" s="8" t="s">
        <v>7919</v>
      </c>
      <c r="C489" s="8" t="s">
        <v>7933</v>
      </c>
      <c r="D489" s="3" t="s">
        <v>3</v>
      </c>
      <c r="E489" s="8" t="s">
        <v>7935</v>
      </c>
      <c r="F489" s="8" t="s">
        <v>2147</v>
      </c>
      <c r="G489" s="3" t="s">
        <v>12603</v>
      </c>
      <c r="H489" s="8" t="s">
        <v>2185</v>
      </c>
      <c r="I489" s="8" t="s">
        <v>2992</v>
      </c>
      <c r="J489" s="8" t="s">
        <v>2985</v>
      </c>
      <c r="K489" s="3" t="s">
        <v>12586</v>
      </c>
      <c r="L489" s="3" t="s">
        <v>12587</v>
      </c>
      <c r="M489" s="3" t="s">
        <v>12588</v>
      </c>
      <c r="N489" s="3" t="s">
        <v>12589</v>
      </c>
      <c r="O489" s="3" t="s">
        <v>12609</v>
      </c>
      <c r="P489" s="8" t="s">
        <v>2157</v>
      </c>
    </row>
    <row r="490" ht="12.75" customHeight="1">
      <c r="A490" s="8" t="s">
        <v>1320</v>
      </c>
      <c r="B490" s="8" t="s">
        <v>7939</v>
      </c>
      <c r="C490" s="8" t="s">
        <v>7951</v>
      </c>
      <c r="D490" s="3" t="s">
        <v>3</v>
      </c>
      <c r="E490" s="8" t="s">
        <v>7953</v>
      </c>
      <c r="F490" s="8" t="s">
        <v>2147</v>
      </c>
      <c r="G490" s="3" t="s">
        <v>12603</v>
      </c>
      <c r="H490" s="8" t="s">
        <v>2272</v>
      </c>
      <c r="I490" s="8" t="s">
        <v>2992</v>
      </c>
      <c r="J490" s="8" t="s">
        <v>2985</v>
      </c>
      <c r="K490" s="3" t="s">
        <v>12586</v>
      </c>
      <c r="L490" s="3" t="s">
        <v>12587</v>
      </c>
      <c r="M490" s="3" t="s">
        <v>12588</v>
      </c>
      <c r="N490" s="3" t="s">
        <v>12589</v>
      </c>
      <c r="O490" s="3" t="s">
        <v>12609</v>
      </c>
      <c r="P490" s="8" t="s">
        <v>2148</v>
      </c>
    </row>
    <row r="491" ht="12.75" customHeight="1">
      <c r="A491" s="8" t="s">
        <v>1261</v>
      </c>
      <c r="B491" s="8" t="s">
        <v>8412</v>
      </c>
      <c r="C491" s="8" t="s">
        <v>8422</v>
      </c>
      <c r="D491" s="3" t="s">
        <v>3</v>
      </c>
      <c r="E491" s="8" t="s">
        <v>8424</v>
      </c>
      <c r="F491" s="8" t="s">
        <v>2147</v>
      </c>
      <c r="G491" s="3" t="s">
        <v>12603</v>
      </c>
      <c r="H491" s="8" t="s">
        <v>2272</v>
      </c>
      <c r="I491" s="8" t="s">
        <v>2992</v>
      </c>
      <c r="J491" s="8" t="s">
        <v>2985</v>
      </c>
      <c r="K491" s="3" t="s">
        <v>12586</v>
      </c>
      <c r="L491" s="3" t="s">
        <v>12587</v>
      </c>
      <c r="M491" s="3" t="s">
        <v>12588</v>
      </c>
      <c r="N491" s="3" t="s">
        <v>12589</v>
      </c>
      <c r="O491" s="3" t="s">
        <v>12609</v>
      </c>
      <c r="P491" s="8" t="s">
        <v>2148</v>
      </c>
    </row>
    <row r="492" ht="12.75" customHeight="1">
      <c r="A492" s="8" t="s">
        <v>1152</v>
      </c>
      <c r="B492" s="8" t="s">
        <v>9191</v>
      </c>
      <c r="C492" s="8" t="s">
        <v>9198</v>
      </c>
      <c r="D492" s="3" t="s">
        <v>3</v>
      </c>
      <c r="E492" s="8" t="s">
        <v>9200</v>
      </c>
      <c r="F492" s="8" t="s">
        <v>2142</v>
      </c>
      <c r="G492" s="3" t="s">
        <v>12585</v>
      </c>
      <c r="H492" s="8" t="s">
        <v>2307</v>
      </c>
      <c r="I492" s="8" t="s">
        <v>2992</v>
      </c>
      <c r="J492" s="8" t="s">
        <v>2985</v>
      </c>
      <c r="K492" s="3" t="s">
        <v>12586</v>
      </c>
      <c r="L492" s="3" t="s">
        <v>12587</v>
      </c>
      <c r="M492" s="3" t="s">
        <v>12588</v>
      </c>
      <c r="N492" s="3" t="s">
        <v>12589</v>
      </c>
      <c r="O492" s="3" t="s">
        <v>12596</v>
      </c>
      <c r="P492" s="8" t="s">
        <v>2311</v>
      </c>
    </row>
    <row r="493" ht="12.75" customHeight="1">
      <c r="A493" s="8" t="s">
        <v>1180</v>
      </c>
      <c r="B493" s="8" t="s">
        <v>9021</v>
      </c>
      <c r="C493" s="8" t="s">
        <v>9027</v>
      </c>
      <c r="D493" s="3" t="s">
        <v>3</v>
      </c>
      <c r="E493" s="8" t="s">
        <v>9029</v>
      </c>
      <c r="F493" s="8" t="s">
        <v>2142</v>
      </c>
      <c r="G493" s="3" t="s">
        <v>12585</v>
      </c>
      <c r="H493" s="8" t="s">
        <v>2325</v>
      </c>
      <c r="I493" s="8" t="s">
        <v>2992</v>
      </c>
      <c r="J493" s="8" t="s">
        <v>2985</v>
      </c>
      <c r="K493" s="3" t="s">
        <v>12586</v>
      </c>
      <c r="L493" s="3" t="s">
        <v>12587</v>
      </c>
      <c r="M493" s="3" t="s">
        <v>12588</v>
      </c>
      <c r="N493" s="3" t="s">
        <v>12589</v>
      </c>
      <c r="O493" s="3" t="s">
        <v>12594</v>
      </c>
      <c r="P493" s="8" t="s">
        <v>2168</v>
      </c>
    </row>
    <row r="494" ht="12.75" customHeight="1">
      <c r="A494" s="8" t="s">
        <v>1154</v>
      </c>
      <c r="B494" s="8" t="s">
        <v>9181</v>
      </c>
      <c r="C494" s="8" t="s">
        <v>9186</v>
      </c>
      <c r="D494" s="3" t="s">
        <v>3</v>
      </c>
      <c r="E494" s="8" t="s">
        <v>9188</v>
      </c>
      <c r="F494" s="8" t="s">
        <v>2142</v>
      </c>
      <c r="G494" s="3" t="s">
        <v>12585</v>
      </c>
      <c r="H494" s="8" t="s">
        <v>2325</v>
      </c>
      <c r="I494" s="8" t="s">
        <v>2992</v>
      </c>
      <c r="J494" s="8" t="s">
        <v>2985</v>
      </c>
      <c r="K494" s="3" t="s">
        <v>12586</v>
      </c>
      <c r="L494" s="3" t="s">
        <v>12587</v>
      </c>
      <c r="M494" s="3" t="s">
        <v>12588</v>
      </c>
      <c r="N494" s="3" t="s">
        <v>12589</v>
      </c>
      <c r="O494" s="3" t="s">
        <v>12594</v>
      </c>
      <c r="P494" s="8" t="s">
        <v>2168</v>
      </c>
    </row>
    <row r="495" ht="12.75" customHeight="1">
      <c r="A495" s="8" t="s">
        <v>1200</v>
      </c>
      <c r="B495" s="8" t="s">
        <v>8815</v>
      </c>
      <c r="C495" s="8" t="s">
        <v>2135</v>
      </c>
      <c r="D495" s="3" t="s">
        <v>3</v>
      </c>
      <c r="E495" s="8" t="s">
        <v>8827</v>
      </c>
      <c r="F495" s="8" t="s">
        <v>2142</v>
      </c>
      <c r="G495" s="3" t="s">
        <v>12585</v>
      </c>
      <c r="H495" s="8" t="s">
        <v>2352</v>
      </c>
      <c r="I495" s="8" t="s">
        <v>2992</v>
      </c>
      <c r="J495" s="8" t="s">
        <v>2985</v>
      </c>
      <c r="K495" s="3" t="s">
        <v>12586</v>
      </c>
      <c r="L495" s="3" t="s">
        <v>12587</v>
      </c>
      <c r="M495" s="3" t="s">
        <v>12588</v>
      </c>
      <c r="N495" s="3" t="s">
        <v>12589</v>
      </c>
      <c r="O495" s="3" t="s">
        <v>12596</v>
      </c>
      <c r="P495" s="8" t="s">
        <v>2311</v>
      </c>
    </row>
    <row r="496" ht="12.75" customHeight="1">
      <c r="A496" s="8" t="s">
        <v>1325</v>
      </c>
      <c r="B496" s="8" t="s">
        <v>7809</v>
      </c>
      <c r="C496" s="8" t="s">
        <v>7822</v>
      </c>
      <c r="D496" s="3" t="s">
        <v>3</v>
      </c>
      <c r="E496" s="8" t="s">
        <v>7825</v>
      </c>
      <c r="F496" s="8" t="s">
        <v>2142</v>
      </c>
      <c r="G496" s="3" t="s">
        <v>12585</v>
      </c>
      <c r="H496" s="8" t="s">
        <v>2379</v>
      </c>
      <c r="I496" s="8" t="s">
        <v>2992</v>
      </c>
      <c r="J496" s="8" t="s">
        <v>2985</v>
      </c>
      <c r="K496" s="3" t="s">
        <v>12586</v>
      </c>
      <c r="L496" s="3" t="s">
        <v>12587</v>
      </c>
      <c r="M496" s="3" t="s">
        <v>12588</v>
      </c>
      <c r="N496" s="3" t="s">
        <v>12589</v>
      </c>
      <c r="O496" s="3" t="s">
        <v>12590</v>
      </c>
      <c r="P496" s="8" t="s">
        <v>2143</v>
      </c>
    </row>
    <row r="497" ht="12.75" customHeight="1">
      <c r="A497" s="8" t="s">
        <v>1198</v>
      </c>
      <c r="B497" s="8" t="s">
        <v>8749</v>
      </c>
      <c r="C497" s="8" t="s">
        <v>8760</v>
      </c>
      <c r="D497" s="3" t="s">
        <v>3</v>
      </c>
      <c r="E497" s="8" t="s">
        <v>8763</v>
      </c>
      <c r="F497" s="8" t="s">
        <v>2142</v>
      </c>
      <c r="G497" s="3" t="s">
        <v>12585</v>
      </c>
      <c r="H497" s="8" t="s">
        <v>2497</v>
      </c>
      <c r="I497" s="8" t="s">
        <v>2992</v>
      </c>
      <c r="J497" s="8" t="s">
        <v>2985</v>
      </c>
      <c r="K497" s="3" t="s">
        <v>12586</v>
      </c>
      <c r="L497" s="3" t="s">
        <v>12587</v>
      </c>
      <c r="M497" s="3" t="s">
        <v>12588</v>
      </c>
      <c r="N497" s="3" t="s">
        <v>12589</v>
      </c>
      <c r="O497" s="3" t="s">
        <v>12600</v>
      </c>
      <c r="P497" s="8" t="s">
        <v>2180</v>
      </c>
    </row>
    <row r="498" ht="12.75" customHeight="1">
      <c r="A498" s="8" t="s">
        <v>1247</v>
      </c>
      <c r="B498" s="8" t="s">
        <v>8534</v>
      </c>
      <c r="C498" s="8" t="s">
        <v>8545</v>
      </c>
      <c r="D498" s="3" t="s">
        <v>3</v>
      </c>
      <c r="E498" s="8" t="s">
        <v>8547</v>
      </c>
      <c r="F498" s="8" t="s">
        <v>2142</v>
      </c>
      <c r="G498" s="3" t="s">
        <v>12585</v>
      </c>
      <c r="H498" s="8" t="s">
        <v>2553</v>
      </c>
      <c r="I498" s="8" t="s">
        <v>2992</v>
      </c>
      <c r="J498" s="8" t="s">
        <v>2985</v>
      </c>
      <c r="K498" s="3" t="s">
        <v>12586</v>
      </c>
      <c r="L498" s="3" t="s">
        <v>12587</v>
      </c>
      <c r="M498" s="3" t="s">
        <v>12588</v>
      </c>
      <c r="N498" s="3" t="s">
        <v>12589</v>
      </c>
      <c r="O498" s="3" t="s">
        <v>12590</v>
      </c>
      <c r="P498" s="8" t="s">
        <v>2143</v>
      </c>
    </row>
    <row r="499" ht="12.75" customHeight="1">
      <c r="A499" s="8" t="s">
        <v>1121</v>
      </c>
      <c r="B499" s="8" t="s">
        <v>9377</v>
      </c>
      <c r="C499" s="8" t="s">
        <v>9379</v>
      </c>
      <c r="D499" s="3" t="s">
        <v>3</v>
      </c>
      <c r="E499" s="8" t="s">
        <v>9381</v>
      </c>
      <c r="F499" s="8" t="s">
        <v>2142</v>
      </c>
      <c r="G499" s="3" t="s">
        <v>12585</v>
      </c>
      <c r="H499" s="8" t="s">
        <v>2553</v>
      </c>
      <c r="I499" s="8" t="s">
        <v>2992</v>
      </c>
      <c r="J499" s="8" t="s">
        <v>2985</v>
      </c>
      <c r="K499" s="3" t="s">
        <v>12586</v>
      </c>
      <c r="L499" s="3" t="s">
        <v>12587</v>
      </c>
      <c r="M499" s="3" t="s">
        <v>12588</v>
      </c>
      <c r="N499" s="3" t="s">
        <v>12589</v>
      </c>
      <c r="O499" s="3" t="s">
        <v>12590</v>
      </c>
      <c r="P499" s="8" t="s">
        <v>2143</v>
      </c>
    </row>
    <row r="500" ht="12.75" customHeight="1">
      <c r="A500" s="8" t="s">
        <v>1341</v>
      </c>
      <c r="B500" s="8" t="s">
        <v>7736</v>
      </c>
      <c r="C500" s="8" t="s">
        <v>7743</v>
      </c>
      <c r="D500" s="3" t="s">
        <v>3</v>
      </c>
      <c r="E500" s="8" t="s">
        <v>7745</v>
      </c>
      <c r="F500" s="8" t="s">
        <v>2147</v>
      </c>
      <c r="G500" s="8" t="s">
        <v>2217</v>
      </c>
      <c r="H500" s="8" t="s">
        <v>2600</v>
      </c>
      <c r="I500" s="8" t="s">
        <v>2992</v>
      </c>
      <c r="J500" s="8" t="s">
        <v>2985</v>
      </c>
      <c r="K500" s="3" t="s">
        <v>12586</v>
      </c>
      <c r="L500" s="3" t="s">
        <v>12587</v>
      </c>
      <c r="M500" s="3" t="s">
        <v>12588</v>
      </c>
      <c r="N500" s="3" t="s">
        <v>12589</v>
      </c>
      <c r="O500" s="3" t="s">
        <v>12611</v>
      </c>
      <c r="P500" s="8" t="s">
        <v>2237</v>
      </c>
    </row>
    <row r="501" ht="12.75" customHeight="1">
      <c r="A501" s="8" t="s">
        <v>1339</v>
      </c>
      <c r="B501" s="8" t="s">
        <v>7751</v>
      </c>
      <c r="C501" s="8" t="s">
        <v>7764</v>
      </c>
      <c r="D501" s="3" t="s">
        <v>3</v>
      </c>
      <c r="E501" s="8" t="s">
        <v>7767</v>
      </c>
      <c r="F501" s="8" t="s">
        <v>2147</v>
      </c>
      <c r="G501" s="8" t="s">
        <v>2217</v>
      </c>
      <c r="H501" s="8" t="s">
        <v>2600</v>
      </c>
      <c r="I501" s="8" t="s">
        <v>2992</v>
      </c>
      <c r="J501" s="8" t="s">
        <v>2985</v>
      </c>
      <c r="K501" s="3" t="s">
        <v>12586</v>
      </c>
      <c r="L501" s="3" t="s">
        <v>12587</v>
      </c>
      <c r="M501" s="3" t="s">
        <v>12588</v>
      </c>
      <c r="N501" s="3" t="s">
        <v>12589</v>
      </c>
      <c r="O501" s="3" t="s">
        <v>12611</v>
      </c>
      <c r="P501" s="8" t="s">
        <v>2237</v>
      </c>
    </row>
    <row r="502" ht="12.75" customHeight="1">
      <c r="A502" s="8" t="s">
        <v>1337</v>
      </c>
      <c r="B502" s="8" t="s">
        <v>7772</v>
      </c>
      <c r="C502" s="8" t="s">
        <v>7778</v>
      </c>
      <c r="D502" s="3" t="s">
        <v>3</v>
      </c>
      <c r="E502" s="8" t="s">
        <v>7780</v>
      </c>
      <c r="F502" s="8" t="s">
        <v>2147</v>
      </c>
      <c r="G502" s="8" t="s">
        <v>2217</v>
      </c>
      <c r="H502" s="8" t="s">
        <v>2600</v>
      </c>
      <c r="I502" s="8" t="s">
        <v>2992</v>
      </c>
      <c r="J502" s="8" t="s">
        <v>2985</v>
      </c>
      <c r="K502" s="3" t="s">
        <v>12586</v>
      </c>
      <c r="L502" s="3" t="s">
        <v>12587</v>
      </c>
      <c r="M502" s="3" t="s">
        <v>12588</v>
      </c>
      <c r="N502" s="3" t="s">
        <v>12589</v>
      </c>
      <c r="O502" s="3" t="s">
        <v>12611</v>
      </c>
      <c r="P502" s="8" t="s">
        <v>2237</v>
      </c>
    </row>
    <row r="503" ht="12.75" customHeight="1">
      <c r="A503" s="8" t="s">
        <v>1335</v>
      </c>
      <c r="B503" s="8" t="s">
        <v>7786</v>
      </c>
      <c r="C503" s="8" t="s">
        <v>7801</v>
      </c>
      <c r="D503" s="3" t="s">
        <v>3</v>
      </c>
      <c r="E503" s="8" t="s">
        <v>7803</v>
      </c>
      <c r="F503" s="8" t="s">
        <v>2147</v>
      </c>
      <c r="G503" s="8" t="s">
        <v>2217</v>
      </c>
      <c r="H503" s="8" t="s">
        <v>2600</v>
      </c>
      <c r="I503" s="8" t="s">
        <v>2992</v>
      </c>
      <c r="J503" s="8" t="s">
        <v>2985</v>
      </c>
      <c r="K503" s="3" t="s">
        <v>12586</v>
      </c>
      <c r="L503" s="3" t="s">
        <v>12587</v>
      </c>
      <c r="M503" s="3" t="s">
        <v>12588</v>
      </c>
      <c r="N503" s="3" t="s">
        <v>12589</v>
      </c>
      <c r="O503" s="3" t="s">
        <v>12611</v>
      </c>
      <c r="P503" s="8" t="s">
        <v>2237</v>
      </c>
    </row>
    <row r="504" ht="12.75" customHeight="1">
      <c r="A504" s="8" t="s">
        <v>1333</v>
      </c>
      <c r="B504" s="8" t="s">
        <v>7831</v>
      </c>
      <c r="C504" s="8" t="s">
        <v>7843</v>
      </c>
      <c r="D504" s="3" t="s">
        <v>3</v>
      </c>
      <c r="E504" s="8" t="s">
        <v>7847</v>
      </c>
      <c r="F504" s="8" t="s">
        <v>2147</v>
      </c>
      <c r="G504" s="8" t="s">
        <v>2217</v>
      </c>
      <c r="H504" s="8" t="s">
        <v>2600</v>
      </c>
      <c r="I504" s="8" t="s">
        <v>2992</v>
      </c>
      <c r="J504" s="8" t="s">
        <v>2985</v>
      </c>
      <c r="K504" s="3" t="s">
        <v>12586</v>
      </c>
      <c r="L504" s="3" t="s">
        <v>12587</v>
      </c>
      <c r="M504" s="3" t="s">
        <v>12588</v>
      </c>
      <c r="N504" s="3" t="s">
        <v>12589</v>
      </c>
      <c r="O504" s="3" t="s">
        <v>12611</v>
      </c>
      <c r="P504" s="8" t="s">
        <v>2237</v>
      </c>
    </row>
    <row r="505" ht="12.75" customHeight="1">
      <c r="A505" s="8" t="s">
        <v>1316</v>
      </c>
      <c r="B505" s="8" t="s">
        <v>7891</v>
      </c>
      <c r="C505" s="8" t="s">
        <v>7900</v>
      </c>
      <c r="D505" s="3" t="s">
        <v>3</v>
      </c>
      <c r="E505" s="8" t="s">
        <v>7902</v>
      </c>
      <c r="F505" s="8" t="s">
        <v>2147</v>
      </c>
      <c r="G505" s="8" t="s">
        <v>2217</v>
      </c>
      <c r="H505" s="8" t="s">
        <v>2600</v>
      </c>
      <c r="I505" s="8" t="s">
        <v>2992</v>
      </c>
      <c r="J505" s="8" t="s">
        <v>2985</v>
      </c>
      <c r="K505" s="3" t="s">
        <v>12586</v>
      </c>
      <c r="L505" s="3" t="s">
        <v>12587</v>
      </c>
      <c r="M505" s="3" t="s">
        <v>12588</v>
      </c>
      <c r="N505" s="3" t="s">
        <v>12589</v>
      </c>
      <c r="O505" s="3" t="s">
        <v>12611</v>
      </c>
      <c r="P505" s="8" t="s">
        <v>2237</v>
      </c>
    </row>
    <row r="506" ht="12.75" customHeight="1">
      <c r="A506" s="8" t="s">
        <v>1308</v>
      </c>
      <c r="B506" s="8" t="s">
        <v>7974</v>
      </c>
      <c r="C506" s="8" t="s">
        <v>7984</v>
      </c>
      <c r="D506" s="3" t="s">
        <v>3</v>
      </c>
      <c r="E506" s="8" t="s">
        <v>7986</v>
      </c>
      <c r="F506" s="8" t="s">
        <v>2147</v>
      </c>
      <c r="G506" s="8" t="s">
        <v>2217</v>
      </c>
      <c r="H506" s="8" t="s">
        <v>2600</v>
      </c>
      <c r="I506" s="8" t="s">
        <v>2992</v>
      </c>
      <c r="J506" s="8" t="s">
        <v>2985</v>
      </c>
      <c r="K506" s="3" t="s">
        <v>12586</v>
      </c>
      <c r="L506" s="3" t="s">
        <v>12587</v>
      </c>
      <c r="M506" s="3" t="s">
        <v>12588</v>
      </c>
      <c r="N506" s="3" t="s">
        <v>12589</v>
      </c>
      <c r="O506" s="3" t="s">
        <v>12611</v>
      </c>
      <c r="P506" s="8" t="s">
        <v>2237</v>
      </c>
    </row>
    <row r="507" ht="12.75" customHeight="1">
      <c r="A507" s="8" t="s">
        <v>1312</v>
      </c>
      <c r="B507" s="8" t="s">
        <v>8057</v>
      </c>
      <c r="C507" s="8" t="s">
        <v>8067</v>
      </c>
      <c r="D507" s="3" t="s">
        <v>3</v>
      </c>
      <c r="E507" s="8" t="s">
        <v>8068</v>
      </c>
      <c r="F507" s="8" t="s">
        <v>2147</v>
      </c>
      <c r="G507" s="8" t="s">
        <v>2217</v>
      </c>
      <c r="H507" s="8" t="s">
        <v>2600</v>
      </c>
      <c r="I507" s="8" t="s">
        <v>2992</v>
      </c>
      <c r="J507" s="8" t="s">
        <v>2985</v>
      </c>
      <c r="K507" s="3" t="s">
        <v>12586</v>
      </c>
      <c r="L507" s="3" t="s">
        <v>12587</v>
      </c>
      <c r="M507" s="3" t="s">
        <v>12588</v>
      </c>
      <c r="N507" s="3" t="s">
        <v>12589</v>
      </c>
      <c r="O507" s="3" t="s">
        <v>12611</v>
      </c>
      <c r="P507" s="8" t="s">
        <v>2237</v>
      </c>
    </row>
    <row r="508" ht="12.75" customHeight="1">
      <c r="A508" s="8" t="s">
        <v>1310</v>
      </c>
      <c r="B508" s="8" t="s">
        <v>8108</v>
      </c>
      <c r="C508" s="8" t="s">
        <v>8117</v>
      </c>
      <c r="D508" s="3" t="s">
        <v>3</v>
      </c>
      <c r="E508" s="8" t="s">
        <v>8119</v>
      </c>
      <c r="F508" s="8" t="s">
        <v>2147</v>
      </c>
      <c r="G508" s="8" t="s">
        <v>2217</v>
      </c>
      <c r="H508" s="8" t="s">
        <v>2600</v>
      </c>
      <c r="I508" s="8" t="s">
        <v>2992</v>
      </c>
      <c r="J508" s="8" t="s">
        <v>2985</v>
      </c>
      <c r="K508" s="3" t="s">
        <v>12586</v>
      </c>
      <c r="L508" s="3" t="s">
        <v>12587</v>
      </c>
      <c r="M508" s="3" t="s">
        <v>12588</v>
      </c>
      <c r="N508" s="3" t="s">
        <v>12589</v>
      </c>
      <c r="O508" s="3" t="s">
        <v>12611</v>
      </c>
      <c r="P508" s="8" t="s">
        <v>2237</v>
      </c>
    </row>
    <row r="509" ht="12.75" customHeight="1">
      <c r="A509" s="8" t="s">
        <v>1283</v>
      </c>
      <c r="B509" s="8" t="s">
        <v>8272</v>
      </c>
      <c r="C509" s="8" t="s">
        <v>8282</v>
      </c>
      <c r="D509" s="3" t="s">
        <v>3</v>
      </c>
      <c r="E509" s="8" t="s">
        <v>8284</v>
      </c>
      <c r="F509" s="8" t="s">
        <v>2147</v>
      </c>
      <c r="G509" s="8" t="s">
        <v>2217</v>
      </c>
      <c r="H509" s="8" t="s">
        <v>2600</v>
      </c>
      <c r="I509" s="8" t="s">
        <v>2992</v>
      </c>
      <c r="J509" s="8" t="s">
        <v>2985</v>
      </c>
      <c r="K509" s="3" t="s">
        <v>12586</v>
      </c>
      <c r="L509" s="3" t="s">
        <v>12587</v>
      </c>
      <c r="M509" s="3" t="s">
        <v>12588</v>
      </c>
      <c r="N509" s="3" t="s">
        <v>12589</v>
      </c>
      <c r="O509" s="3" t="s">
        <v>12611</v>
      </c>
      <c r="P509" s="8" t="s">
        <v>2237</v>
      </c>
    </row>
    <row r="510" ht="12.75" customHeight="1">
      <c r="A510" s="8" t="s">
        <v>1267</v>
      </c>
      <c r="B510" s="8" t="s">
        <v>8340</v>
      </c>
      <c r="C510" s="8" t="s">
        <v>8347</v>
      </c>
      <c r="D510" s="3" t="s">
        <v>3</v>
      </c>
      <c r="E510" s="8" t="s">
        <v>8349</v>
      </c>
      <c r="F510" s="8" t="s">
        <v>2147</v>
      </c>
      <c r="G510" s="8" t="s">
        <v>2217</v>
      </c>
      <c r="H510" s="8" t="s">
        <v>2600</v>
      </c>
      <c r="I510" s="8" t="s">
        <v>2992</v>
      </c>
      <c r="J510" s="8" t="s">
        <v>2985</v>
      </c>
      <c r="K510" s="3" t="s">
        <v>12586</v>
      </c>
      <c r="L510" s="3" t="s">
        <v>12587</v>
      </c>
      <c r="M510" s="3" t="s">
        <v>12588</v>
      </c>
      <c r="N510" s="3" t="s">
        <v>12589</v>
      </c>
      <c r="O510" s="3" t="s">
        <v>12611</v>
      </c>
      <c r="P510" s="8" t="s">
        <v>2237</v>
      </c>
    </row>
    <row r="511" ht="12.75" customHeight="1">
      <c r="A511" s="8" t="s">
        <v>1251</v>
      </c>
      <c r="B511" s="8" t="s">
        <v>8355</v>
      </c>
      <c r="C511" s="8" t="s">
        <v>8372</v>
      </c>
      <c r="D511" s="3" t="s">
        <v>3</v>
      </c>
      <c r="E511" s="8" t="s">
        <v>8375</v>
      </c>
      <c r="F511" s="8" t="s">
        <v>2147</v>
      </c>
      <c r="G511" s="8" t="s">
        <v>2217</v>
      </c>
      <c r="H511" s="8" t="s">
        <v>2600</v>
      </c>
      <c r="I511" s="8" t="s">
        <v>2992</v>
      </c>
      <c r="J511" s="8" t="s">
        <v>2985</v>
      </c>
      <c r="K511" s="3" t="s">
        <v>12586</v>
      </c>
      <c r="L511" s="3" t="s">
        <v>12587</v>
      </c>
      <c r="M511" s="3" t="s">
        <v>12588</v>
      </c>
      <c r="N511" s="3" t="s">
        <v>12589</v>
      </c>
      <c r="O511" s="3" t="s">
        <v>12611</v>
      </c>
      <c r="P511" s="8" t="s">
        <v>2237</v>
      </c>
    </row>
    <row r="512" ht="12.75" customHeight="1">
      <c r="A512" s="8" t="s">
        <v>1253</v>
      </c>
      <c r="B512" s="8" t="s">
        <v>8468</v>
      </c>
      <c r="C512" s="8" t="s">
        <v>8482</v>
      </c>
      <c r="D512" s="3" t="s">
        <v>3</v>
      </c>
      <c r="E512" s="8" t="s">
        <v>8485</v>
      </c>
      <c r="F512" s="8" t="s">
        <v>2147</v>
      </c>
      <c r="G512" s="8" t="s">
        <v>2217</v>
      </c>
      <c r="H512" s="8" t="s">
        <v>2600</v>
      </c>
      <c r="I512" s="8" t="s">
        <v>2992</v>
      </c>
      <c r="J512" s="8" t="s">
        <v>2985</v>
      </c>
      <c r="K512" s="3" t="s">
        <v>12586</v>
      </c>
      <c r="L512" s="3" t="s">
        <v>12587</v>
      </c>
      <c r="M512" s="3" t="s">
        <v>12588</v>
      </c>
      <c r="N512" s="3" t="s">
        <v>12589</v>
      </c>
      <c r="O512" s="3" t="s">
        <v>12611</v>
      </c>
      <c r="P512" s="8" t="s">
        <v>2237</v>
      </c>
    </row>
    <row r="513" ht="12.75" customHeight="1">
      <c r="A513" s="8" t="s">
        <v>1237</v>
      </c>
      <c r="B513" s="8" t="s">
        <v>8590</v>
      </c>
      <c r="C513" s="8" t="s">
        <v>8602</v>
      </c>
      <c r="D513" s="3" t="s">
        <v>3</v>
      </c>
      <c r="E513" s="8" t="s">
        <v>8605</v>
      </c>
      <c r="F513" s="8" t="s">
        <v>2147</v>
      </c>
      <c r="G513" s="8" t="s">
        <v>2217</v>
      </c>
      <c r="H513" s="8" t="s">
        <v>2600</v>
      </c>
      <c r="I513" s="8" t="s">
        <v>2992</v>
      </c>
      <c r="J513" s="8" t="s">
        <v>2985</v>
      </c>
      <c r="K513" s="3" t="s">
        <v>12586</v>
      </c>
      <c r="L513" s="3" t="s">
        <v>12587</v>
      </c>
      <c r="M513" s="3" t="s">
        <v>12588</v>
      </c>
      <c r="N513" s="3" t="s">
        <v>12589</v>
      </c>
      <c r="O513" s="3" t="s">
        <v>12611</v>
      </c>
      <c r="P513" s="8" t="s">
        <v>2237</v>
      </c>
    </row>
    <row r="514" ht="12.75" customHeight="1">
      <c r="A514" s="8" t="s">
        <v>1212</v>
      </c>
      <c r="B514" s="8" t="s">
        <v>8783</v>
      </c>
      <c r="C514" s="8" t="s">
        <v>8791</v>
      </c>
      <c r="D514" s="3" t="s">
        <v>3</v>
      </c>
      <c r="E514" s="8" t="s">
        <v>8793</v>
      </c>
      <c r="F514" s="8" t="s">
        <v>2147</v>
      </c>
      <c r="G514" s="8" t="s">
        <v>2217</v>
      </c>
      <c r="H514" s="8" t="s">
        <v>2600</v>
      </c>
      <c r="I514" s="8" t="s">
        <v>2992</v>
      </c>
      <c r="J514" s="8" t="s">
        <v>2985</v>
      </c>
      <c r="K514" s="3" t="s">
        <v>12586</v>
      </c>
      <c r="L514" s="3" t="s">
        <v>12587</v>
      </c>
      <c r="M514" s="3" t="s">
        <v>12588</v>
      </c>
      <c r="N514" s="3" t="s">
        <v>12589</v>
      </c>
      <c r="O514" s="3" t="s">
        <v>12611</v>
      </c>
      <c r="P514" s="8" t="s">
        <v>2237</v>
      </c>
    </row>
    <row r="515" ht="12.75" customHeight="1">
      <c r="A515" s="8" t="s">
        <v>1210</v>
      </c>
      <c r="B515" s="8" t="s">
        <v>8832</v>
      </c>
      <c r="C515" s="8" t="s">
        <v>8842</v>
      </c>
      <c r="D515" s="3" t="s">
        <v>3</v>
      </c>
      <c r="E515" s="8" t="s">
        <v>8844</v>
      </c>
      <c r="F515" s="8" t="s">
        <v>2147</v>
      </c>
      <c r="G515" s="8" t="s">
        <v>2217</v>
      </c>
      <c r="H515" s="8" t="s">
        <v>2600</v>
      </c>
      <c r="I515" s="8" t="s">
        <v>2992</v>
      </c>
      <c r="J515" s="8" t="s">
        <v>2985</v>
      </c>
      <c r="K515" s="3" t="s">
        <v>12586</v>
      </c>
      <c r="L515" s="3" t="s">
        <v>12587</v>
      </c>
      <c r="M515" s="3" t="s">
        <v>12588</v>
      </c>
      <c r="N515" s="3" t="s">
        <v>12589</v>
      </c>
      <c r="O515" s="3" t="s">
        <v>12611</v>
      </c>
      <c r="P515" s="8" t="s">
        <v>2237</v>
      </c>
    </row>
    <row r="516" ht="12.75" customHeight="1">
      <c r="A516" s="8" t="s">
        <v>1208</v>
      </c>
      <c r="B516" s="8" t="s">
        <v>8861</v>
      </c>
      <c r="C516" s="8" t="s">
        <v>8872</v>
      </c>
      <c r="D516" s="3" t="s">
        <v>3</v>
      </c>
      <c r="E516" s="8" t="s">
        <v>8874</v>
      </c>
      <c r="F516" s="8" t="s">
        <v>2147</v>
      </c>
      <c r="G516" s="8" t="s">
        <v>2217</v>
      </c>
      <c r="H516" s="8" t="s">
        <v>2600</v>
      </c>
      <c r="I516" s="8" t="s">
        <v>2992</v>
      </c>
      <c r="J516" s="8" t="s">
        <v>2985</v>
      </c>
      <c r="K516" s="3" t="s">
        <v>12586</v>
      </c>
      <c r="L516" s="3" t="s">
        <v>12587</v>
      </c>
      <c r="M516" s="3" t="s">
        <v>12588</v>
      </c>
      <c r="N516" s="3" t="s">
        <v>12589</v>
      </c>
      <c r="O516" s="3" t="s">
        <v>12611</v>
      </c>
      <c r="P516" s="8" t="s">
        <v>2237</v>
      </c>
    </row>
    <row r="517" ht="12.75" customHeight="1">
      <c r="A517" s="8" t="s">
        <v>1188</v>
      </c>
      <c r="B517" s="8" t="s">
        <v>8906</v>
      </c>
      <c r="C517" s="8" t="s">
        <v>8919</v>
      </c>
      <c r="D517" s="3" t="s">
        <v>3</v>
      </c>
      <c r="E517" s="8" t="s">
        <v>8921</v>
      </c>
      <c r="F517" s="8" t="s">
        <v>2147</v>
      </c>
      <c r="G517" s="8" t="s">
        <v>2217</v>
      </c>
      <c r="H517" s="8" t="s">
        <v>2600</v>
      </c>
      <c r="I517" s="8" t="s">
        <v>2992</v>
      </c>
      <c r="J517" s="8" t="s">
        <v>2985</v>
      </c>
      <c r="K517" s="3" t="s">
        <v>12586</v>
      </c>
      <c r="L517" s="3" t="s">
        <v>12587</v>
      </c>
      <c r="M517" s="3" t="s">
        <v>12588</v>
      </c>
      <c r="N517" s="3" t="s">
        <v>12589</v>
      </c>
      <c r="O517" s="3" t="s">
        <v>12611</v>
      </c>
      <c r="P517" s="8" t="s">
        <v>2237</v>
      </c>
    </row>
    <row r="518" ht="12.75" customHeight="1">
      <c r="A518" s="8" t="s">
        <v>1095</v>
      </c>
      <c r="B518" s="8" t="s">
        <v>8997</v>
      </c>
      <c r="C518" s="8" t="s">
        <v>9014</v>
      </c>
      <c r="D518" s="3" t="s">
        <v>3</v>
      </c>
      <c r="E518" s="8" t="s">
        <v>9016</v>
      </c>
      <c r="F518" s="8" t="s">
        <v>2147</v>
      </c>
      <c r="G518" s="8" t="s">
        <v>2217</v>
      </c>
      <c r="H518" s="8" t="s">
        <v>2600</v>
      </c>
      <c r="I518" s="8" t="s">
        <v>2992</v>
      </c>
      <c r="J518" s="8" t="s">
        <v>2985</v>
      </c>
      <c r="K518" s="3" t="s">
        <v>12586</v>
      </c>
      <c r="L518" s="3" t="s">
        <v>12587</v>
      </c>
      <c r="M518" s="3" t="s">
        <v>12588</v>
      </c>
      <c r="N518" s="3" t="s">
        <v>12589</v>
      </c>
      <c r="O518" s="3" t="s">
        <v>12611</v>
      </c>
      <c r="P518" s="8" t="s">
        <v>2237</v>
      </c>
    </row>
    <row r="519" ht="12.75" customHeight="1">
      <c r="A519" s="8" t="s">
        <v>1160</v>
      </c>
      <c r="B519" s="8" t="s">
        <v>9145</v>
      </c>
      <c r="C519" s="8" t="s">
        <v>9152</v>
      </c>
      <c r="D519" s="3" t="s">
        <v>3</v>
      </c>
      <c r="E519" s="8" t="s">
        <v>9154</v>
      </c>
      <c r="F519" s="8" t="s">
        <v>2147</v>
      </c>
      <c r="G519" s="8" t="s">
        <v>2217</v>
      </c>
      <c r="H519" s="8" t="s">
        <v>2600</v>
      </c>
      <c r="I519" s="8" t="s">
        <v>2992</v>
      </c>
      <c r="J519" s="8" t="s">
        <v>2985</v>
      </c>
      <c r="K519" s="3" t="s">
        <v>12586</v>
      </c>
      <c r="L519" s="3" t="s">
        <v>12587</v>
      </c>
      <c r="M519" s="3" t="s">
        <v>12588</v>
      </c>
      <c r="N519" s="3" t="s">
        <v>12589</v>
      </c>
      <c r="O519" s="3" t="s">
        <v>12611</v>
      </c>
      <c r="P519" s="8" t="s">
        <v>2237</v>
      </c>
    </row>
    <row r="520" ht="12.75" customHeight="1">
      <c r="A520" s="8" t="s">
        <v>1162</v>
      </c>
      <c r="B520" s="8" t="s">
        <v>9169</v>
      </c>
      <c r="C520" s="8" t="s">
        <v>9175</v>
      </c>
      <c r="D520" s="3" t="s">
        <v>3</v>
      </c>
      <c r="E520" s="8" t="s">
        <v>9177</v>
      </c>
      <c r="F520" s="8" t="s">
        <v>2147</v>
      </c>
      <c r="G520" s="8" t="s">
        <v>2217</v>
      </c>
      <c r="H520" s="8" t="s">
        <v>2600</v>
      </c>
      <c r="I520" s="8" t="s">
        <v>2992</v>
      </c>
      <c r="J520" s="8" t="s">
        <v>2985</v>
      </c>
      <c r="K520" s="3" t="s">
        <v>12586</v>
      </c>
      <c r="L520" s="3" t="s">
        <v>12587</v>
      </c>
      <c r="M520" s="3" t="s">
        <v>12588</v>
      </c>
      <c r="N520" s="3" t="s">
        <v>12589</v>
      </c>
      <c r="O520" s="3" t="s">
        <v>12611</v>
      </c>
      <c r="P520" s="8" t="s">
        <v>2237</v>
      </c>
    </row>
    <row r="521" ht="12.75" customHeight="1">
      <c r="A521" s="8" t="s">
        <v>1093</v>
      </c>
      <c r="B521" s="8" t="s">
        <v>9227</v>
      </c>
      <c r="C521" s="8" t="s">
        <v>9232</v>
      </c>
      <c r="D521" s="3" t="s">
        <v>3</v>
      </c>
      <c r="E521" s="8" t="s">
        <v>9234</v>
      </c>
      <c r="F521" s="8" t="s">
        <v>2147</v>
      </c>
      <c r="G521" s="8" t="s">
        <v>2217</v>
      </c>
      <c r="H521" s="8" t="s">
        <v>2600</v>
      </c>
      <c r="I521" s="8" t="s">
        <v>2992</v>
      </c>
      <c r="J521" s="8" t="s">
        <v>2985</v>
      </c>
      <c r="K521" s="3" t="s">
        <v>12586</v>
      </c>
      <c r="L521" s="3" t="s">
        <v>12587</v>
      </c>
      <c r="M521" s="3" t="s">
        <v>12588</v>
      </c>
      <c r="N521" s="3" t="s">
        <v>12589</v>
      </c>
      <c r="O521" s="3" t="s">
        <v>12611</v>
      </c>
      <c r="P521" s="8" t="s">
        <v>2237</v>
      </c>
    </row>
    <row r="522" ht="12.75" customHeight="1">
      <c r="A522" s="8" t="s">
        <v>1146</v>
      </c>
      <c r="B522" s="8" t="s">
        <v>9237</v>
      </c>
      <c r="C522" s="8" t="s">
        <v>9243</v>
      </c>
      <c r="D522" s="3" t="s">
        <v>3</v>
      </c>
      <c r="E522" s="8" t="s">
        <v>9245</v>
      </c>
      <c r="F522" s="8" t="s">
        <v>2147</v>
      </c>
      <c r="G522" s="8" t="s">
        <v>2217</v>
      </c>
      <c r="H522" s="8" t="s">
        <v>2600</v>
      </c>
      <c r="I522" s="8" t="s">
        <v>2992</v>
      </c>
      <c r="J522" s="8" t="s">
        <v>2985</v>
      </c>
      <c r="K522" s="3" t="s">
        <v>12586</v>
      </c>
      <c r="L522" s="3" t="s">
        <v>12587</v>
      </c>
      <c r="M522" s="3" t="s">
        <v>12588</v>
      </c>
      <c r="N522" s="3" t="s">
        <v>12589</v>
      </c>
      <c r="O522" s="3" t="s">
        <v>12611</v>
      </c>
      <c r="P522" s="8" t="s">
        <v>2237</v>
      </c>
    </row>
    <row r="523" ht="12.75" customHeight="1">
      <c r="A523" s="8" t="s">
        <v>1144</v>
      </c>
      <c r="B523" s="8" t="s">
        <v>9249</v>
      </c>
      <c r="C523" s="8" t="s">
        <v>9256</v>
      </c>
      <c r="D523" s="3" t="s">
        <v>3</v>
      </c>
      <c r="E523" s="8" t="s">
        <v>9258</v>
      </c>
      <c r="F523" s="8" t="s">
        <v>2147</v>
      </c>
      <c r="G523" s="8" t="s">
        <v>2217</v>
      </c>
      <c r="H523" s="8" t="s">
        <v>2600</v>
      </c>
      <c r="I523" s="8" t="s">
        <v>2992</v>
      </c>
      <c r="J523" s="8" t="s">
        <v>2985</v>
      </c>
      <c r="K523" s="3" t="s">
        <v>12586</v>
      </c>
      <c r="L523" s="3" t="s">
        <v>12587</v>
      </c>
      <c r="M523" s="3" t="s">
        <v>12588</v>
      </c>
      <c r="N523" s="3" t="s">
        <v>12589</v>
      </c>
      <c r="O523" s="3" t="s">
        <v>12611</v>
      </c>
      <c r="P523" s="8" t="s">
        <v>2237</v>
      </c>
    </row>
    <row r="524" ht="12.75" customHeight="1">
      <c r="A524" s="8" t="s">
        <v>12287</v>
      </c>
      <c r="B524" s="8" t="s">
        <v>2135</v>
      </c>
      <c r="C524" s="8" t="s">
        <v>12288</v>
      </c>
      <c r="D524" s="3" t="s">
        <v>3</v>
      </c>
      <c r="E524" s="8" t="s">
        <v>12289</v>
      </c>
      <c r="F524" s="3" t="s">
        <v>2147</v>
      </c>
      <c r="G524" s="3" t="s">
        <v>2217</v>
      </c>
      <c r="H524" s="3" t="s">
        <v>2600</v>
      </c>
      <c r="I524" s="3" t="s">
        <v>2992</v>
      </c>
      <c r="J524" s="3" t="s">
        <v>2985</v>
      </c>
      <c r="K524" s="3" t="s">
        <v>12586</v>
      </c>
      <c r="L524" s="3" t="s">
        <v>12587</v>
      </c>
      <c r="M524" s="3" t="s">
        <v>12588</v>
      </c>
      <c r="N524" s="3" t="s">
        <v>12589</v>
      </c>
      <c r="O524" s="3" t="s">
        <v>12611</v>
      </c>
      <c r="P524" s="3" t="s">
        <v>2237</v>
      </c>
    </row>
    <row r="525" ht="12.75" customHeight="1">
      <c r="A525" s="8" t="s">
        <v>12290</v>
      </c>
      <c r="B525" s="8" t="s">
        <v>2135</v>
      </c>
      <c r="C525" s="8" t="s">
        <v>12294</v>
      </c>
      <c r="D525" s="3" t="s">
        <v>3</v>
      </c>
      <c r="E525" s="8" t="s">
        <v>12296</v>
      </c>
      <c r="F525" s="3" t="s">
        <v>2147</v>
      </c>
      <c r="G525" s="3" t="s">
        <v>2217</v>
      </c>
      <c r="H525" s="3" t="s">
        <v>2600</v>
      </c>
      <c r="I525" s="3" t="s">
        <v>2992</v>
      </c>
      <c r="J525" s="3" t="s">
        <v>2985</v>
      </c>
      <c r="K525" s="3" t="s">
        <v>12586</v>
      </c>
      <c r="L525" s="3" t="s">
        <v>12587</v>
      </c>
      <c r="M525" s="3" t="s">
        <v>12588</v>
      </c>
      <c r="N525" s="3" t="s">
        <v>12589</v>
      </c>
      <c r="O525" s="3" t="s">
        <v>12611</v>
      </c>
      <c r="P525" s="3" t="s">
        <v>2237</v>
      </c>
    </row>
    <row r="526" ht="12.75" customHeight="1">
      <c r="A526" s="8" t="s">
        <v>12441</v>
      </c>
      <c r="B526" s="8" t="s">
        <v>12444</v>
      </c>
      <c r="C526" s="8" t="s">
        <v>12452</v>
      </c>
      <c r="D526" s="3" t="s">
        <v>3</v>
      </c>
      <c r="E526" s="8" t="s">
        <v>12454</v>
      </c>
      <c r="F526" s="3" t="s">
        <v>2147</v>
      </c>
      <c r="G526" s="3" t="s">
        <v>2217</v>
      </c>
      <c r="H526" s="3" t="s">
        <v>2600</v>
      </c>
      <c r="I526" s="3" t="s">
        <v>2992</v>
      </c>
      <c r="J526" s="3" t="s">
        <v>2985</v>
      </c>
      <c r="K526" s="3" t="s">
        <v>12586</v>
      </c>
      <c r="L526" s="3" t="s">
        <v>12587</v>
      </c>
      <c r="M526" s="3" t="s">
        <v>12588</v>
      </c>
      <c r="N526" s="3" t="s">
        <v>12589</v>
      </c>
      <c r="O526" s="3" t="s">
        <v>12611</v>
      </c>
      <c r="P526" s="3" t="s">
        <v>2237</v>
      </c>
    </row>
    <row r="527" ht="12.75" customHeight="1">
      <c r="A527" s="8" t="s">
        <v>1259</v>
      </c>
      <c r="B527" s="8" t="s">
        <v>8398</v>
      </c>
      <c r="C527" s="8" t="s">
        <v>8405</v>
      </c>
      <c r="D527" s="3" t="s">
        <v>3</v>
      </c>
      <c r="E527" s="8" t="s">
        <v>8407</v>
      </c>
      <c r="F527" s="8" t="s">
        <v>2147</v>
      </c>
      <c r="G527" s="8" t="s">
        <v>2217</v>
      </c>
      <c r="H527" s="8" t="s">
        <v>2600</v>
      </c>
      <c r="I527" s="8" t="s">
        <v>2992</v>
      </c>
      <c r="J527" s="8" t="s">
        <v>2985</v>
      </c>
      <c r="K527" s="3" t="s">
        <v>12586</v>
      </c>
      <c r="L527" s="3" t="s">
        <v>12587</v>
      </c>
      <c r="M527" s="3" t="s">
        <v>12588</v>
      </c>
      <c r="N527" s="3" t="s">
        <v>12589</v>
      </c>
      <c r="O527" s="3" t="s">
        <v>12609</v>
      </c>
      <c r="P527" s="8" t="s">
        <v>2234</v>
      </c>
    </row>
    <row r="528" ht="12.75" customHeight="1">
      <c r="A528" s="8" t="s">
        <v>1101</v>
      </c>
      <c r="B528" s="8" t="s">
        <v>9076</v>
      </c>
      <c r="C528" s="8" t="s">
        <v>9087</v>
      </c>
      <c r="D528" s="3" t="s">
        <v>3</v>
      </c>
      <c r="E528" s="8" t="s">
        <v>9090</v>
      </c>
      <c r="F528" s="8" t="s">
        <v>2147</v>
      </c>
      <c r="G528" s="8" t="s">
        <v>2217</v>
      </c>
      <c r="H528" s="8" t="s">
        <v>2600</v>
      </c>
      <c r="I528" s="8" t="s">
        <v>2992</v>
      </c>
      <c r="J528" s="8" t="s">
        <v>2985</v>
      </c>
      <c r="K528" s="3" t="s">
        <v>12586</v>
      </c>
      <c r="L528" s="3" t="s">
        <v>12587</v>
      </c>
      <c r="M528" s="3" t="s">
        <v>12588</v>
      </c>
      <c r="N528" s="3" t="s">
        <v>12589</v>
      </c>
      <c r="O528" s="3" t="s">
        <v>12609</v>
      </c>
      <c r="P528" s="8" t="s">
        <v>2234</v>
      </c>
    </row>
    <row r="529" ht="12.75" customHeight="1">
      <c r="A529" s="8" t="s">
        <v>1174</v>
      </c>
      <c r="B529" s="8" t="s">
        <v>9123</v>
      </c>
      <c r="C529" s="8" t="s">
        <v>9129</v>
      </c>
      <c r="D529" s="3" t="s">
        <v>3</v>
      </c>
      <c r="E529" s="8" t="s">
        <v>9131</v>
      </c>
      <c r="F529" s="8" t="s">
        <v>2147</v>
      </c>
      <c r="G529" s="8" t="s">
        <v>2217</v>
      </c>
      <c r="H529" s="8" t="s">
        <v>2600</v>
      </c>
      <c r="I529" s="8" t="s">
        <v>2992</v>
      </c>
      <c r="J529" s="8" t="s">
        <v>2985</v>
      </c>
      <c r="K529" s="3" t="s">
        <v>12586</v>
      </c>
      <c r="L529" s="3" t="s">
        <v>12587</v>
      </c>
      <c r="M529" s="3" t="s">
        <v>12588</v>
      </c>
      <c r="N529" s="3" t="s">
        <v>12589</v>
      </c>
      <c r="O529" s="3" t="s">
        <v>12609</v>
      </c>
      <c r="P529" s="8" t="s">
        <v>2234</v>
      </c>
    </row>
    <row r="530" ht="12.75" customHeight="1">
      <c r="A530" s="8" t="s">
        <v>1186</v>
      </c>
      <c r="B530" s="8" t="s">
        <v>8891</v>
      </c>
      <c r="C530" s="8" t="s">
        <v>8898</v>
      </c>
      <c r="D530" s="3" t="s">
        <v>3</v>
      </c>
      <c r="E530" s="8" t="s">
        <v>8900</v>
      </c>
      <c r="F530" s="8" t="s">
        <v>2147</v>
      </c>
      <c r="G530" s="8" t="s">
        <v>2217</v>
      </c>
      <c r="H530" s="8" t="s">
        <v>2600</v>
      </c>
      <c r="I530" s="8" t="s">
        <v>2992</v>
      </c>
      <c r="J530" s="8" t="s">
        <v>2985</v>
      </c>
      <c r="K530" s="3" t="s">
        <v>12586</v>
      </c>
      <c r="L530" s="3" t="s">
        <v>12587</v>
      </c>
      <c r="M530" s="3" t="s">
        <v>12588</v>
      </c>
      <c r="N530" s="3" t="s">
        <v>12589</v>
      </c>
      <c r="O530" s="3" t="s">
        <v>12594</v>
      </c>
      <c r="P530" s="8" t="s">
        <v>2155</v>
      </c>
    </row>
    <row r="531" ht="12.75" customHeight="1">
      <c r="A531" s="8" t="s">
        <v>1224</v>
      </c>
      <c r="B531" s="8" t="s">
        <v>8658</v>
      </c>
      <c r="C531" s="8" t="s">
        <v>8668</v>
      </c>
      <c r="D531" s="3" t="s">
        <v>3</v>
      </c>
      <c r="E531" s="8" t="s">
        <v>8670</v>
      </c>
      <c r="F531" s="8" t="s">
        <v>2147</v>
      </c>
      <c r="G531" s="8" t="s">
        <v>2217</v>
      </c>
      <c r="I531" s="8" t="s">
        <v>2992</v>
      </c>
      <c r="J531" s="8" t="s">
        <v>2985</v>
      </c>
      <c r="K531" s="3" t="s">
        <v>12586</v>
      </c>
      <c r="L531" s="3" t="s">
        <v>12587</v>
      </c>
      <c r="M531" s="3" t="s">
        <v>12588</v>
      </c>
      <c r="N531" s="3" t="s">
        <v>12589</v>
      </c>
      <c r="O531" s="3" t="s">
        <v>12611</v>
      </c>
      <c r="P531" s="8" t="s">
        <v>2237</v>
      </c>
    </row>
    <row r="532" ht="12.75" customHeight="1">
      <c r="A532" s="8" t="s">
        <v>1214</v>
      </c>
      <c r="B532" s="8" t="s">
        <v>8798</v>
      </c>
      <c r="C532" s="8" t="s">
        <v>8807</v>
      </c>
      <c r="D532" s="3" t="s">
        <v>3</v>
      </c>
      <c r="E532" s="8" t="s">
        <v>8809</v>
      </c>
      <c r="F532" s="8" t="s">
        <v>2147</v>
      </c>
      <c r="G532" s="8" t="s">
        <v>2217</v>
      </c>
      <c r="I532" s="8" t="s">
        <v>2992</v>
      </c>
      <c r="J532" s="8" t="s">
        <v>2985</v>
      </c>
      <c r="K532" s="3" t="s">
        <v>12586</v>
      </c>
      <c r="L532" s="3" t="s">
        <v>12587</v>
      </c>
      <c r="M532" s="3" t="s">
        <v>12588</v>
      </c>
      <c r="N532" s="3" t="s">
        <v>12589</v>
      </c>
      <c r="O532" s="3" t="s">
        <v>12611</v>
      </c>
      <c r="P532" s="8" t="s">
        <v>2237</v>
      </c>
    </row>
    <row r="533" ht="12.75" customHeight="1">
      <c r="A533" s="8" t="s">
        <v>1285</v>
      </c>
      <c r="B533" s="8" t="s">
        <v>8200</v>
      </c>
      <c r="C533" s="8" t="s">
        <v>8215</v>
      </c>
      <c r="D533" s="3" t="s">
        <v>3</v>
      </c>
      <c r="E533" s="8" t="s">
        <v>8218</v>
      </c>
      <c r="F533" s="8" t="s">
        <v>2142</v>
      </c>
      <c r="I533" s="8" t="s">
        <v>2992</v>
      </c>
      <c r="J533" s="8" t="s">
        <v>2985</v>
      </c>
      <c r="K533" s="3" t="s">
        <v>12586</v>
      </c>
      <c r="L533" s="3" t="s">
        <v>12587</v>
      </c>
      <c r="M533" s="3" t="s">
        <v>12588</v>
      </c>
      <c r="N533" s="3" t="s">
        <v>12589</v>
      </c>
      <c r="O533" s="3" t="s">
        <v>12590</v>
      </c>
      <c r="P533" s="8" t="s">
        <v>2143</v>
      </c>
    </row>
    <row r="534" ht="12.75" customHeight="1">
      <c r="A534" s="8" t="s">
        <v>1140</v>
      </c>
      <c r="B534" s="8" t="s">
        <v>9287</v>
      </c>
      <c r="C534" s="8" t="s">
        <v>9294</v>
      </c>
      <c r="D534" s="3" t="s">
        <v>3</v>
      </c>
      <c r="E534" s="8" t="s">
        <v>9296</v>
      </c>
      <c r="F534" s="8" t="s">
        <v>2142</v>
      </c>
      <c r="I534" s="8" t="s">
        <v>2992</v>
      </c>
      <c r="J534" s="8" t="s">
        <v>2985</v>
      </c>
      <c r="K534" s="3" t="s">
        <v>12586</v>
      </c>
      <c r="L534" s="3" t="s">
        <v>12587</v>
      </c>
      <c r="M534" s="3" t="s">
        <v>12588</v>
      </c>
      <c r="N534" s="3" t="s">
        <v>12589</v>
      </c>
      <c r="O534" s="3" t="s">
        <v>12594</v>
      </c>
      <c r="P534" s="8" t="s">
        <v>2168</v>
      </c>
    </row>
    <row r="535" ht="12.75" customHeight="1">
      <c r="A535" s="8" t="s">
        <v>1383</v>
      </c>
      <c r="B535" s="8" t="s">
        <v>9510</v>
      </c>
      <c r="C535" s="8" t="s">
        <v>9526</v>
      </c>
      <c r="D535" s="3" t="s">
        <v>3</v>
      </c>
      <c r="E535" s="8" t="s">
        <v>9529</v>
      </c>
      <c r="F535" s="8" t="s">
        <v>2147</v>
      </c>
      <c r="G535" s="8" t="s">
        <v>2217</v>
      </c>
      <c r="H535" s="8" t="s">
        <v>2600</v>
      </c>
      <c r="I535" s="8" t="s">
        <v>2993</v>
      </c>
      <c r="J535" s="8" t="s">
        <v>2985</v>
      </c>
      <c r="K535" s="3" t="s">
        <v>12586</v>
      </c>
      <c r="L535" s="3" t="s">
        <v>12587</v>
      </c>
      <c r="M535" s="3" t="s">
        <v>12588</v>
      </c>
      <c r="N535" s="3" t="s">
        <v>12589</v>
      </c>
      <c r="O535" s="3" t="s">
        <v>12611</v>
      </c>
      <c r="P535" s="8" t="s">
        <v>2237</v>
      </c>
    </row>
    <row r="536" ht="12.75" customHeight="1">
      <c r="A536" s="8" t="s">
        <v>1627</v>
      </c>
      <c r="B536" s="8" t="s">
        <v>10150</v>
      </c>
      <c r="C536" s="8" t="s">
        <v>10164</v>
      </c>
      <c r="D536" s="3" t="s">
        <v>3</v>
      </c>
      <c r="E536" s="8" t="s">
        <v>10167</v>
      </c>
      <c r="F536" s="8" t="s">
        <v>2147</v>
      </c>
      <c r="G536" s="8" t="s">
        <v>2217</v>
      </c>
      <c r="H536" s="8" t="s">
        <v>2600</v>
      </c>
      <c r="I536" s="8" t="s">
        <v>3001</v>
      </c>
      <c r="J536" s="8" t="s">
        <v>2985</v>
      </c>
      <c r="K536" s="3" t="s">
        <v>12586</v>
      </c>
      <c r="L536" s="3" t="s">
        <v>12587</v>
      </c>
      <c r="M536" s="3" t="s">
        <v>12588</v>
      </c>
      <c r="N536" s="3" t="s">
        <v>12589</v>
      </c>
      <c r="O536" s="3" t="s">
        <v>12611</v>
      </c>
      <c r="P536" s="8" t="s">
        <v>2237</v>
      </c>
    </row>
    <row r="537" ht="12.75" customHeight="1">
      <c r="A537" s="8" t="s">
        <v>99</v>
      </c>
      <c r="B537" s="8" t="s">
        <v>3405</v>
      </c>
      <c r="C537" s="8" t="s">
        <v>3422</v>
      </c>
      <c r="D537" s="3" t="s">
        <v>3</v>
      </c>
      <c r="E537" s="8" t="s">
        <v>3426</v>
      </c>
      <c r="F537" s="8" t="s">
        <v>2283</v>
      </c>
      <c r="G537" s="3" t="s">
        <v>12624</v>
      </c>
      <c r="H537" s="8" t="s">
        <v>2282</v>
      </c>
      <c r="I537" s="8" t="s">
        <v>2961</v>
      </c>
      <c r="J537" s="8" t="s">
        <v>3130</v>
      </c>
      <c r="K537" s="3" t="s">
        <v>12586</v>
      </c>
      <c r="L537" s="3" t="s">
        <v>12587</v>
      </c>
      <c r="M537" s="3" t="s">
        <v>12588</v>
      </c>
      <c r="N537" s="3" t="s">
        <v>12589</v>
      </c>
      <c r="O537" s="3" t="s">
        <v>12593</v>
      </c>
      <c r="P537" s="8" t="s">
        <v>2289</v>
      </c>
    </row>
    <row r="538" ht="12.75" customHeight="1">
      <c r="A538" s="8" t="s">
        <v>94</v>
      </c>
      <c r="B538" s="8" t="s">
        <v>3431</v>
      </c>
      <c r="C538" s="8" t="s">
        <v>3441</v>
      </c>
      <c r="D538" s="3" t="s">
        <v>3</v>
      </c>
      <c r="E538" s="8" t="s">
        <v>3446</v>
      </c>
      <c r="F538" s="8" t="s">
        <v>2142</v>
      </c>
      <c r="G538" s="3" t="s">
        <v>12585</v>
      </c>
      <c r="H538" s="8" t="s">
        <v>2318</v>
      </c>
      <c r="I538" s="8" t="s">
        <v>2961</v>
      </c>
      <c r="J538" s="8" t="s">
        <v>3130</v>
      </c>
      <c r="K538" s="3" t="s">
        <v>12586</v>
      </c>
      <c r="L538" s="3" t="s">
        <v>12587</v>
      </c>
      <c r="M538" s="3" t="s">
        <v>12588</v>
      </c>
      <c r="N538" s="3" t="s">
        <v>12589</v>
      </c>
      <c r="O538" s="3" t="s">
        <v>12600</v>
      </c>
      <c r="P538" s="8" t="s">
        <v>2166</v>
      </c>
    </row>
    <row r="539" ht="12.75" customHeight="1">
      <c r="A539" s="8" t="s">
        <v>1032</v>
      </c>
      <c r="B539" s="8" t="s">
        <v>7305</v>
      </c>
      <c r="C539" s="8" t="s">
        <v>7315</v>
      </c>
      <c r="D539" s="3" t="s">
        <v>3</v>
      </c>
      <c r="E539" s="8" t="s">
        <v>7317</v>
      </c>
      <c r="F539" s="8" t="s">
        <v>2147</v>
      </c>
      <c r="G539" s="3" t="s">
        <v>12603</v>
      </c>
      <c r="H539" s="8" t="s">
        <v>2185</v>
      </c>
      <c r="I539" s="8" t="s">
        <v>3219</v>
      </c>
      <c r="J539" s="8" t="s">
        <v>3218</v>
      </c>
      <c r="K539" s="3" t="s">
        <v>12586</v>
      </c>
      <c r="L539" s="3" t="s">
        <v>12587</v>
      </c>
      <c r="M539" s="3" t="s">
        <v>12588</v>
      </c>
      <c r="N539" s="3" t="s">
        <v>12589</v>
      </c>
      <c r="O539" s="3" t="s">
        <v>12607</v>
      </c>
      <c r="P539" s="8" t="s">
        <v>2186</v>
      </c>
    </row>
    <row r="540" ht="12.75" customHeight="1">
      <c r="A540" s="8" t="s">
        <v>1055</v>
      </c>
      <c r="B540" s="8" t="s">
        <v>7340</v>
      </c>
      <c r="C540" s="8" t="s">
        <v>7348</v>
      </c>
      <c r="D540" s="3" t="s">
        <v>3</v>
      </c>
      <c r="E540" s="8" t="s">
        <v>7350</v>
      </c>
      <c r="F540" s="8" t="s">
        <v>2283</v>
      </c>
      <c r="G540" s="3" t="s">
        <v>12633</v>
      </c>
      <c r="H540" s="8" t="s">
        <v>2396</v>
      </c>
      <c r="I540" s="8" t="s">
        <v>2982</v>
      </c>
      <c r="J540" s="8" t="s">
        <v>3075</v>
      </c>
      <c r="K540" s="3" t="s">
        <v>12586</v>
      </c>
      <c r="L540" s="3" t="s">
        <v>12587</v>
      </c>
      <c r="M540" s="3" t="s">
        <v>12588</v>
      </c>
      <c r="N540" s="3" t="s">
        <v>12589</v>
      </c>
      <c r="O540" s="3" t="s">
        <v>12590</v>
      </c>
      <c r="P540" s="8" t="s">
        <v>2143</v>
      </c>
    </row>
    <row r="541" ht="12.75" customHeight="1">
      <c r="A541" s="8" t="s">
        <v>1437</v>
      </c>
      <c r="B541" s="8" t="s">
        <v>3750</v>
      </c>
      <c r="C541" s="8" t="s">
        <v>3766</v>
      </c>
      <c r="D541" s="3" t="s">
        <v>3</v>
      </c>
      <c r="E541" s="8" t="s">
        <v>3768</v>
      </c>
      <c r="F541" s="8" t="s">
        <v>2147</v>
      </c>
      <c r="G541" s="8" t="s">
        <v>2217</v>
      </c>
      <c r="H541" s="8" t="s">
        <v>2600</v>
      </c>
      <c r="I541" s="8" t="s">
        <v>2965</v>
      </c>
      <c r="K541" s="3" t="s">
        <v>12586</v>
      </c>
      <c r="L541" s="3" t="s">
        <v>12587</v>
      </c>
      <c r="M541" s="3" t="s">
        <v>12588</v>
      </c>
      <c r="N541" s="3" t="s">
        <v>12589</v>
      </c>
      <c r="O541" s="3" t="s">
        <v>12594</v>
      </c>
      <c r="P541" s="8" t="s">
        <v>2601</v>
      </c>
    </row>
    <row r="542" ht="12.75" customHeight="1">
      <c r="A542" s="8" t="s">
        <v>1435</v>
      </c>
      <c r="B542" s="8" t="s">
        <v>3916</v>
      </c>
      <c r="C542" s="8" t="s">
        <v>3928</v>
      </c>
      <c r="D542" s="3" t="s">
        <v>3</v>
      </c>
      <c r="E542" s="8" t="s">
        <v>3931</v>
      </c>
      <c r="F542" s="8" t="s">
        <v>2147</v>
      </c>
      <c r="G542" s="8" t="s">
        <v>2217</v>
      </c>
      <c r="H542" s="8" t="s">
        <v>2600</v>
      </c>
      <c r="I542" s="8" t="s">
        <v>2965</v>
      </c>
      <c r="K542" s="3" t="s">
        <v>12586</v>
      </c>
      <c r="L542" s="3" t="s">
        <v>12587</v>
      </c>
      <c r="M542" s="3" t="s">
        <v>12588</v>
      </c>
      <c r="N542" s="3" t="s">
        <v>12589</v>
      </c>
      <c r="O542" s="3" t="s">
        <v>12594</v>
      </c>
      <c r="P542" s="8" t="s">
        <v>2601</v>
      </c>
    </row>
    <row r="543" ht="12.75" customHeight="1">
      <c r="A543" s="8" t="s">
        <v>469</v>
      </c>
      <c r="B543" s="8" t="s">
        <v>5515</v>
      </c>
      <c r="C543" s="8" t="s">
        <v>5529</v>
      </c>
      <c r="D543" s="3" t="s">
        <v>3</v>
      </c>
      <c r="E543" s="8" t="s">
        <v>5531</v>
      </c>
      <c r="F543" s="8" t="s">
        <v>2147</v>
      </c>
      <c r="G543" s="3" t="s">
        <v>12608</v>
      </c>
      <c r="H543" s="8" t="s">
        <v>2428</v>
      </c>
      <c r="I543" s="8" t="s">
        <v>2954</v>
      </c>
      <c r="K543" s="3" t="s">
        <v>12586</v>
      </c>
      <c r="L543" s="3" t="s">
        <v>12587</v>
      </c>
      <c r="M543" s="3" t="s">
        <v>12588</v>
      </c>
      <c r="N543" s="3" t="s">
        <v>12589</v>
      </c>
      <c r="O543" s="3" t="s">
        <v>12650</v>
      </c>
      <c r="P543" s="8" t="s">
        <v>2429</v>
      </c>
    </row>
    <row r="544" ht="12.75" customHeight="1">
      <c r="A544" s="8" t="s">
        <v>1009</v>
      </c>
      <c r="B544" s="8" t="s">
        <v>7079</v>
      </c>
      <c r="C544" s="8" t="s">
        <v>7093</v>
      </c>
      <c r="D544" s="3" t="s">
        <v>3</v>
      </c>
      <c r="E544" s="8" t="s">
        <v>7095</v>
      </c>
      <c r="F544" s="8" t="s">
        <v>2147</v>
      </c>
      <c r="G544" s="3" t="s">
        <v>12603</v>
      </c>
      <c r="H544" s="8" t="s">
        <v>2185</v>
      </c>
      <c r="I544" s="8" t="s">
        <v>3025</v>
      </c>
      <c r="K544" s="3" t="s">
        <v>12586</v>
      </c>
      <c r="L544" s="3" t="s">
        <v>12587</v>
      </c>
      <c r="M544" s="3" t="s">
        <v>12588</v>
      </c>
      <c r="N544" s="3" t="s">
        <v>12589</v>
      </c>
      <c r="O544" s="3" t="s">
        <v>12609</v>
      </c>
      <c r="P544" s="8" t="s">
        <v>2157</v>
      </c>
    </row>
    <row r="545" ht="12.75" customHeight="1">
      <c r="A545" s="8" t="s">
        <v>1003</v>
      </c>
      <c r="B545" s="8" t="s">
        <v>7130</v>
      </c>
      <c r="C545" s="8" t="s">
        <v>7142</v>
      </c>
      <c r="D545" s="3" t="s">
        <v>3</v>
      </c>
      <c r="E545" s="8" t="s">
        <v>7144</v>
      </c>
      <c r="F545" s="8" t="s">
        <v>2147</v>
      </c>
      <c r="G545" s="8" t="s">
        <v>2217</v>
      </c>
      <c r="H545" s="8" t="s">
        <v>2600</v>
      </c>
      <c r="I545" s="8" t="s">
        <v>3025</v>
      </c>
      <c r="K545" s="3" t="s">
        <v>12586</v>
      </c>
      <c r="L545" s="3" t="s">
        <v>12587</v>
      </c>
      <c r="M545" s="3" t="s">
        <v>12588</v>
      </c>
      <c r="N545" s="3" t="s">
        <v>12589</v>
      </c>
      <c r="O545" s="3" t="s">
        <v>12609</v>
      </c>
      <c r="P545" s="8" t="s">
        <v>2234</v>
      </c>
    </row>
    <row r="546" ht="12.75" customHeight="1">
      <c r="A546" s="8" t="s">
        <v>1042</v>
      </c>
      <c r="B546" s="8" t="s">
        <v>2135</v>
      </c>
      <c r="C546" s="8" t="s">
        <v>7411</v>
      </c>
      <c r="D546" s="3" t="s">
        <v>3</v>
      </c>
      <c r="E546" s="8" t="s">
        <v>7413</v>
      </c>
      <c r="F546" s="8" t="s">
        <v>2147</v>
      </c>
      <c r="G546" s="3" t="s">
        <v>12608</v>
      </c>
      <c r="H546" s="8" t="s">
        <v>2428</v>
      </c>
      <c r="I546" s="8" t="s">
        <v>2982</v>
      </c>
      <c r="K546" s="3" t="s">
        <v>12586</v>
      </c>
      <c r="L546" s="3" t="s">
        <v>12587</v>
      </c>
      <c r="M546" s="3" t="s">
        <v>12588</v>
      </c>
      <c r="N546" s="3" t="s">
        <v>12589</v>
      </c>
      <c r="O546" s="3" t="s">
        <v>12611</v>
      </c>
      <c r="P546" s="8" t="s">
        <v>2237</v>
      </c>
    </row>
    <row r="547" ht="12.75" customHeight="1">
      <c r="A547" s="8" t="s">
        <v>1047</v>
      </c>
      <c r="B547" s="8" t="s">
        <v>7400</v>
      </c>
      <c r="C547" s="8" t="s">
        <v>2135</v>
      </c>
      <c r="D547" s="3" t="s">
        <v>3</v>
      </c>
      <c r="E547" s="8" t="s">
        <v>7408</v>
      </c>
      <c r="F547" s="8" t="s">
        <v>2147</v>
      </c>
      <c r="G547" s="3" t="s">
        <v>12608</v>
      </c>
      <c r="H547" s="8" t="s">
        <v>2428</v>
      </c>
      <c r="I547" s="8" t="s">
        <v>2982</v>
      </c>
      <c r="K547" s="3" t="s">
        <v>12586</v>
      </c>
      <c r="L547" s="3" t="s">
        <v>12587</v>
      </c>
      <c r="M547" s="3" t="s">
        <v>12588</v>
      </c>
      <c r="N547" s="3" t="s">
        <v>12589</v>
      </c>
      <c r="O547" s="3" t="s">
        <v>12609</v>
      </c>
      <c r="P547" s="8" t="s">
        <v>2157</v>
      </c>
    </row>
    <row r="548" ht="12.75" customHeight="1">
      <c r="A548" s="8" t="s">
        <v>1441</v>
      </c>
      <c r="B548" s="8" t="s">
        <v>7486</v>
      </c>
      <c r="C548" s="8" t="s">
        <v>7493</v>
      </c>
      <c r="D548" s="3" t="s">
        <v>3</v>
      </c>
      <c r="E548" s="8" t="s">
        <v>7495</v>
      </c>
      <c r="F548" s="8" t="s">
        <v>2147</v>
      </c>
      <c r="G548" s="8" t="s">
        <v>2217</v>
      </c>
      <c r="H548" s="8" t="s">
        <v>2600</v>
      </c>
      <c r="I548" s="8" t="s">
        <v>3182</v>
      </c>
      <c r="K548" s="3" t="s">
        <v>12586</v>
      </c>
      <c r="L548" s="3" t="s">
        <v>12587</v>
      </c>
      <c r="M548" s="3" t="s">
        <v>12588</v>
      </c>
      <c r="N548" s="3" t="s">
        <v>12589</v>
      </c>
      <c r="O548" s="3" t="s">
        <v>12594</v>
      </c>
      <c r="P548" s="8" t="s">
        <v>2601</v>
      </c>
    </row>
    <row r="549" ht="12.75" customHeight="1">
      <c r="A549" s="8" t="s">
        <v>1439</v>
      </c>
      <c r="B549" s="8" t="s">
        <v>7498</v>
      </c>
      <c r="C549" s="8" t="s">
        <v>7503</v>
      </c>
      <c r="D549" s="3" t="s">
        <v>3</v>
      </c>
      <c r="E549" s="8" t="s">
        <v>7505</v>
      </c>
      <c r="F549" s="8" t="s">
        <v>2147</v>
      </c>
      <c r="G549" s="8" t="s">
        <v>2217</v>
      </c>
      <c r="H549" s="8" t="s">
        <v>2600</v>
      </c>
      <c r="I549" s="8" t="s">
        <v>3182</v>
      </c>
      <c r="K549" s="3" t="s">
        <v>12586</v>
      </c>
      <c r="L549" s="3" t="s">
        <v>12587</v>
      </c>
      <c r="M549" s="3" t="s">
        <v>12588</v>
      </c>
      <c r="N549" s="3" t="s">
        <v>12589</v>
      </c>
      <c r="O549" s="3" t="s">
        <v>12594</v>
      </c>
      <c r="P549" s="8" t="s">
        <v>2601</v>
      </c>
    </row>
    <row r="550" ht="12.75" customHeight="1">
      <c r="A550" s="8" t="s">
        <v>1269</v>
      </c>
      <c r="B550" s="8" t="s">
        <v>8304</v>
      </c>
      <c r="C550" s="8" t="s">
        <v>8316</v>
      </c>
      <c r="D550" s="3" t="s">
        <v>3</v>
      </c>
      <c r="E550" s="8" t="s">
        <v>8318</v>
      </c>
      <c r="F550" s="8" t="s">
        <v>2147</v>
      </c>
      <c r="G550" s="8" t="s">
        <v>2217</v>
      </c>
      <c r="H550" s="8" t="s">
        <v>2216</v>
      </c>
      <c r="I550" s="8" t="s">
        <v>2992</v>
      </c>
      <c r="K550" s="3" t="s">
        <v>12586</v>
      </c>
      <c r="L550" s="3" t="s">
        <v>12587</v>
      </c>
      <c r="M550" s="3" t="s">
        <v>12588</v>
      </c>
      <c r="N550" s="3" t="s">
        <v>12589</v>
      </c>
      <c r="O550" s="3" t="s">
        <v>12616</v>
      </c>
      <c r="P550" s="8" t="s">
        <v>2218</v>
      </c>
    </row>
    <row r="551" ht="12.75" customHeight="1">
      <c r="A551" s="8" t="s">
        <v>1445</v>
      </c>
      <c r="B551" s="8" t="s">
        <v>8630</v>
      </c>
      <c r="C551" s="8" t="s">
        <v>8634</v>
      </c>
      <c r="D551" s="3" t="s">
        <v>3</v>
      </c>
      <c r="E551" s="8" t="s">
        <v>8635</v>
      </c>
      <c r="F551" s="8" t="s">
        <v>2147</v>
      </c>
      <c r="G551" s="8" t="s">
        <v>2217</v>
      </c>
      <c r="H551" s="8" t="s">
        <v>2600</v>
      </c>
      <c r="I551" s="8" t="s">
        <v>2992</v>
      </c>
      <c r="K551" s="3" t="s">
        <v>12586</v>
      </c>
      <c r="L551" s="3" t="s">
        <v>12587</v>
      </c>
      <c r="M551" s="3" t="s">
        <v>12588</v>
      </c>
      <c r="N551" s="3" t="s">
        <v>12589</v>
      </c>
      <c r="O551" s="3" t="s">
        <v>12594</v>
      </c>
      <c r="P551" s="8" t="s">
        <v>2601</v>
      </c>
    </row>
    <row r="552" ht="12.75" customHeight="1">
      <c r="A552" s="8" t="s">
        <v>1190</v>
      </c>
      <c r="B552" s="8" t="s">
        <v>8943</v>
      </c>
      <c r="C552" s="8" t="s">
        <v>8952</v>
      </c>
      <c r="D552" s="3" t="s">
        <v>3</v>
      </c>
      <c r="E552" s="8" t="s">
        <v>8954</v>
      </c>
      <c r="F552" s="8" t="s">
        <v>2147</v>
      </c>
      <c r="G552" s="8" t="s">
        <v>2217</v>
      </c>
      <c r="I552" s="8" t="s">
        <v>2992</v>
      </c>
      <c r="K552" s="3" t="s">
        <v>12586</v>
      </c>
      <c r="L552" s="3" t="s">
        <v>12587</v>
      </c>
      <c r="M552" s="3" t="s">
        <v>12588</v>
      </c>
      <c r="N552" s="3" t="s">
        <v>12589</v>
      </c>
      <c r="O552" s="3" t="s">
        <v>12611</v>
      </c>
      <c r="P552" s="8" t="s">
        <v>2237</v>
      </c>
    </row>
    <row r="553" ht="12.75" customHeight="1">
      <c r="A553" s="8" t="s">
        <v>1379</v>
      </c>
      <c r="B553" s="8" t="s">
        <v>9455</v>
      </c>
      <c r="C553" s="8" t="s">
        <v>2135</v>
      </c>
      <c r="D553" s="3" t="s">
        <v>3</v>
      </c>
      <c r="E553" s="8" t="s">
        <v>9470</v>
      </c>
      <c r="F553" s="8" t="s">
        <v>2142</v>
      </c>
      <c r="I553" s="8" t="s">
        <v>3077</v>
      </c>
      <c r="K553" s="3" t="s">
        <v>12586</v>
      </c>
      <c r="L553" s="3" t="s">
        <v>12587</v>
      </c>
      <c r="M553" s="3" t="s">
        <v>12588</v>
      </c>
      <c r="N553" s="3" t="s">
        <v>12589</v>
      </c>
      <c r="O553" s="3" t="s">
        <v>12590</v>
      </c>
      <c r="P553" s="8" t="s">
        <v>2143</v>
      </c>
    </row>
    <row r="554" ht="12.75" customHeight="1">
      <c r="A554" s="8" t="s">
        <v>1408</v>
      </c>
      <c r="B554" s="8" t="s">
        <v>9686</v>
      </c>
      <c r="C554" s="8" t="s">
        <v>9694</v>
      </c>
      <c r="D554" s="3" t="s">
        <v>3</v>
      </c>
      <c r="E554" s="8" t="s">
        <v>9696</v>
      </c>
      <c r="F554" s="8" t="s">
        <v>2147</v>
      </c>
      <c r="G554" s="3" t="s">
        <v>12603</v>
      </c>
      <c r="H554" s="8" t="s">
        <v>2146</v>
      </c>
      <c r="I554" s="8" t="s">
        <v>2955</v>
      </c>
      <c r="K554" s="3" t="s">
        <v>12586</v>
      </c>
      <c r="L554" s="3" t="s">
        <v>12587</v>
      </c>
      <c r="M554" s="3" t="s">
        <v>12588</v>
      </c>
      <c r="N554" s="3" t="s">
        <v>12589</v>
      </c>
      <c r="O554" s="3" t="s">
        <v>12609</v>
      </c>
      <c r="P554" s="8" t="s">
        <v>2148</v>
      </c>
    </row>
    <row r="555" ht="12.75" customHeight="1">
      <c r="A555" s="8" t="s">
        <v>1401</v>
      </c>
      <c r="B555" s="8" t="s">
        <v>9722</v>
      </c>
      <c r="C555" s="8" t="s">
        <v>9727</v>
      </c>
      <c r="D555" s="3" t="s">
        <v>3</v>
      </c>
      <c r="E555" s="8" t="s">
        <v>9729</v>
      </c>
      <c r="F555" s="8" t="s">
        <v>2147</v>
      </c>
      <c r="G555" s="3" t="s">
        <v>12603</v>
      </c>
      <c r="H555" s="8" t="s">
        <v>2272</v>
      </c>
      <c r="I555" s="8" t="s">
        <v>2955</v>
      </c>
      <c r="K555" s="3" t="s">
        <v>12586</v>
      </c>
      <c r="L555" s="3" t="s">
        <v>12587</v>
      </c>
      <c r="M555" s="3" t="s">
        <v>12588</v>
      </c>
      <c r="N555" s="3" t="s">
        <v>12589</v>
      </c>
      <c r="O555" s="3" t="s">
        <v>12609</v>
      </c>
      <c r="P555" s="8" t="s">
        <v>2148</v>
      </c>
    </row>
    <row r="556" ht="12.75" customHeight="1">
      <c r="A556" s="8" t="s">
        <v>1399</v>
      </c>
      <c r="B556" s="8" t="s">
        <v>9733</v>
      </c>
      <c r="C556" s="8" t="s">
        <v>9741</v>
      </c>
      <c r="D556" s="3" t="s">
        <v>3</v>
      </c>
      <c r="E556" s="8" t="s">
        <v>9743</v>
      </c>
      <c r="F556" s="8" t="s">
        <v>2142</v>
      </c>
      <c r="G556" s="3" t="s">
        <v>12585</v>
      </c>
      <c r="H556" s="8" t="s">
        <v>2497</v>
      </c>
      <c r="I556" s="8" t="s">
        <v>2955</v>
      </c>
      <c r="K556" s="3" t="s">
        <v>12586</v>
      </c>
      <c r="L556" s="3" t="s">
        <v>12587</v>
      </c>
      <c r="M556" s="3" t="s">
        <v>12588</v>
      </c>
      <c r="N556" s="3" t="s">
        <v>12589</v>
      </c>
      <c r="O556" s="3" t="s">
        <v>12590</v>
      </c>
      <c r="P556" s="8" t="s">
        <v>2143</v>
      </c>
    </row>
    <row r="557" ht="12.75" customHeight="1">
      <c r="A557" s="8" t="s">
        <v>1412</v>
      </c>
      <c r="B557" s="8" t="s">
        <v>9665</v>
      </c>
      <c r="C557" s="8" t="s">
        <v>9679</v>
      </c>
      <c r="D557" s="3" t="s">
        <v>3</v>
      </c>
      <c r="E557" s="8" t="s">
        <v>9681</v>
      </c>
      <c r="F557" s="8" t="s">
        <v>2142</v>
      </c>
      <c r="G557" s="3" t="s">
        <v>12585</v>
      </c>
      <c r="H557" s="8" t="s">
        <v>2497</v>
      </c>
      <c r="I557" s="8" t="s">
        <v>2955</v>
      </c>
      <c r="K557" s="3" t="s">
        <v>12586</v>
      </c>
      <c r="L557" s="3" t="s">
        <v>12587</v>
      </c>
      <c r="M557" s="3" t="s">
        <v>12588</v>
      </c>
      <c r="N557" s="3" t="s">
        <v>12589</v>
      </c>
      <c r="O557" s="3" t="s">
        <v>12596</v>
      </c>
      <c r="P557" s="8" t="s">
        <v>2311</v>
      </c>
    </row>
    <row r="558" ht="12.75" customHeight="1">
      <c r="A558" s="8" t="s">
        <v>1420</v>
      </c>
      <c r="B558" s="8" t="s">
        <v>9585</v>
      </c>
      <c r="C558" s="8" t="s">
        <v>9592</v>
      </c>
      <c r="D558" s="3" t="s">
        <v>3</v>
      </c>
      <c r="E558" s="8" t="s">
        <v>9593</v>
      </c>
      <c r="F558" s="8" t="s">
        <v>2147</v>
      </c>
      <c r="G558" s="8" t="s">
        <v>2217</v>
      </c>
      <c r="H558" s="8" t="s">
        <v>2600</v>
      </c>
      <c r="I558" s="8" t="s">
        <v>2955</v>
      </c>
      <c r="K558" s="3" t="s">
        <v>12586</v>
      </c>
      <c r="L558" s="3" t="s">
        <v>12587</v>
      </c>
      <c r="M558" s="3" t="s">
        <v>12588</v>
      </c>
      <c r="N558" s="3" t="s">
        <v>12589</v>
      </c>
      <c r="O558" s="3" t="s">
        <v>12609</v>
      </c>
      <c r="P558" s="8" t="s">
        <v>2234</v>
      </c>
    </row>
    <row r="559" ht="12.75" customHeight="1">
      <c r="A559" s="8" t="s">
        <v>1397</v>
      </c>
      <c r="B559" s="8" t="s">
        <v>9747</v>
      </c>
      <c r="C559" s="8" t="s">
        <v>2135</v>
      </c>
      <c r="D559" s="3" t="s">
        <v>3</v>
      </c>
      <c r="E559" s="8" t="s">
        <v>9753</v>
      </c>
      <c r="F559" s="8" t="s">
        <v>2136</v>
      </c>
      <c r="I559" s="8" t="s">
        <v>2955</v>
      </c>
      <c r="K559" s="3" t="s">
        <v>12586</v>
      </c>
      <c r="L559" s="3" t="s">
        <v>12587</v>
      </c>
      <c r="M559" s="3" t="s">
        <v>12588</v>
      </c>
      <c r="N559" s="3" t="s">
        <v>12589</v>
      </c>
      <c r="O559" s="3" t="s">
        <v>12591</v>
      </c>
      <c r="P559" s="8" t="s">
        <v>2937</v>
      </c>
    </row>
    <row r="560" ht="12.75" customHeight="1">
      <c r="A560" s="8" t="s">
        <v>1395</v>
      </c>
      <c r="B560" s="8" t="s">
        <v>9757</v>
      </c>
      <c r="C560" s="8" t="s">
        <v>2135</v>
      </c>
      <c r="D560" s="3" t="s">
        <v>3</v>
      </c>
      <c r="E560" s="8" t="s">
        <v>9764</v>
      </c>
      <c r="F560" s="8" t="s">
        <v>2136</v>
      </c>
      <c r="I560" s="8" t="s">
        <v>2955</v>
      </c>
      <c r="K560" s="3" t="s">
        <v>12586</v>
      </c>
      <c r="L560" s="3" t="s">
        <v>12587</v>
      </c>
      <c r="M560" s="3" t="s">
        <v>12588</v>
      </c>
      <c r="N560" s="3" t="s">
        <v>12589</v>
      </c>
      <c r="O560" s="3" t="s">
        <v>12602</v>
      </c>
      <c r="P560" s="8" t="s">
        <v>2836</v>
      </c>
    </row>
    <row r="561" ht="12.75" customHeight="1">
      <c r="A561" s="8" t="s">
        <v>1554</v>
      </c>
      <c r="B561" s="8" t="s">
        <v>9810</v>
      </c>
      <c r="C561" s="8" t="s">
        <v>9815</v>
      </c>
      <c r="D561" s="3" t="s">
        <v>3</v>
      </c>
      <c r="E561" s="8" t="s">
        <v>9817</v>
      </c>
      <c r="F561" s="8" t="s">
        <v>2142</v>
      </c>
      <c r="G561" s="3" t="s">
        <v>12585</v>
      </c>
      <c r="H561" s="8" t="s">
        <v>2497</v>
      </c>
      <c r="I561" s="8" t="s">
        <v>3084</v>
      </c>
      <c r="K561" s="3" t="s">
        <v>12586</v>
      </c>
      <c r="L561" s="3" t="s">
        <v>12587</v>
      </c>
      <c r="M561" s="3" t="s">
        <v>12588</v>
      </c>
      <c r="N561" s="3" t="s">
        <v>12589</v>
      </c>
      <c r="O561" s="3" t="s">
        <v>12590</v>
      </c>
      <c r="P561" s="8" t="s">
        <v>2143</v>
      </c>
    </row>
    <row r="562" ht="12.75" customHeight="1">
      <c r="A562" s="8" t="s">
        <v>1653</v>
      </c>
      <c r="B562" s="8" t="s">
        <v>10335</v>
      </c>
      <c r="C562" s="8" t="s">
        <v>10340</v>
      </c>
      <c r="D562" s="3" t="s">
        <v>3</v>
      </c>
      <c r="E562" s="8" t="s">
        <v>10342</v>
      </c>
      <c r="F562" s="8" t="s">
        <v>2147</v>
      </c>
      <c r="G562" s="8" t="s">
        <v>2217</v>
      </c>
      <c r="H562" s="8" t="s">
        <v>2600</v>
      </c>
      <c r="I562" s="8" t="s">
        <v>3032</v>
      </c>
      <c r="K562" s="3" t="s">
        <v>12586</v>
      </c>
      <c r="L562" s="3" t="s">
        <v>12587</v>
      </c>
      <c r="M562" s="3" t="s">
        <v>12588</v>
      </c>
      <c r="N562" s="3" t="s">
        <v>12589</v>
      </c>
      <c r="O562" s="3" t="s">
        <v>12609</v>
      </c>
      <c r="P562" s="8" t="s">
        <v>2234</v>
      </c>
    </row>
    <row r="563" ht="12.75" customHeight="1">
      <c r="A563" s="8" t="s">
        <v>1765</v>
      </c>
      <c r="B563" s="8" t="s">
        <v>11232</v>
      </c>
      <c r="C563" s="8" t="s">
        <v>11239</v>
      </c>
      <c r="D563" s="3" t="s">
        <v>3</v>
      </c>
      <c r="E563" s="8" t="s">
        <v>11241</v>
      </c>
      <c r="F563" s="8" t="s">
        <v>2142</v>
      </c>
      <c r="G563" s="3" t="s">
        <v>12585</v>
      </c>
      <c r="H563" s="8" t="s">
        <v>2497</v>
      </c>
      <c r="I563" s="8" t="s">
        <v>2959</v>
      </c>
      <c r="K563" s="3" t="s">
        <v>12586</v>
      </c>
      <c r="L563" s="3" t="s">
        <v>12587</v>
      </c>
      <c r="M563" s="3" t="s">
        <v>12588</v>
      </c>
      <c r="N563" s="3" t="s">
        <v>12589</v>
      </c>
      <c r="O563" s="3" t="s">
        <v>12590</v>
      </c>
      <c r="P563" s="8" t="s">
        <v>2143</v>
      </c>
    </row>
    <row r="564" ht="12.75" customHeight="1">
      <c r="A564" s="8" t="s">
        <v>1769</v>
      </c>
      <c r="B564" s="8" t="s">
        <v>11220</v>
      </c>
      <c r="C564" s="8" t="s">
        <v>11226</v>
      </c>
      <c r="D564" s="3" t="s">
        <v>3</v>
      </c>
      <c r="E564" s="8" t="s">
        <v>11228</v>
      </c>
      <c r="F564" s="8" t="s">
        <v>2147</v>
      </c>
      <c r="G564" s="8" t="s">
        <v>2217</v>
      </c>
      <c r="H564" s="8" t="s">
        <v>2600</v>
      </c>
      <c r="I564" s="8" t="s">
        <v>2959</v>
      </c>
      <c r="K564" s="3" t="s">
        <v>12586</v>
      </c>
      <c r="L564" s="3" t="s">
        <v>12587</v>
      </c>
      <c r="M564" s="3" t="s">
        <v>12588</v>
      </c>
      <c r="N564" s="3" t="s">
        <v>12589</v>
      </c>
      <c r="O564" s="3" t="s">
        <v>12611</v>
      </c>
      <c r="P564" s="8" t="s">
        <v>2237</v>
      </c>
    </row>
    <row r="565" ht="12.75" customHeight="1">
      <c r="A565" s="8" t="s">
        <v>1503</v>
      </c>
      <c r="B565" s="8" t="s">
        <v>11971</v>
      </c>
      <c r="C565" s="8" t="s">
        <v>11977</v>
      </c>
      <c r="D565" s="3" t="s">
        <v>3</v>
      </c>
      <c r="E565" s="8" t="s">
        <v>11979</v>
      </c>
      <c r="F565" s="8" t="s">
        <v>2147</v>
      </c>
      <c r="G565" s="3" t="s">
        <v>12603</v>
      </c>
      <c r="H565" s="8" t="s">
        <v>2146</v>
      </c>
      <c r="K565" s="3" t="s">
        <v>12586</v>
      </c>
      <c r="L565" s="3" t="s">
        <v>12587</v>
      </c>
      <c r="M565" s="3" t="s">
        <v>12588</v>
      </c>
      <c r="N565" s="3" t="s">
        <v>12589</v>
      </c>
      <c r="O565" s="3" t="s">
        <v>12609</v>
      </c>
      <c r="P565" s="8" t="s">
        <v>2148</v>
      </c>
    </row>
    <row r="566" ht="12.75" customHeight="1">
      <c r="A566" s="8" t="s">
        <v>1537</v>
      </c>
      <c r="B566" s="8" t="s">
        <v>11726</v>
      </c>
      <c r="C566" s="8" t="s">
        <v>11740</v>
      </c>
      <c r="D566" s="3" t="s">
        <v>3</v>
      </c>
      <c r="E566" s="8" t="s">
        <v>11743</v>
      </c>
      <c r="F566" s="8" t="s">
        <v>2142</v>
      </c>
      <c r="G566" s="3" t="s">
        <v>12585</v>
      </c>
      <c r="H566" s="8" t="s">
        <v>2213</v>
      </c>
      <c r="K566" s="3" t="s">
        <v>12586</v>
      </c>
      <c r="L566" s="3" t="s">
        <v>12587</v>
      </c>
      <c r="M566" s="3" t="s">
        <v>12588</v>
      </c>
      <c r="N566" s="3" t="s">
        <v>12589</v>
      </c>
      <c r="O566" s="3" t="s">
        <v>12654</v>
      </c>
      <c r="P566" s="8" t="s">
        <v>2214</v>
      </c>
    </row>
    <row r="567" ht="12.75" customHeight="1">
      <c r="A567" s="8" t="s">
        <v>1509</v>
      </c>
      <c r="B567" s="8" t="s">
        <v>11941</v>
      </c>
      <c r="C567" s="8" t="s">
        <v>11949</v>
      </c>
      <c r="D567" s="3" t="s">
        <v>3</v>
      </c>
      <c r="E567" s="8" t="s">
        <v>11951</v>
      </c>
      <c r="F567" s="8" t="s">
        <v>2147</v>
      </c>
      <c r="G567" s="8" t="s">
        <v>2217</v>
      </c>
      <c r="H567" s="8" t="s">
        <v>2216</v>
      </c>
      <c r="K567" s="3" t="s">
        <v>12586</v>
      </c>
      <c r="L567" s="3" t="s">
        <v>12587</v>
      </c>
      <c r="M567" s="3" t="s">
        <v>12588</v>
      </c>
      <c r="N567" s="3" t="s">
        <v>12589</v>
      </c>
      <c r="O567" s="3" t="s">
        <v>12599</v>
      </c>
      <c r="P567" s="8" t="s">
        <v>2256</v>
      </c>
    </row>
    <row r="568" ht="12.75" customHeight="1">
      <c r="A568" s="8" t="s">
        <v>1479</v>
      </c>
      <c r="B568" s="8" t="s">
        <v>12132</v>
      </c>
      <c r="C568" s="8" t="s">
        <v>12137</v>
      </c>
      <c r="D568" s="3" t="s">
        <v>3</v>
      </c>
      <c r="E568" s="8" t="s">
        <v>12139</v>
      </c>
      <c r="F568" s="8" t="s">
        <v>2142</v>
      </c>
      <c r="G568" s="3" t="s">
        <v>12585</v>
      </c>
      <c r="H568" s="8" t="s">
        <v>2417</v>
      </c>
      <c r="K568" s="3" t="s">
        <v>12586</v>
      </c>
      <c r="L568" s="3" t="s">
        <v>12587</v>
      </c>
      <c r="M568" s="3" t="s">
        <v>12588</v>
      </c>
      <c r="N568" s="3" t="s">
        <v>12589</v>
      </c>
      <c r="O568" s="3" t="s">
        <v>12594</v>
      </c>
      <c r="P568" s="8" t="s">
        <v>2340</v>
      </c>
    </row>
    <row r="569" ht="12.75" customHeight="1">
      <c r="A569" s="8" t="s">
        <v>1473</v>
      </c>
      <c r="B569" s="8" t="s">
        <v>12153</v>
      </c>
      <c r="C569" s="8" t="s">
        <v>12159</v>
      </c>
      <c r="D569" s="3" t="s">
        <v>3</v>
      </c>
      <c r="E569" s="8" t="s">
        <v>12161</v>
      </c>
      <c r="F569" s="8" t="s">
        <v>2142</v>
      </c>
      <c r="G569" s="3" t="s">
        <v>12585</v>
      </c>
      <c r="H569" s="8" t="s">
        <v>2450</v>
      </c>
      <c r="K569" s="3" t="s">
        <v>12586</v>
      </c>
      <c r="L569" s="3" t="s">
        <v>12587</v>
      </c>
      <c r="M569" s="3" t="s">
        <v>12588</v>
      </c>
      <c r="N569" s="3" t="s">
        <v>12589</v>
      </c>
      <c r="O569" s="3" t="s">
        <v>12616</v>
      </c>
      <c r="P569" s="8" t="s">
        <v>2218</v>
      </c>
    </row>
    <row r="570" ht="12.75" customHeight="1">
      <c r="A570" s="8" t="s">
        <v>12320</v>
      </c>
      <c r="B570" s="8" t="s">
        <v>12323</v>
      </c>
      <c r="C570" s="8" t="s">
        <v>12331</v>
      </c>
      <c r="D570" s="3" t="s">
        <v>3</v>
      </c>
      <c r="E570" s="8" t="s">
        <v>12333</v>
      </c>
      <c r="F570" s="3" t="s">
        <v>2142</v>
      </c>
      <c r="G570" s="3" t="s">
        <v>12585</v>
      </c>
      <c r="H570" s="3" t="s">
        <v>2471</v>
      </c>
      <c r="I570" s="3"/>
      <c r="J570" s="3"/>
      <c r="K570" s="3" t="s">
        <v>12586</v>
      </c>
      <c r="L570" s="3" t="s">
        <v>12587</v>
      </c>
      <c r="M570" s="3" t="s">
        <v>12588</v>
      </c>
      <c r="N570" s="3" t="s">
        <v>12589</v>
      </c>
      <c r="O570" s="3" t="s">
        <v>12594</v>
      </c>
      <c r="P570" s="3" t="s">
        <v>2340</v>
      </c>
    </row>
    <row r="571" ht="12.75" customHeight="1">
      <c r="A571" s="8" t="s">
        <v>1501</v>
      </c>
      <c r="B571" s="8" t="s">
        <v>11996</v>
      </c>
      <c r="C571" s="8" t="s">
        <v>12009</v>
      </c>
      <c r="D571" s="3" t="s">
        <v>3</v>
      </c>
      <c r="E571" s="8" t="s">
        <v>12011</v>
      </c>
      <c r="F571" s="8" t="s">
        <v>2142</v>
      </c>
      <c r="G571" s="3" t="s">
        <v>12620</v>
      </c>
      <c r="H571" s="3" t="s">
        <v>12621</v>
      </c>
      <c r="K571" s="3" t="s">
        <v>12586</v>
      </c>
      <c r="L571" s="3" t="s">
        <v>12587</v>
      </c>
      <c r="M571" s="3" t="s">
        <v>12588</v>
      </c>
      <c r="N571" s="3" t="s">
        <v>12589</v>
      </c>
      <c r="O571" s="3" t="s">
        <v>12611</v>
      </c>
      <c r="P571" s="8" t="s">
        <v>2237</v>
      </c>
    </row>
    <row r="572" ht="12.75" customHeight="1">
      <c r="A572" s="8" t="s">
        <v>1459</v>
      </c>
      <c r="B572" s="8" t="s">
        <v>12184</v>
      </c>
      <c r="C572" s="8" t="s">
        <v>12188</v>
      </c>
      <c r="D572" s="3" t="s">
        <v>3</v>
      </c>
      <c r="E572" s="8" t="s">
        <v>12190</v>
      </c>
      <c r="F572" s="8" t="s">
        <v>2142</v>
      </c>
      <c r="G572" s="3" t="s">
        <v>12585</v>
      </c>
      <c r="H572" s="8" t="s">
        <v>2497</v>
      </c>
      <c r="K572" s="3" t="s">
        <v>12586</v>
      </c>
      <c r="L572" s="3" t="s">
        <v>12587</v>
      </c>
      <c r="M572" s="3" t="s">
        <v>12588</v>
      </c>
      <c r="N572" s="3" t="s">
        <v>12589</v>
      </c>
      <c r="O572" s="3" t="s">
        <v>12590</v>
      </c>
      <c r="P572" s="8" t="s">
        <v>2143</v>
      </c>
    </row>
    <row r="573" ht="12.75" customHeight="1">
      <c r="A573" s="8" t="s">
        <v>1455</v>
      </c>
      <c r="B573" s="8" t="s">
        <v>12218</v>
      </c>
      <c r="C573" s="8" t="s">
        <v>12221</v>
      </c>
      <c r="D573" s="3" t="s">
        <v>3</v>
      </c>
      <c r="E573" s="8" t="s">
        <v>12223</v>
      </c>
      <c r="F573" s="8" t="s">
        <v>2142</v>
      </c>
      <c r="G573" s="3" t="s">
        <v>12585</v>
      </c>
      <c r="H573" s="8" t="s">
        <v>2553</v>
      </c>
      <c r="K573" s="3" t="s">
        <v>12586</v>
      </c>
      <c r="L573" s="3" t="s">
        <v>12587</v>
      </c>
      <c r="M573" s="3" t="s">
        <v>12588</v>
      </c>
      <c r="N573" s="3" t="s">
        <v>12589</v>
      </c>
      <c r="O573" s="3" t="s">
        <v>12590</v>
      </c>
      <c r="P573" s="8" t="s">
        <v>2143</v>
      </c>
    </row>
    <row r="574" ht="12.75" customHeight="1">
      <c r="A574" s="8" t="s">
        <v>1511</v>
      </c>
      <c r="B574" s="8" t="s">
        <v>11924</v>
      </c>
      <c r="C574" s="8" t="s">
        <v>11934</v>
      </c>
      <c r="D574" s="3" t="s">
        <v>3</v>
      </c>
      <c r="E574" s="8" t="s">
        <v>11936</v>
      </c>
      <c r="F574" s="8" t="s">
        <v>2142</v>
      </c>
      <c r="G574" s="3" t="s">
        <v>12585</v>
      </c>
      <c r="H574" s="8" t="s">
        <v>2553</v>
      </c>
      <c r="K574" s="3" t="s">
        <v>12586</v>
      </c>
      <c r="L574" s="3" t="s">
        <v>12587</v>
      </c>
      <c r="M574" s="3" t="s">
        <v>12588</v>
      </c>
      <c r="N574" s="3" t="s">
        <v>12589</v>
      </c>
      <c r="O574" s="3" t="s">
        <v>12594</v>
      </c>
      <c r="P574" s="8" t="s">
        <v>2340</v>
      </c>
    </row>
    <row r="575" ht="12.75" customHeight="1">
      <c r="A575" s="8" t="s">
        <v>1539</v>
      </c>
      <c r="B575" s="8" t="s">
        <v>11683</v>
      </c>
      <c r="C575" s="8" t="s">
        <v>11695</v>
      </c>
      <c r="D575" s="3" t="s">
        <v>3</v>
      </c>
      <c r="E575" s="8" t="s">
        <v>11699</v>
      </c>
      <c r="F575" s="8" t="s">
        <v>2147</v>
      </c>
      <c r="G575" s="8" t="s">
        <v>2217</v>
      </c>
      <c r="H575" s="8" t="s">
        <v>2600</v>
      </c>
      <c r="K575" s="3" t="s">
        <v>12586</v>
      </c>
      <c r="L575" s="3" t="s">
        <v>12587</v>
      </c>
      <c r="M575" s="3" t="s">
        <v>12588</v>
      </c>
      <c r="N575" s="3" t="s">
        <v>12589</v>
      </c>
      <c r="O575" s="3" t="s">
        <v>12611</v>
      </c>
      <c r="P575" s="8" t="s">
        <v>2237</v>
      </c>
    </row>
    <row r="576" ht="12.75" customHeight="1">
      <c r="A576" s="8" t="s">
        <v>1539</v>
      </c>
      <c r="B576" s="8" t="s">
        <v>11700</v>
      </c>
      <c r="C576" s="8" t="s">
        <v>11695</v>
      </c>
      <c r="D576" s="3" t="s">
        <v>3</v>
      </c>
      <c r="E576" s="8" t="s">
        <v>11705</v>
      </c>
      <c r="F576" s="8" t="s">
        <v>2147</v>
      </c>
      <c r="G576" s="8" t="s">
        <v>2217</v>
      </c>
      <c r="H576" s="8" t="s">
        <v>2600</v>
      </c>
      <c r="K576" s="3" t="s">
        <v>12586</v>
      </c>
      <c r="L576" s="3" t="s">
        <v>12587</v>
      </c>
      <c r="M576" s="3" t="s">
        <v>12588</v>
      </c>
      <c r="N576" s="3" t="s">
        <v>12589</v>
      </c>
      <c r="O576" s="3" t="s">
        <v>12611</v>
      </c>
      <c r="P576" s="8" t="s">
        <v>2237</v>
      </c>
    </row>
    <row r="577" ht="12.75" customHeight="1">
      <c r="A577" s="8" t="s">
        <v>1525</v>
      </c>
      <c r="B577" s="8" t="s">
        <v>11788</v>
      </c>
      <c r="C577" s="8" t="s">
        <v>11797</v>
      </c>
      <c r="D577" s="3" t="s">
        <v>3</v>
      </c>
      <c r="E577" s="8" t="s">
        <v>11799</v>
      </c>
      <c r="F577" s="8" t="s">
        <v>2147</v>
      </c>
      <c r="G577" s="8" t="s">
        <v>2217</v>
      </c>
      <c r="H577" s="8" t="s">
        <v>2600</v>
      </c>
      <c r="K577" s="3" t="s">
        <v>12586</v>
      </c>
      <c r="L577" s="3" t="s">
        <v>12587</v>
      </c>
      <c r="M577" s="3" t="s">
        <v>12588</v>
      </c>
      <c r="N577" s="3" t="s">
        <v>12589</v>
      </c>
      <c r="O577" s="3" t="s">
        <v>12611</v>
      </c>
      <c r="P577" s="8" t="s">
        <v>2237</v>
      </c>
    </row>
    <row r="578" ht="12.75" customHeight="1">
      <c r="A578" s="8" t="s">
        <v>1527</v>
      </c>
      <c r="B578" s="8" t="s">
        <v>2135</v>
      </c>
      <c r="C578" s="8" t="s">
        <v>11811</v>
      </c>
      <c r="D578" s="3" t="s">
        <v>3</v>
      </c>
      <c r="E578" s="8" t="s">
        <v>11813</v>
      </c>
      <c r="F578" s="8" t="s">
        <v>2147</v>
      </c>
      <c r="G578" s="8" t="s">
        <v>2217</v>
      </c>
      <c r="H578" s="8" t="s">
        <v>2600</v>
      </c>
      <c r="K578" s="3" t="s">
        <v>12586</v>
      </c>
      <c r="L578" s="3" t="s">
        <v>12587</v>
      </c>
      <c r="M578" s="3" t="s">
        <v>12588</v>
      </c>
      <c r="N578" s="3" t="s">
        <v>12589</v>
      </c>
      <c r="O578" s="3" t="s">
        <v>12611</v>
      </c>
      <c r="P578" s="8" t="s">
        <v>2237</v>
      </c>
    </row>
    <row r="579" ht="12.75" customHeight="1">
      <c r="A579" s="8" t="s">
        <v>1523</v>
      </c>
      <c r="B579" s="8" t="s">
        <v>11857</v>
      </c>
      <c r="C579" s="8" t="s">
        <v>11868</v>
      </c>
      <c r="D579" s="3" t="s">
        <v>3</v>
      </c>
      <c r="E579" s="8" t="s">
        <v>11870</v>
      </c>
      <c r="F579" s="8" t="s">
        <v>2147</v>
      </c>
      <c r="G579" s="8" t="s">
        <v>2217</v>
      </c>
      <c r="H579" s="8" t="s">
        <v>2600</v>
      </c>
      <c r="K579" s="3" t="s">
        <v>12586</v>
      </c>
      <c r="L579" s="3" t="s">
        <v>12587</v>
      </c>
      <c r="M579" s="3" t="s">
        <v>12588</v>
      </c>
      <c r="N579" s="3" t="s">
        <v>12589</v>
      </c>
      <c r="O579" s="3" t="s">
        <v>12611</v>
      </c>
      <c r="P579" s="8" t="s">
        <v>2237</v>
      </c>
    </row>
    <row r="580" ht="12.75" customHeight="1">
      <c r="A580" s="8" t="s">
        <v>1493</v>
      </c>
      <c r="B580" s="8" t="s">
        <v>12041</v>
      </c>
      <c r="C580" s="8" t="s">
        <v>12046</v>
      </c>
      <c r="D580" s="3" t="s">
        <v>3</v>
      </c>
      <c r="E580" s="8" t="s">
        <v>12048</v>
      </c>
      <c r="F580" s="8" t="s">
        <v>2147</v>
      </c>
      <c r="G580" s="8" t="s">
        <v>2217</v>
      </c>
      <c r="H580" s="8" t="s">
        <v>2600</v>
      </c>
      <c r="K580" s="3" t="s">
        <v>12586</v>
      </c>
      <c r="L580" s="3" t="s">
        <v>12587</v>
      </c>
      <c r="M580" s="3" t="s">
        <v>12588</v>
      </c>
      <c r="N580" s="3" t="s">
        <v>12589</v>
      </c>
      <c r="O580" s="3" t="s">
        <v>12611</v>
      </c>
      <c r="P580" s="8" t="s">
        <v>2237</v>
      </c>
    </row>
    <row r="581" ht="12.75" customHeight="1">
      <c r="A581" s="8" t="s">
        <v>1487</v>
      </c>
      <c r="B581" s="8" t="s">
        <v>12053</v>
      </c>
      <c r="C581" s="8" t="s">
        <v>12060</v>
      </c>
      <c r="D581" s="3" t="s">
        <v>3</v>
      </c>
      <c r="E581" s="8" t="s">
        <v>12062</v>
      </c>
      <c r="F581" s="8" t="s">
        <v>2147</v>
      </c>
      <c r="G581" s="8" t="s">
        <v>2217</v>
      </c>
      <c r="H581" s="8" t="s">
        <v>2600</v>
      </c>
      <c r="K581" s="3" t="s">
        <v>12586</v>
      </c>
      <c r="L581" s="3" t="s">
        <v>12587</v>
      </c>
      <c r="M581" s="3" t="s">
        <v>12588</v>
      </c>
      <c r="N581" s="3" t="s">
        <v>12589</v>
      </c>
      <c r="O581" s="3" t="s">
        <v>12611</v>
      </c>
      <c r="P581" s="8" t="s">
        <v>2237</v>
      </c>
    </row>
    <row r="582" ht="12.75" customHeight="1">
      <c r="A582" s="8" t="s">
        <v>1489</v>
      </c>
      <c r="B582" s="8" t="s">
        <v>12092</v>
      </c>
      <c r="C582" s="8" t="s">
        <v>12096</v>
      </c>
      <c r="D582" s="3" t="s">
        <v>3</v>
      </c>
      <c r="E582" s="8" t="s">
        <v>12098</v>
      </c>
      <c r="F582" s="8" t="s">
        <v>2147</v>
      </c>
      <c r="G582" s="8" t="s">
        <v>2217</v>
      </c>
      <c r="H582" s="8" t="s">
        <v>2600</v>
      </c>
      <c r="K582" s="3" t="s">
        <v>12586</v>
      </c>
      <c r="L582" s="3" t="s">
        <v>12587</v>
      </c>
      <c r="M582" s="3" t="s">
        <v>12588</v>
      </c>
      <c r="N582" s="3" t="s">
        <v>12589</v>
      </c>
      <c r="O582" s="3" t="s">
        <v>12611</v>
      </c>
      <c r="P582" s="8" t="s">
        <v>2237</v>
      </c>
    </row>
    <row r="583" ht="12.75" customHeight="1">
      <c r="A583" s="8" t="s">
        <v>1482</v>
      </c>
      <c r="B583" s="8" t="s">
        <v>12103</v>
      </c>
      <c r="C583" s="8" t="s">
        <v>12112</v>
      </c>
      <c r="D583" s="3" t="s">
        <v>3</v>
      </c>
      <c r="E583" s="8" t="s">
        <v>12115</v>
      </c>
      <c r="F583" s="8" t="s">
        <v>2147</v>
      </c>
      <c r="G583" s="8" t="s">
        <v>2217</v>
      </c>
      <c r="H583" s="8" t="s">
        <v>2600</v>
      </c>
      <c r="K583" s="3" t="s">
        <v>12586</v>
      </c>
      <c r="L583" s="3" t="s">
        <v>12587</v>
      </c>
      <c r="M583" s="3" t="s">
        <v>12588</v>
      </c>
      <c r="N583" s="3" t="s">
        <v>12589</v>
      </c>
      <c r="O583" s="3" t="s">
        <v>12611</v>
      </c>
      <c r="P583" s="8" t="s">
        <v>2237</v>
      </c>
    </row>
    <row r="584" ht="12.75" customHeight="1">
      <c r="A584" s="8" t="s">
        <v>1461</v>
      </c>
      <c r="B584" s="8" t="s">
        <v>12174</v>
      </c>
      <c r="C584" s="8" t="s">
        <v>12178</v>
      </c>
      <c r="D584" s="3" t="s">
        <v>3</v>
      </c>
      <c r="E584" s="8" t="s">
        <v>12180</v>
      </c>
      <c r="F584" s="8" t="s">
        <v>2147</v>
      </c>
      <c r="G584" s="8" t="s">
        <v>2217</v>
      </c>
      <c r="H584" s="8" t="s">
        <v>2600</v>
      </c>
      <c r="K584" s="3" t="s">
        <v>12586</v>
      </c>
      <c r="L584" s="3" t="s">
        <v>12587</v>
      </c>
      <c r="M584" s="3" t="s">
        <v>12588</v>
      </c>
      <c r="N584" s="3" t="s">
        <v>12589</v>
      </c>
      <c r="O584" s="3" t="s">
        <v>12611</v>
      </c>
      <c r="P584" s="8" t="s">
        <v>2237</v>
      </c>
    </row>
    <row r="585" ht="12.75" customHeight="1">
      <c r="A585" s="8" t="s">
        <v>1447</v>
      </c>
      <c r="B585" s="8" t="s">
        <v>12194</v>
      </c>
      <c r="C585" s="8" t="s">
        <v>12202</v>
      </c>
      <c r="D585" s="3" t="s">
        <v>3</v>
      </c>
      <c r="E585" s="8" t="s">
        <v>12204</v>
      </c>
      <c r="F585" s="8" t="s">
        <v>2147</v>
      </c>
      <c r="G585" s="8" t="s">
        <v>2217</v>
      </c>
      <c r="H585" s="8" t="s">
        <v>2600</v>
      </c>
      <c r="K585" s="3" t="s">
        <v>12586</v>
      </c>
      <c r="L585" s="3" t="s">
        <v>12587</v>
      </c>
      <c r="M585" s="3" t="s">
        <v>12588</v>
      </c>
      <c r="N585" s="3" t="s">
        <v>12589</v>
      </c>
      <c r="O585" s="3" t="s">
        <v>12611</v>
      </c>
      <c r="P585" s="8" t="s">
        <v>2237</v>
      </c>
    </row>
    <row r="586" ht="12.75" customHeight="1">
      <c r="A586" s="8" t="s">
        <v>1453</v>
      </c>
      <c r="B586" s="8" t="s">
        <v>12208</v>
      </c>
      <c r="C586" s="8" t="s">
        <v>12213</v>
      </c>
      <c r="D586" s="3" t="s">
        <v>3</v>
      </c>
      <c r="E586" s="8" t="s">
        <v>12214</v>
      </c>
      <c r="F586" s="8" t="s">
        <v>2147</v>
      </c>
      <c r="G586" s="8" t="s">
        <v>2217</v>
      </c>
      <c r="H586" s="8" t="s">
        <v>2600</v>
      </c>
      <c r="K586" s="3" t="s">
        <v>12586</v>
      </c>
      <c r="L586" s="3" t="s">
        <v>12587</v>
      </c>
      <c r="M586" s="3" t="s">
        <v>12588</v>
      </c>
      <c r="N586" s="3" t="s">
        <v>12589</v>
      </c>
      <c r="O586" s="3" t="s">
        <v>12611</v>
      </c>
      <c r="P586" s="8" t="s">
        <v>2237</v>
      </c>
    </row>
    <row r="587" ht="12.75" customHeight="1">
      <c r="A587" s="8" t="s">
        <v>12486</v>
      </c>
      <c r="B587" s="8" t="s">
        <v>12488</v>
      </c>
      <c r="C587" s="8" t="s">
        <v>12492</v>
      </c>
      <c r="D587" s="3" t="s">
        <v>3</v>
      </c>
      <c r="E587" s="8" t="s">
        <v>12494</v>
      </c>
      <c r="F587" s="3" t="s">
        <v>2147</v>
      </c>
      <c r="G587" s="3" t="s">
        <v>2217</v>
      </c>
      <c r="H587" s="3" t="s">
        <v>2600</v>
      </c>
      <c r="I587" s="3"/>
      <c r="J587" s="3"/>
      <c r="K587" s="3" t="s">
        <v>12586</v>
      </c>
      <c r="L587" s="3" t="s">
        <v>12587</v>
      </c>
      <c r="M587" s="3" t="s">
        <v>12588</v>
      </c>
      <c r="N587" s="3" t="s">
        <v>12589</v>
      </c>
      <c r="O587" s="3" t="s">
        <v>12611</v>
      </c>
      <c r="P587" s="3" t="s">
        <v>2237</v>
      </c>
    </row>
    <row r="588" ht="12.75" customHeight="1">
      <c r="A588" s="8" t="s">
        <v>12532</v>
      </c>
      <c r="B588" s="8" t="s">
        <v>12535</v>
      </c>
      <c r="C588" s="8" t="s">
        <v>12539</v>
      </c>
      <c r="D588" s="3" t="s">
        <v>3</v>
      </c>
      <c r="E588" s="8" t="s">
        <v>12541</v>
      </c>
      <c r="F588" s="3" t="s">
        <v>2147</v>
      </c>
      <c r="G588" s="3" t="s">
        <v>2217</v>
      </c>
      <c r="H588" s="3" t="s">
        <v>2600</v>
      </c>
      <c r="I588" s="3"/>
      <c r="J588" s="3"/>
      <c r="K588" s="3" t="s">
        <v>12586</v>
      </c>
      <c r="L588" s="3" t="s">
        <v>12587</v>
      </c>
      <c r="M588" s="3" t="s">
        <v>12588</v>
      </c>
      <c r="N588" s="3" t="s">
        <v>12589</v>
      </c>
      <c r="O588" s="3" t="s">
        <v>12611</v>
      </c>
      <c r="P588" s="3" t="s">
        <v>2237</v>
      </c>
    </row>
    <row r="589" ht="12.75" customHeight="1">
      <c r="A589" s="8" t="s">
        <v>1529</v>
      </c>
      <c r="B589" s="8" t="s">
        <v>11773</v>
      </c>
      <c r="C589" s="8" t="s">
        <v>11781</v>
      </c>
      <c r="D589" s="3" t="s">
        <v>3</v>
      </c>
      <c r="E589" s="8" t="s">
        <v>11783</v>
      </c>
      <c r="F589" s="8" t="s">
        <v>2147</v>
      </c>
      <c r="G589" s="8" t="s">
        <v>2217</v>
      </c>
      <c r="H589" s="8" t="s">
        <v>2600</v>
      </c>
      <c r="K589" s="3" t="s">
        <v>12586</v>
      </c>
      <c r="L589" s="3" t="s">
        <v>12587</v>
      </c>
      <c r="M589" s="3" t="s">
        <v>12588</v>
      </c>
      <c r="N589" s="3" t="s">
        <v>12589</v>
      </c>
      <c r="O589" s="3" t="s">
        <v>12600</v>
      </c>
      <c r="P589" s="8" t="s">
        <v>2221</v>
      </c>
    </row>
    <row r="590" ht="12.75" customHeight="1">
      <c r="A590" s="8" t="s">
        <v>1484</v>
      </c>
      <c r="B590" s="8" t="s">
        <v>12080</v>
      </c>
      <c r="C590" s="8" t="s">
        <v>12086</v>
      </c>
      <c r="D590" s="3" t="s">
        <v>3</v>
      </c>
      <c r="E590" s="8" t="s">
        <v>12088</v>
      </c>
      <c r="F590" s="8" t="s">
        <v>2147</v>
      </c>
      <c r="G590" s="8" t="s">
        <v>2217</v>
      </c>
      <c r="H590" s="8" t="s">
        <v>2600</v>
      </c>
      <c r="K590" s="3" t="s">
        <v>12586</v>
      </c>
      <c r="L590" s="3" t="s">
        <v>12587</v>
      </c>
      <c r="M590" s="3" t="s">
        <v>12588</v>
      </c>
      <c r="N590" s="3" t="s">
        <v>12589</v>
      </c>
      <c r="O590" s="3" t="s">
        <v>12600</v>
      </c>
      <c r="P590" s="8" t="s">
        <v>2221</v>
      </c>
    </row>
    <row r="591" ht="12.75" customHeight="1">
      <c r="A591" s="8" t="s">
        <v>1449</v>
      </c>
      <c r="B591" s="8" t="s">
        <v>12236</v>
      </c>
      <c r="C591" s="8" t="s">
        <v>12238</v>
      </c>
      <c r="D591" s="3" t="s">
        <v>3</v>
      </c>
      <c r="E591" s="8" t="s">
        <v>12240</v>
      </c>
      <c r="F591" s="8" t="s">
        <v>2147</v>
      </c>
      <c r="G591" s="8" t="s">
        <v>2217</v>
      </c>
      <c r="H591" s="8" t="s">
        <v>2600</v>
      </c>
      <c r="K591" s="3" t="s">
        <v>12586</v>
      </c>
      <c r="L591" s="3" t="s">
        <v>12587</v>
      </c>
      <c r="M591" s="3" t="s">
        <v>12588</v>
      </c>
      <c r="N591" s="3" t="s">
        <v>12589</v>
      </c>
      <c r="O591" s="3" t="s">
        <v>12600</v>
      </c>
      <c r="P591" s="8" t="s">
        <v>2221</v>
      </c>
    </row>
    <row r="592" ht="12.75" customHeight="1">
      <c r="A592" s="8" t="s">
        <v>12428</v>
      </c>
      <c r="B592" s="8" t="s">
        <v>12431</v>
      </c>
      <c r="C592" s="8" t="s">
        <v>12436</v>
      </c>
      <c r="D592" s="3" t="s">
        <v>3</v>
      </c>
      <c r="E592" s="8" t="s">
        <v>12438</v>
      </c>
      <c r="F592" s="3" t="s">
        <v>2147</v>
      </c>
      <c r="G592" s="3" t="s">
        <v>2217</v>
      </c>
      <c r="H592" s="3" t="s">
        <v>2600</v>
      </c>
      <c r="I592" s="3"/>
      <c r="J592" s="3"/>
      <c r="K592" s="3" t="s">
        <v>12586</v>
      </c>
      <c r="L592" s="3" t="s">
        <v>12587</v>
      </c>
      <c r="M592" s="3" t="s">
        <v>12588</v>
      </c>
      <c r="N592" s="3" t="s">
        <v>12589</v>
      </c>
      <c r="O592" s="3" t="s">
        <v>12600</v>
      </c>
      <c r="P592" s="3" t="s">
        <v>2221</v>
      </c>
    </row>
    <row r="593" ht="12.75" customHeight="1">
      <c r="A593" s="8" t="s">
        <v>1535</v>
      </c>
      <c r="B593" s="8" t="s">
        <v>11710</v>
      </c>
      <c r="C593" s="8" t="s">
        <v>11718</v>
      </c>
      <c r="D593" s="3" t="s">
        <v>3</v>
      </c>
      <c r="E593" s="8" t="s">
        <v>11720</v>
      </c>
      <c r="F593" s="8" t="s">
        <v>2147</v>
      </c>
      <c r="G593" s="8" t="s">
        <v>2217</v>
      </c>
      <c r="H593" s="8" t="s">
        <v>2600</v>
      </c>
      <c r="K593" s="3" t="s">
        <v>12586</v>
      </c>
      <c r="L593" s="3" t="s">
        <v>12587</v>
      </c>
      <c r="M593" s="3" t="s">
        <v>12588</v>
      </c>
      <c r="N593" s="3" t="s">
        <v>12589</v>
      </c>
      <c r="O593" s="3" t="s">
        <v>12594</v>
      </c>
      <c r="P593" s="8" t="s">
        <v>2601</v>
      </c>
    </row>
    <row r="594" ht="12.75" customHeight="1">
      <c r="A594" s="8" t="s">
        <v>1521</v>
      </c>
      <c r="B594" s="8" t="s">
        <v>11818</v>
      </c>
      <c r="C594" s="8" t="s">
        <v>11828</v>
      </c>
      <c r="D594" s="3" t="s">
        <v>3</v>
      </c>
      <c r="E594" s="8" t="s">
        <v>11830</v>
      </c>
      <c r="F594" s="8" t="s">
        <v>2147</v>
      </c>
      <c r="G594" s="8" t="s">
        <v>2217</v>
      </c>
      <c r="H594" s="8" t="s">
        <v>2600</v>
      </c>
      <c r="K594" s="3" t="s">
        <v>12586</v>
      </c>
      <c r="L594" s="3" t="s">
        <v>12587</v>
      </c>
      <c r="M594" s="3" t="s">
        <v>12588</v>
      </c>
      <c r="N594" s="3" t="s">
        <v>12589</v>
      </c>
      <c r="O594" s="3" t="s">
        <v>12594</v>
      </c>
      <c r="P594" s="8" t="s">
        <v>2601</v>
      </c>
    </row>
    <row r="595" ht="12.75" customHeight="1">
      <c r="A595" s="8" t="s">
        <v>1507</v>
      </c>
      <c r="B595" s="8" t="s">
        <v>11956</v>
      </c>
      <c r="C595" s="8" t="s">
        <v>11966</v>
      </c>
      <c r="D595" s="3" t="s">
        <v>3</v>
      </c>
      <c r="E595" s="8" t="s">
        <v>11967</v>
      </c>
      <c r="F595" s="8" t="s">
        <v>2147</v>
      </c>
      <c r="G595" s="8" t="s">
        <v>2217</v>
      </c>
      <c r="H595" s="8" t="s">
        <v>2600</v>
      </c>
      <c r="K595" s="3" t="s">
        <v>12586</v>
      </c>
      <c r="L595" s="3" t="s">
        <v>12587</v>
      </c>
      <c r="M595" s="3" t="s">
        <v>12588</v>
      </c>
      <c r="N595" s="3" t="s">
        <v>12589</v>
      </c>
      <c r="O595" s="3" t="s">
        <v>12594</v>
      </c>
      <c r="P595" s="8" t="s">
        <v>2601</v>
      </c>
    </row>
    <row r="596" ht="12.75" customHeight="1">
      <c r="A596" s="8" t="s">
        <v>1499</v>
      </c>
      <c r="B596" s="8" t="s">
        <v>11984</v>
      </c>
      <c r="C596" s="8" t="s">
        <v>11988</v>
      </c>
      <c r="D596" s="3" t="s">
        <v>3</v>
      </c>
      <c r="E596" s="8" t="s">
        <v>11990</v>
      </c>
      <c r="F596" s="8" t="s">
        <v>2147</v>
      </c>
      <c r="G596" s="8" t="s">
        <v>2217</v>
      </c>
      <c r="H596" s="8" t="s">
        <v>2600</v>
      </c>
      <c r="K596" s="3" t="s">
        <v>12586</v>
      </c>
      <c r="L596" s="3" t="s">
        <v>12587</v>
      </c>
      <c r="M596" s="3" t="s">
        <v>12588</v>
      </c>
      <c r="N596" s="3" t="s">
        <v>12589</v>
      </c>
      <c r="O596" s="3" t="s">
        <v>12594</v>
      </c>
      <c r="P596" s="8" t="s">
        <v>2601</v>
      </c>
    </row>
    <row r="597" ht="12.75" customHeight="1">
      <c r="A597" s="8" t="s">
        <v>1451</v>
      </c>
      <c r="B597" s="8" t="s">
        <v>12227</v>
      </c>
      <c r="C597" s="8" t="s">
        <v>12231</v>
      </c>
      <c r="D597" s="3" t="s">
        <v>3</v>
      </c>
      <c r="E597" s="8" t="s">
        <v>12233</v>
      </c>
      <c r="F597" s="8" t="s">
        <v>2147</v>
      </c>
      <c r="G597" s="8" t="s">
        <v>2217</v>
      </c>
      <c r="H597" s="8" t="s">
        <v>2600</v>
      </c>
      <c r="K597" s="3" t="s">
        <v>12586</v>
      </c>
      <c r="L597" s="3" t="s">
        <v>12587</v>
      </c>
      <c r="M597" s="3" t="s">
        <v>12588</v>
      </c>
      <c r="N597" s="3" t="s">
        <v>12589</v>
      </c>
      <c r="O597" s="3" t="s">
        <v>12594</v>
      </c>
      <c r="P597" s="8" t="s">
        <v>2601</v>
      </c>
    </row>
    <row r="598" ht="12.75" customHeight="1">
      <c r="A598" s="8" t="s">
        <v>1517</v>
      </c>
      <c r="B598" s="8" t="s">
        <v>11895</v>
      </c>
      <c r="C598" s="8" t="s">
        <v>11903</v>
      </c>
      <c r="D598" s="3" t="s">
        <v>3</v>
      </c>
      <c r="E598" s="8" t="s">
        <v>11905</v>
      </c>
      <c r="F598" s="8" t="s">
        <v>2147</v>
      </c>
      <c r="G598" s="8" t="s">
        <v>2217</v>
      </c>
      <c r="H598" s="8" t="s">
        <v>2600</v>
      </c>
      <c r="K598" s="3" t="s">
        <v>12586</v>
      </c>
      <c r="L598" s="3" t="s">
        <v>12587</v>
      </c>
      <c r="M598" s="3" t="s">
        <v>12588</v>
      </c>
      <c r="N598" s="3" t="s">
        <v>12589</v>
      </c>
      <c r="O598" s="3" t="s">
        <v>12595</v>
      </c>
      <c r="P598" s="8" t="s">
        <v>2224</v>
      </c>
    </row>
    <row r="599" ht="12.75" customHeight="1">
      <c r="A599" s="8" t="s">
        <v>1513</v>
      </c>
      <c r="B599" s="8" t="s">
        <v>11910</v>
      </c>
      <c r="C599" s="8" t="s">
        <v>11917</v>
      </c>
      <c r="D599" s="3" t="s">
        <v>3</v>
      </c>
      <c r="E599" s="8" t="s">
        <v>11919</v>
      </c>
      <c r="F599" s="8" t="s">
        <v>2147</v>
      </c>
      <c r="G599" s="8" t="s">
        <v>2217</v>
      </c>
      <c r="H599" s="8" t="s">
        <v>2600</v>
      </c>
      <c r="K599" s="3" t="s">
        <v>12586</v>
      </c>
      <c r="L599" s="3" t="s">
        <v>12587</v>
      </c>
      <c r="M599" s="3" t="s">
        <v>12588</v>
      </c>
      <c r="N599" s="3" t="s">
        <v>12589</v>
      </c>
      <c r="O599" s="3" t="s">
        <v>12595</v>
      </c>
      <c r="P599" s="8" t="s">
        <v>2224</v>
      </c>
    </row>
    <row r="600" ht="12.75" customHeight="1">
      <c r="A600" s="8" t="s">
        <v>1491</v>
      </c>
      <c r="B600" s="8" t="s">
        <v>12067</v>
      </c>
      <c r="C600" s="8" t="s">
        <v>12074</v>
      </c>
      <c r="D600" s="3" t="s">
        <v>3</v>
      </c>
      <c r="E600" s="8" t="s">
        <v>12076</v>
      </c>
      <c r="F600" s="8" t="s">
        <v>2147</v>
      </c>
      <c r="G600" s="8" t="s">
        <v>2217</v>
      </c>
      <c r="K600" s="3" t="s">
        <v>12586</v>
      </c>
      <c r="L600" s="3" t="s">
        <v>12587</v>
      </c>
      <c r="M600" s="3" t="s">
        <v>12588</v>
      </c>
      <c r="N600" s="3" t="s">
        <v>12589</v>
      </c>
      <c r="O600" s="3" t="s">
        <v>12616</v>
      </c>
      <c r="P600" s="8" t="s">
        <v>2218</v>
      </c>
    </row>
    <row r="601" ht="12.75" customHeight="1">
      <c r="A601" s="8" t="s">
        <v>1533</v>
      </c>
      <c r="B601" s="8" t="s">
        <v>11748</v>
      </c>
      <c r="C601" s="8" t="s">
        <v>11757</v>
      </c>
      <c r="D601" s="3" t="s">
        <v>3</v>
      </c>
      <c r="E601" s="8" t="s">
        <v>11759</v>
      </c>
      <c r="F601" s="8" t="s">
        <v>2142</v>
      </c>
      <c r="K601" s="3" t="s">
        <v>12586</v>
      </c>
      <c r="L601" s="3" t="s">
        <v>12587</v>
      </c>
      <c r="M601" s="3" t="s">
        <v>12588</v>
      </c>
      <c r="N601" s="3" t="s">
        <v>12589</v>
      </c>
      <c r="O601" s="3" t="s">
        <v>12616</v>
      </c>
      <c r="P601" s="8" t="s">
        <v>2218</v>
      </c>
    </row>
    <row r="602" ht="12.75" customHeight="1">
      <c r="A602" s="8" t="s">
        <v>1495</v>
      </c>
      <c r="B602" s="8" t="s">
        <v>12016</v>
      </c>
      <c r="C602" s="8" t="s">
        <v>12020</v>
      </c>
      <c r="D602" s="3" t="s">
        <v>3</v>
      </c>
      <c r="E602" s="8" t="s">
        <v>12022</v>
      </c>
      <c r="F602" s="8" t="s">
        <v>2142</v>
      </c>
      <c r="K602" s="3" t="s">
        <v>12586</v>
      </c>
      <c r="L602" s="3" t="s">
        <v>12587</v>
      </c>
      <c r="M602" s="3" t="s">
        <v>12588</v>
      </c>
      <c r="N602" s="3" t="s">
        <v>12589</v>
      </c>
      <c r="O602" s="3" t="s">
        <v>12616</v>
      </c>
      <c r="P602" s="8" t="s">
        <v>2218</v>
      </c>
    </row>
    <row r="603" ht="12.75" customHeight="1">
      <c r="A603" s="8" t="s">
        <v>1497</v>
      </c>
      <c r="B603" s="8" t="s">
        <v>12027</v>
      </c>
      <c r="C603" s="8" t="s">
        <v>12034</v>
      </c>
      <c r="D603" s="3" t="s">
        <v>3</v>
      </c>
      <c r="E603" s="8" t="s">
        <v>12036</v>
      </c>
      <c r="F603" s="8" t="s">
        <v>2142</v>
      </c>
      <c r="K603" s="3" t="s">
        <v>12586</v>
      </c>
      <c r="L603" s="3" t="s">
        <v>12587</v>
      </c>
      <c r="M603" s="3" t="s">
        <v>12588</v>
      </c>
      <c r="N603" s="3" t="s">
        <v>12589</v>
      </c>
      <c r="O603" s="3" t="s">
        <v>12590</v>
      </c>
      <c r="P603" s="8" t="s">
        <v>2143</v>
      </c>
    </row>
    <row r="604" ht="12.75" customHeight="1">
      <c r="A604" s="8" t="s">
        <v>1531</v>
      </c>
      <c r="B604" s="8" t="s">
        <v>2135</v>
      </c>
      <c r="C604" s="8" t="s">
        <v>11766</v>
      </c>
      <c r="D604" s="3" t="s">
        <v>3</v>
      </c>
      <c r="E604" s="8" t="s">
        <v>11768</v>
      </c>
      <c r="F604" s="8" t="s">
        <v>2142</v>
      </c>
      <c r="K604" s="3" t="s">
        <v>12586</v>
      </c>
      <c r="L604" s="3" t="s">
        <v>12587</v>
      </c>
      <c r="M604" s="3" t="s">
        <v>12588</v>
      </c>
      <c r="N604" s="3" t="s">
        <v>12589</v>
      </c>
      <c r="O604" s="3" t="s">
        <v>12594</v>
      </c>
      <c r="P604" s="8" t="s">
        <v>2168</v>
      </c>
    </row>
    <row r="605" ht="12.75" customHeight="1">
      <c r="A605" s="8" t="s">
        <v>1519</v>
      </c>
      <c r="B605" s="8" t="s">
        <v>11835</v>
      </c>
      <c r="C605" s="8" t="s">
        <v>11849</v>
      </c>
      <c r="D605" s="3" t="s">
        <v>3</v>
      </c>
      <c r="E605" s="8" t="s">
        <v>11851</v>
      </c>
      <c r="F605" s="8" t="s">
        <v>2142</v>
      </c>
      <c r="K605" s="3" t="s">
        <v>12586</v>
      </c>
      <c r="L605" s="3" t="s">
        <v>12587</v>
      </c>
      <c r="M605" s="3" t="s">
        <v>12588</v>
      </c>
      <c r="N605" s="3" t="s">
        <v>12589</v>
      </c>
      <c r="O605" s="3" t="s">
        <v>12594</v>
      </c>
      <c r="P605" s="8" t="s">
        <v>2168</v>
      </c>
    </row>
    <row r="606" ht="12.75" customHeight="1">
      <c r="A606" s="8" t="s">
        <v>1515</v>
      </c>
      <c r="B606" s="8" t="s">
        <v>11875</v>
      </c>
      <c r="C606" s="8" t="s">
        <v>11888</v>
      </c>
      <c r="D606" s="3" t="s">
        <v>3</v>
      </c>
      <c r="E606" s="8" t="s">
        <v>11890</v>
      </c>
      <c r="F606" s="8" t="s">
        <v>2142</v>
      </c>
      <c r="K606" s="3" t="s">
        <v>12586</v>
      </c>
      <c r="L606" s="3" t="s">
        <v>12587</v>
      </c>
      <c r="M606" s="3" t="s">
        <v>12588</v>
      </c>
      <c r="N606" s="3" t="s">
        <v>12589</v>
      </c>
      <c r="O606" s="3" t="s">
        <v>12594</v>
      </c>
      <c r="P606" s="8" t="s">
        <v>2168</v>
      </c>
    </row>
    <row r="607" ht="12.75" customHeight="1">
      <c r="A607" s="8" t="s">
        <v>1477</v>
      </c>
      <c r="B607" s="8" t="s">
        <v>12119</v>
      </c>
      <c r="C607" s="8" t="s">
        <v>12126</v>
      </c>
      <c r="D607" s="3" t="s">
        <v>3</v>
      </c>
      <c r="E607" s="8" t="s">
        <v>12128</v>
      </c>
      <c r="F607" s="8" t="s">
        <v>2142</v>
      </c>
      <c r="K607" s="3" t="s">
        <v>12586</v>
      </c>
      <c r="L607" s="3" t="s">
        <v>12587</v>
      </c>
      <c r="M607" s="3" t="s">
        <v>12588</v>
      </c>
      <c r="N607" s="3" t="s">
        <v>12589</v>
      </c>
      <c r="O607" s="3" t="s">
        <v>12594</v>
      </c>
      <c r="P607" s="8" t="s">
        <v>2168</v>
      </c>
    </row>
    <row r="608" ht="12.75" customHeight="1">
      <c r="A608" s="8" t="s">
        <v>1475</v>
      </c>
      <c r="B608" s="8" t="s">
        <v>12143</v>
      </c>
      <c r="C608" s="8" t="s">
        <v>12147</v>
      </c>
      <c r="D608" s="3" t="s">
        <v>3</v>
      </c>
      <c r="E608" s="8" t="s">
        <v>12149</v>
      </c>
      <c r="F608" s="8" t="s">
        <v>2142</v>
      </c>
      <c r="K608" s="3" t="s">
        <v>12586</v>
      </c>
      <c r="L608" s="3" t="s">
        <v>12587</v>
      </c>
      <c r="M608" s="3" t="s">
        <v>12588</v>
      </c>
      <c r="N608" s="3" t="s">
        <v>12589</v>
      </c>
      <c r="O608" s="3" t="s">
        <v>12594</v>
      </c>
      <c r="P608" s="8" t="s">
        <v>2168</v>
      </c>
    </row>
    <row r="609" ht="12.75" customHeight="1">
      <c r="A609" s="8" t="s">
        <v>1465</v>
      </c>
      <c r="B609" s="8" t="s">
        <v>12164</v>
      </c>
      <c r="C609" s="8" t="s">
        <v>12169</v>
      </c>
      <c r="D609" s="3" t="s">
        <v>3</v>
      </c>
      <c r="E609" s="8" t="s">
        <v>12170</v>
      </c>
      <c r="F609" s="8" t="s">
        <v>2142</v>
      </c>
      <c r="K609" s="3" t="s">
        <v>12586</v>
      </c>
      <c r="L609" s="3" t="s">
        <v>12587</v>
      </c>
      <c r="M609" s="3" t="s">
        <v>12588</v>
      </c>
      <c r="N609" s="3" t="s">
        <v>12589</v>
      </c>
      <c r="O609" s="3" t="s">
        <v>12594</v>
      </c>
      <c r="P609" s="8" t="s">
        <v>2168</v>
      </c>
    </row>
    <row r="610" ht="12.75" customHeight="1">
      <c r="A610" s="8" t="s">
        <v>12243</v>
      </c>
      <c r="B610" s="8" t="s">
        <v>12246</v>
      </c>
      <c r="C610" s="8" t="s">
        <v>12253</v>
      </c>
      <c r="D610" s="3" t="s">
        <v>3</v>
      </c>
      <c r="E610" s="14" t="s">
        <v>12255</v>
      </c>
    </row>
    <row r="611" ht="12.75" customHeight="1">
      <c r="A611" s="8" t="s">
        <v>12391</v>
      </c>
      <c r="B611" s="8" t="s">
        <v>12394</v>
      </c>
      <c r="C611" s="8" t="s">
        <v>12396</v>
      </c>
      <c r="D611" s="3" t="s">
        <v>3</v>
      </c>
      <c r="E611" s="14" t="s">
        <v>12398</v>
      </c>
    </row>
    <row r="612" ht="12.75" customHeight="1">
      <c r="A612" s="8" t="s">
        <v>12468</v>
      </c>
      <c r="B612" s="8" t="s">
        <v>2135</v>
      </c>
      <c r="C612" s="8" t="s">
        <v>12472</v>
      </c>
      <c r="D612" s="3" t="s">
        <v>3</v>
      </c>
      <c r="E612" s="14" t="s">
        <v>12474</v>
      </c>
    </row>
  </sheetData>
  <autoFilter ref="$A$1:$P$612">
    <sortState ref="A1:P612">
      <sortCondition ref="J1:J612"/>
      <sortCondition ref="I1:I612"/>
      <sortCondition ref="H1:H612"/>
      <sortCondition ref="G1:G612"/>
      <sortCondition ref="F1:F612"/>
      <sortCondition ref="P1:P612"/>
    </sortState>
  </autoFilter>
  <printOptions/>
  <pageMargins bottom="0.75" footer="0.0" header="0.0" left="0.7" right="0.7" top="0.75"/>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30.75"/>
  </cols>
  <sheetData>
    <row r="1">
      <c r="A1" s="15" t="s">
        <v>3265</v>
      </c>
      <c r="B1" s="15" t="s">
        <v>3278</v>
      </c>
      <c r="C1" s="15" t="s">
        <v>3313</v>
      </c>
      <c r="D1" s="15" t="s">
        <v>12579</v>
      </c>
      <c r="E1" s="15" t="s">
        <v>3327</v>
      </c>
      <c r="F1" s="15" t="s">
        <v>12580</v>
      </c>
      <c r="G1" s="15" t="s">
        <v>12581</v>
      </c>
      <c r="H1" s="15" t="s">
        <v>12582</v>
      </c>
      <c r="I1" s="15" t="s">
        <v>12583</v>
      </c>
      <c r="J1" s="15" t="s">
        <v>12584</v>
      </c>
      <c r="K1" s="15" t="s">
        <v>2116</v>
      </c>
      <c r="L1" s="16"/>
    </row>
    <row r="2">
      <c r="A2" s="16" t="s">
        <v>12655</v>
      </c>
      <c r="B2" s="16" t="s">
        <v>12656</v>
      </c>
      <c r="C2" s="16" t="s">
        <v>12657</v>
      </c>
      <c r="D2" s="16" t="s">
        <v>12658</v>
      </c>
      <c r="E2" s="16" t="s">
        <v>12659</v>
      </c>
      <c r="F2" s="16" t="s">
        <v>12660</v>
      </c>
      <c r="G2" s="16" t="s">
        <v>12661</v>
      </c>
      <c r="H2" s="16" t="s">
        <v>12662</v>
      </c>
      <c r="I2" s="16" t="s">
        <v>12663</v>
      </c>
      <c r="J2" s="16" t="s">
        <v>12664</v>
      </c>
      <c r="K2" s="16" t="s">
        <v>12665</v>
      </c>
      <c r="L2" s="16" t="s">
        <v>12666</v>
      </c>
    </row>
    <row r="3">
      <c r="A3" s="16" t="s">
        <v>12667</v>
      </c>
      <c r="B3" s="16" t="s">
        <v>12668</v>
      </c>
      <c r="C3" s="16" t="s">
        <v>12669</v>
      </c>
      <c r="D3" s="16" t="s">
        <v>12658</v>
      </c>
      <c r="E3" s="16" t="s">
        <v>12670</v>
      </c>
      <c r="F3" s="16" t="s">
        <v>12660</v>
      </c>
      <c r="G3" s="16" t="s">
        <v>12661</v>
      </c>
      <c r="H3" s="16" t="s">
        <v>12662</v>
      </c>
      <c r="I3" s="16" t="s">
        <v>12663</v>
      </c>
      <c r="J3" s="16" t="s">
        <v>12664</v>
      </c>
      <c r="K3" s="16" t="s">
        <v>12671</v>
      </c>
      <c r="L3" s="16"/>
    </row>
    <row r="4">
      <c r="A4" s="16" t="s">
        <v>12672</v>
      </c>
      <c r="B4" s="16" t="s">
        <v>12673</v>
      </c>
      <c r="C4" s="16" t="s">
        <v>12674</v>
      </c>
      <c r="D4" s="16" t="s">
        <v>12658</v>
      </c>
      <c r="E4" s="16" t="s">
        <v>12675</v>
      </c>
      <c r="F4" s="16" t="s">
        <v>12660</v>
      </c>
      <c r="G4" s="16" t="s">
        <v>12661</v>
      </c>
      <c r="H4" s="16" t="s">
        <v>12662</v>
      </c>
      <c r="I4" s="16" t="s">
        <v>12663</v>
      </c>
      <c r="J4" s="16" t="s">
        <v>12664</v>
      </c>
      <c r="K4" s="16" t="s">
        <v>12676</v>
      </c>
      <c r="L4" s="16"/>
    </row>
    <row r="5">
      <c r="A5" s="16" t="s">
        <v>12677</v>
      </c>
      <c r="B5" s="16" t="s">
        <v>12678</v>
      </c>
      <c r="C5" s="16" t="s">
        <v>12679</v>
      </c>
      <c r="D5" s="16" t="s">
        <v>12658</v>
      </c>
      <c r="E5" s="16" t="s">
        <v>12680</v>
      </c>
      <c r="F5" s="16" t="s">
        <v>12660</v>
      </c>
      <c r="G5" s="16" t="s">
        <v>12661</v>
      </c>
      <c r="H5" s="16" t="s">
        <v>12662</v>
      </c>
      <c r="I5" s="16" t="s">
        <v>12663</v>
      </c>
      <c r="J5" s="16" t="s">
        <v>12664</v>
      </c>
      <c r="K5" s="16" t="s">
        <v>12681</v>
      </c>
      <c r="L5" s="16"/>
    </row>
    <row r="6">
      <c r="A6" s="16" t="s">
        <v>12682</v>
      </c>
      <c r="B6" s="16" t="s">
        <v>12683</v>
      </c>
      <c r="C6" s="16" t="s">
        <v>12684</v>
      </c>
      <c r="D6" s="16" t="s">
        <v>12658</v>
      </c>
      <c r="E6" s="16" t="s">
        <v>12685</v>
      </c>
      <c r="F6" s="16" t="s">
        <v>12586</v>
      </c>
      <c r="G6" s="16" t="s">
        <v>12587</v>
      </c>
      <c r="H6" s="16"/>
      <c r="I6" s="16" t="s">
        <v>12686</v>
      </c>
      <c r="J6" s="16" t="s">
        <v>12687</v>
      </c>
      <c r="K6" s="16" t="s">
        <v>12688</v>
      </c>
      <c r="L6" s="16" t="s">
        <v>3246</v>
      </c>
    </row>
    <row r="7">
      <c r="A7" s="16" t="s">
        <v>12689</v>
      </c>
      <c r="B7" s="16" t="s">
        <v>12690</v>
      </c>
      <c r="C7" s="16" t="s">
        <v>12691</v>
      </c>
      <c r="D7" s="16" t="s">
        <v>12658</v>
      </c>
      <c r="E7" s="16" t="s">
        <v>12692</v>
      </c>
      <c r="F7" s="16" t="s">
        <v>12660</v>
      </c>
      <c r="G7" s="16" t="s">
        <v>12661</v>
      </c>
      <c r="H7" s="16" t="s">
        <v>12662</v>
      </c>
      <c r="I7" s="16" t="s">
        <v>12693</v>
      </c>
      <c r="J7" s="16" t="s">
        <v>12694</v>
      </c>
      <c r="K7" s="16" t="s">
        <v>12695</v>
      </c>
      <c r="L7" s="16"/>
    </row>
    <row r="8">
      <c r="A8" s="16" t="s">
        <v>12696</v>
      </c>
      <c r="B8" s="16" t="s">
        <v>12697</v>
      </c>
      <c r="C8" s="16" t="s">
        <v>12698</v>
      </c>
      <c r="D8" s="16" t="s">
        <v>12658</v>
      </c>
      <c r="E8" s="16" t="s">
        <v>12699</v>
      </c>
      <c r="F8" s="16" t="s">
        <v>12586</v>
      </c>
      <c r="G8" s="16" t="s">
        <v>12700</v>
      </c>
      <c r="H8" s="16" t="s">
        <v>12701</v>
      </c>
      <c r="I8" s="16" t="s">
        <v>12702</v>
      </c>
      <c r="J8" s="16" t="s">
        <v>12703</v>
      </c>
      <c r="K8" s="16" t="s">
        <v>12704</v>
      </c>
      <c r="L8" s="16" t="s">
        <v>12705</v>
      </c>
    </row>
    <row r="9">
      <c r="A9" s="16" t="s">
        <v>12706</v>
      </c>
      <c r="B9" s="16" t="s">
        <v>12707</v>
      </c>
      <c r="C9" s="16" t="s">
        <v>12708</v>
      </c>
      <c r="D9" s="16" t="s">
        <v>12658</v>
      </c>
      <c r="E9" s="16" t="s">
        <v>12709</v>
      </c>
      <c r="F9" s="16" t="s">
        <v>12586</v>
      </c>
      <c r="G9" s="16" t="s">
        <v>12700</v>
      </c>
      <c r="H9" s="16" t="s">
        <v>12710</v>
      </c>
      <c r="I9" s="16" t="s">
        <v>12711</v>
      </c>
      <c r="J9" s="16" t="s">
        <v>12712</v>
      </c>
      <c r="K9" s="16" t="s">
        <v>12713</v>
      </c>
      <c r="L9" s="16"/>
    </row>
    <row r="10">
      <c r="A10" s="16" t="s">
        <v>12714</v>
      </c>
      <c r="B10" s="16" t="s">
        <v>12715</v>
      </c>
      <c r="C10" s="16" t="s">
        <v>12716</v>
      </c>
      <c r="D10" s="16" t="s">
        <v>12717</v>
      </c>
      <c r="E10" s="16" t="s">
        <v>12718</v>
      </c>
      <c r="F10" s="16" t="s">
        <v>12586</v>
      </c>
      <c r="G10" s="16" t="s">
        <v>12587</v>
      </c>
      <c r="H10" s="16" t="s">
        <v>12719</v>
      </c>
      <c r="I10" s="16" t="s">
        <v>12720</v>
      </c>
      <c r="J10" s="16" t="s">
        <v>12721</v>
      </c>
      <c r="K10" s="16" t="s">
        <v>12722</v>
      </c>
      <c r="L10" s="16"/>
    </row>
    <row r="11">
      <c r="A11" s="16" t="s">
        <v>12723</v>
      </c>
      <c r="B11" s="16" t="s">
        <v>12724</v>
      </c>
      <c r="C11" s="16" t="s">
        <v>12725</v>
      </c>
      <c r="D11" s="16" t="s">
        <v>12658</v>
      </c>
      <c r="E11" s="16" t="s">
        <v>12726</v>
      </c>
      <c r="F11" s="16" t="s">
        <v>12660</v>
      </c>
      <c r="G11" s="16" t="s">
        <v>12661</v>
      </c>
      <c r="H11" s="16" t="s">
        <v>12662</v>
      </c>
      <c r="I11" s="16" t="s">
        <v>12693</v>
      </c>
      <c r="J11" s="16" t="s">
        <v>12727</v>
      </c>
      <c r="K11" s="16" t="s">
        <v>12728</v>
      </c>
      <c r="L11" s="16"/>
    </row>
    <row r="12">
      <c r="A12" s="16" t="s">
        <v>12729</v>
      </c>
      <c r="B12" s="16" t="s">
        <v>12730</v>
      </c>
      <c r="C12" s="16" t="s">
        <v>12731</v>
      </c>
      <c r="D12" s="16" t="s">
        <v>12658</v>
      </c>
      <c r="E12" s="16" t="s">
        <v>12732</v>
      </c>
      <c r="F12" s="16" t="s">
        <v>12660</v>
      </c>
      <c r="G12" s="16" t="s">
        <v>12661</v>
      </c>
      <c r="H12" s="16" t="s">
        <v>12733</v>
      </c>
      <c r="I12" s="16" t="s">
        <v>12734</v>
      </c>
      <c r="J12" s="16" t="s">
        <v>12735</v>
      </c>
      <c r="K12" s="16" t="s">
        <v>12736</v>
      </c>
      <c r="L12" s="16"/>
    </row>
    <row r="13">
      <c r="A13" s="16" t="s">
        <v>12737</v>
      </c>
      <c r="B13" s="16" t="s">
        <v>12738</v>
      </c>
      <c r="C13" s="16" t="s">
        <v>12739</v>
      </c>
      <c r="D13" s="16" t="s">
        <v>12658</v>
      </c>
      <c r="E13" s="16" t="s">
        <v>12740</v>
      </c>
      <c r="F13" s="16" t="s">
        <v>12660</v>
      </c>
      <c r="G13" s="16" t="s">
        <v>12661</v>
      </c>
      <c r="H13" s="16" t="s">
        <v>12662</v>
      </c>
      <c r="I13" s="16" t="s">
        <v>12741</v>
      </c>
      <c r="J13" s="16" t="s">
        <v>12742</v>
      </c>
      <c r="K13" s="16" t="s">
        <v>12743</v>
      </c>
      <c r="L13" s="16"/>
    </row>
    <row r="14">
      <c r="A14" s="16" t="s">
        <v>12744</v>
      </c>
      <c r="B14" s="16" t="s">
        <v>12745</v>
      </c>
      <c r="C14" s="16" t="s">
        <v>12746</v>
      </c>
      <c r="D14" s="16" t="s">
        <v>12717</v>
      </c>
      <c r="E14" s="16" t="s">
        <v>12747</v>
      </c>
      <c r="F14" s="16" t="s">
        <v>12586</v>
      </c>
      <c r="G14" s="16" t="s">
        <v>12587</v>
      </c>
      <c r="H14" s="16" t="s">
        <v>12748</v>
      </c>
      <c r="I14" s="16" t="s">
        <v>12749</v>
      </c>
      <c r="J14" s="16" t="s">
        <v>12750</v>
      </c>
      <c r="K14" s="16" t="s">
        <v>12751</v>
      </c>
      <c r="L14" s="16"/>
    </row>
    <row r="15">
      <c r="A15" s="16" t="s">
        <v>12752</v>
      </c>
      <c r="B15" s="16" t="s">
        <v>12753</v>
      </c>
      <c r="C15" s="16" t="s">
        <v>12754</v>
      </c>
      <c r="D15" s="16" t="s">
        <v>12717</v>
      </c>
      <c r="E15" s="16" t="s">
        <v>12755</v>
      </c>
      <c r="F15" s="16" t="s">
        <v>12586</v>
      </c>
      <c r="G15" s="16" t="s">
        <v>12587</v>
      </c>
      <c r="H15" s="16" t="s">
        <v>12748</v>
      </c>
      <c r="I15" s="16" t="s">
        <v>12756</v>
      </c>
      <c r="J15" s="16" t="s">
        <v>12757</v>
      </c>
      <c r="K15" s="16" t="s">
        <v>12758</v>
      </c>
      <c r="L15" s="16"/>
    </row>
    <row r="16">
      <c r="A16" s="16" t="s">
        <v>12759</v>
      </c>
      <c r="B16" s="16" t="s">
        <v>12760</v>
      </c>
      <c r="C16" s="16" t="s">
        <v>12761</v>
      </c>
      <c r="D16" s="16" t="s">
        <v>12717</v>
      </c>
      <c r="E16" s="16" t="s">
        <v>12762</v>
      </c>
      <c r="F16" s="16" t="s">
        <v>12586</v>
      </c>
      <c r="G16" s="16" t="s">
        <v>12587</v>
      </c>
      <c r="H16" s="16" t="s">
        <v>12748</v>
      </c>
      <c r="I16" s="16" t="s">
        <v>12763</v>
      </c>
      <c r="J16" s="16" t="s">
        <v>12764</v>
      </c>
      <c r="K16" s="16" t="s">
        <v>12765</v>
      </c>
      <c r="L16" s="16"/>
    </row>
    <row r="17">
      <c r="A17" s="16" t="s">
        <v>12766</v>
      </c>
      <c r="B17" s="16" t="s">
        <v>12767</v>
      </c>
      <c r="C17" s="16" t="s">
        <v>12768</v>
      </c>
      <c r="D17" s="16" t="s">
        <v>12717</v>
      </c>
      <c r="E17" s="16" t="s">
        <v>12769</v>
      </c>
      <c r="F17" s="16" t="s">
        <v>12586</v>
      </c>
      <c r="G17" s="16" t="s">
        <v>12587</v>
      </c>
      <c r="H17" s="16" t="s">
        <v>12748</v>
      </c>
      <c r="I17" s="16" t="s">
        <v>12770</v>
      </c>
      <c r="J17" s="16" t="s">
        <v>12771</v>
      </c>
      <c r="K17" s="16" t="s">
        <v>12772</v>
      </c>
      <c r="L17" s="16"/>
    </row>
    <row r="18">
      <c r="A18" s="16" t="s">
        <v>12773</v>
      </c>
      <c r="B18" s="16" t="s">
        <v>12774</v>
      </c>
      <c r="C18" s="16" t="s">
        <v>12775</v>
      </c>
      <c r="D18" s="16" t="s">
        <v>12717</v>
      </c>
      <c r="E18" s="16" t="s">
        <v>12776</v>
      </c>
      <c r="F18" s="16" t="s">
        <v>12586</v>
      </c>
      <c r="G18" s="16" t="s">
        <v>12587</v>
      </c>
      <c r="H18" s="16" t="s">
        <v>12719</v>
      </c>
      <c r="I18" s="16" t="s">
        <v>12777</v>
      </c>
      <c r="J18" s="16" t="s">
        <v>12778</v>
      </c>
      <c r="K18" s="16" t="s">
        <v>12779</v>
      </c>
      <c r="L18" s="16"/>
    </row>
    <row r="19">
      <c r="A19" s="16" t="s">
        <v>12780</v>
      </c>
      <c r="B19" s="16" t="s">
        <v>12781</v>
      </c>
      <c r="C19" s="16" t="s">
        <v>12782</v>
      </c>
      <c r="D19" s="16" t="s">
        <v>12717</v>
      </c>
      <c r="E19" s="16" t="s">
        <v>12783</v>
      </c>
      <c r="F19" s="16" t="s">
        <v>12586</v>
      </c>
      <c r="G19" s="16" t="s">
        <v>12587</v>
      </c>
      <c r="H19" s="16" t="s">
        <v>12588</v>
      </c>
      <c r="I19" s="16" t="s">
        <v>12784</v>
      </c>
      <c r="J19" s="16" t="s">
        <v>12785</v>
      </c>
      <c r="K19" s="16" t="s">
        <v>12786</v>
      </c>
      <c r="L19" s="16"/>
    </row>
    <row r="20">
      <c r="A20" s="16" t="s">
        <v>301</v>
      </c>
      <c r="B20" s="16" t="s">
        <v>4744</v>
      </c>
      <c r="C20" s="16"/>
      <c r="D20" s="16" t="s">
        <v>3</v>
      </c>
      <c r="E20" s="16" t="s">
        <v>4754</v>
      </c>
      <c r="F20" s="16" t="s">
        <v>12586</v>
      </c>
      <c r="G20" s="16" t="s">
        <v>12587</v>
      </c>
      <c r="H20" s="16" t="s">
        <v>12588</v>
      </c>
      <c r="I20" s="16" t="s">
        <v>12589</v>
      </c>
      <c r="J20" s="16" t="s">
        <v>12787</v>
      </c>
      <c r="K20" s="16" t="s">
        <v>2421</v>
      </c>
      <c r="L20" s="16"/>
    </row>
    <row r="21">
      <c r="A21" s="16" t="s">
        <v>855</v>
      </c>
      <c r="B21" s="16" t="s">
        <v>5558</v>
      </c>
      <c r="C21" s="16" t="s">
        <v>5567</v>
      </c>
      <c r="D21" s="16" t="s">
        <v>3</v>
      </c>
      <c r="E21" s="16" t="s">
        <v>5569</v>
      </c>
      <c r="F21" s="16" t="s">
        <v>12586</v>
      </c>
      <c r="G21" s="16" t="s">
        <v>12587</v>
      </c>
      <c r="H21" s="16" t="s">
        <v>12588</v>
      </c>
      <c r="I21" s="16" t="s">
        <v>12589</v>
      </c>
      <c r="J21" s="16" t="s">
        <v>12788</v>
      </c>
      <c r="K21" s="16" t="s">
        <v>2295</v>
      </c>
      <c r="L21" s="16"/>
    </row>
    <row r="22">
      <c r="A22" s="16" t="s">
        <v>876</v>
      </c>
      <c r="B22" s="16" t="s">
        <v>5442</v>
      </c>
      <c r="C22" s="16" t="s">
        <v>5457</v>
      </c>
      <c r="D22" s="16" t="s">
        <v>3</v>
      </c>
      <c r="E22" s="16" t="s">
        <v>5459</v>
      </c>
      <c r="F22" s="16" t="s">
        <v>12586</v>
      </c>
      <c r="G22" s="16" t="s">
        <v>12587</v>
      </c>
      <c r="H22" s="16" t="s">
        <v>12588</v>
      </c>
      <c r="I22" s="16" t="s">
        <v>12589</v>
      </c>
      <c r="J22" s="16" t="s">
        <v>12789</v>
      </c>
      <c r="K22" s="16" t="s">
        <v>2549</v>
      </c>
      <c r="L22" s="16"/>
    </row>
    <row r="23">
      <c r="A23" s="16" t="s">
        <v>857</v>
      </c>
      <c r="B23" s="16" t="s">
        <v>5537</v>
      </c>
      <c r="C23" s="16" t="s">
        <v>5549</v>
      </c>
      <c r="D23" s="16" t="s">
        <v>3</v>
      </c>
      <c r="E23" s="16" t="s">
        <v>5553</v>
      </c>
      <c r="F23" s="16" t="s">
        <v>12586</v>
      </c>
      <c r="G23" s="16" t="s">
        <v>12587</v>
      </c>
      <c r="H23" s="16" t="s">
        <v>12588</v>
      </c>
      <c r="I23" s="16" t="s">
        <v>12589</v>
      </c>
      <c r="J23" s="16" t="s">
        <v>12789</v>
      </c>
      <c r="K23" s="16" t="s">
        <v>2549</v>
      </c>
      <c r="L23" s="16"/>
    </row>
    <row r="24">
      <c r="A24" s="16" t="s">
        <v>203</v>
      </c>
      <c r="B24" s="16" t="s">
        <v>3666</v>
      </c>
      <c r="C24" s="16" t="s">
        <v>3680</v>
      </c>
      <c r="D24" s="16" t="s">
        <v>3</v>
      </c>
      <c r="E24" s="16" t="s">
        <v>3683</v>
      </c>
      <c r="F24" s="16" t="s">
        <v>12586</v>
      </c>
      <c r="G24" s="16" t="s">
        <v>12587</v>
      </c>
      <c r="H24" s="16" t="s">
        <v>12588</v>
      </c>
      <c r="I24" s="16" t="s">
        <v>12589</v>
      </c>
      <c r="J24" s="16" t="s">
        <v>12790</v>
      </c>
      <c r="K24" s="16" t="s">
        <v>2358</v>
      </c>
      <c r="L24" s="16"/>
    </row>
    <row r="25">
      <c r="A25" s="16" t="s">
        <v>343</v>
      </c>
      <c r="B25" s="16" t="s">
        <v>4314</v>
      </c>
      <c r="C25" s="16" t="s">
        <v>4330</v>
      </c>
      <c r="D25" s="16" t="s">
        <v>3</v>
      </c>
      <c r="E25" s="16" t="s">
        <v>4333</v>
      </c>
      <c r="F25" s="16" t="s">
        <v>12586</v>
      </c>
      <c r="G25" s="16" t="s">
        <v>12587</v>
      </c>
      <c r="H25" s="16" t="s">
        <v>12588</v>
      </c>
      <c r="I25" s="16" t="s">
        <v>12589</v>
      </c>
      <c r="J25" s="16" t="s">
        <v>12790</v>
      </c>
      <c r="K25" s="16" t="s">
        <v>2358</v>
      </c>
      <c r="L25" s="16"/>
    </row>
    <row r="26">
      <c r="A26" s="16" t="s">
        <v>440</v>
      </c>
      <c r="B26" s="16" t="s">
        <v>4640</v>
      </c>
      <c r="C26" s="16"/>
      <c r="D26" s="16" t="s">
        <v>3</v>
      </c>
      <c r="E26" s="16" t="s">
        <v>4656</v>
      </c>
      <c r="F26" s="16" t="s">
        <v>12586</v>
      </c>
      <c r="G26" s="16" t="s">
        <v>12587</v>
      </c>
      <c r="H26" s="16" t="s">
        <v>12588</v>
      </c>
      <c r="I26" s="16" t="s">
        <v>12589</v>
      </c>
      <c r="J26" s="16" t="s">
        <v>12790</v>
      </c>
      <c r="K26" s="16" t="s">
        <v>2358</v>
      </c>
      <c r="L26" s="16"/>
    </row>
    <row r="27">
      <c r="A27" s="16" t="s">
        <v>12791</v>
      </c>
      <c r="B27" s="16" t="s">
        <v>12792</v>
      </c>
      <c r="C27" s="16" t="s">
        <v>12793</v>
      </c>
      <c r="D27" s="16" t="s">
        <v>12658</v>
      </c>
      <c r="E27" s="16" t="s">
        <v>12794</v>
      </c>
      <c r="F27" s="16" t="s">
        <v>12660</v>
      </c>
      <c r="G27" s="16" t="s">
        <v>12661</v>
      </c>
      <c r="H27" s="16" t="s">
        <v>12662</v>
      </c>
      <c r="I27" s="16" t="s">
        <v>12795</v>
      </c>
      <c r="J27" s="16" t="s">
        <v>12796</v>
      </c>
      <c r="K27" s="16" t="s">
        <v>12797</v>
      </c>
      <c r="L27" s="16"/>
    </row>
    <row r="28">
      <c r="A28" s="16" t="s">
        <v>12798</v>
      </c>
      <c r="B28" s="16" t="s">
        <v>12799</v>
      </c>
      <c r="C28" s="16" t="s">
        <v>12800</v>
      </c>
      <c r="D28" s="16" t="s">
        <v>12658</v>
      </c>
      <c r="E28" s="16" t="s">
        <v>12801</v>
      </c>
      <c r="F28" s="16" t="s">
        <v>12586</v>
      </c>
      <c r="G28" s="16" t="s">
        <v>12587</v>
      </c>
      <c r="H28" s="16" t="s">
        <v>12802</v>
      </c>
      <c r="I28" s="16"/>
      <c r="J28" s="16" t="s">
        <v>12803</v>
      </c>
      <c r="K28" s="16" t="s">
        <v>12804</v>
      </c>
      <c r="L28" s="16"/>
    </row>
    <row r="29">
      <c r="A29" s="16" t="s">
        <v>12805</v>
      </c>
      <c r="B29" s="16" t="s">
        <v>12806</v>
      </c>
      <c r="C29" s="16" t="s">
        <v>12807</v>
      </c>
      <c r="D29" s="16" t="s">
        <v>12717</v>
      </c>
      <c r="E29" s="16" t="s">
        <v>12808</v>
      </c>
      <c r="F29" s="16" t="s">
        <v>12586</v>
      </c>
      <c r="G29" s="16" t="s">
        <v>12587</v>
      </c>
      <c r="H29" s="16" t="s">
        <v>12748</v>
      </c>
      <c r="I29" s="16" t="s">
        <v>12809</v>
      </c>
      <c r="J29" s="16" t="s">
        <v>12810</v>
      </c>
      <c r="K29" s="16" t="s">
        <v>12811</v>
      </c>
      <c r="L29" s="16"/>
    </row>
    <row r="30">
      <c r="A30" s="16" t="s">
        <v>12812</v>
      </c>
      <c r="B30" s="16" t="s">
        <v>12813</v>
      </c>
      <c r="C30" s="16" t="s">
        <v>12814</v>
      </c>
      <c r="D30" s="16" t="s">
        <v>12658</v>
      </c>
      <c r="E30" s="16" t="s">
        <v>12815</v>
      </c>
      <c r="F30" s="16" t="s">
        <v>12660</v>
      </c>
      <c r="G30" s="16" t="s">
        <v>12661</v>
      </c>
      <c r="H30" s="16" t="s">
        <v>12662</v>
      </c>
      <c r="I30" s="16" t="s">
        <v>12816</v>
      </c>
      <c r="J30" s="16" t="s">
        <v>12817</v>
      </c>
      <c r="K30" s="16" t="s">
        <v>12818</v>
      </c>
      <c r="L30" s="16"/>
    </row>
    <row r="31">
      <c r="A31" s="16" t="s">
        <v>89</v>
      </c>
      <c r="B31" s="16" t="s">
        <v>3451</v>
      </c>
      <c r="C31" s="16"/>
      <c r="D31" s="16" t="s">
        <v>3</v>
      </c>
      <c r="E31" s="16" t="s">
        <v>3464</v>
      </c>
      <c r="F31" s="16" t="s">
        <v>12586</v>
      </c>
      <c r="G31" s="16" t="s">
        <v>12587</v>
      </c>
      <c r="H31" s="16" t="s">
        <v>12588</v>
      </c>
      <c r="I31" s="16" t="s">
        <v>12589</v>
      </c>
      <c r="J31" s="16" t="s">
        <v>12602</v>
      </c>
      <c r="K31" s="16" t="s">
        <v>2836</v>
      </c>
      <c r="L31" s="16"/>
    </row>
    <row r="32">
      <c r="A32" s="16" t="s">
        <v>12819</v>
      </c>
      <c r="B32" s="16" t="s">
        <v>12820</v>
      </c>
      <c r="C32" s="16" t="s">
        <v>12821</v>
      </c>
      <c r="D32" s="16" t="s">
        <v>12658</v>
      </c>
      <c r="E32" s="16" t="s">
        <v>12822</v>
      </c>
      <c r="F32" s="16" t="s">
        <v>12586</v>
      </c>
      <c r="G32" s="16" t="s">
        <v>12700</v>
      </c>
      <c r="H32" s="16" t="s">
        <v>12823</v>
      </c>
      <c r="I32" s="16" t="s">
        <v>12824</v>
      </c>
      <c r="J32" s="16" t="s">
        <v>12825</v>
      </c>
      <c r="K32" s="16" t="s">
        <v>12826</v>
      </c>
      <c r="L32" s="16"/>
    </row>
    <row r="33">
      <c r="A33" s="16" t="s">
        <v>767</v>
      </c>
      <c r="B33" s="16" t="s">
        <v>6348</v>
      </c>
      <c r="C33" s="16" t="s">
        <v>6353</v>
      </c>
      <c r="D33" s="16" t="s">
        <v>3</v>
      </c>
      <c r="E33" s="16" t="s">
        <v>6355</v>
      </c>
      <c r="F33" s="16" t="s">
        <v>12586</v>
      </c>
      <c r="G33" s="16" t="s">
        <v>12587</v>
      </c>
      <c r="H33" s="16" t="s">
        <v>12588</v>
      </c>
      <c r="I33" s="16" t="s">
        <v>12589</v>
      </c>
      <c r="J33" s="16" t="s">
        <v>12827</v>
      </c>
      <c r="K33" s="16" t="s">
        <v>2407</v>
      </c>
      <c r="L33" s="16"/>
    </row>
    <row r="34">
      <c r="A34" s="16" t="s">
        <v>879</v>
      </c>
      <c r="B34" s="16" t="s">
        <v>5479</v>
      </c>
      <c r="C34" s="16" t="s">
        <v>5493</v>
      </c>
      <c r="D34" s="16" t="s">
        <v>3</v>
      </c>
      <c r="E34" s="16" t="s">
        <v>5495</v>
      </c>
      <c r="F34" s="16" t="s">
        <v>12586</v>
      </c>
      <c r="G34" s="16" t="s">
        <v>12587</v>
      </c>
      <c r="H34" s="16" t="s">
        <v>12588</v>
      </c>
      <c r="I34" s="16" t="s">
        <v>12589</v>
      </c>
      <c r="J34" s="16" t="s">
        <v>12828</v>
      </c>
      <c r="K34" s="16" t="s">
        <v>2291</v>
      </c>
      <c r="L34" s="16"/>
    </row>
    <row r="35">
      <c r="A35" s="16" t="s">
        <v>821</v>
      </c>
      <c r="B35" s="16" t="s">
        <v>5939</v>
      </c>
      <c r="C35" s="16" t="s">
        <v>5953</v>
      </c>
      <c r="D35" s="16" t="s">
        <v>3</v>
      </c>
      <c r="E35" s="16" t="s">
        <v>5955</v>
      </c>
      <c r="F35" s="16" t="s">
        <v>12586</v>
      </c>
      <c r="G35" s="16" t="s">
        <v>12587</v>
      </c>
      <c r="H35" s="16" t="s">
        <v>12588</v>
      </c>
      <c r="I35" s="16" t="s">
        <v>12589</v>
      </c>
      <c r="J35" s="16" t="s">
        <v>12828</v>
      </c>
      <c r="K35" s="16" t="s">
        <v>2291</v>
      </c>
      <c r="L35" s="16"/>
    </row>
    <row r="36">
      <c r="A36" s="16" t="s">
        <v>12829</v>
      </c>
      <c r="B36" s="16" t="s">
        <v>12830</v>
      </c>
      <c r="C36" s="16" t="s">
        <v>12831</v>
      </c>
      <c r="D36" s="16" t="s">
        <v>12658</v>
      </c>
      <c r="E36" s="16" t="s">
        <v>12832</v>
      </c>
      <c r="F36" s="16" t="s">
        <v>12586</v>
      </c>
      <c r="G36" s="16" t="s">
        <v>12833</v>
      </c>
      <c r="H36" s="16" t="s">
        <v>12834</v>
      </c>
      <c r="I36" s="16" t="s">
        <v>12835</v>
      </c>
      <c r="J36" s="16" t="s">
        <v>12836</v>
      </c>
      <c r="K36" s="16" t="s">
        <v>12837</v>
      </c>
      <c r="L36" s="16"/>
    </row>
    <row r="37">
      <c r="A37" s="16" t="s">
        <v>12838</v>
      </c>
      <c r="B37" s="16" t="s">
        <v>12839</v>
      </c>
      <c r="C37" s="16" t="s">
        <v>12840</v>
      </c>
      <c r="D37" s="16" t="s">
        <v>12717</v>
      </c>
      <c r="E37" s="16" t="s">
        <v>12841</v>
      </c>
      <c r="F37" s="16" t="s">
        <v>12586</v>
      </c>
      <c r="G37" s="16" t="s">
        <v>12587</v>
      </c>
      <c r="H37" s="16" t="s">
        <v>12748</v>
      </c>
      <c r="I37" s="16" t="s">
        <v>12842</v>
      </c>
      <c r="J37" s="16" t="s">
        <v>12843</v>
      </c>
      <c r="K37" s="16" t="s">
        <v>12844</v>
      </c>
      <c r="L37" s="16"/>
    </row>
    <row r="38">
      <c r="A38" s="16" t="s">
        <v>12845</v>
      </c>
      <c r="B38" s="16" t="s">
        <v>12846</v>
      </c>
      <c r="C38" s="16" t="s">
        <v>12847</v>
      </c>
      <c r="D38" s="16" t="s">
        <v>12717</v>
      </c>
      <c r="E38" s="16" t="s">
        <v>12848</v>
      </c>
      <c r="F38" s="16" t="s">
        <v>12586</v>
      </c>
      <c r="G38" s="16" t="s">
        <v>12587</v>
      </c>
      <c r="H38" s="16" t="s">
        <v>12748</v>
      </c>
      <c r="I38" s="16" t="s">
        <v>12849</v>
      </c>
      <c r="J38" s="16" t="s">
        <v>12850</v>
      </c>
      <c r="K38" s="16" t="s">
        <v>12851</v>
      </c>
      <c r="L38" s="16"/>
    </row>
    <row r="39">
      <c r="A39" s="16" t="s">
        <v>12852</v>
      </c>
      <c r="B39" s="16" t="s">
        <v>12853</v>
      </c>
      <c r="C39" s="16" t="s">
        <v>12854</v>
      </c>
      <c r="D39" s="16" t="s">
        <v>12658</v>
      </c>
      <c r="E39" s="16" t="s">
        <v>12855</v>
      </c>
      <c r="F39" s="16" t="s">
        <v>12660</v>
      </c>
      <c r="G39" s="16" t="s">
        <v>12661</v>
      </c>
      <c r="H39" s="16" t="s">
        <v>12856</v>
      </c>
      <c r="I39" s="16" t="s">
        <v>12857</v>
      </c>
      <c r="J39" s="16" t="s">
        <v>12858</v>
      </c>
      <c r="K39" s="16" t="s">
        <v>12859</v>
      </c>
      <c r="L39" s="16"/>
    </row>
    <row r="40">
      <c r="A40" s="16" t="s">
        <v>12860</v>
      </c>
      <c r="B40" s="16" t="s">
        <v>12861</v>
      </c>
      <c r="C40" s="16" t="s">
        <v>12862</v>
      </c>
      <c r="D40" s="16" t="s">
        <v>12658</v>
      </c>
      <c r="E40" s="16" t="s">
        <v>12863</v>
      </c>
      <c r="F40" s="16" t="s">
        <v>12660</v>
      </c>
      <c r="G40" s="16" t="s">
        <v>12661</v>
      </c>
      <c r="H40" s="16" t="s">
        <v>12864</v>
      </c>
      <c r="I40" s="16" t="s">
        <v>12865</v>
      </c>
      <c r="J40" s="16" t="s">
        <v>12866</v>
      </c>
      <c r="K40" s="16" t="s">
        <v>12867</v>
      </c>
      <c r="L40" s="16"/>
    </row>
    <row r="41">
      <c r="A41" s="16" t="s">
        <v>12868</v>
      </c>
      <c r="B41" s="16" t="s">
        <v>12869</v>
      </c>
      <c r="C41" s="16" t="s">
        <v>12870</v>
      </c>
      <c r="D41" s="16" t="s">
        <v>12658</v>
      </c>
      <c r="E41" s="16" t="s">
        <v>12871</v>
      </c>
      <c r="F41" s="16" t="s">
        <v>12586</v>
      </c>
      <c r="G41" s="16" t="s">
        <v>12700</v>
      </c>
      <c r="H41" s="16" t="s">
        <v>12710</v>
      </c>
      <c r="I41" s="16" t="s">
        <v>12711</v>
      </c>
      <c r="J41" s="16" t="s">
        <v>12872</v>
      </c>
      <c r="K41" s="16" t="s">
        <v>12873</v>
      </c>
      <c r="L41" s="16"/>
    </row>
    <row r="42">
      <c r="A42" s="16" t="s">
        <v>12874</v>
      </c>
      <c r="B42" s="16" t="s">
        <v>12875</v>
      </c>
      <c r="C42" s="16" t="s">
        <v>12876</v>
      </c>
      <c r="D42" s="16" t="s">
        <v>12658</v>
      </c>
      <c r="E42" s="16" t="s">
        <v>12877</v>
      </c>
      <c r="F42" s="16" t="s">
        <v>12660</v>
      </c>
      <c r="G42" s="16" t="s">
        <v>12661</v>
      </c>
      <c r="H42" s="16" t="s">
        <v>12662</v>
      </c>
      <c r="I42" s="16" t="s">
        <v>12878</v>
      </c>
      <c r="J42" s="16" t="s">
        <v>12879</v>
      </c>
      <c r="K42" s="16" t="s">
        <v>12880</v>
      </c>
      <c r="L42" s="16"/>
    </row>
    <row r="43">
      <c r="A43" s="16" t="s">
        <v>12881</v>
      </c>
      <c r="B43" s="16" t="s">
        <v>12882</v>
      </c>
      <c r="C43" s="16" t="s">
        <v>12883</v>
      </c>
      <c r="D43" s="16" t="s">
        <v>12658</v>
      </c>
      <c r="E43" s="16" t="s">
        <v>12884</v>
      </c>
      <c r="F43" s="16" t="s">
        <v>12660</v>
      </c>
      <c r="G43" s="16" t="s">
        <v>12661</v>
      </c>
      <c r="H43" s="16" t="s">
        <v>12662</v>
      </c>
      <c r="I43" s="16" t="s">
        <v>12885</v>
      </c>
      <c r="J43" s="16" t="s">
        <v>12886</v>
      </c>
      <c r="K43" s="16" t="s">
        <v>12887</v>
      </c>
      <c r="L43" s="16"/>
    </row>
    <row r="44">
      <c r="A44" s="16" t="s">
        <v>12888</v>
      </c>
      <c r="B44" s="16" t="s">
        <v>12889</v>
      </c>
      <c r="C44" s="16" t="s">
        <v>12890</v>
      </c>
      <c r="D44" s="16" t="s">
        <v>12658</v>
      </c>
      <c r="E44" s="16" t="s">
        <v>12891</v>
      </c>
      <c r="F44" s="16" t="s">
        <v>12586</v>
      </c>
      <c r="G44" s="16" t="s">
        <v>12700</v>
      </c>
      <c r="H44" s="16" t="s">
        <v>12710</v>
      </c>
      <c r="I44" s="16" t="s">
        <v>12892</v>
      </c>
      <c r="J44" s="16" t="s">
        <v>12893</v>
      </c>
      <c r="K44" s="16" t="s">
        <v>12894</v>
      </c>
      <c r="L44" s="16"/>
    </row>
    <row r="45">
      <c r="A45" s="16" t="s">
        <v>12895</v>
      </c>
      <c r="B45" s="16" t="s">
        <v>12896</v>
      </c>
      <c r="C45" s="16" t="s">
        <v>12897</v>
      </c>
      <c r="D45" s="16" t="s">
        <v>12658</v>
      </c>
      <c r="E45" s="16" t="s">
        <v>12898</v>
      </c>
      <c r="F45" s="16" t="s">
        <v>12660</v>
      </c>
      <c r="G45" s="16" t="s">
        <v>12661</v>
      </c>
      <c r="H45" s="16" t="s">
        <v>12662</v>
      </c>
      <c r="I45" s="16" t="s">
        <v>12741</v>
      </c>
      <c r="J45" s="16" t="s">
        <v>12899</v>
      </c>
      <c r="K45" s="16" t="s">
        <v>12900</v>
      </c>
      <c r="L45" s="16"/>
    </row>
    <row r="46">
      <c r="A46" s="16" t="s">
        <v>12901</v>
      </c>
      <c r="B46" s="16" t="s">
        <v>12902</v>
      </c>
      <c r="C46" s="16" t="s">
        <v>12903</v>
      </c>
      <c r="D46" s="16" t="s">
        <v>12658</v>
      </c>
      <c r="E46" s="16" t="s">
        <v>12904</v>
      </c>
      <c r="F46" s="16" t="s">
        <v>12660</v>
      </c>
      <c r="G46" s="16" t="s">
        <v>12661</v>
      </c>
      <c r="H46" s="16" t="s">
        <v>12662</v>
      </c>
      <c r="I46" s="16" t="s">
        <v>12741</v>
      </c>
      <c r="J46" s="16" t="s">
        <v>12899</v>
      </c>
      <c r="K46" s="16" t="s">
        <v>12900</v>
      </c>
      <c r="L46" s="16"/>
    </row>
    <row r="47">
      <c r="A47" s="16" t="s">
        <v>12905</v>
      </c>
      <c r="B47" s="16" t="s">
        <v>12906</v>
      </c>
      <c r="C47" s="16" t="s">
        <v>12907</v>
      </c>
      <c r="D47" s="16" t="s">
        <v>12658</v>
      </c>
      <c r="E47" s="16" t="s">
        <v>12908</v>
      </c>
      <c r="F47" s="16" t="s">
        <v>12660</v>
      </c>
      <c r="G47" s="16" t="s">
        <v>12661</v>
      </c>
      <c r="H47" s="16" t="s">
        <v>12909</v>
      </c>
      <c r="I47" s="16" t="s">
        <v>12910</v>
      </c>
      <c r="J47" s="16" t="s">
        <v>12911</v>
      </c>
      <c r="K47" s="16" t="s">
        <v>12912</v>
      </c>
      <c r="L47" s="16"/>
    </row>
    <row r="48">
      <c r="A48" s="16" t="s">
        <v>12913</v>
      </c>
      <c r="B48" s="16" t="s">
        <v>12914</v>
      </c>
      <c r="C48" s="16" t="s">
        <v>12915</v>
      </c>
      <c r="D48" s="16" t="s">
        <v>12658</v>
      </c>
      <c r="E48" s="16" t="s">
        <v>12916</v>
      </c>
      <c r="F48" s="16" t="s">
        <v>12660</v>
      </c>
      <c r="G48" s="16" t="s">
        <v>12661</v>
      </c>
      <c r="H48" s="16" t="s">
        <v>12856</v>
      </c>
      <c r="I48" s="16" t="s">
        <v>12857</v>
      </c>
      <c r="J48" s="16" t="s">
        <v>12917</v>
      </c>
      <c r="K48" s="16" t="s">
        <v>12918</v>
      </c>
      <c r="L48" s="16"/>
    </row>
    <row r="49">
      <c r="A49" s="16" t="s">
        <v>12919</v>
      </c>
      <c r="B49" s="16" t="s">
        <v>12920</v>
      </c>
      <c r="C49" s="16"/>
      <c r="D49" s="16" t="s">
        <v>12658</v>
      </c>
      <c r="E49" s="16" t="s">
        <v>12921</v>
      </c>
      <c r="F49" s="16" t="s">
        <v>12660</v>
      </c>
      <c r="G49" s="16" t="s">
        <v>12661</v>
      </c>
      <c r="H49" s="16" t="s">
        <v>12856</v>
      </c>
      <c r="I49" s="16" t="s">
        <v>12857</v>
      </c>
      <c r="J49" s="16" t="s">
        <v>12917</v>
      </c>
      <c r="K49" s="16" t="s">
        <v>12922</v>
      </c>
      <c r="L49" s="16"/>
    </row>
    <row r="50">
      <c r="A50" s="16" t="s">
        <v>12923</v>
      </c>
      <c r="B50" s="16" t="s">
        <v>12924</v>
      </c>
      <c r="C50" s="16" t="s">
        <v>12925</v>
      </c>
      <c r="D50" s="16" t="s">
        <v>12658</v>
      </c>
      <c r="E50" s="16" t="s">
        <v>12926</v>
      </c>
      <c r="F50" s="16" t="s">
        <v>12660</v>
      </c>
      <c r="G50" s="16" t="s">
        <v>12661</v>
      </c>
      <c r="H50" s="16" t="s">
        <v>12856</v>
      </c>
      <c r="I50" s="16" t="s">
        <v>12857</v>
      </c>
      <c r="J50" s="16" t="s">
        <v>12917</v>
      </c>
      <c r="K50" s="16" t="s">
        <v>12927</v>
      </c>
      <c r="L50" s="16"/>
    </row>
    <row r="51">
      <c r="A51" s="16" t="s">
        <v>12928</v>
      </c>
      <c r="B51" s="16" t="s">
        <v>12929</v>
      </c>
      <c r="C51" s="16" t="s">
        <v>12930</v>
      </c>
      <c r="D51" s="16" t="s">
        <v>12658</v>
      </c>
      <c r="E51" s="16" t="s">
        <v>12931</v>
      </c>
      <c r="F51" s="16" t="s">
        <v>12586</v>
      </c>
      <c r="G51" s="16" t="s">
        <v>12700</v>
      </c>
      <c r="H51" s="16" t="s">
        <v>12932</v>
      </c>
      <c r="I51" s="16" t="s">
        <v>12933</v>
      </c>
      <c r="J51" s="16" t="s">
        <v>12934</v>
      </c>
      <c r="K51" s="16" t="s">
        <v>12935</v>
      </c>
      <c r="L51" s="16"/>
    </row>
    <row r="52">
      <c r="A52" s="16" t="s">
        <v>12936</v>
      </c>
      <c r="B52" s="16" t="s">
        <v>12937</v>
      </c>
      <c r="C52" s="16" t="s">
        <v>12938</v>
      </c>
      <c r="D52" s="16" t="s">
        <v>12658</v>
      </c>
      <c r="E52" s="16" t="s">
        <v>12939</v>
      </c>
      <c r="F52" s="16" t="s">
        <v>12586</v>
      </c>
      <c r="G52" s="16" t="s">
        <v>12700</v>
      </c>
      <c r="H52" s="16" t="s">
        <v>12932</v>
      </c>
      <c r="I52" s="16" t="s">
        <v>12933</v>
      </c>
      <c r="J52" s="16" t="s">
        <v>12934</v>
      </c>
      <c r="K52" s="16" t="s">
        <v>12935</v>
      </c>
      <c r="L52" s="16"/>
    </row>
    <row r="53">
      <c r="A53" s="16" t="s">
        <v>12940</v>
      </c>
      <c r="B53" s="16" t="s">
        <v>12941</v>
      </c>
      <c r="C53" s="16" t="s">
        <v>12942</v>
      </c>
      <c r="D53" s="16" t="s">
        <v>12658</v>
      </c>
      <c r="E53" s="16" t="s">
        <v>12943</v>
      </c>
      <c r="F53" s="16" t="s">
        <v>12586</v>
      </c>
      <c r="G53" s="16" t="s">
        <v>12700</v>
      </c>
      <c r="H53" s="16" t="s">
        <v>12932</v>
      </c>
      <c r="I53" s="16" t="s">
        <v>12933</v>
      </c>
      <c r="J53" s="16" t="s">
        <v>12934</v>
      </c>
      <c r="K53" s="16" t="s">
        <v>12935</v>
      </c>
      <c r="L53" s="16"/>
    </row>
    <row r="54">
      <c r="A54" s="16" t="s">
        <v>12944</v>
      </c>
      <c r="B54" s="16" t="s">
        <v>12945</v>
      </c>
      <c r="C54" s="16" t="s">
        <v>12946</v>
      </c>
      <c r="D54" s="16" t="s">
        <v>12658</v>
      </c>
      <c r="E54" s="16" t="s">
        <v>12947</v>
      </c>
      <c r="F54" s="16" t="s">
        <v>12586</v>
      </c>
      <c r="G54" s="16" t="s">
        <v>12587</v>
      </c>
      <c r="H54" s="16" t="s">
        <v>12588</v>
      </c>
      <c r="I54" s="16" t="s">
        <v>12948</v>
      </c>
      <c r="J54" s="16" t="s">
        <v>12949</v>
      </c>
      <c r="K54" s="16" t="s">
        <v>12950</v>
      </c>
      <c r="L54" s="16"/>
    </row>
    <row r="55">
      <c r="A55" s="16" t="s">
        <v>12951</v>
      </c>
      <c r="B55" s="16" t="s">
        <v>12952</v>
      </c>
      <c r="C55" s="16" t="s">
        <v>12953</v>
      </c>
      <c r="D55" s="16" t="s">
        <v>12658</v>
      </c>
      <c r="E55" s="16" t="s">
        <v>12954</v>
      </c>
      <c r="F55" s="16" t="s">
        <v>12660</v>
      </c>
      <c r="G55" s="16" t="s">
        <v>12661</v>
      </c>
      <c r="H55" s="16" t="s">
        <v>12662</v>
      </c>
      <c r="I55" s="16" t="s">
        <v>12955</v>
      </c>
      <c r="J55" s="16" t="s">
        <v>12956</v>
      </c>
      <c r="K55" s="16" t="s">
        <v>12957</v>
      </c>
      <c r="L55" s="16"/>
    </row>
    <row r="56">
      <c r="A56" s="16" t="s">
        <v>12958</v>
      </c>
      <c r="B56" s="16" t="s">
        <v>12959</v>
      </c>
      <c r="C56" s="16" t="s">
        <v>12960</v>
      </c>
      <c r="D56" s="16" t="s">
        <v>12717</v>
      </c>
      <c r="E56" s="16" t="s">
        <v>12961</v>
      </c>
      <c r="F56" s="16" t="s">
        <v>12586</v>
      </c>
      <c r="G56" s="16" t="s">
        <v>12587</v>
      </c>
      <c r="H56" s="16" t="s">
        <v>12748</v>
      </c>
      <c r="I56" s="16" t="s">
        <v>12962</v>
      </c>
      <c r="J56" s="16" t="s">
        <v>12963</v>
      </c>
      <c r="K56" s="16" t="s">
        <v>12964</v>
      </c>
      <c r="L56" s="16"/>
    </row>
    <row r="57">
      <c r="A57" s="16" t="s">
        <v>12965</v>
      </c>
      <c r="B57" s="16" t="s">
        <v>12966</v>
      </c>
      <c r="C57" s="16" t="s">
        <v>12967</v>
      </c>
      <c r="D57" s="16" t="s">
        <v>12658</v>
      </c>
      <c r="E57" s="16" t="s">
        <v>12968</v>
      </c>
      <c r="F57" s="16" t="s">
        <v>12586</v>
      </c>
      <c r="G57" s="16" t="s">
        <v>12587</v>
      </c>
      <c r="H57" s="16"/>
      <c r="I57" s="16" t="s">
        <v>12969</v>
      </c>
      <c r="J57" s="16" t="s">
        <v>12970</v>
      </c>
      <c r="K57" s="16" t="s">
        <v>12971</v>
      </c>
      <c r="L57" s="16"/>
    </row>
    <row r="58">
      <c r="A58" s="16" t="s">
        <v>12972</v>
      </c>
      <c r="B58" s="16" t="s">
        <v>12973</v>
      </c>
      <c r="C58" s="16" t="s">
        <v>12974</v>
      </c>
      <c r="D58" s="16" t="s">
        <v>12658</v>
      </c>
      <c r="E58" s="16" t="s">
        <v>12975</v>
      </c>
      <c r="F58" s="16" t="s">
        <v>12660</v>
      </c>
      <c r="G58" s="16" t="s">
        <v>12661</v>
      </c>
      <c r="H58" s="16" t="s">
        <v>12662</v>
      </c>
      <c r="I58" s="16" t="s">
        <v>12795</v>
      </c>
      <c r="J58" s="16" t="s">
        <v>12976</v>
      </c>
      <c r="K58" s="16" t="s">
        <v>12977</v>
      </c>
      <c r="L58" s="16"/>
    </row>
    <row r="59">
      <c r="A59" s="16" t="s">
        <v>12978</v>
      </c>
      <c r="B59" s="16" t="s">
        <v>12979</v>
      </c>
      <c r="C59" s="16" t="s">
        <v>12980</v>
      </c>
      <c r="D59" s="16" t="s">
        <v>12658</v>
      </c>
      <c r="E59" s="16" t="s">
        <v>12981</v>
      </c>
      <c r="F59" s="16" t="s">
        <v>12660</v>
      </c>
      <c r="G59" s="16" t="s">
        <v>12661</v>
      </c>
      <c r="H59" s="16" t="s">
        <v>12662</v>
      </c>
      <c r="I59" s="16" t="s">
        <v>12795</v>
      </c>
      <c r="J59" s="16" t="s">
        <v>12976</v>
      </c>
      <c r="K59" s="16" t="s">
        <v>12982</v>
      </c>
      <c r="L59" s="16"/>
    </row>
    <row r="60">
      <c r="A60" s="16" t="s">
        <v>12983</v>
      </c>
      <c r="B60" s="16" t="s">
        <v>12984</v>
      </c>
      <c r="C60" s="16" t="s">
        <v>12985</v>
      </c>
      <c r="D60" s="16" t="s">
        <v>12658</v>
      </c>
      <c r="E60" s="16" t="s">
        <v>12986</v>
      </c>
      <c r="F60" s="16" t="s">
        <v>12660</v>
      </c>
      <c r="G60" s="16" t="s">
        <v>12661</v>
      </c>
      <c r="H60" s="16" t="s">
        <v>12662</v>
      </c>
      <c r="I60" s="16" t="s">
        <v>12795</v>
      </c>
      <c r="J60" s="16" t="s">
        <v>12976</v>
      </c>
      <c r="K60" s="16" t="s">
        <v>12982</v>
      </c>
      <c r="L60" s="16"/>
    </row>
    <row r="61">
      <c r="A61" s="16" t="s">
        <v>12987</v>
      </c>
      <c r="B61" s="16" t="s">
        <v>12988</v>
      </c>
      <c r="C61" s="16" t="s">
        <v>12989</v>
      </c>
      <c r="D61" s="16" t="s">
        <v>12658</v>
      </c>
      <c r="E61" s="16" t="s">
        <v>12990</v>
      </c>
      <c r="F61" s="16" t="s">
        <v>12660</v>
      </c>
      <c r="G61" s="16" t="s">
        <v>12661</v>
      </c>
      <c r="H61" s="16" t="s">
        <v>12662</v>
      </c>
      <c r="I61" s="16" t="s">
        <v>12795</v>
      </c>
      <c r="J61" s="16" t="s">
        <v>12976</v>
      </c>
      <c r="K61" s="16" t="s">
        <v>12982</v>
      </c>
      <c r="L61" s="16"/>
    </row>
    <row r="62">
      <c r="A62" s="16" t="s">
        <v>12991</v>
      </c>
      <c r="B62" s="16" t="s">
        <v>12992</v>
      </c>
      <c r="C62" s="16" t="s">
        <v>12993</v>
      </c>
      <c r="D62" s="16" t="s">
        <v>12658</v>
      </c>
      <c r="E62" s="16" t="s">
        <v>12994</v>
      </c>
      <c r="F62" s="16" t="s">
        <v>12660</v>
      </c>
      <c r="G62" s="16" t="s">
        <v>12661</v>
      </c>
      <c r="H62" s="16" t="s">
        <v>12662</v>
      </c>
      <c r="I62" s="16" t="s">
        <v>12795</v>
      </c>
      <c r="J62" s="16" t="s">
        <v>12976</v>
      </c>
      <c r="K62" s="16" t="s">
        <v>12982</v>
      </c>
      <c r="L62" s="16"/>
    </row>
    <row r="63">
      <c r="A63" s="16" t="s">
        <v>12995</v>
      </c>
      <c r="B63" s="16" t="s">
        <v>12996</v>
      </c>
      <c r="C63" s="16" t="s">
        <v>12997</v>
      </c>
      <c r="D63" s="16" t="s">
        <v>12658</v>
      </c>
      <c r="E63" s="16" t="s">
        <v>12998</v>
      </c>
      <c r="F63" s="16" t="s">
        <v>12660</v>
      </c>
      <c r="G63" s="16" t="s">
        <v>12661</v>
      </c>
      <c r="H63" s="16" t="s">
        <v>12662</v>
      </c>
      <c r="I63" s="16" t="s">
        <v>12795</v>
      </c>
      <c r="J63" s="16" t="s">
        <v>12976</v>
      </c>
      <c r="K63" s="16" t="s">
        <v>12999</v>
      </c>
      <c r="L63" s="16"/>
    </row>
    <row r="64">
      <c r="A64" s="16" t="s">
        <v>13000</v>
      </c>
      <c r="B64" s="16" t="s">
        <v>13001</v>
      </c>
      <c r="C64" s="16" t="s">
        <v>13002</v>
      </c>
      <c r="D64" s="16" t="s">
        <v>12658</v>
      </c>
      <c r="E64" s="16" t="s">
        <v>13003</v>
      </c>
      <c r="F64" s="16" t="s">
        <v>12660</v>
      </c>
      <c r="G64" s="16" t="s">
        <v>12661</v>
      </c>
      <c r="H64" s="16" t="s">
        <v>12662</v>
      </c>
      <c r="I64" s="16" t="s">
        <v>12795</v>
      </c>
      <c r="J64" s="16" t="s">
        <v>12976</v>
      </c>
      <c r="K64" s="16" t="s">
        <v>12999</v>
      </c>
      <c r="L64" s="16"/>
    </row>
    <row r="65">
      <c r="A65" s="16" t="s">
        <v>13004</v>
      </c>
      <c r="B65" s="16" t="s">
        <v>13005</v>
      </c>
      <c r="C65" s="16" t="s">
        <v>13006</v>
      </c>
      <c r="D65" s="16" t="s">
        <v>12717</v>
      </c>
      <c r="E65" s="16" t="s">
        <v>13007</v>
      </c>
      <c r="F65" s="16" t="s">
        <v>12586</v>
      </c>
      <c r="G65" s="16" t="s">
        <v>12587</v>
      </c>
      <c r="H65" s="16" t="s">
        <v>12748</v>
      </c>
      <c r="I65" s="16" t="s">
        <v>13008</v>
      </c>
      <c r="J65" s="16" t="s">
        <v>13009</v>
      </c>
      <c r="K65" s="16" t="s">
        <v>13010</v>
      </c>
      <c r="L65" s="16"/>
    </row>
    <row r="66">
      <c r="A66" s="16" t="s">
        <v>13011</v>
      </c>
      <c r="B66" s="16" t="s">
        <v>13012</v>
      </c>
      <c r="C66" s="16" t="s">
        <v>13013</v>
      </c>
      <c r="D66" s="16" t="s">
        <v>12717</v>
      </c>
      <c r="E66" s="16" t="s">
        <v>13014</v>
      </c>
      <c r="F66" s="16" t="s">
        <v>12586</v>
      </c>
      <c r="G66" s="16" t="s">
        <v>12587</v>
      </c>
      <c r="H66" s="16" t="s">
        <v>12748</v>
      </c>
      <c r="I66" s="16" t="s">
        <v>13015</v>
      </c>
      <c r="J66" s="16" t="s">
        <v>13016</v>
      </c>
      <c r="K66" s="16" t="s">
        <v>13017</v>
      </c>
      <c r="L66" s="16"/>
    </row>
    <row r="67">
      <c r="A67" s="16" t="s">
        <v>13018</v>
      </c>
      <c r="B67" s="16" t="s">
        <v>13019</v>
      </c>
      <c r="C67" s="16" t="s">
        <v>13020</v>
      </c>
      <c r="D67" s="16" t="s">
        <v>12717</v>
      </c>
      <c r="E67" s="16" t="s">
        <v>13021</v>
      </c>
      <c r="F67" s="16" t="s">
        <v>12586</v>
      </c>
      <c r="G67" s="16" t="s">
        <v>12587</v>
      </c>
      <c r="H67" s="16" t="s">
        <v>12748</v>
      </c>
      <c r="I67" s="16" t="s">
        <v>13008</v>
      </c>
      <c r="J67" s="16" t="s">
        <v>13022</v>
      </c>
      <c r="K67" s="16" t="s">
        <v>13023</v>
      </c>
      <c r="L67" s="16"/>
    </row>
    <row r="68">
      <c r="A68" s="16" t="s">
        <v>13024</v>
      </c>
      <c r="B68" s="16" t="s">
        <v>13025</v>
      </c>
      <c r="C68" s="16" t="s">
        <v>13026</v>
      </c>
      <c r="D68" s="16" t="s">
        <v>12717</v>
      </c>
      <c r="E68" s="16" t="s">
        <v>13027</v>
      </c>
      <c r="F68" s="16" t="s">
        <v>12586</v>
      </c>
      <c r="G68" s="16" t="s">
        <v>12587</v>
      </c>
      <c r="H68" s="16" t="s">
        <v>12748</v>
      </c>
      <c r="I68" s="16" t="s">
        <v>13008</v>
      </c>
      <c r="J68" s="16" t="s">
        <v>13028</v>
      </c>
      <c r="K68" s="16" t="s">
        <v>13029</v>
      </c>
      <c r="L68" s="16"/>
    </row>
    <row r="69">
      <c r="A69" s="16" t="s">
        <v>13030</v>
      </c>
      <c r="B69" s="16" t="s">
        <v>13031</v>
      </c>
      <c r="C69" s="16" t="s">
        <v>13032</v>
      </c>
      <c r="D69" s="16" t="s">
        <v>12717</v>
      </c>
      <c r="E69" s="16" t="s">
        <v>13033</v>
      </c>
      <c r="F69" s="16" t="s">
        <v>12586</v>
      </c>
      <c r="G69" s="16" t="s">
        <v>12587</v>
      </c>
      <c r="H69" s="16" t="s">
        <v>12748</v>
      </c>
      <c r="I69" s="16" t="s">
        <v>13034</v>
      </c>
      <c r="J69" s="16" t="s">
        <v>13035</v>
      </c>
      <c r="K69" s="16" t="s">
        <v>13036</v>
      </c>
      <c r="L69" s="16"/>
    </row>
    <row r="70">
      <c r="A70" s="16" t="s">
        <v>13037</v>
      </c>
      <c r="B70" s="16" t="s">
        <v>13038</v>
      </c>
      <c r="C70" s="16" t="s">
        <v>13039</v>
      </c>
      <c r="D70" s="16" t="s">
        <v>12717</v>
      </c>
      <c r="E70" s="16" t="s">
        <v>13040</v>
      </c>
      <c r="F70" s="16" t="s">
        <v>12586</v>
      </c>
      <c r="G70" s="16" t="s">
        <v>12587</v>
      </c>
      <c r="H70" s="16" t="s">
        <v>12748</v>
      </c>
      <c r="I70" s="16" t="s">
        <v>13041</v>
      </c>
      <c r="J70" s="16" t="s">
        <v>13042</v>
      </c>
      <c r="K70" s="16" t="s">
        <v>13043</v>
      </c>
      <c r="L70" s="16"/>
    </row>
    <row r="71">
      <c r="A71" s="16" t="s">
        <v>13044</v>
      </c>
      <c r="B71" s="16" t="s">
        <v>13045</v>
      </c>
      <c r="C71" s="16" t="s">
        <v>13046</v>
      </c>
      <c r="D71" s="16" t="s">
        <v>12717</v>
      </c>
      <c r="E71" s="16" t="s">
        <v>13047</v>
      </c>
      <c r="F71" s="16" t="s">
        <v>12586</v>
      </c>
      <c r="G71" s="16" t="s">
        <v>12587</v>
      </c>
      <c r="H71" s="16" t="s">
        <v>12748</v>
      </c>
      <c r="I71" s="16" t="s">
        <v>12962</v>
      </c>
      <c r="J71" s="16" t="s">
        <v>13048</v>
      </c>
      <c r="K71" s="16" t="s">
        <v>13049</v>
      </c>
      <c r="L71" s="16"/>
    </row>
    <row r="72">
      <c r="A72" s="16" t="s">
        <v>13050</v>
      </c>
      <c r="B72" s="16" t="s">
        <v>13051</v>
      </c>
      <c r="C72" s="16" t="s">
        <v>13052</v>
      </c>
      <c r="D72" s="16" t="s">
        <v>12717</v>
      </c>
      <c r="E72" s="16" t="s">
        <v>13053</v>
      </c>
      <c r="F72" s="16" t="s">
        <v>12586</v>
      </c>
      <c r="G72" s="16" t="s">
        <v>12587</v>
      </c>
      <c r="H72" s="16" t="s">
        <v>12748</v>
      </c>
      <c r="I72" s="16" t="s">
        <v>12962</v>
      </c>
      <c r="J72" s="16" t="s">
        <v>13054</v>
      </c>
      <c r="K72" s="16" t="s">
        <v>13055</v>
      </c>
      <c r="L72" s="16"/>
    </row>
    <row r="73">
      <c r="A73" s="16" t="s">
        <v>13056</v>
      </c>
      <c r="B73" s="16" t="s">
        <v>13057</v>
      </c>
      <c r="C73" s="16" t="s">
        <v>13058</v>
      </c>
      <c r="D73" s="16" t="s">
        <v>12717</v>
      </c>
      <c r="E73" s="16" t="s">
        <v>13059</v>
      </c>
      <c r="F73" s="16" t="s">
        <v>12586</v>
      </c>
      <c r="G73" s="16" t="s">
        <v>12587</v>
      </c>
      <c r="H73" s="16" t="s">
        <v>12748</v>
      </c>
      <c r="I73" s="16" t="s">
        <v>12962</v>
      </c>
      <c r="J73" s="16" t="s">
        <v>13054</v>
      </c>
      <c r="K73" s="16" t="s">
        <v>13060</v>
      </c>
      <c r="L73" s="16"/>
    </row>
    <row r="74">
      <c r="A74" s="16" t="s">
        <v>13061</v>
      </c>
      <c r="B74" s="16" t="s">
        <v>13062</v>
      </c>
      <c r="C74" s="16" t="s">
        <v>13063</v>
      </c>
      <c r="D74" s="16" t="s">
        <v>12658</v>
      </c>
      <c r="E74" s="16" t="s">
        <v>13064</v>
      </c>
      <c r="F74" s="16" t="s">
        <v>12586</v>
      </c>
      <c r="G74" s="16" t="s">
        <v>12700</v>
      </c>
      <c r="H74" s="16" t="s">
        <v>12710</v>
      </c>
      <c r="I74" s="16" t="s">
        <v>13065</v>
      </c>
      <c r="J74" s="16" t="s">
        <v>13066</v>
      </c>
      <c r="K74" s="16" t="s">
        <v>13067</v>
      </c>
      <c r="L74" s="16"/>
    </row>
    <row r="75">
      <c r="A75" s="16" t="s">
        <v>13068</v>
      </c>
      <c r="B75" s="16" t="s">
        <v>13069</v>
      </c>
      <c r="C75" s="16" t="s">
        <v>13070</v>
      </c>
      <c r="D75" s="16" t="s">
        <v>12717</v>
      </c>
      <c r="E75" s="16" t="s">
        <v>13071</v>
      </c>
      <c r="F75" s="16" t="s">
        <v>12586</v>
      </c>
      <c r="G75" s="16" t="s">
        <v>12587</v>
      </c>
      <c r="H75" s="16" t="s">
        <v>12748</v>
      </c>
      <c r="I75" s="16" t="s">
        <v>12770</v>
      </c>
      <c r="J75" s="16" t="s">
        <v>13072</v>
      </c>
      <c r="K75" s="16" t="s">
        <v>13073</v>
      </c>
      <c r="L75" s="16"/>
    </row>
    <row r="76">
      <c r="A76" s="16" t="s">
        <v>13074</v>
      </c>
      <c r="B76" s="16" t="s">
        <v>13075</v>
      </c>
      <c r="C76" s="16" t="s">
        <v>13076</v>
      </c>
      <c r="D76" s="16" t="s">
        <v>12717</v>
      </c>
      <c r="E76" s="16" t="s">
        <v>13077</v>
      </c>
      <c r="F76" s="16" t="s">
        <v>12586</v>
      </c>
      <c r="G76" s="16" t="s">
        <v>12587</v>
      </c>
      <c r="H76" s="16" t="s">
        <v>12748</v>
      </c>
      <c r="I76" s="16" t="s">
        <v>12770</v>
      </c>
      <c r="J76" s="16" t="s">
        <v>13078</v>
      </c>
      <c r="K76" s="16" t="s">
        <v>13079</v>
      </c>
      <c r="L76" s="16"/>
    </row>
    <row r="77">
      <c r="A77" s="16" t="s">
        <v>13080</v>
      </c>
      <c r="B77" s="16" t="s">
        <v>13081</v>
      </c>
      <c r="C77" s="16" t="s">
        <v>13082</v>
      </c>
      <c r="D77" s="16" t="s">
        <v>12717</v>
      </c>
      <c r="E77" s="16" t="s">
        <v>13083</v>
      </c>
      <c r="F77" s="16" t="s">
        <v>12586</v>
      </c>
      <c r="G77" s="16" t="s">
        <v>12587</v>
      </c>
      <c r="H77" s="16" t="s">
        <v>12748</v>
      </c>
      <c r="I77" s="16" t="s">
        <v>12770</v>
      </c>
      <c r="J77" s="16" t="s">
        <v>13084</v>
      </c>
      <c r="K77" s="16" t="s">
        <v>13085</v>
      </c>
      <c r="L77" s="16"/>
    </row>
    <row r="78">
      <c r="A78" s="16" t="s">
        <v>13086</v>
      </c>
      <c r="B78" s="16" t="s">
        <v>13087</v>
      </c>
      <c r="C78" s="16" t="s">
        <v>13088</v>
      </c>
      <c r="D78" s="16" t="s">
        <v>12717</v>
      </c>
      <c r="E78" s="16" t="s">
        <v>13089</v>
      </c>
      <c r="F78" s="16" t="s">
        <v>12586</v>
      </c>
      <c r="G78" s="16" t="s">
        <v>12587</v>
      </c>
      <c r="H78" s="16" t="s">
        <v>12748</v>
      </c>
      <c r="I78" s="16" t="s">
        <v>12770</v>
      </c>
      <c r="J78" s="16" t="s">
        <v>13090</v>
      </c>
      <c r="K78" s="16" t="s">
        <v>13091</v>
      </c>
      <c r="L78" s="16"/>
    </row>
    <row r="79">
      <c r="A79" s="16" t="s">
        <v>13092</v>
      </c>
      <c r="B79" s="16" t="s">
        <v>13093</v>
      </c>
      <c r="C79" s="16" t="s">
        <v>13094</v>
      </c>
      <c r="D79" s="16" t="s">
        <v>12717</v>
      </c>
      <c r="E79" s="16" t="s">
        <v>13095</v>
      </c>
      <c r="F79" s="16" t="s">
        <v>12586</v>
      </c>
      <c r="G79" s="16" t="s">
        <v>12587</v>
      </c>
      <c r="H79" s="16" t="s">
        <v>12748</v>
      </c>
      <c r="I79" s="16" t="s">
        <v>12770</v>
      </c>
      <c r="J79" s="16" t="s">
        <v>13096</v>
      </c>
      <c r="K79" s="16" t="s">
        <v>13097</v>
      </c>
      <c r="L79" s="16"/>
    </row>
    <row r="80">
      <c r="A80" s="16" t="s">
        <v>13098</v>
      </c>
      <c r="B80" s="16" t="s">
        <v>13099</v>
      </c>
      <c r="C80" s="16" t="s">
        <v>13100</v>
      </c>
      <c r="D80" s="16" t="s">
        <v>12717</v>
      </c>
      <c r="E80" s="16" t="s">
        <v>13101</v>
      </c>
      <c r="F80" s="16" t="s">
        <v>12586</v>
      </c>
      <c r="G80" s="16" t="s">
        <v>12587</v>
      </c>
      <c r="H80" s="16" t="s">
        <v>12748</v>
      </c>
      <c r="I80" s="16" t="s">
        <v>12770</v>
      </c>
      <c r="J80" s="16" t="s">
        <v>13102</v>
      </c>
      <c r="K80" s="16" t="s">
        <v>13103</v>
      </c>
      <c r="L80" s="16"/>
    </row>
    <row r="81">
      <c r="A81" s="16" t="s">
        <v>13104</v>
      </c>
      <c r="B81" s="16" t="s">
        <v>13105</v>
      </c>
      <c r="C81" s="16" t="s">
        <v>13106</v>
      </c>
      <c r="D81" s="16" t="s">
        <v>12658</v>
      </c>
      <c r="E81" s="16" t="s">
        <v>13107</v>
      </c>
      <c r="F81" s="16" t="s">
        <v>12660</v>
      </c>
      <c r="G81" s="16" t="s">
        <v>12661</v>
      </c>
      <c r="H81" s="16" t="s">
        <v>12662</v>
      </c>
      <c r="I81" s="16" t="s">
        <v>12795</v>
      </c>
      <c r="J81" s="16" t="s">
        <v>13108</v>
      </c>
      <c r="K81" s="16" t="s">
        <v>13109</v>
      </c>
      <c r="L81" s="16"/>
    </row>
    <row r="82">
      <c r="A82" s="16" t="s">
        <v>13110</v>
      </c>
      <c r="B82" s="16" t="s">
        <v>13111</v>
      </c>
      <c r="C82" s="16" t="s">
        <v>13112</v>
      </c>
      <c r="D82" s="16" t="s">
        <v>12658</v>
      </c>
      <c r="E82" s="16" t="s">
        <v>13113</v>
      </c>
      <c r="F82" s="16" t="s">
        <v>12660</v>
      </c>
      <c r="G82" s="16" t="s">
        <v>13114</v>
      </c>
      <c r="H82" s="16" t="s">
        <v>13115</v>
      </c>
      <c r="I82" s="16" t="s">
        <v>13116</v>
      </c>
      <c r="J82" s="16" t="s">
        <v>13117</v>
      </c>
      <c r="K82" s="16" t="s">
        <v>13118</v>
      </c>
      <c r="L82" s="16"/>
    </row>
    <row r="83">
      <c r="A83" s="16" t="s">
        <v>13119</v>
      </c>
      <c r="B83" s="16" t="s">
        <v>13120</v>
      </c>
      <c r="C83" s="16" t="s">
        <v>13121</v>
      </c>
      <c r="D83" s="16" t="s">
        <v>12658</v>
      </c>
      <c r="E83" s="16" t="s">
        <v>13122</v>
      </c>
      <c r="F83" s="16" t="s">
        <v>12660</v>
      </c>
      <c r="G83" s="16" t="s">
        <v>13114</v>
      </c>
      <c r="H83" s="16" t="s">
        <v>13115</v>
      </c>
      <c r="I83" s="16" t="s">
        <v>13116</v>
      </c>
      <c r="J83" s="16" t="s">
        <v>13117</v>
      </c>
      <c r="K83" s="16" t="s">
        <v>13123</v>
      </c>
      <c r="L83" s="16"/>
    </row>
    <row r="84">
      <c r="A84" s="16" t="s">
        <v>13124</v>
      </c>
      <c r="B84" s="16" t="s">
        <v>13125</v>
      </c>
      <c r="C84" s="16" t="s">
        <v>13126</v>
      </c>
      <c r="D84" s="16" t="s">
        <v>12658</v>
      </c>
      <c r="E84" s="16" t="s">
        <v>13127</v>
      </c>
      <c r="F84" s="16" t="s">
        <v>12660</v>
      </c>
      <c r="G84" s="16" t="s">
        <v>12661</v>
      </c>
      <c r="H84" s="16" t="s">
        <v>12733</v>
      </c>
      <c r="I84" s="16" t="s">
        <v>13128</v>
      </c>
      <c r="J84" s="16" t="s">
        <v>13129</v>
      </c>
      <c r="K84" s="16" t="s">
        <v>13130</v>
      </c>
      <c r="L84" s="16"/>
    </row>
    <row r="85">
      <c r="A85" s="16" t="s">
        <v>13131</v>
      </c>
      <c r="B85" s="16" t="s">
        <v>13132</v>
      </c>
      <c r="C85" s="16" t="s">
        <v>13133</v>
      </c>
      <c r="D85" s="16" t="s">
        <v>12658</v>
      </c>
      <c r="E85" s="16" t="s">
        <v>13134</v>
      </c>
      <c r="F85" s="16" t="s">
        <v>12660</v>
      </c>
      <c r="G85" s="16" t="s">
        <v>12661</v>
      </c>
      <c r="H85" s="16" t="s">
        <v>12662</v>
      </c>
      <c r="I85" s="16" t="s">
        <v>13135</v>
      </c>
      <c r="J85" s="16" t="s">
        <v>13136</v>
      </c>
      <c r="K85" s="16" t="s">
        <v>13137</v>
      </c>
      <c r="L85" s="16"/>
    </row>
    <row r="86">
      <c r="A86" s="16" t="s">
        <v>13138</v>
      </c>
      <c r="B86" s="16" t="s">
        <v>13139</v>
      </c>
      <c r="C86" s="16" t="s">
        <v>13140</v>
      </c>
      <c r="D86" s="16" t="s">
        <v>12717</v>
      </c>
      <c r="E86" s="16" t="s">
        <v>13141</v>
      </c>
      <c r="F86" s="16" t="s">
        <v>12586</v>
      </c>
      <c r="G86" s="16" t="s">
        <v>12587</v>
      </c>
      <c r="H86" s="16" t="s">
        <v>12719</v>
      </c>
      <c r="I86" s="16" t="s">
        <v>13142</v>
      </c>
      <c r="J86" s="16" t="s">
        <v>13143</v>
      </c>
      <c r="K86" s="16" t="s">
        <v>13144</v>
      </c>
      <c r="L86" s="16"/>
    </row>
    <row r="87">
      <c r="A87" s="16" t="s">
        <v>13145</v>
      </c>
      <c r="B87" s="16" t="s">
        <v>13146</v>
      </c>
      <c r="C87" s="16" t="s">
        <v>13147</v>
      </c>
      <c r="D87" s="16" t="s">
        <v>12717</v>
      </c>
      <c r="E87" s="16" t="s">
        <v>13148</v>
      </c>
      <c r="F87" s="16" t="s">
        <v>12586</v>
      </c>
      <c r="G87" s="16" t="s">
        <v>12587</v>
      </c>
      <c r="H87" s="16" t="s">
        <v>12719</v>
      </c>
      <c r="I87" s="16" t="s">
        <v>13149</v>
      </c>
      <c r="J87" s="16" t="s">
        <v>13150</v>
      </c>
      <c r="K87" s="16" t="s">
        <v>13151</v>
      </c>
      <c r="L87" s="16"/>
    </row>
    <row r="88">
      <c r="A88" s="16" t="s">
        <v>13152</v>
      </c>
      <c r="B88" s="16" t="s">
        <v>13153</v>
      </c>
      <c r="C88" s="16" t="s">
        <v>13154</v>
      </c>
      <c r="D88" s="16" t="s">
        <v>12717</v>
      </c>
      <c r="E88" s="16" t="s">
        <v>13155</v>
      </c>
      <c r="F88" s="16" t="s">
        <v>12586</v>
      </c>
      <c r="G88" s="16" t="s">
        <v>12587</v>
      </c>
      <c r="H88" s="16" t="s">
        <v>12719</v>
      </c>
      <c r="I88" s="16" t="s">
        <v>13156</v>
      </c>
      <c r="J88" s="16" t="s">
        <v>13157</v>
      </c>
      <c r="K88" s="16" t="s">
        <v>13158</v>
      </c>
      <c r="L88" s="16"/>
    </row>
    <row r="89">
      <c r="A89" s="16" t="s">
        <v>13159</v>
      </c>
      <c r="B89" s="16" t="s">
        <v>13160</v>
      </c>
      <c r="C89" s="16" t="s">
        <v>13161</v>
      </c>
      <c r="D89" s="16" t="s">
        <v>12658</v>
      </c>
      <c r="E89" s="16" t="s">
        <v>13162</v>
      </c>
      <c r="F89" s="16" t="s">
        <v>13163</v>
      </c>
      <c r="G89" s="16" t="s">
        <v>13164</v>
      </c>
      <c r="H89" s="16" t="s">
        <v>13165</v>
      </c>
      <c r="I89" s="16" t="s">
        <v>13166</v>
      </c>
      <c r="J89" s="16" t="s">
        <v>13167</v>
      </c>
      <c r="K89" s="16" t="s">
        <v>13168</v>
      </c>
      <c r="L89" s="16"/>
    </row>
    <row r="90">
      <c r="A90" s="16" t="s">
        <v>13169</v>
      </c>
      <c r="B90" s="16" t="s">
        <v>13170</v>
      </c>
      <c r="C90" s="16" t="s">
        <v>13171</v>
      </c>
      <c r="D90" s="16" t="s">
        <v>12717</v>
      </c>
      <c r="E90" s="16" t="s">
        <v>13172</v>
      </c>
      <c r="F90" s="16" t="s">
        <v>12586</v>
      </c>
      <c r="G90" s="16" t="s">
        <v>12587</v>
      </c>
      <c r="H90" s="16" t="s">
        <v>12719</v>
      </c>
      <c r="I90" s="16" t="s">
        <v>13173</v>
      </c>
      <c r="J90" s="16" t="s">
        <v>13174</v>
      </c>
      <c r="K90" s="16" t="s">
        <v>13175</v>
      </c>
      <c r="L90" s="16"/>
    </row>
    <row r="91">
      <c r="A91" s="16" t="s">
        <v>13176</v>
      </c>
      <c r="B91" s="16" t="s">
        <v>13177</v>
      </c>
      <c r="C91" s="16" t="s">
        <v>13178</v>
      </c>
      <c r="D91" s="16" t="s">
        <v>12658</v>
      </c>
      <c r="E91" s="16" t="s">
        <v>13179</v>
      </c>
      <c r="F91" s="16" t="s">
        <v>12660</v>
      </c>
      <c r="G91" s="16" t="s">
        <v>12661</v>
      </c>
      <c r="H91" s="16" t="s">
        <v>12662</v>
      </c>
      <c r="I91" s="16" t="s">
        <v>12663</v>
      </c>
      <c r="J91" s="16" t="s">
        <v>13180</v>
      </c>
      <c r="K91" s="16" t="s">
        <v>13181</v>
      </c>
      <c r="L91" s="16"/>
    </row>
    <row r="92">
      <c r="A92" s="16" t="s">
        <v>13182</v>
      </c>
      <c r="B92" s="16" t="s">
        <v>13183</v>
      </c>
      <c r="C92" s="16" t="s">
        <v>13184</v>
      </c>
      <c r="D92" s="16" t="s">
        <v>12658</v>
      </c>
      <c r="E92" s="16" t="s">
        <v>13185</v>
      </c>
      <c r="F92" s="16" t="s">
        <v>12660</v>
      </c>
      <c r="G92" s="16" t="s">
        <v>12661</v>
      </c>
      <c r="H92" s="16" t="s">
        <v>12856</v>
      </c>
      <c r="I92" s="16" t="s">
        <v>12857</v>
      </c>
      <c r="J92" s="16" t="s">
        <v>13186</v>
      </c>
      <c r="K92" s="16" t="s">
        <v>13187</v>
      </c>
      <c r="L92" s="16"/>
    </row>
    <row r="93">
      <c r="A93" s="16" t="s">
        <v>13188</v>
      </c>
      <c r="B93" s="16" t="s">
        <v>13189</v>
      </c>
      <c r="C93" s="16" t="s">
        <v>13190</v>
      </c>
      <c r="D93" s="16" t="s">
        <v>12717</v>
      </c>
      <c r="E93" s="16" t="s">
        <v>13191</v>
      </c>
      <c r="F93" s="16" t="s">
        <v>12586</v>
      </c>
      <c r="G93" s="16" t="s">
        <v>12587</v>
      </c>
      <c r="H93" s="16" t="s">
        <v>12748</v>
      </c>
      <c r="I93" s="16" t="s">
        <v>13192</v>
      </c>
      <c r="J93" s="16" t="s">
        <v>13193</v>
      </c>
      <c r="K93" s="16" t="s">
        <v>13194</v>
      </c>
      <c r="L93" s="16"/>
    </row>
    <row r="94">
      <c r="A94" s="16" t="s">
        <v>13195</v>
      </c>
      <c r="B94" s="16" t="s">
        <v>13196</v>
      </c>
      <c r="C94" s="16" t="s">
        <v>13197</v>
      </c>
      <c r="D94" s="16" t="s">
        <v>12658</v>
      </c>
      <c r="E94" s="16" t="s">
        <v>13198</v>
      </c>
      <c r="F94" s="16" t="s">
        <v>12586</v>
      </c>
      <c r="G94" s="16" t="s">
        <v>12587</v>
      </c>
      <c r="H94" s="16" t="s">
        <v>13199</v>
      </c>
      <c r="I94" s="16" t="s">
        <v>13200</v>
      </c>
      <c r="J94" s="16" t="s">
        <v>13201</v>
      </c>
      <c r="K94" s="16" t="s">
        <v>13202</v>
      </c>
      <c r="L94" s="16"/>
    </row>
    <row r="95">
      <c r="A95" s="16" t="s">
        <v>13203</v>
      </c>
      <c r="B95" s="16" t="s">
        <v>13204</v>
      </c>
      <c r="C95" s="16" t="s">
        <v>13205</v>
      </c>
      <c r="D95" s="16" t="s">
        <v>12658</v>
      </c>
      <c r="E95" s="16" t="s">
        <v>13206</v>
      </c>
      <c r="F95" s="16" t="s">
        <v>12586</v>
      </c>
      <c r="G95" s="16" t="s">
        <v>13207</v>
      </c>
      <c r="H95" s="16" t="s">
        <v>13208</v>
      </c>
      <c r="I95" s="16" t="s">
        <v>13209</v>
      </c>
      <c r="J95" s="16" t="s">
        <v>13210</v>
      </c>
      <c r="K95" s="16" t="s">
        <v>13211</v>
      </c>
      <c r="L95" s="16"/>
    </row>
    <row r="96">
      <c r="A96" s="16" t="s">
        <v>13212</v>
      </c>
      <c r="B96" s="16" t="s">
        <v>13213</v>
      </c>
      <c r="C96" s="16"/>
      <c r="D96" s="16" t="s">
        <v>12717</v>
      </c>
      <c r="E96" s="16" t="s">
        <v>13214</v>
      </c>
      <c r="F96" s="16" t="s">
        <v>12586</v>
      </c>
      <c r="G96" s="16" t="s">
        <v>12587</v>
      </c>
      <c r="H96" s="16" t="s">
        <v>12588</v>
      </c>
      <c r="I96" s="16" t="s">
        <v>13215</v>
      </c>
      <c r="J96" s="16" t="s">
        <v>13216</v>
      </c>
      <c r="K96" s="16" t="s">
        <v>13217</v>
      </c>
      <c r="L96" s="16"/>
    </row>
    <row r="97">
      <c r="A97" s="16" t="s">
        <v>274</v>
      </c>
      <c r="B97" s="16" t="s">
        <v>4012</v>
      </c>
      <c r="C97" s="16" t="s">
        <v>4024</v>
      </c>
      <c r="D97" s="16" t="s">
        <v>3</v>
      </c>
      <c r="E97" s="16" t="s">
        <v>4026</v>
      </c>
      <c r="F97" s="16" t="s">
        <v>12586</v>
      </c>
      <c r="G97" s="16" t="s">
        <v>12587</v>
      </c>
      <c r="H97" s="16" t="s">
        <v>12588</v>
      </c>
      <c r="I97" s="16" t="s">
        <v>12589</v>
      </c>
      <c r="J97" s="16" t="s">
        <v>13218</v>
      </c>
      <c r="K97" s="16" t="s">
        <v>2192</v>
      </c>
      <c r="L97" s="16"/>
    </row>
    <row r="98">
      <c r="A98" s="16" t="s">
        <v>469</v>
      </c>
      <c r="B98" s="16" t="s">
        <v>5515</v>
      </c>
      <c r="C98" s="16" t="s">
        <v>5529</v>
      </c>
      <c r="D98" s="16" t="s">
        <v>3</v>
      </c>
      <c r="E98" s="16" t="s">
        <v>5531</v>
      </c>
      <c r="F98" s="16" t="s">
        <v>12586</v>
      </c>
      <c r="G98" s="16" t="s">
        <v>12587</v>
      </c>
      <c r="H98" s="16" t="s">
        <v>12588</v>
      </c>
      <c r="I98" s="16" t="s">
        <v>12589</v>
      </c>
      <c r="J98" s="16" t="s">
        <v>13218</v>
      </c>
      <c r="K98" s="16" t="s">
        <v>2429</v>
      </c>
      <c r="L98" s="16"/>
    </row>
    <row r="99">
      <c r="A99" s="16" t="s">
        <v>207</v>
      </c>
      <c r="B99" s="16" t="s">
        <v>3639</v>
      </c>
      <c r="C99" s="16" t="s">
        <v>3655</v>
      </c>
      <c r="D99" s="16" t="s">
        <v>3</v>
      </c>
      <c r="E99" s="16" t="s">
        <v>3660</v>
      </c>
      <c r="F99" s="16" t="s">
        <v>12586</v>
      </c>
      <c r="G99" s="16" t="s">
        <v>12587</v>
      </c>
      <c r="H99" s="16" t="s">
        <v>12588</v>
      </c>
      <c r="I99" s="16" t="s">
        <v>12589</v>
      </c>
      <c r="J99" s="16" t="s">
        <v>12604</v>
      </c>
      <c r="K99" s="16" t="s">
        <v>2196</v>
      </c>
      <c r="L99" s="16"/>
    </row>
    <row r="100">
      <c r="A100" s="16" t="s">
        <v>13219</v>
      </c>
      <c r="B100" s="16" t="s">
        <v>13220</v>
      </c>
      <c r="C100" s="16"/>
      <c r="D100" s="16" t="s">
        <v>12658</v>
      </c>
      <c r="E100" s="16" t="s">
        <v>13221</v>
      </c>
      <c r="F100" s="16" t="s">
        <v>12660</v>
      </c>
      <c r="G100" s="16" t="s">
        <v>12661</v>
      </c>
      <c r="H100" s="16" t="s">
        <v>12662</v>
      </c>
      <c r="I100" s="16" t="s">
        <v>13222</v>
      </c>
      <c r="J100" s="16" t="s">
        <v>13223</v>
      </c>
      <c r="K100" s="16" t="s">
        <v>13224</v>
      </c>
      <c r="L100" s="16"/>
    </row>
    <row r="101">
      <c r="A101" s="16" t="s">
        <v>13225</v>
      </c>
      <c r="B101" s="16" t="s">
        <v>13226</v>
      </c>
      <c r="C101" s="16" t="s">
        <v>13227</v>
      </c>
      <c r="D101" s="16" t="s">
        <v>12717</v>
      </c>
      <c r="E101" s="16" t="s">
        <v>13228</v>
      </c>
      <c r="F101" s="16" t="s">
        <v>12586</v>
      </c>
      <c r="G101" s="16" t="s">
        <v>12587</v>
      </c>
      <c r="H101" s="16" t="s">
        <v>12748</v>
      </c>
      <c r="I101" s="16" t="s">
        <v>13229</v>
      </c>
      <c r="J101" s="16" t="s">
        <v>13230</v>
      </c>
      <c r="K101" s="16" t="s">
        <v>13231</v>
      </c>
      <c r="L101" s="16"/>
    </row>
    <row r="102">
      <c r="A102" s="16" t="s">
        <v>540</v>
      </c>
      <c r="B102" s="16"/>
      <c r="C102" s="16" t="s">
        <v>4954</v>
      </c>
      <c r="D102" s="16" t="s">
        <v>3</v>
      </c>
      <c r="E102" s="16" t="s">
        <v>4956</v>
      </c>
      <c r="F102" s="16" t="s">
        <v>12586</v>
      </c>
      <c r="G102" s="16" t="s">
        <v>12587</v>
      </c>
      <c r="H102" s="16" t="s">
        <v>12588</v>
      </c>
      <c r="I102" s="16" t="s">
        <v>12589</v>
      </c>
      <c r="J102" s="16" t="s">
        <v>12623</v>
      </c>
      <c r="K102" s="16" t="s">
        <v>2944</v>
      </c>
      <c r="L102" s="16"/>
    </row>
    <row r="103">
      <c r="A103" s="16" t="s">
        <v>805</v>
      </c>
      <c r="B103" s="16" t="s">
        <v>6100</v>
      </c>
      <c r="C103" s="16" t="s">
        <v>6111</v>
      </c>
      <c r="D103" s="16" t="s">
        <v>3</v>
      </c>
      <c r="E103" s="16" t="s">
        <v>6113</v>
      </c>
      <c r="F103" s="16" t="s">
        <v>12586</v>
      </c>
      <c r="G103" s="16" t="s">
        <v>12587</v>
      </c>
      <c r="H103" s="16" t="s">
        <v>12588</v>
      </c>
      <c r="I103" s="16" t="s">
        <v>12589</v>
      </c>
      <c r="J103" s="16" t="s">
        <v>12623</v>
      </c>
      <c r="K103" s="16" t="s">
        <v>2944</v>
      </c>
      <c r="L103" s="16"/>
    </row>
    <row r="104">
      <c r="A104" s="16" t="s">
        <v>383</v>
      </c>
      <c r="B104" s="16" t="s">
        <v>4446</v>
      </c>
      <c r="C104" s="16" t="s">
        <v>4457</v>
      </c>
      <c r="D104" s="16" t="s">
        <v>3</v>
      </c>
      <c r="E104" s="16" t="s">
        <v>4459</v>
      </c>
      <c r="F104" s="16" t="s">
        <v>12586</v>
      </c>
      <c r="G104" s="16" t="s">
        <v>12587</v>
      </c>
      <c r="H104" s="16" t="s">
        <v>12588</v>
      </c>
      <c r="I104" s="16" t="s">
        <v>12589</v>
      </c>
      <c r="J104" s="16" t="s">
        <v>12611</v>
      </c>
      <c r="K104" s="16" t="s">
        <v>2237</v>
      </c>
      <c r="L104" s="16"/>
    </row>
    <row r="105">
      <c r="A105" s="16" t="s">
        <v>401</v>
      </c>
      <c r="B105" s="16" t="s">
        <v>4549</v>
      </c>
      <c r="C105" s="16" t="s">
        <v>4558</v>
      </c>
      <c r="D105" s="16" t="s">
        <v>3</v>
      </c>
      <c r="E105" s="16" t="s">
        <v>4561</v>
      </c>
      <c r="F105" s="16" t="s">
        <v>12586</v>
      </c>
      <c r="G105" s="16" t="s">
        <v>12587</v>
      </c>
      <c r="H105" s="16" t="s">
        <v>12588</v>
      </c>
      <c r="I105" s="16" t="s">
        <v>12589</v>
      </c>
      <c r="J105" s="16" t="s">
        <v>12611</v>
      </c>
      <c r="K105" s="16" t="s">
        <v>2237</v>
      </c>
      <c r="L105" s="16"/>
    </row>
    <row r="106">
      <c r="A106" s="16" t="s">
        <v>735</v>
      </c>
      <c r="B106" s="16" t="s">
        <v>6563</v>
      </c>
      <c r="C106" s="16"/>
      <c r="D106" s="16" t="s">
        <v>3</v>
      </c>
      <c r="E106" s="16" t="s">
        <v>6575</v>
      </c>
      <c r="F106" s="16" t="s">
        <v>12586</v>
      </c>
      <c r="G106" s="16" t="s">
        <v>12587</v>
      </c>
      <c r="H106" s="16" t="s">
        <v>12588</v>
      </c>
      <c r="I106" s="16" t="s">
        <v>12589</v>
      </c>
      <c r="J106" s="16" t="s">
        <v>12611</v>
      </c>
      <c r="K106" s="16" t="s">
        <v>2237</v>
      </c>
      <c r="L106" s="16"/>
    </row>
    <row r="107">
      <c r="A107" s="16" t="s">
        <v>455</v>
      </c>
      <c r="B107" s="16" t="s">
        <v>6612</v>
      </c>
      <c r="C107" s="16" t="s">
        <v>6619</v>
      </c>
      <c r="D107" s="16" t="s">
        <v>3</v>
      </c>
      <c r="E107" s="16" t="s">
        <v>6621</v>
      </c>
      <c r="F107" s="16" t="s">
        <v>12586</v>
      </c>
      <c r="G107" s="16" t="s">
        <v>12587</v>
      </c>
      <c r="H107" s="16" t="s">
        <v>12588</v>
      </c>
      <c r="I107" s="16" t="s">
        <v>12589</v>
      </c>
      <c r="J107" s="16" t="s">
        <v>12611</v>
      </c>
      <c r="K107" s="16" t="s">
        <v>2237</v>
      </c>
      <c r="L107" s="16"/>
    </row>
    <row r="108">
      <c r="A108" s="16" t="s">
        <v>720</v>
      </c>
      <c r="B108" s="16" t="s">
        <v>6633</v>
      </c>
      <c r="C108" s="16" t="s">
        <v>6639</v>
      </c>
      <c r="D108" s="16" t="s">
        <v>3</v>
      </c>
      <c r="E108" s="16" t="s">
        <v>6641</v>
      </c>
      <c r="F108" s="16" t="s">
        <v>12586</v>
      </c>
      <c r="G108" s="16" t="s">
        <v>12587</v>
      </c>
      <c r="H108" s="16" t="s">
        <v>12588</v>
      </c>
      <c r="I108" s="16" t="s">
        <v>12589</v>
      </c>
      <c r="J108" s="16" t="s">
        <v>12611</v>
      </c>
      <c r="K108" s="16" t="s">
        <v>2237</v>
      </c>
      <c r="L108" s="16"/>
    </row>
    <row r="109">
      <c r="A109" s="16" t="s">
        <v>13232</v>
      </c>
      <c r="B109" s="16" t="s">
        <v>13233</v>
      </c>
      <c r="C109" s="16" t="s">
        <v>13234</v>
      </c>
      <c r="D109" s="16" t="s">
        <v>12658</v>
      </c>
      <c r="E109" s="16" t="s">
        <v>13235</v>
      </c>
      <c r="F109" s="16" t="s">
        <v>12586</v>
      </c>
      <c r="G109" s="16" t="s">
        <v>12700</v>
      </c>
      <c r="H109" s="16" t="s">
        <v>12710</v>
      </c>
      <c r="I109" s="16" t="s">
        <v>13236</v>
      </c>
      <c r="J109" s="16" t="s">
        <v>13237</v>
      </c>
      <c r="K109" s="16" t="s">
        <v>13238</v>
      </c>
      <c r="L109" s="16"/>
    </row>
    <row r="110">
      <c r="A110" s="16" t="s">
        <v>13239</v>
      </c>
      <c r="B110" s="16" t="s">
        <v>13240</v>
      </c>
      <c r="C110" s="16" t="s">
        <v>13241</v>
      </c>
      <c r="D110" s="16" t="s">
        <v>12658</v>
      </c>
      <c r="E110" s="16" t="s">
        <v>13242</v>
      </c>
      <c r="F110" s="16" t="s">
        <v>12660</v>
      </c>
      <c r="G110" s="16" t="s">
        <v>12661</v>
      </c>
      <c r="H110" s="16" t="s">
        <v>12662</v>
      </c>
      <c r="I110" s="16" t="s">
        <v>12795</v>
      </c>
      <c r="J110" s="16" t="s">
        <v>13243</v>
      </c>
      <c r="K110" s="16" t="s">
        <v>13244</v>
      </c>
      <c r="L110" s="16"/>
    </row>
    <row r="111">
      <c r="A111" s="16" t="s">
        <v>13245</v>
      </c>
      <c r="B111" s="16" t="s">
        <v>13246</v>
      </c>
      <c r="C111" s="16" t="s">
        <v>13247</v>
      </c>
      <c r="D111" s="16" t="s">
        <v>12658</v>
      </c>
      <c r="E111" s="16" t="s">
        <v>13248</v>
      </c>
      <c r="F111" s="16" t="s">
        <v>12660</v>
      </c>
      <c r="G111" s="16" t="s">
        <v>12661</v>
      </c>
      <c r="H111" s="16" t="s">
        <v>12662</v>
      </c>
      <c r="I111" s="16" t="s">
        <v>13249</v>
      </c>
      <c r="J111" s="16" t="s">
        <v>13250</v>
      </c>
      <c r="K111" s="16" t="s">
        <v>13251</v>
      </c>
      <c r="L111" s="16"/>
    </row>
    <row r="112">
      <c r="A112" s="16" t="s">
        <v>13252</v>
      </c>
      <c r="B112" s="16" t="s">
        <v>13253</v>
      </c>
      <c r="C112" s="16" t="s">
        <v>13254</v>
      </c>
      <c r="D112" s="16" t="s">
        <v>12658</v>
      </c>
      <c r="E112" s="16" t="s">
        <v>13255</v>
      </c>
      <c r="F112" s="16" t="s">
        <v>12660</v>
      </c>
      <c r="G112" s="16" t="s">
        <v>12661</v>
      </c>
      <c r="H112" s="16" t="s">
        <v>12662</v>
      </c>
      <c r="I112" s="16" t="s">
        <v>12795</v>
      </c>
      <c r="J112" s="16" t="s">
        <v>13256</v>
      </c>
      <c r="K112" s="16" t="s">
        <v>13257</v>
      </c>
      <c r="L112" s="16"/>
    </row>
    <row r="113">
      <c r="A113" s="16" t="s">
        <v>594</v>
      </c>
      <c r="B113" s="16" t="s">
        <v>5225</v>
      </c>
      <c r="C113" s="16" t="s">
        <v>5243</v>
      </c>
      <c r="D113" s="16" t="s">
        <v>3</v>
      </c>
      <c r="E113" s="16" t="s">
        <v>5245</v>
      </c>
      <c r="F113" s="16" t="s">
        <v>12586</v>
      </c>
      <c r="G113" s="16" t="s">
        <v>12587</v>
      </c>
      <c r="H113" s="16" t="s">
        <v>12588</v>
      </c>
      <c r="I113" s="16" t="s">
        <v>12589</v>
      </c>
      <c r="J113" s="16" t="s">
        <v>12630</v>
      </c>
      <c r="K113" s="16" t="s">
        <v>2150</v>
      </c>
      <c r="L113" s="16"/>
    </row>
    <row r="114">
      <c r="A114" s="16" t="s">
        <v>795</v>
      </c>
      <c r="B114" s="16" t="s">
        <v>6134</v>
      </c>
      <c r="C114" s="16" t="s">
        <v>6139</v>
      </c>
      <c r="D114" s="16" t="s">
        <v>3</v>
      </c>
      <c r="E114" s="16" t="s">
        <v>6141</v>
      </c>
      <c r="F114" s="16" t="s">
        <v>12586</v>
      </c>
      <c r="G114" s="16" t="s">
        <v>12587</v>
      </c>
      <c r="H114" s="16" t="s">
        <v>12588</v>
      </c>
      <c r="I114" s="16" t="s">
        <v>12589</v>
      </c>
      <c r="J114" s="16" t="s">
        <v>12630</v>
      </c>
      <c r="K114" s="16" t="s">
        <v>2150</v>
      </c>
      <c r="L114" s="16"/>
    </row>
    <row r="115">
      <c r="A115" s="16" t="s">
        <v>13258</v>
      </c>
      <c r="B115" s="16" t="s">
        <v>13259</v>
      </c>
      <c r="C115" s="16" t="s">
        <v>13260</v>
      </c>
      <c r="D115" s="16" t="s">
        <v>12658</v>
      </c>
      <c r="E115" s="16" t="s">
        <v>13261</v>
      </c>
      <c r="F115" s="16" t="s">
        <v>12586</v>
      </c>
      <c r="G115" s="16" t="s">
        <v>12700</v>
      </c>
      <c r="H115" s="16" t="s">
        <v>12823</v>
      </c>
      <c r="I115" s="16" t="s">
        <v>12824</v>
      </c>
      <c r="J115" s="16" t="s">
        <v>13262</v>
      </c>
      <c r="K115" s="16" t="s">
        <v>13263</v>
      </c>
      <c r="L115" s="16"/>
    </row>
    <row r="116">
      <c r="A116" s="16" t="s">
        <v>13264</v>
      </c>
      <c r="B116" s="16" t="s">
        <v>13265</v>
      </c>
      <c r="C116" s="16" t="s">
        <v>13266</v>
      </c>
      <c r="D116" s="16" t="s">
        <v>12658</v>
      </c>
      <c r="E116" s="16" t="s">
        <v>13267</v>
      </c>
      <c r="F116" s="16" t="s">
        <v>12586</v>
      </c>
      <c r="G116" s="16" t="s">
        <v>12700</v>
      </c>
      <c r="H116" s="16" t="s">
        <v>12823</v>
      </c>
      <c r="I116" s="16" t="s">
        <v>12824</v>
      </c>
      <c r="J116" s="16" t="s">
        <v>13262</v>
      </c>
      <c r="K116" s="16" t="s">
        <v>13263</v>
      </c>
      <c r="L116" s="16"/>
    </row>
    <row r="117">
      <c r="A117" s="16" t="s">
        <v>13268</v>
      </c>
      <c r="B117" s="16" t="s">
        <v>13269</v>
      </c>
      <c r="C117" s="16" t="s">
        <v>13270</v>
      </c>
      <c r="D117" s="16" t="s">
        <v>12658</v>
      </c>
      <c r="E117" s="16" t="s">
        <v>13271</v>
      </c>
      <c r="F117" s="16" t="s">
        <v>12660</v>
      </c>
      <c r="G117" s="16" t="s">
        <v>12661</v>
      </c>
      <c r="H117" s="16" t="s">
        <v>12662</v>
      </c>
      <c r="I117" s="16" t="s">
        <v>12663</v>
      </c>
      <c r="J117" s="16" t="s">
        <v>13272</v>
      </c>
      <c r="K117" s="16" t="s">
        <v>13273</v>
      </c>
      <c r="L117" s="16"/>
    </row>
    <row r="118">
      <c r="A118" s="16" t="s">
        <v>13274</v>
      </c>
      <c r="B118" s="16" t="s">
        <v>13275</v>
      </c>
      <c r="C118" s="16" t="s">
        <v>13276</v>
      </c>
      <c r="D118" s="16" t="s">
        <v>12717</v>
      </c>
      <c r="E118" s="16" t="s">
        <v>13277</v>
      </c>
      <c r="F118" s="16" t="s">
        <v>12586</v>
      </c>
      <c r="G118" s="16" t="s">
        <v>12587</v>
      </c>
      <c r="H118" s="16" t="s">
        <v>12748</v>
      </c>
      <c r="I118" s="16" t="s">
        <v>13278</v>
      </c>
      <c r="J118" s="16" t="s">
        <v>13279</v>
      </c>
      <c r="K118" s="16" t="s">
        <v>13280</v>
      </c>
      <c r="L118" s="16"/>
    </row>
    <row r="119">
      <c r="A119" s="16" t="s">
        <v>13281</v>
      </c>
      <c r="B119" s="16" t="s">
        <v>13282</v>
      </c>
      <c r="C119" s="16" t="s">
        <v>13283</v>
      </c>
      <c r="D119" s="16" t="s">
        <v>12717</v>
      </c>
      <c r="E119" s="16" t="s">
        <v>13284</v>
      </c>
      <c r="F119" s="16" t="s">
        <v>12586</v>
      </c>
      <c r="G119" s="16" t="s">
        <v>12587</v>
      </c>
      <c r="H119" s="16" t="s">
        <v>12748</v>
      </c>
      <c r="I119" s="16" t="s">
        <v>13278</v>
      </c>
      <c r="J119" s="16" t="s">
        <v>13285</v>
      </c>
      <c r="K119" s="16" t="s">
        <v>13286</v>
      </c>
      <c r="L119" s="16"/>
    </row>
    <row r="120">
      <c r="A120" s="16" t="s">
        <v>13287</v>
      </c>
      <c r="B120" s="16" t="s">
        <v>13288</v>
      </c>
      <c r="C120" s="16" t="s">
        <v>13289</v>
      </c>
      <c r="D120" s="16" t="s">
        <v>12717</v>
      </c>
      <c r="E120" s="16" t="s">
        <v>13290</v>
      </c>
      <c r="F120" s="16" t="s">
        <v>12586</v>
      </c>
      <c r="G120" s="16" t="s">
        <v>12587</v>
      </c>
      <c r="H120" s="16" t="s">
        <v>12748</v>
      </c>
      <c r="I120" s="16" t="s">
        <v>12770</v>
      </c>
      <c r="J120" s="16" t="s">
        <v>13291</v>
      </c>
      <c r="K120" s="16" t="s">
        <v>13292</v>
      </c>
      <c r="L120" s="16"/>
    </row>
    <row r="121">
      <c r="A121" s="16" t="s">
        <v>610</v>
      </c>
      <c r="B121" s="16" t="s">
        <v>5342</v>
      </c>
      <c r="C121" s="16"/>
      <c r="D121" s="16" t="s">
        <v>3</v>
      </c>
      <c r="E121" s="16" t="s">
        <v>5352</v>
      </c>
      <c r="F121" s="16" t="s">
        <v>12586</v>
      </c>
      <c r="G121" s="16" t="s">
        <v>12587</v>
      </c>
      <c r="H121" s="16" t="s">
        <v>12588</v>
      </c>
      <c r="I121" s="16" t="s">
        <v>12589</v>
      </c>
      <c r="J121" s="16" t="s">
        <v>12631</v>
      </c>
      <c r="K121" s="16" t="s">
        <v>2658</v>
      </c>
      <c r="L121" s="16"/>
    </row>
    <row r="122">
      <c r="A122" s="16" t="s">
        <v>252</v>
      </c>
      <c r="B122" s="16" t="s">
        <v>4125</v>
      </c>
      <c r="C122" s="16" t="s">
        <v>4136</v>
      </c>
      <c r="D122" s="16" t="s">
        <v>3</v>
      </c>
      <c r="E122" s="16" t="s">
        <v>4138</v>
      </c>
      <c r="F122" s="16" t="s">
        <v>12586</v>
      </c>
      <c r="G122" s="16" t="s">
        <v>12587</v>
      </c>
      <c r="H122" s="16" t="s">
        <v>12588</v>
      </c>
      <c r="I122" s="16" t="s">
        <v>12589</v>
      </c>
      <c r="J122" s="16" t="s">
        <v>12616</v>
      </c>
      <c r="K122" s="16" t="s">
        <v>2218</v>
      </c>
      <c r="L122" s="16"/>
    </row>
    <row r="123">
      <c r="A123" s="16" t="s">
        <v>334</v>
      </c>
      <c r="B123" s="16" t="s">
        <v>4269</v>
      </c>
      <c r="C123" s="16" t="s">
        <v>4279</v>
      </c>
      <c r="D123" s="16" t="s">
        <v>3</v>
      </c>
      <c r="E123" s="16" t="s">
        <v>4281</v>
      </c>
      <c r="F123" s="16" t="s">
        <v>12586</v>
      </c>
      <c r="G123" s="16" t="s">
        <v>12587</v>
      </c>
      <c r="H123" s="16" t="s">
        <v>12588</v>
      </c>
      <c r="I123" s="16" t="s">
        <v>12589</v>
      </c>
      <c r="J123" s="16" t="s">
        <v>12616</v>
      </c>
      <c r="K123" s="16" t="s">
        <v>2218</v>
      </c>
      <c r="L123" s="16"/>
    </row>
    <row r="124">
      <c r="A124" s="16" t="s">
        <v>355</v>
      </c>
      <c r="B124" s="16" t="s">
        <v>4363</v>
      </c>
      <c r="C124" s="16" t="s">
        <v>4366</v>
      </c>
      <c r="D124" s="16" t="s">
        <v>3</v>
      </c>
      <c r="E124" s="16" t="s">
        <v>4368</v>
      </c>
      <c r="F124" s="16" t="s">
        <v>12586</v>
      </c>
      <c r="G124" s="16" t="s">
        <v>12587</v>
      </c>
      <c r="H124" s="16" t="s">
        <v>12588</v>
      </c>
      <c r="I124" s="16" t="s">
        <v>12589</v>
      </c>
      <c r="J124" s="16" t="s">
        <v>12616</v>
      </c>
      <c r="K124" s="16" t="s">
        <v>2218</v>
      </c>
      <c r="L124" s="16"/>
    </row>
    <row r="125">
      <c r="A125" s="16" t="s">
        <v>364</v>
      </c>
      <c r="B125" s="16" t="s">
        <v>4371</v>
      </c>
      <c r="C125" s="16" t="s">
        <v>4376</v>
      </c>
      <c r="D125" s="16" t="s">
        <v>3</v>
      </c>
      <c r="E125" s="16" t="s">
        <v>4378</v>
      </c>
      <c r="F125" s="16" t="s">
        <v>12586</v>
      </c>
      <c r="G125" s="16" t="s">
        <v>12587</v>
      </c>
      <c r="H125" s="16" t="s">
        <v>12588</v>
      </c>
      <c r="I125" s="16" t="s">
        <v>12589</v>
      </c>
      <c r="J125" s="16" t="s">
        <v>12616</v>
      </c>
      <c r="K125" s="16" t="s">
        <v>2218</v>
      </c>
      <c r="L125" s="16"/>
    </row>
    <row r="126">
      <c r="A126" s="16" t="s">
        <v>379</v>
      </c>
      <c r="B126" s="16" t="s">
        <v>4425</v>
      </c>
      <c r="C126" s="16" t="s">
        <v>4432</v>
      </c>
      <c r="D126" s="16" t="s">
        <v>3</v>
      </c>
      <c r="E126" s="16" t="s">
        <v>4436</v>
      </c>
      <c r="F126" s="16" t="s">
        <v>12586</v>
      </c>
      <c r="G126" s="16" t="s">
        <v>12587</v>
      </c>
      <c r="H126" s="16" t="s">
        <v>12588</v>
      </c>
      <c r="I126" s="16" t="s">
        <v>12589</v>
      </c>
      <c r="J126" s="16" t="s">
        <v>12616</v>
      </c>
      <c r="K126" s="16" t="s">
        <v>2218</v>
      </c>
      <c r="L126" s="16"/>
    </row>
    <row r="127">
      <c r="A127" s="16" t="s">
        <v>577</v>
      </c>
      <c r="B127" s="16" t="s">
        <v>5026</v>
      </c>
      <c r="C127" s="16" t="s">
        <v>5034</v>
      </c>
      <c r="D127" s="16" t="s">
        <v>3</v>
      </c>
      <c r="E127" s="16" t="s">
        <v>5035</v>
      </c>
      <c r="F127" s="16" t="s">
        <v>12586</v>
      </c>
      <c r="G127" s="16" t="s">
        <v>12587</v>
      </c>
      <c r="H127" s="16" t="s">
        <v>12588</v>
      </c>
      <c r="I127" s="16" t="s">
        <v>12589</v>
      </c>
      <c r="J127" s="16" t="s">
        <v>12616</v>
      </c>
      <c r="K127" s="16" t="s">
        <v>2218</v>
      </c>
      <c r="L127" s="16"/>
    </row>
    <row r="128">
      <c r="A128" s="16" t="s">
        <v>587</v>
      </c>
      <c r="B128" s="16" t="s">
        <v>5121</v>
      </c>
      <c r="C128" s="16" t="s">
        <v>5129</v>
      </c>
      <c r="D128" s="16" t="s">
        <v>3</v>
      </c>
      <c r="E128" s="16" t="s">
        <v>5132</v>
      </c>
      <c r="F128" s="16" t="s">
        <v>12586</v>
      </c>
      <c r="G128" s="16" t="s">
        <v>12587</v>
      </c>
      <c r="H128" s="16" t="s">
        <v>12588</v>
      </c>
      <c r="I128" s="16" t="s">
        <v>12589</v>
      </c>
      <c r="J128" s="16" t="s">
        <v>12616</v>
      </c>
      <c r="K128" s="16" t="s">
        <v>2218</v>
      </c>
      <c r="L128" s="16"/>
    </row>
    <row r="129">
      <c r="A129" s="16" t="s">
        <v>626</v>
      </c>
      <c r="B129" s="16" t="s">
        <v>5208</v>
      </c>
      <c r="C129" s="16" t="s">
        <v>5218</v>
      </c>
      <c r="D129" s="16" t="s">
        <v>3</v>
      </c>
      <c r="E129" s="16" t="s">
        <v>5219</v>
      </c>
      <c r="F129" s="16" t="s">
        <v>12586</v>
      </c>
      <c r="G129" s="16" t="s">
        <v>12587</v>
      </c>
      <c r="H129" s="16" t="s">
        <v>12588</v>
      </c>
      <c r="I129" s="16" t="s">
        <v>12589</v>
      </c>
      <c r="J129" s="16" t="s">
        <v>12616</v>
      </c>
      <c r="K129" s="16" t="s">
        <v>2218</v>
      </c>
      <c r="L129" s="16"/>
    </row>
    <row r="130">
      <c r="A130" s="16" t="s">
        <v>618</v>
      </c>
      <c r="B130" s="16" t="s">
        <v>5265</v>
      </c>
      <c r="C130" s="16" t="s">
        <v>5276</v>
      </c>
      <c r="D130" s="16" t="s">
        <v>3</v>
      </c>
      <c r="E130" s="16" t="s">
        <v>5278</v>
      </c>
      <c r="F130" s="16" t="s">
        <v>12586</v>
      </c>
      <c r="G130" s="16" t="s">
        <v>12587</v>
      </c>
      <c r="H130" s="16" t="s">
        <v>12588</v>
      </c>
      <c r="I130" s="16" t="s">
        <v>12589</v>
      </c>
      <c r="J130" s="16" t="s">
        <v>12616</v>
      </c>
      <c r="K130" s="16" t="s">
        <v>2218</v>
      </c>
      <c r="L130" s="16"/>
    </row>
    <row r="131">
      <c r="A131" s="16" t="s">
        <v>612</v>
      </c>
      <c r="B131" s="16" t="s">
        <v>5310</v>
      </c>
      <c r="C131" s="16" t="s">
        <v>5317</v>
      </c>
      <c r="D131" s="16" t="s">
        <v>3</v>
      </c>
      <c r="E131" s="16" t="s">
        <v>5319</v>
      </c>
      <c r="F131" s="16" t="s">
        <v>12586</v>
      </c>
      <c r="G131" s="16" t="s">
        <v>12587</v>
      </c>
      <c r="H131" s="16" t="s">
        <v>12588</v>
      </c>
      <c r="I131" s="16" t="s">
        <v>12589</v>
      </c>
      <c r="J131" s="16" t="s">
        <v>12616</v>
      </c>
      <c r="K131" s="16" t="s">
        <v>2218</v>
      </c>
      <c r="L131" s="16"/>
    </row>
    <row r="132">
      <c r="A132" s="16" t="s">
        <v>884</v>
      </c>
      <c r="B132" s="16" t="s">
        <v>5364</v>
      </c>
      <c r="C132" s="16" t="s">
        <v>5373</v>
      </c>
      <c r="D132" s="16" t="s">
        <v>3</v>
      </c>
      <c r="E132" s="16" t="s">
        <v>5375</v>
      </c>
      <c r="F132" s="16" t="s">
        <v>12586</v>
      </c>
      <c r="G132" s="16" t="s">
        <v>12587</v>
      </c>
      <c r="H132" s="16" t="s">
        <v>12588</v>
      </c>
      <c r="I132" s="16" t="s">
        <v>12589</v>
      </c>
      <c r="J132" s="16" t="s">
        <v>12616</v>
      </c>
      <c r="K132" s="16" t="s">
        <v>2218</v>
      </c>
      <c r="L132" s="16"/>
    </row>
    <row r="133">
      <c r="A133" s="16" t="s">
        <v>882</v>
      </c>
      <c r="B133" s="16" t="s">
        <v>5423</v>
      </c>
      <c r="C133" s="16" t="s">
        <v>5434</v>
      </c>
      <c r="D133" s="16" t="s">
        <v>3</v>
      </c>
      <c r="E133" s="16" t="s">
        <v>5436</v>
      </c>
      <c r="F133" s="16" t="s">
        <v>12586</v>
      </c>
      <c r="G133" s="16" t="s">
        <v>12587</v>
      </c>
      <c r="H133" s="16" t="s">
        <v>12588</v>
      </c>
      <c r="I133" s="16" t="s">
        <v>12589</v>
      </c>
      <c r="J133" s="16" t="s">
        <v>12616</v>
      </c>
      <c r="K133" s="16" t="s">
        <v>2218</v>
      </c>
      <c r="L133" s="16"/>
    </row>
    <row r="134">
      <c r="A134" s="16" t="s">
        <v>859</v>
      </c>
      <c r="B134" s="16" t="s">
        <v>5606</v>
      </c>
      <c r="C134" s="16" t="s">
        <v>5613</v>
      </c>
      <c r="D134" s="16" t="s">
        <v>3</v>
      </c>
      <c r="E134" s="16" t="s">
        <v>5615</v>
      </c>
      <c r="F134" s="16" t="s">
        <v>12586</v>
      </c>
      <c r="G134" s="16" t="s">
        <v>12587</v>
      </c>
      <c r="H134" s="16" t="s">
        <v>12588</v>
      </c>
      <c r="I134" s="16" t="s">
        <v>12589</v>
      </c>
      <c r="J134" s="16" t="s">
        <v>12616</v>
      </c>
      <c r="K134" s="16" t="s">
        <v>2218</v>
      </c>
      <c r="L134" s="16"/>
    </row>
    <row r="135">
      <c r="A135" s="16" t="s">
        <v>847</v>
      </c>
      <c r="B135" s="16" t="s">
        <v>5749</v>
      </c>
      <c r="C135" s="16" t="s">
        <v>5762</v>
      </c>
      <c r="D135" s="16" t="s">
        <v>3</v>
      </c>
      <c r="E135" s="16" t="s">
        <v>5766</v>
      </c>
      <c r="F135" s="16" t="s">
        <v>12586</v>
      </c>
      <c r="G135" s="16" t="s">
        <v>12587</v>
      </c>
      <c r="H135" s="16" t="s">
        <v>12588</v>
      </c>
      <c r="I135" s="16" t="s">
        <v>12589</v>
      </c>
      <c r="J135" s="16" t="s">
        <v>12616</v>
      </c>
      <c r="K135" s="16" t="s">
        <v>2218</v>
      </c>
      <c r="L135" s="16"/>
    </row>
    <row r="136">
      <c r="A136" s="16" t="s">
        <v>845</v>
      </c>
      <c r="B136" s="16" t="s">
        <v>5793</v>
      </c>
      <c r="C136" s="16" t="s">
        <v>5810</v>
      </c>
      <c r="D136" s="16" t="s">
        <v>3</v>
      </c>
      <c r="E136" s="16" t="s">
        <v>5812</v>
      </c>
      <c r="F136" s="16" t="s">
        <v>12586</v>
      </c>
      <c r="G136" s="16" t="s">
        <v>12587</v>
      </c>
      <c r="H136" s="16" t="s">
        <v>12588</v>
      </c>
      <c r="I136" s="16" t="s">
        <v>12589</v>
      </c>
      <c r="J136" s="16" t="s">
        <v>12616</v>
      </c>
      <c r="K136" s="16" t="s">
        <v>2218</v>
      </c>
      <c r="L136" s="16"/>
    </row>
    <row r="137">
      <c r="A137" s="16" t="s">
        <v>823</v>
      </c>
      <c r="B137" s="16" t="s">
        <v>5905</v>
      </c>
      <c r="C137" s="16" t="s">
        <v>5915</v>
      </c>
      <c r="D137" s="16" t="s">
        <v>3</v>
      </c>
      <c r="E137" s="16" t="s">
        <v>5917</v>
      </c>
      <c r="F137" s="16" t="s">
        <v>12586</v>
      </c>
      <c r="G137" s="16" t="s">
        <v>12587</v>
      </c>
      <c r="H137" s="16" t="s">
        <v>12588</v>
      </c>
      <c r="I137" s="16" t="s">
        <v>12589</v>
      </c>
      <c r="J137" s="16" t="s">
        <v>12616</v>
      </c>
      <c r="K137" s="16" t="s">
        <v>2218</v>
      </c>
      <c r="L137" s="16"/>
    </row>
    <row r="138">
      <c r="A138" s="16" t="s">
        <v>771</v>
      </c>
      <c r="B138" s="16" t="s">
        <v>6360</v>
      </c>
      <c r="C138" s="16" t="s">
        <v>6368</v>
      </c>
      <c r="D138" s="16" t="s">
        <v>3</v>
      </c>
      <c r="E138" s="16" t="s">
        <v>6370</v>
      </c>
      <c r="F138" s="16" t="s">
        <v>12586</v>
      </c>
      <c r="G138" s="16" t="s">
        <v>12587</v>
      </c>
      <c r="H138" s="16" t="s">
        <v>12588</v>
      </c>
      <c r="I138" s="16" t="s">
        <v>12589</v>
      </c>
      <c r="J138" s="16" t="s">
        <v>12616</v>
      </c>
      <c r="K138" s="16" t="s">
        <v>2218</v>
      </c>
      <c r="L138" s="16"/>
    </row>
    <row r="139">
      <c r="A139" s="16" t="s">
        <v>763</v>
      </c>
      <c r="B139" s="16" t="s">
        <v>6375</v>
      </c>
      <c r="C139" s="16" t="s">
        <v>6382</v>
      </c>
      <c r="D139" s="16" t="s">
        <v>3</v>
      </c>
      <c r="E139" s="16" t="s">
        <v>6384</v>
      </c>
      <c r="F139" s="16" t="s">
        <v>12586</v>
      </c>
      <c r="G139" s="16" t="s">
        <v>12587</v>
      </c>
      <c r="H139" s="16" t="s">
        <v>12588</v>
      </c>
      <c r="I139" s="16" t="s">
        <v>12589</v>
      </c>
      <c r="J139" s="16" t="s">
        <v>12616</v>
      </c>
      <c r="K139" s="16" t="s">
        <v>2218</v>
      </c>
      <c r="L139" s="16"/>
    </row>
    <row r="140">
      <c r="A140" s="16" t="s">
        <v>749</v>
      </c>
      <c r="B140" s="16" t="s">
        <v>6462</v>
      </c>
      <c r="C140" s="16" t="s">
        <v>6467</v>
      </c>
      <c r="D140" s="16" t="s">
        <v>3</v>
      </c>
      <c r="E140" s="16" t="s">
        <v>6468</v>
      </c>
      <c r="F140" s="16" t="s">
        <v>12586</v>
      </c>
      <c r="G140" s="16" t="s">
        <v>12587</v>
      </c>
      <c r="H140" s="16" t="s">
        <v>12588</v>
      </c>
      <c r="I140" s="16" t="s">
        <v>12589</v>
      </c>
      <c r="J140" s="16" t="s">
        <v>12616</v>
      </c>
      <c r="K140" s="16" t="s">
        <v>2218</v>
      </c>
      <c r="L140" s="16"/>
    </row>
    <row r="141">
      <c r="A141" s="16" t="s">
        <v>747</v>
      </c>
      <c r="B141" s="16" t="s">
        <v>6473</v>
      </c>
      <c r="C141" s="16" t="s">
        <v>6477</v>
      </c>
      <c r="D141" s="16" t="s">
        <v>3</v>
      </c>
      <c r="E141" s="16" t="s">
        <v>6478</v>
      </c>
      <c r="F141" s="16" t="s">
        <v>12586</v>
      </c>
      <c r="G141" s="16" t="s">
        <v>12587</v>
      </c>
      <c r="H141" s="16" t="s">
        <v>12588</v>
      </c>
      <c r="I141" s="16" t="s">
        <v>12589</v>
      </c>
      <c r="J141" s="16" t="s">
        <v>12616</v>
      </c>
      <c r="K141" s="16" t="s">
        <v>2218</v>
      </c>
      <c r="L141" s="16"/>
    </row>
    <row r="142">
      <c r="A142" s="16" t="s">
        <v>743</v>
      </c>
      <c r="B142" s="16" t="s">
        <v>6527</v>
      </c>
      <c r="C142" s="16" t="s">
        <v>6534</v>
      </c>
      <c r="D142" s="16" t="s">
        <v>3</v>
      </c>
      <c r="E142" s="16" t="s">
        <v>6536</v>
      </c>
      <c r="F142" s="16" t="s">
        <v>12586</v>
      </c>
      <c r="G142" s="16" t="s">
        <v>12587</v>
      </c>
      <c r="H142" s="16" t="s">
        <v>12588</v>
      </c>
      <c r="I142" s="16" t="s">
        <v>12589</v>
      </c>
      <c r="J142" s="16" t="s">
        <v>12616</v>
      </c>
      <c r="K142" s="16" t="s">
        <v>2218</v>
      </c>
      <c r="L142" s="16"/>
    </row>
    <row r="143">
      <c r="A143" s="16" t="s">
        <v>737</v>
      </c>
      <c r="B143" s="16" t="s">
        <v>6552</v>
      </c>
      <c r="C143" s="16" t="s">
        <v>6558</v>
      </c>
      <c r="D143" s="16" t="s">
        <v>3</v>
      </c>
      <c r="E143" s="16" t="s">
        <v>6560</v>
      </c>
      <c r="F143" s="16" t="s">
        <v>12586</v>
      </c>
      <c r="G143" s="16" t="s">
        <v>12587</v>
      </c>
      <c r="H143" s="16" t="s">
        <v>12588</v>
      </c>
      <c r="I143" s="16" t="s">
        <v>12589</v>
      </c>
      <c r="J143" s="16" t="s">
        <v>12616</v>
      </c>
      <c r="K143" s="16" t="s">
        <v>2218</v>
      </c>
      <c r="L143" s="16"/>
    </row>
    <row r="144">
      <c r="A144" s="16" t="s">
        <v>731</v>
      </c>
      <c r="B144" s="16" t="s">
        <v>6579</v>
      </c>
      <c r="C144" s="16" t="s">
        <v>6584</v>
      </c>
      <c r="D144" s="16" t="s">
        <v>3</v>
      </c>
      <c r="E144" s="16" t="s">
        <v>6586</v>
      </c>
      <c r="F144" s="16" t="s">
        <v>12586</v>
      </c>
      <c r="G144" s="16" t="s">
        <v>12587</v>
      </c>
      <c r="H144" s="16" t="s">
        <v>12588</v>
      </c>
      <c r="I144" s="16" t="s">
        <v>12589</v>
      </c>
      <c r="J144" s="16" t="s">
        <v>12616</v>
      </c>
      <c r="K144" s="16" t="s">
        <v>2218</v>
      </c>
      <c r="L144" s="16"/>
    </row>
    <row r="145">
      <c r="A145" s="16" t="s">
        <v>727</v>
      </c>
      <c r="B145" s="16" t="s">
        <v>6590</v>
      </c>
      <c r="C145" s="16" t="s">
        <v>6597</v>
      </c>
      <c r="D145" s="16" t="s">
        <v>3</v>
      </c>
      <c r="E145" s="16" t="s">
        <v>6599</v>
      </c>
      <c r="F145" s="16" t="s">
        <v>12586</v>
      </c>
      <c r="G145" s="16" t="s">
        <v>12587</v>
      </c>
      <c r="H145" s="16" t="s">
        <v>12588</v>
      </c>
      <c r="I145" s="16" t="s">
        <v>12589</v>
      </c>
      <c r="J145" s="16" t="s">
        <v>12616</v>
      </c>
      <c r="K145" s="16" t="s">
        <v>2218</v>
      </c>
      <c r="L145" s="16"/>
    </row>
    <row r="146">
      <c r="A146" s="16" t="s">
        <v>729</v>
      </c>
      <c r="B146" s="16" t="s">
        <v>6603</v>
      </c>
      <c r="C146" s="16" t="s">
        <v>6606</v>
      </c>
      <c r="D146" s="16" t="s">
        <v>3</v>
      </c>
      <c r="E146" s="16" t="s">
        <v>6608</v>
      </c>
      <c r="F146" s="16" t="s">
        <v>12586</v>
      </c>
      <c r="G146" s="16" t="s">
        <v>12587</v>
      </c>
      <c r="H146" s="16" t="s">
        <v>12588</v>
      </c>
      <c r="I146" s="16" t="s">
        <v>12589</v>
      </c>
      <c r="J146" s="16" t="s">
        <v>12616</v>
      </c>
      <c r="K146" s="16" t="s">
        <v>2218</v>
      </c>
      <c r="L146" s="16"/>
    </row>
    <row r="147">
      <c r="A147" s="16" t="s">
        <v>721</v>
      </c>
      <c r="B147" s="16" t="s">
        <v>6624</v>
      </c>
      <c r="C147" s="16" t="s">
        <v>6627</v>
      </c>
      <c r="D147" s="16" t="s">
        <v>3</v>
      </c>
      <c r="E147" s="16" t="s">
        <v>6629</v>
      </c>
      <c r="F147" s="16" t="s">
        <v>12586</v>
      </c>
      <c r="G147" s="16" t="s">
        <v>12587</v>
      </c>
      <c r="H147" s="16" t="s">
        <v>12588</v>
      </c>
      <c r="I147" s="16" t="s">
        <v>12589</v>
      </c>
      <c r="J147" s="16" t="s">
        <v>12616</v>
      </c>
      <c r="K147" s="16" t="s">
        <v>2218</v>
      </c>
      <c r="L147" s="16"/>
    </row>
    <row r="148">
      <c r="A148" s="16" t="s">
        <v>716</v>
      </c>
      <c r="B148" s="16" t="s">
        <v>6669</v>
      </c>
      <c r="C148" s="16" t="s">
        <v>6678</v>
      </c>
      <c r="D148" s="16" t="s">
        <v>3</v>
      </c>
      <c r="E148" s="16" t="s">
        <v>6680</v>
      </c>
      <c r="F148" s="16" t="s">
        <v>12586</v>
      </c>
      <c r="G148" s="16" t="s">
        <v>12587</v>
      </c>
      <c r="H148" s="16" t="s">
        <v>12588</v>
      </c>
      <c r="I148" s="16" t="s">
        <v>12589</v>
      </c>
      <c r="J148" s="16" t="s">
        <v>12616</v>
      </c>
      <c r="K148" s="16" t="s">
        <v>2218</v>
      </c>
      <c r="L148" s="16"/>
    </row>
    <row r="149">
      <c r="A149" s="16" t="s">
        <v>708</v>
      </c>
      <c r="B149" s="16" t="s">
        <v>6685</v>
      </c>
      <c r="C149" s="16"/>
      <c r="D149" s="16" t="s">
        <v>3</v>
      </c>
      <c r="E149" s="16" t="s">
        <v>6697</v>
      </c>
      <c r="F149" s="16" t="s">
        <v>12586</v>
      </c>
      <c r="G149" s="16" t="s">
        <v>12587</v>
      </c>
      <c r="H149" s="16" t="s">
        <v>12588</v>
      </c>
      <c r="I149" s="16" t="s">
        <v>12589</v>
      </c>
      <c r="J149" s="16" t="s">
        <v>12616</v>
      </c>
      <c r="K149" s="16" t="s">
        <v>2218</v>
      </c>
      <c r="L149" s="16"/>
    </row>
    <row r="150">
      <c r="A150" s="16" t="s">
        <v>13293</v>
      </c>
      <c r="B150" s="16" t="s">
        <v>13294</v>
      </c>
      <c r="C150" s="16" t="s">
        <v>13295</v>
      </c>
      <c r="D150" s="16" t="s">
        <v>12658</v>
      </c>
      <c r="E150" s="16" t="s">
        <v>13296</v>
      </c>
      <c r="F150" s="16" t="s">
        <v>12586</v>
      </c>
      <c r="G150" s="16" t="s">
        <v>12587</v>
      </c>
      <c r="H150" s="16"/>
      <c r="I150" s="16" t="s">
        <v>12686</v>
      </c>
      <c r="J150" s="16" t="s">
        <v>13297</v>
      </c>
      <c r="K150" s="16" t="s">
        <v>13298</v>
      </c>
      <c r="L150" s="16"/>
    </row>
    <row r="151">
      <c r="A151" s="16" t="s">
        <v>13299</v>
      </c>
      <c r="B151" s="16" t="s">
        <v>13300</v>
      </c>
      <c r="C151" s="16" t="s">
        <v>13301</v>
      </c>
      <c r="D151" s="16" t="s">
        <v>12658</v>
      </c>
      <c r="E151" s="16" t="s">
        <v>13302</v>
      </c>
      <c r="F151" s="16" t="s">
        <v>12586</v>
      </c>
      <c r="G151" s="16" t="s">
        <v>12587</v>
      </c>
      <c r="H151" s="16"/>
      <c r="I151" s="16" t="s">
        <v>12686</v>
      </c>
      <c r="J151" s="16" t="s">
        <v>13297</v>
      </c>
      <c r="K151" s="16" t="s">
        <v>13298</v>
      </c>
      <c r="L151" s="16"/>
    </row>
    <row r="152">
      <c r="A152" s="16" t="s">
        <v>13303</v>
      </c>
      <c r="B152" s="16" t="s">
        <v>13304</v>
      </c>
      <c r="C152" s="16" t="s">
        <v>13305</v>
      </c>
      <c r="D152" s="16" t="s">
        <v>12658</v>
      </c>
      <c r="E152" s="16" t="s">
        <v>13306</v>
      </c>
      <c r="F152" s="16" t="s">
        <v>12586</v>
      </c>
      <c r="G152" s="16" t="s">
        <v>12700</v>
      </c>
      <c r="H152" s="16" t="s">
        <v>12710</v>
      </c>
      <c r="I152" s="16" t="s">
        <v>13236</v>
      </c>
      <c r="J152" s="16" t="s">
        <v>13307</v>
      </c>
      <c r="K152" s="16" t="s">
        <v>13308</v>
      </c>
      <c r="L152" s="16"/>
    </row>
    <row r="153">
      <c r="A153" s="16" t="s">
        <v>13309</v>
      </c>
      <c r="B153" s="16" t="s">
        <v>13310</v>
      </c>
      <c r="C153" s="16" t="s">
        <v>13311</v>
      </c>
      <c r="D153" s="16" t="s">
        <v>12658</v>
      </c>
      <c r="E153" s="16" t="s">
        <v>13312</v>
      </c>
      <c r="F153" s="16" t="s">
        <v>13163</v>
      </c>
      <c r="G153" s="16" t="s">
        <v>13164</v>
      </c>
      <c r="H153" s="16" t="s">
        <v>13313</v>
      </c>
      <c r="I153" s="16" t="s">
        <v>13314</v>
      </c>
      <c r="J153" s="16" t="s">
        <v>13315</v>
      </c>
      <c r="K153" s="16" t="s">
        <v>13316</v>
      </c>
      <c r="L153" s="16"/>
    </row>
    <row r="154">
      <c r="A154" s="16" t="s">
        <v>13317</v>
      </c>
      <c r="B154" s="16" t="s">
        <v>13318</v>
      </c>
      <c r="C154" s="16" t="s">
        <v>13319</v>
      </c>
      <c r="D154" s="16" t="s">
        <v>12658</v>
      </c>
      <c r="E154" s="16" t="s">
        <v>13320</v>
      </c>
      <c r="F154" s="16" t="s">
        <v>12660</v>
      </c>
      <c r="G154" s="16" t="s">
        <v>12661</v>
      </c>
      <c r="H154" s="16" t="s">
        <v>12662</v>
      </c>
      <c r="I154" s="16" t="s">
        <v>12795</v>
      </c>
      <c r="J154" s="16" t="s">
        <v>13321</v>
      </c>
      <c r="K154" s="16" t="s">
        <v>13322</v>
      </c>
      <c r="L154" s="16"/>
    </row>
    <row r="155">
      <c r="A155" s="16" t="s">
        <v>171</v>
      </c>
      <c r="B155" s="16" t="s">
        <v>3933</v>
      </c>
      <c r="C155" s="16" t="s">
        <v>3936</v>
      </c>
      <c r="D155" s="16" t="s">
        <v>3</v>
      </c>
      <c r="E155" s="16" t="s">
        <v>3938</v>
      </c>
      <c r="F155" s="16" t="s">
        <v>12586</v>
      </c>
      <c r="G155" s="16" t="s">
        <v>12587</v>
      </c>
      <c r="H155" s="16" t="s">
        <v>12588</v>
      </c>
      <c r="I155" s="16" t="s">
        <v>12589</v>
      </c>
      <c r="J155" s="16" t="s">
        <v>12605</v>
      </c>
      <c r="K155" s="16" t="s">
        <v>2183</v>
      </c>
      <c r="L155" s="16"/>
    </row>
    <row r="156">
      <c r="A156" s="16" t="s">
        <v>819</v>
      </c>
      <c r="B156" s="16" t="s">
        <v>5922</v>
      </c>
      <c r="C156" s="16" t="s">
        <v>5931</v>
      </c>
      <c r="D156" s="16" t="s">
        <v>3</v>
      </c>
      <c r="E156" s="16" t="s">
        <v>5933</v>
      </c>
      <c r="F156" s="16" t="s">
        <v>12586</v>
      </c>
      <c r="G156" s="16" t="s">
        <v>12587</v>
      </c>
      <c r="H156" s="16" t="s">
        <v>12588</v>
      </c>
      <c r="I156" s="16" t="s">
        <v>12589</v>
      </c>
      <c r="J156" s="16" t="s">
        <v>12605</v>
      </c>
      <c r="K156" s="16" t="s">
        <v>2183</v>
      </c>
      <c r="L156" s="16"/>
    </row>
    <row r="157">
      <c r="A157" s="16" t="s">
        <v>13323</v>
      </c>
      <c r="B157" s="16" t="s">
        <v>13324</v>
      </c>
      <c r="C157" s="16" t="s">
        <v>13325</v>
      </c>
      <c r="D157" s="16" t="s">
        <v>12658</v>
      </c>
      <c r="E157" s="16" t="s">
        <v>13326</v>
      </c>
      <c r="F157" s="16" t="s">
        <v>12660</v>
      </c>
      <c r="G157" s="16" t="s">
        <v>12661</v>
      </c>
      <c r="H157" s="16" t="s">
        <v>12856</v>
      </c>
      <c r="I157" s="16" t="s">
        <v>13327</v>
      </c>
      <c r="J157" s="16" t="s">
        <v>13328</v>
      </c>
      <c r="K157" s="16" t="s">
        <v>13329</v>
      </c>
      <c r="L157" s="16"/>
    </row>
    <row r="158">
      <c r="A158" s="16" t="s">
        <v>13330</v>
      </c>
      <c r="B158" s="16" t="s">
        <v>13331</v>
      </c>
      <c r="C158" s="16" t="s">
        <v>13332</v>
      </c>
      <c r="D158" s="16" t="s">
        <v>12658</v>
      </c>
      <c r="E158" s="16" t="s">
        <v>13333</v>
      </c>
      <c r="F158" s="16" t="s">
        <v>12660</v>
      </c>
      <c r="G158" s="16" t="s">
        <v>12661</v>
      </c>
      <c r="H158" s="16" t="s">
        <v>12856</v>
      </c>
      <c r="I158" s="16" t="s">
        <v>13327</v>
      </c>
      <c r="J158" s="16" t="s">
        <v>13328</v>
      </c>
      <c r="K158" s="16" t="s">
        <v>13329</v>
      </c>
      <c r="L158" s="16"/>
    </row>
    <row r="159">
      <c r="A159" s="16" t="s">
        <v>13334</v>
      </c>
      <c r="B159" s="16" t="s">
        <v>13335</v>
      </c>
      <c r="C159" s="16" t="s">
        <v>13336</v>
      </c>
      <c r="D159" s="16" t="s">
        <v>12658</v>
      </c>
      <c r="E159" s="16" t="s">
        <v>13337</v>
      </c>
      <c r="F159" s="16" t="s">
        <v>13338</v>
      </c>
      <c r="G159" s="16" t="s">
        <v>13339</v>
      </c>
      <c r="H159" s="16" t="s">
        <v>13340</v>
      </c>
      <c r="I159" s="16" t="s">
        <v>13341</v>
      </c>
      <c r="J159" s="16" t="s">
        <v>13342</v>
      </c>
      <c r="K159" s="16" t="s">
        <v>13343</v>
      </c>
      <c r="L159" s="16"/>
    </row>
    <row r="160">
      <c r="A160" s="16" t="s">
        <v>13344</v>
      </c>
      <c r="B160" s="16" t="s">
        <v>13345</v>
      </c>
      <c r="C160" s="16" t="s">
        <v>13346</v>
      </c>
      <c r="D160" s="16" t="s">
        <v>12658</v>
      </c>
      <c r="E160" s="16" t="s">
        <v>13347</v>
      </c>
      <c r="F160" s="16" t="s">
        <v>12660</v>
      </c>
      <c r="G160" s="16" t="s">
        <v>12661</v>
      </c>
      <c r="H160" s="16" t="s">
        <v>12662</v>
      </c>
      <c r="I160" s="16" t="s">
        <v>13348</v>
      </c>
      <c r="J160" s="16" t="s">
        <v>13349</v>
      </c>
      <c r="K160" s="16" t="s">
        <v>13350</v>
      </c>
      <c r="L160" s="16"/>
    </row>
    <row r="161">
      <c r="A161" s="16" t="s">
        <v>13351</v>
      </c>
      <c r="B161" s="16" t="s">
        <v>13352</v>
      </c>
      <c r="C161" s="16" t="s">
        <v>13353</v>
      </c>
      <c r="D161" s="16" t="s">
        <v>12658</v>
      </c>
      <c r="E161" s="16" t="s">
        <v>13354</v>
      </c>
      <c r="F161" s="16" t="s">
        <v>12660</v>
      </c>
      <c r="G161" s="16" t="s">
        <v>12661</v>
      </c>
      <c r="H161" s="16" t="s">
        <v>12662</v>
      </c>
      <c r="I161" s="16" t="s">
        <v>13355</v>
      </c>
      <c r="J161" s="16" t="s">
        <v>13356</v>
      </c>
      <c r="K161" s="16" t="s">
        <v>13357</v>
      </c>
      <c r="L161" s="16"/>
    </row>
    <row r="162">
      <c r="A162" s="16" t="s">
        <v>13358</v>
      </c>
      <c r="B162" s="16" t="s">
        <v>13359</v>
      </c>
      <c r="C162" s="16" t="s">
        <v>13360</v>
      </c>
      <c r="D162" s="16" t="s">
        <v>12658</v>
      </c>
      <c r="E162" s="16" t="s">
        <v>13361</v>
      </c>
      <c r="F162" s="16" t="s">
        <v>12660</v>
      </c>
      <c r="G162" s="16" t="s">
        <v>12661</v>
      </c>
      <c r="H162" s="16" t="s">
        <v>13362</v>
      </c>
      <c r="I162" s="16" t="s">
        <v>13363</v>
      </c>
      <c r="J162" s="16" t="s">
        <v>13364</v>
      </c>
      <c r="K162" s="16" t="s">
        <v>13365</v>
      </c>
      <c r="L162" s="16"/>
    </row>
    <row r="163">
      <c r="A163" s="16" t="s">
        <v>13366</v>
      </c>
      <c r="B163" s="16" t="s">
        <v>13367</v>
      </c>
      <c r="C163" s="16" t="s">
        <v>13368</v>
      </c>
      <c r="D163" s="16" t="s">
        <v>12658</v>
      </c>
      <c r="E163" s="16" t="s">
        <v>13369</v>
      </c>
      <c r="F163" s="16" t="s">
        <v>12660</v>
      </c>
      <c r="G163" s="16" t="s">
        <v>12661</v>
      </c>
      <c r="H163" s="16" t="s">
        <v>12662</v>
      </c>
      <c r="I163" s="16" t="s">
        <v>12795</v>
      </c>
      <c r="J163" s="16" t="s">
        <v>13370</v>
      </c>
      <c r="K163" s="16" t="s">
        <v>13371</v>
      </c>
      <c r="L163" s="16"/>
    </row>
    <row r="164">
      <c r="A164" s="16" t="s">
        <v>13372</v>
      </c>
      <c r="B164" s="16" t="s">
        <v>13373</v>
      </c>
      <c r="C164" s="16"/>
      <c r="D164" s="16" t="s">
        <v>12658</v>
      </c>
      <c r="E164" s="16" t="s">
        <v>13374</v>
      </c>
      <c r="F164" s="16" t="s">
        <v>12660</v>
      </c>
      <c r="G164" s="16" t="s">
        <v>12661</v>
      </c>
      <c r="H164" s="16" t="s">
        <v>12662</v>
      </c>
      <c r="I164" s="16" t="s">
        <v>13249</v>
      </c>
      <c r="J164" s="16" t="s">
        <v>13375</v>
      </c>
      <c r="K164" s="16" t="s">
        <v>13376</v>
      </c>
      <c r="L164" s="16"/>
    </row>
    <row r="165">
      <c r="A165" s="16" t="s">
        <v>13377</v>
      </c>
      <c r="B165" s="16" t="s">
        <v>13378</v>
      </c>
      <c r="C165" s="16" t="s">
        <v>13379</v>
      </c>
      <c r="D165" s="16" t="s">
        <v>12658</v>
      </c>
      <c r="E165" s="16" t="s">
        <v>13380</v>
      </c>
      <c r="F165" s="16" t="s">
        <v>12586</v>
      </c>
      <c r="G165" s="16" t="s">
        <v>12700</v>
      </c>
      <c r="H165" s="16" t="s">
        <v>12710</v>
      </c>
      <c r="I165" s="16" t="s">
        <v>12892</v>
      </c>
      <c r="J165" s="16" t="s">
        <v>13381</v>
      </c>
      <c r="K165" s="16" t="s">
        <v>13382</v>
      </c>
      <c r="L165" s="16"/>
    </row>
    <row r="166">
      <c r="A166" s="16" t="s">
        <v>13383</v>
      </c>
      <c r="B166" s="16" t="s">
        <v>13384</v>
      </c>
      <c r="C166" s="16" t="s">
        <v>13385</v>
      </c>
      <c r="D166" s="16" t="s">
        <v>12658</v>
      </c>
      <c r="E166" s="16" t="s">
        <v>13386</v>
      </c>
      <c r="F166" s="16" t="s">
        <v>12586</v>
      </c>
      <c r="G166" s="16" t="s">
        <v>12700</v>
      </c>
      <c r="H166" s="16" t="s">
        <v>12710</v>
      </c>
      <c r="I166" s="16" t="s">
        <v>12892</v>
      </c>
      <c r="J166" s="16" t="s">
        <v>13381</v>
      </c>
      <c r="K166" s="16" t="s">
        <v>13382</v>
      </c>
      <c r="L166" s="16"/>
    </row>
    <row r="167">
      <c r="A167" s="16" t="s">
        <v>13387</v>
      </c>
      <c r="B167" s="16" t="s">
        <v>13388</v>
      </c>
      <c r="C167" s="16" t="s">
        <v>13389</v>
      </c>
      <c r="D167" s="16" t="s">
        <v>12658</v>
      </c>
      <c r="E167" s="16" t="s">
        <v>13390</v>
      </c>
      <c r="F167" s="16" t="s">
        <v>13391</v>
      </c>
      <c r="G167" s="16" t="s">
        <v>13392</v>
      </c>
      <c r="H167" s="16" t="s">
        <v>13393</v>
      </c>
      <c r="I167" s="16" t="s">
        <v>13394</v>
      </c>
      <c r="J167" s="16" t="s">
        <v>13395</v>
      </c>
      <c r="K167" s="16" t="s">
        <v>13396</v>
      </c>
      <c r="L167" s="16"/>
    </row>
    <row r="168">
      <c r="A168" s="16" t="s">
        <v>13397</v>
      </c>
      <c r="B168" s="16" t="s">
        <v>13398</v>
      </c>
      <c r="C168" s="16" t="s">
        <v>13399</v>
      </c>
      <c r="D168" s="16" t="s">
        <v>12658</v>
      </c>
      <c r="E168" s="16" t="s">
        <v>13400</v>
      </c>
      <c r="F168" s="16" t="s">
        <v>12660</v>
      </c>
      <c r="G168" s="16" t="s">
        <v>12661</v>
      </c>
      <c r="H168" s="16" t="s">
        <v>12856</v>
      </c>
      <c r="I168" s="16" t="s">
        <v>12857</v>
      </c>
      <c r="J168" s="16" t="s">
        <v>13401</v>
      </c>
      <c r="K168" s="16" t="s">
        <v>13402</v>
      </c>
      <c r="L168" s="16"/>
    </row>
    <row r="169">
      <c r="A169" s="16" t="s">
        <v>13403</v>
      </c>
      <c r="B169" s="16" t="s">
        <v>13404</v>
      </c>
      <c r="C169" s="16" t="s">
        <v>13405</v>
      </c>
      <c r="D169" s="16" t="s">
        <v>12658</v>
      </c>
      <c r="E169" s="16" t="s">
        <v>13406</v>
      </c>
      <c r="F169" s="16" t="s">
        <v>12660</v>
      </c>
      <c r="G169" s="16" t="s">
        <v>12661</v>
      </c>
      <c r="H169" s="16" t="s">
        <v>12662</v>
      </c>
      <c r="I169" s="16" t="s">
        <v>13355</v>
      </c>
      <c r="J169" s="16" t="s">
        <v>13407</v>
      </c>
      <c r="K169" s="16" t="s">
        <v>13408</v>
      </c>
      <c r="L169" s="16"/>
    </row>
    <row r="170">
      <c r="A170" s="16" t="s">
        <v>861</v>
      </c>
      <c r="B170" s="16" t="s">
        <v>5634</v>
      </c>
      <c r="C170" s="16" t="s">
        <v>5645</v>
      </c>
      <c r="D170" s="16" t="s">
        <v>3</v>
      </c>
      <c r="E170" s="16" t="s">
        <v>5647</v>
      </c>
      <c r="F170" s="16" t="s">
        <v>12586</v>
      </c>
      <c r="G170" s="16" t="s">
        <v>12587</v>
      </c>
      <c r="H170" s="16" t="s">
        <v>12588</v>
      </c>
      <c r="I170" s="16" t="s">
        <v>12589</v>
      </c>
      <c r="J170" s="16" t="s">
        <v>12634</v>
      </c>
      <c r="K170" s="16" t="s">
        <v>2203</v>
      </c>
      <c r="L170" s="16"/>
    </row>
    <row r="171">
      <c r="A171" s="16" t="s">
        <v>524</v>
      </c>
      <c r="B171" s="16" t="s">
        <v>4883</v>
      </c>
      <c r="C171" s="16" t="s">
        <v>4890</v>
      </c>
      <c r="D171" s="16" t="s">
        <v>3</v>
      </c>
      <c r="E171" s="16" t="s">
        <v>4892</v>
      </c>
      <c r="F171" s="16" t="s">
        <v>12586</v>
      </c>
      <c r="G171" s="16" t="s">
        <v>12587</v>
      </c>
      <c r="H171" s="16" t="s">
        <v>12588</v>
      </c>
      <c r="I171" s="16" t="s">
        <v>12589</v>
      </c>
      <c r="J171" s="16" t="s">
        <v>12609</v>
      </c>
      <c r="K171" s="16" t="s">
        <v>2234</v>
      </c>
      <c r="L171" s="16"/>
    </row>
    <row r="172">
      <c r="A172" s="16" t="s">
        <v>522</v>
      </c>
      <c r="B172" s="16" t="s">
        <v>4918</v>
      </c>
      <c r="C172" s="16" t="s">
        <v>4935</v>
      </c>
      <c r="D172" s="16" t="s">
        <v>3</v>
      </c>
      <c r="E172" s="16" t="s">
        <v>4937</v>
      </c>
      <c r="F172" s="16" t="s">
        <v>12586</v>
      </c>
      <c r="G172" s="16" t="s">
        <v>12587</v>
      </c>
      <c r="H172" s="16" t="s">
        <v>12588</v>
      </c>
      <c r="I172" s="16" t="s">
        <v>12589</v>
      </c>
      <c r="J172" s="16" t="s">
        <v>12609</v>
      </c>
      <c r="K172" s="16" t="s">
        <v>2234</v>
      </c>
      <c r="L172" s="16"/>
    </row>
    <row r="173">
      <c r="A173" s="16" t="s">
        <v>520</v>
      </c>
      <c r="B173" s="16" t="s">
        <v>4961</v>
      </c>
      <c r="C173" s="16"/>
      <c r="D173" s="16" t="s">
        <v>3</v>
      </c>
      <c r="E173" s="16" t="s">
        <v>4970</v>
      </c>
      <c r="F173" s="16" t="s">
        <v>12586</v>
      </c>
      <c r="G173" s="16" t="s">
        <v>12587</v>
      </c>
      <c r="H173" s="16" t="s">
        <v>12588</v>
      </c>
      <c r="I173" s="16" t="s">
        <v>12589</v>
      </c>
      <c r="J173" s="16" t="s">
        <v>12609</v>
      </c>
      <c r="K173" s="16" t="s">
        <v>2234</v>
      </c>
      <c r="L173" s="16"/>
    </row>
    <row r="174">
      <c r="A174" s="16" t="s">
        <v>614</v>
      </c>
      <c r="B174" s="16" t="s">
        <v>5298</v>
      </c>
      <c r="C174" s="16" t="s">
        <v>5304</v>
      </c>
      <c r="D174" s="16" t="s">
        <v>3</v>
      </c>
      <c r="E174" s="16" t="s">
        <v>5306</v>
      </c>
      <c r="F174" s="16" t="s">
        <v>12586</v>
      </c>
      <c r="G174" s="16" t="s">
        <v>12587</v>
      </c>
      <c r="H174" s="16" t="s">
        <v>12588</v>
      </c>
      <c r="I174" s="16" t="s">
        <v>12589</v>
      </c>
      <c r="J174" s="16" t="s">
        <v>12609</v>
      </c>
      <c r="K174" s="16" t="s">
        <v>2234</v>
      </c>
      <c r="L174" s="16"/>
    </row>
    <row r="175">
      <c r="A175" s="16" t="s">
        <v>471</v>
      </c>
      <c r="B175" s="16" t="s">
        <v>5652</v>
      </c>
      <c r="C175" s="16" t="s">
        <v>5661</v>
      </c>
      <c r="D175" s="16" t="s">
        <v>3</v>
      </c>
      <c r="E175" s="16" t="s">
        <v>5663</v>
      </c>
      <c r="F175" s="16" t="s">
        <v>12586</v>
      </c>
      <c r="G175" s="16" t="s">
        <v>12587</v>
      </c>
      <c r="H175" s="16" t="s">
        <v>12588</v>
      </c>
      <c r="I175" s="16" t="s">
        <v>12589</v>
      </c>
      <c r="J175" s="16" t="s">
        <v>12609</v>
      </c>
      <c r="K175" s="16" t="s">
        <v>2234</v>
      </c>
      <c r="L175" s="16"/>
    </row>
    <row r="176">
      <c r="A176" s="16" t="s">
        <v>465</v>
      </c>
      <c r="B176" s="16" t="s">
        <v>5988</v>
      </c>
      <c r="C176" s="16" t="s">
        <v>5999</v>
      </c>
      <c r="D176" s="16" t="s">
        <v>3</v>
      </c>
      <c r="E176" s="16" t="s">
        <v>6001</v>
      </c>
      <c r="F176" s="16" t="s">
        <v>12586</v>
      </c>
      <c r="G176" s="16" t="s">
        <v>12587</v>
      </c>
      <c r="H176" s="16" t="s">
        <v>12588</v>
      </c>
      <c r="I176" s="16" t="s">
        <v>12589</v>
      </c>
      <c r="J176" s="16" t="s">
        <v>12609</v>
      </c>
      <c r="K176" s="16" t="s">
        <v>2234</v>
      </c>
      <c r="L176" s="16"/>
    </row>
    <row r="177">
      <c r="A177" s="16" t="s">
        <v>463</v>
      </c>
      <c r="B177" s="16" t="s">
        <v>6033</v>
      </c>
      <c r="C177" s="16" t="s">
        <v>6041</v>
      </c>
      <c r="D177" s="16" t="s">
        <v>3</v>
      </c>
      <c r="E177" s="16" t="s">
        <v>6043</v>
      </c>
      <c r="F177" s="16" t="s">
        <v>12586</v>
      </c>
      <c r="G177" s="16" t="s">
        <v>12587</v>
      </c>
      <c r="H177" s="16" t="s">
        <v>12588</v>
      </c>
      <c r="I177" s="16" t="s">
        <v>12589</v>
      </c>
      <c r="J177" s="16" t="s">
        <v>12609</v>
      </c>
      <c r="K177" s="16" t="s">
        <v>2234</v>
      </c>
      <c r="L177" s="16"/>
    </row>
    <row r="178">
      <c r="A178" s="16" t="s">
        <v>787</v>
      </c>
      <c r="B178" s="16" t="s">
        <v>6276</v>
      </c>
      <c r="C178" s="16" t="s">
        <v>6284</v>
      </c>
      <c r="D178" s="16" t="s">
        <v>3</v>
      </c>
      <c r="E178" s="16" t="s">
        <v>6286</v>
      </c>
      <c r="F178" s="16" t="s">
        <v>12586</v>
      </c>
      <c r="G178" s="16" t="s">
        <v>12587</v>
      </c>
      <c r="H178" s="16" t="s">
        <v>12588</v>
      </c>
      <c r="I178" s="16" t="s">
        <v>12589</v>
      </c>
      <c r="J178" s="16" t="s">
        <v>12609</v>
      </c>
      <c r="K178" s="16" t="s">
        <v>2234</v>
      </c>
      <c r="L178" s="16"/>
    </row>
    <row r="179">
      <c r="A179" s="16" t="s">
        <v>543</v>
      </c>
      <c r="B179" s="16" t="s">
        <v>4899</v>
      </c>
      <c r="C179" s="16"/>
      <c r="D179" s="16" t="s">
        <v>3</v>
      </c>
      <c r="E179" s="16" t="s">
        <v>4913</v>
      </c>
      <c r="F179" s="16" t="s">
        <v>12586</v>
      </c>
      <c r="G179" s="16" t="s">
        <v>12587</v>
      </c>
      <c r="H179" s="16" t="s">
        <v>12588</v>
      </c>
      <c r="I179" s="16" t="s">
        <v>12589</v>
      </c>
      <c r="J179" s="16" t="s">
        <v>12609</v>
      </c>
      <c r="K179" s="16" t="s">
        <v>2275</v>
      </c>
      <c r="L179" s="16"/>
    </row>
    <row r="180">
      <c r="A180" s="16" t="s">
        <v>574</v>
      </c>
      <c r="B180" s="16" t="s">
        <v>5011</v>
      </c>
      <c r="C180" s="16" t="s">
        <v>5019</v>
      </c>
      <c r="D180" s="16" t="s">
        <v>3</v>
      </c>
      <c r="E180" s="16" t="s">
        <v>5021</v>
      </c>
      <c r="F180" s="16" t="s">
        <v>12586</v>
      </c>
      <c r="G180" s="16" t="s">
        <v>12587</v>
      </c>
      <c r="H180" s="16" t="s">
        <v>12588</v>
      </c>
      <c r="I180" s="16" t="s">
        <v>12589</v>
      </c>
      <c r="J180" s="16" t="s">
        <v>12609</v>
      </c>
      <c r="K180" s="16" t="s">
        <v>2275</v>
      </c>
      <c r="L180" s="16"/>
    </row>
    <row r="181">
      <c r="A181" s="16" t="s">
        <v>831</v>
      </c>
      <c r="B181" s="16" t="s">
        <v>5840</v>
      </c>
      <c r="C181" s="16" t="s">
        <v>5854</v>
      </c>
      <c r="D181" s="16" t="s">
        <v>3</v>
      </c>
      <c r="E181" s="16" t="s">
        <v>5857</v>
      </c>
      <c r="F181" s="16" t="s">
        <v>12586</v>
      </c>
      <c r="G181" s="16" t="s">
        <v>12587</v>
      </c>
      <c r="H181" s="16" t="s">
        <v>12588</v>
      </c>
      <c r="I181" s="16" t="s">
        <v>12589</v>
      </c>
      <c r="J181" s="16" t="s">
        <v>12609</v>
      </c>
      <c r="K181" s="16" t="s">
        <v>2275</v>
      </c>
      <c r="L181" s="16"/>
    </row>
    <row r="182">
      <c r="A182" s="16" t="s">
        <v>460</v>
      </c>
      <c r="B182" s="16" t="s">
        <v>6146</v>
      </c>
      <c r="C182" s="16" t="s">
        <v>6153</v>
      </c>
      <c r="D182" s="16" t="s">
        <v>3</v>
      </c>
      <c r="E182" s="16" t="s">
        <v>6155</v>
      </c>
      <c r="F182" s="16" t="s">
        <v>12586</v>
      </c>
      <c r="G182" s="16" t="s">
        <v>12587</v>
      </c>
      <c r="H182" s="16" t="s">
        <v>12588</v>
      </c>
      <c r="I182" s="16" t="s">
        <v>12589</v>
      </c>
      <c r="J182" s="16" t="s">
        <v>12609</v>
      </c>
      <c r="K182" s="16" t="s">
        <v>2275</v>
      </c>
      <c r="L182" s="16"/>
    </row>
    <row r="183">
      <c r="A183" s="16" t="s">
        <v>600</v>
      </c>
      <c r="B183" s="16" t="s">
        <v>5177</v>
      </c>
      <c r="C183" s="16" t="s">
        <v>5191</v>
      </c>
      <c r="D183" s="16" t="s">
        <v>3</v>
      </c>
      <c r="E183" s="16" t="s">
        <v>5193</v>
      </c>
      <c r="F183" s="16" t="s">
        <v>12586</v>
      </c>
      <c r="G183" s="16" t="s">
        <v>12587</v>
      </c>
      <c r="H183" s="16" t="s">
        <v>12588</v>
      </c>
      <c r="I183" s="16" t="s">
        <v>12589</v>
      </c>
      <c r="J183" s="16" t="s">
        <v>12609</v>
      </c>
      <c r="K183" s="16" t="s">
        <v>2157</v>
      </c>
      <c r="L183" s="16"/>
    </row>
    <row r="184">
      <c r="A184" s="16" t="s">
        <v>797</v>
      </c>
      <c r="B184" s="16" t="s">
        <v>6174</v>
      </c>
      <c r="C184" s="16" t="s">
        <v>6187</v>
      </c>
      <c r="D184" s="16" t="s">
        <v>3</v>
      </c>
      <c r="E184" s="16" t="s">
        <v>6190</v>
      </c>
      <c r="F184" s="16" t="s">
        <v>12586</v>
      </c>
      <c r="G184" s="16" t="s">
        <v>12587</v>
      </c>
      <c r="H184" s="16" t="s">
        <v>12588</v>
      </c>
      <c r="I184" s="16" t="s">
        <v>12589</v>
      </c>
      <c r="J184" s="16" t="s">
        <v>12609</v>
      </c>
      <c r="K184" s="16" t="s">
        <v>2157</v>
      </c>
      <c r="L184" s="16"/>
    </row>
    <row r="185">
      <c r="A185" s="16" t="s">
        <v>395</v>
      </c>
      <c r="B185" s="16" t="s">
        <v>4580</v>
      </c>
      <c r="C185" s="16" t="s">
        <v>4583</v>
      </c>
      <c r="D185" s="16" t="s">
        <v>3</v>
      </c>
      <c r="E185" s="16" t="s">
        <v>4585</v>
      </c>
      <c r="F185" s="16" t="s">
        <v>12586</v>
      </c>
      <c r="G185" s="16" t="s">
        <v>12587</v>
      </c>
      <c r="H185" s="16" t="s">
        <v>12588</v>
      </c>
      <c r="I185" s="16" t="s">
        <v>12589</v>
      </c>
      <c r="J185" s="16" t="s">
        <v>12609</v>
      </c>
      <c r="K185" s="16" t="s">
        <v>2148</v>
      </c>
      <c r="L185" s="16"/>
    </row>
    <row r="186">
      <c r="A186" s="16" t="s">
        <v>13409</v>
      </c>
      <c r="B186" s="16" t="s">
        <v>13410</v>
      </c>
      <c r="C186" s="16" t="s">
        <v>13411</v>
      </c>
      <c r="D186" s="16" t="s">
        <v>12717</v>
      </c>
      <c r="E186" s="16" t="s">
        <v>13412</v>
      </c>
      <c r="F186" s="16" t="s">
        <v>12586</v>
      </c>
      <c r="G186" s="16" t="s">
        <v>12587</v>
      </c>
      <c r="H186" s="16" t="s">
        <v>12719</v>
      </c>
      <c r="I186" s="16" t="s">
        <v>13413</v>
      </c>
      <c r="J186" s="16" t="s">
        <v>13414</v>
      </c>
      <c r="K186" s="16" t="s">
        <v>13415</v>
      </c>
      <c r="L186" s="16"/>
    </row>
    <row r="187">
      <c r="A187" s="16" t="s">
        <v>13416</v>
      </c>
      <c r="B187" s="16" t="s">
        <v>13417</v>
      </c>
      <c r="C187" s="16" t="s">
        <v>13418</v>
      </c>
      <c r="D187" s="16" t="s">
        <v>12717</v>
      </c>
      <c r="E187" s="16" t="s">
        <v>13419</v>
      </c>
      <c r="F187" s="16" t="s">
        <v>12586</v>
      </c>
      <c r="G187" s="16" t="s">
        <v>12587</v>
      </c>
      <c r="H187" s="16" t="s">
        <v>12748</v>
      </c>
      <c r="I187" s="16" t="s">
        <v>13229</v>
      </c>
      <c r="J187" s="16" t="s">
        <v>13420</v>
      </c>
      <c r="K187" s="16" t="s">
        <v>13421</v>
      </c>
      <c r="L187" s="16"/>
    </row>
    <row r="188">
      <c r="A188" s="16" t="s">
        <v>13422</v>
      </c>
      <c r="B188" s="16" t="s">
        <v>13423</v>
      </c>
      <c r="C188" s="16" t="s">
        <v>13424</v>
      </c>
      <c r="D188" s="16" t="s">
        <v>12717</v>
      </c>
      <c r="E188" s="16" t="s">
        <v>13425</v>
      </c>
      <c r="F188" s="16" t="s">
        <v>12586</v>
      </c>
      <c r="G188" s="16" t="s">
        <v>12587</v>
      </c>
      <c r="H188" s="16" t="s">
        <v>12748</v>
      </c>
      <c r="I188" s="16" t="s">
        <v>13229</v>
      </c>
      <c r="J188" s="16" t="s">
        <v>13420</v>
      </c>
      <c r="K188" s="16" t="s">
        <v>13421</v>
      </c>
      <c r="L188" s="16"/>
    </row>
    <row r="189">
      <c r="A189" s="16" t="s">
        <v>13426</v>
      </c>
      <c r="B189" s="16" t="s">
        <v>13427</v>
      </c>
      <c r="C189" s="16" t="s">
        <v>13428</v>
      </c>
      <c r="D189" s="16" t="s">
        <v>12717</v>
      </c>
      <c r="E189" s="16" t="s">
        <v>13429</v>
      </c>
      <c r="F189" s="16" t="s">
        <v>12586</v>
      </c>
      <c r="G189" s="16" t="s">
        <v>12587</v>
      </c>
      <c r="H189" s="16" t="s">
        <v>12748</v>
      </c>
      <c r="I189" s="16" t="s">
        <v>13229</v>
      </c>
      <c r="J189" s="16" t="s">
        <v>13420</v>
      </c>
      <c r="K189" s="16" t="s">
        <v>13421</v>
      </c>
      <c r="L189" s="16"/>
    </row>
    <row r="190">
      <c r="A190" s="16" t="s">
        <v>807</v>
      </c>
      <c r="B190" s="16" t="s">
        <v>6048</v>
      </c>
      <c r="C190" s="16" t="s">
        <v>6059</v>
      </c>
      <c r="D190" s="16" t="s">
        <v>3</v>
      </c>
      <c r="E190" s="16" t="s">
        <v>6061</v>
      </c>
      <c r="F190" s="16" t="s">
        <v>12586</v>
      </c>
      <c r="G190" s="16" t="s">
        <v>12587</v>
      </c>
      <c r="H190" s="16" t="s">
        <v>12588</v>
      </c>
      <c r="I190" s="16" t="s">
        <v>12589</v>
      </c>
      <c r="J190" s="16" t="s">
        <v>13430</v>
      </c>
      <c r="K190" s="16" t="s">
        <v>2833</v>
      </c>
      <c r="L190" s="16"/>
    </row>
    <row r="191">
      <c r="A191" s="16" t="s">
        <v>416</v>
      </c>
      <c r="B191" s="16" t="s">
        <v>4590</v>
      </c>
      <c r="C191" s="16" t="s">
        <v>4600</v>
      </c>
      <c r="D191" s="16" t="s">
        <v>3</v>
      </c>
      <c r="E191" s="16" t="s">
        <v>4603</v>
      </c>
      <c r="F191" s="16" t="s">
        <v>12586</v>
      </c>
      <c r="G191" s="16" t="s">
        <v>12587</v>
      </c>
      <c r="H191" s="16" t="s">
        <v>12588</v>
      </c>
      <c r="I191" s="16" t="s">
        <v>12589</v>
      </c>
      <c r="J191" s="16" t="s">
        <v>13431</v>
      </c>
      <c r="K191" s="16" t="s">
        <v>2297</v>
      </c>
      <c r="L191" s="16"/>
    </row>
    <row r="192">
      <c r="A192" s="16" t="s">
        <v>387</v>
      </c>
      <c r="B192" s="16" t="s">
        <v>4464</v>
      </c>
      <c r="C192" s="16" t="s">
        <v>4473</v>
      </c>
      <c r="D192" s="16" t="s">
        <v>3</v>
      </c>
      <c r="E192" s="16" t="s">
        <v>4476</v>
      </c>
      <c r="F192" s="16" t="s">
        <v>12586</v>
      </c>
      <c r="G192" s="16" t="s">
        <v>12587</v>
      </c>
      <c r="H192" s="16" t="s">
        <v>12588</v>
      </c>
      <c r="I192" s="16" t="s">
        <v>12589</v>
      </c>
      <c r="J192" s="16" t="s">
        <v>12625</v>
      </c>
      <c r="K192" s="16" t="s">
        <v>2557</v>
      </c>
      <c r="L192" s="16"/>
    </row>
    <row r="193">
      <c r="A193" s="16" t="s">
        <v>283</v>
      </c>
      <c r="B193" s="16" t="s">
        <v>4144</v>
      </c>
      <c r="C193" s="16"/>
      <c r="D193" s="16" t="s">
        <v>3</v>
      </c>
      <c r="E193" s="16" t="s">
        <v>4153</v>
      </c>
      <c r="F193" s="16" t="s">
        <v>12586</v>
      </c>
      <c r="G193" s="16" t="s">
        <v>12587</v>
      </c>
      <c r="H193" s="16" t="s">
        <v>12588</v>
      </c>
      <c r="I193" s="16" t="s">
        <v>12589</v>
      </c>
      <c r="J193" s="16" t="s">
        <v>12632</v>
      </c>
      <c r="K193" s="16" t="s">
        <v>2415</v>
      </c>
      <c r="L193" s="16"/>
    </row>
    <row r="194">
      <c r="A194" s="16" t="s">
        <v>799</v>
      </c>
      <c r="B194" s="16" t="s">
        <v>6160</v>
      </c>
      <c r="C194" s="16" t="s">
        <v>6167</v>
      </c>
      <c r="D194" s="16" t="s">
        <v>3</v>
      </c>
      <c r="E194" s="16" t="s">
        <v>6169</v>
      </c>
      <c r="F194" s="16" t="s">
        <v>12586</v>
      </c>
      <c r="G194" s="16" t="s">
        <v>12587</v>
      </c>
      <c r="H194" s="16" t="s">
        <v>12588</v>
      </c>
      <c r="I194" s="16" t="s">
        <v>12589</v>
      </c>
      <c r="J194" s="16" t="s">
        <v>12636</v>
      </c>
      <c r="K194" s="16" t="s">
        <v>2309</v>
      </c>
      <c r="L194" s="16"/>
    </row>
    <row r="195">
      <c r="A195" s="16" t="s">
        <v>140</v>
      </c>
      <c r="B195" s="16" t="s">
        <v>3520</v>
      </c>
      <c r="C195" s="16"/>
      <c r="D195" s="16" t="s">
        <v>3</v>
      </c>
      <c r="E195" s="16" t="s">
        <v>3534</v>
      </c>
      <c r="F195" s="16" t="s">
        <v>12586</v>
      </c>
      <c r="G195" s="16" t="s">
        <v>12587</v>
      </c>
      <c r="H195" s="16" t="s">
        <v>12588</v>
      </c>
      <c r="I195" s="16" t="s">
        <v>12589</v>
      </c>
      <c r="J195" s="16" t="s">
        <v>12590</v>
      </c>
      <c r="K195" s="16" t="s">
        <v>2143</v>
      </c>
      <c r="L195" s="16"/>
    </row>
    <row r="196">
      <c r="A196" s="16" t="s">
        <v>145</v>
      </c>
      <c r="B196" s="16" t="s">
        <v>3540</v>
      </c>
      <c r="C196" s="16" t="s">
        <v>3557</v>
      </c>
      <c r="D196" s="16" t="s">
        <v>3</v>
      </c>
      <c r="E196" s="16" t="s">
        <v>3561</v>
      </c>
      <c r="F196" s="16" t="s">
        <v>12586</v>
      </c>
      <c r="G196" s="16" t="s">
        <v>12587</v>
      </c>
      <c r="H196" s="16" t="s">
        <v>12588</v>
      </c>
      <c r="I196" s="16" t="s">
        <v>12589</v>
      </c>
      <c r="J196" s="16" t="s">
        <v>12590</v>
      </c>
      <c r="K196" s="16" t="s">
        <v>2143</v>
      </c>
      <c r="L196" s="16"/>
    </row>
    <row r="197">
      <c r="A197" s="16" t="s">
        <v>149</v>
      </c>
      <c r="B197" s="16" t="s">
        <v>3567</v>
      </c>
      <c r="C197" s="16" t="s">
        <v>3581</v>
      </c>
      <c r="D197" s="16" t="s">
        <v>3</v>
      </c>
      <c r="E197" s="16" t="s">
        <v>3584</v>
      </c>
      <c r="F197" s="16" t="s">
        <v>12586</v>
      </c>
      <c r="G197" s="16" t="s">
        <v>12587</v>
      </c>
      <c r="H197" s="16" t="s">
        <v>12588</v>
      </c>
      <c r="I197" s="16" t="s">
        <v>12589</v>
      </c>
      <c r="J197" s="16" t="s">
        <v>12590</v>
      </c>
      <c r="K197" s="16" t="s">
        <v>2143</v>
      </c>
      <c r="L197" s="16"/>
    </row>
    <row r="198">
      <c r="A198" s="16" t="s">
        <v>194</v>
      </c>
      <c r="B198" s="16" t="s">
        <v>3774</v>
      </c>
      <c r="C198" s="16" t="s">
        <v>3791</v>
      </c>
      <c r="D198" s="16" t="s">
        <v>3</v>
      </c>
      <c r="E198" s="16" t="s">
        <v>3793</v>
      </c>
      <c r="F198" s="16" t="s">
        <v>12586</v>
      </c>
      <c r="G198" s="16" t="s">
        <v>12587</v>
      </c>
      <c r="H198" s="16" t="s">
        <v>12588</v>
      </c>
      <c r="I198" s="16" t="s">
        <v>12589</v>
      </c>
      <c r="J198" s="16" t="s">
        <v>12590</v>
      </c>
      <c r="K198" s="16" t="s">
        <v>2143</v>
      </c>
      <c r="L198" s="16"/>
    </row>
    <row r="199">
      <c r="A199" s="16" t="s">
        <v>189</v>
      </c>
      <c r="B199" s="16" t="s">
        <v>3819</v>
      </c>
      <c r="C199" s="16" t="s">
        <v>3826</v>
      </c>
      <c r="D199" s="16" t="s">
        <v>3</v>
      </c>
      <c r="E199" s="16" t="s">
        <v>3828</v>
      </c>
      <c r="F199" s="16" t="s">
        <v>12586</v>
      </c>
      <c r="G199" s="16" t="s">
        <v>12587</v>
      </c>
      <c r="H199" s="16" t="s">
        <v>12588</v>
      </c>
      <c r="I199" s="16" t="s">
        <v>12589</v>
      </c>
      <c r="J199" s="16" t="s">
        <v>12590</v>
      </c>
      <c r="K199" s="16" t="s">
        <v>2143</v>
      </c>
      <c r="L199" s="16"/>
    </row>
    <row r="200">
      <c r="A200" s="16" t="s">
        <v>304</v>
      </c>
      <c r="B200" s="16" t="s">
        <v>4053</v>
      </c>
      <c r="C200" s="16" t="s">
        <v>4059</v>
      </c>
      <c r="D200" s="16" t="s">
        <v>3</v>
      </c>
      <c r="E200" s="16" t="s">
        <v>4062</v>
      </c>
      <c r="F200" s="16" t="s">
        <v>12586</v>
      </c>
      <c r="G200" s="16" t="s">
        <v>12587</v>
      </c>
      <c r="H200" s="16" t="s">
        <v>12588</v>
      </c>
      <c r="I200" s="16" t="s">
        <v>12589</v>
      </c>
      <c r="J200" s="16" t="s">
        <v>12590</v>
      </c>
      <c r="K200" s="16" t="s">
        <v>2143</v>
      </c>
      <c r="L200" s="16"/>
    </row>
    <row r="201">
      <c r="A201" s="16" t="s">
        <v>294</v>
      </c>
      <c r="B201" s="16" t="s">
        <v>4087</v>
      </c>
      <c r="C201" s="16" t="s">
        <v>4094</v>
      </c>
      <c r="D201" s="16" t="s">
        <v>3</v>
      </c>
      <c r="E201" s="16" t="s">
        <v>4096</v>
      </c>
      <c r="F201" s="16" t="s">
        <v>12586</v>
      </c>
      <c r="G201" s="16" t="s">
        <v>12587</v>
      </c>
      <c r="H201" s="16" t="s">
        <v>12588</v>
      </c>
      <c r="I201" s="16" t="s">
        <v>12589</v>
      </c>
      <c r="J201" s="16" t="s">
        <v>12590</v>
      </c>
      <c r="K201" s="16" t="s">
        <v>2143</v>
      </c>
      <c r="L201" s="16"/>
    </row>
    <row r="202">
      <c r="A202" s="16" t="s">
        <v>371</v>
      </c>
      <c r="B202" s="16" t="s">
        <v>4384</v>
      </c>
      <c r="C202" s="16" t="s">
        <v>4400</v>
      </c>
      <c r="D202" s="16" t="s">
        <v>3</v>
      </c>
      <c r="E202" s="16" t="s">
        <v>4403</v>
      </c>
      <c r="F202" s="16" t="s">
        <v>12586</v>
      </c>
      <c r="G202" s="16" t="s">
        <v>12587</v>
      </c>
      <c r="H202" s="16" t="s">
        <v>12588</v>
      </c>
      <c r="I202" s="16" t="s">
        <v>12589</v>
      </c>
      <c r="J202" s="16" t="s">
        <v>12590</v>
      </c>
      <c r="K202" s="16" t="s">
        <v>2143</v>
      </c>
      <c r="L202" s="16"/>
    </row>
    <row r="203">
      <c r="A203" s="16" t="s">
        <v>381</v>
      </c>
      <c r="B203" s="16" t="s">
        <v>4411</v>
      </c>
      <c r="C203" s="16"/>
      <c r="D203" s="16" t="s">
        <v>3</v>
      </c>
      <c r="E203" s="16" t="s">
        <v>4420</v>
      </c>
      <c r="F203" s="16" t="s">
        <v>12586</v>
      </c>
      <c r="G203" s="16" t="s">
        <v>12587</v>
      </c>
      <c r="H203" s="16" t="s">
        <v>12588</v>
      </c>
      <c r="I203" s="16" t="s">
        <v>12589</v>
      </c>
      <c r="J203" s="16" t="s">
        <v>12590</v>
      </c>
      <c r="K203" s="16" t="s">
        <v>2143</v>
      </c>
      <c r="L203" s="16"/>
    </row>
    <row r="204">
      <c r="A204" s="16" t="s">
        <v>390</v>
      </c>
      <c r="B204" s="16" t="s">
        <v>4480</v>
      </c>
      <c r="C204" s="16" t="s">
        <v>4483</v>
      </c>
      <c r="D204" s="16" t="s">
        <v>3</v>
      </c>
      <c r="E204" s="16" t="s">
        <v>4485</v>
      </c>
      <c r="F204" s="16" t="s">
        <v>12586</v>
      </c>
      <c r="G204" s="16" t="s">
        <v>12587</v>
      </c>
      <c r="H204" s="16" t="s">
        <v>12588</v>
      </c>
      <c r="I204" s="16" t="s">
        <v>12589</v>
      </c>
      <c r="J204" s="16" t="s">
        <v>12590</v>
      </c>
      <c r="K204" s="16" t="s">
        <v>2143</v>
      </c>
      <c r="L204" s="16"/>
    </row>
    <row r="205">
      <c r="A205" s="16" t="s">
        <v>422</v>
      </c>
      <c r="B205" s="16" t="s">
        <v>4619</v>
      </c>
      <c r="C205" s="16" t="s">
        <v>4630</v>
      </c>
      <c r="D205" s="16" t="s">
        <v>3</v>
      </c>
      <c r="E205" s="16" t="s">
        <v>4634</v>
      </c>
      <c r="F205" s="16" t="s">
        <v>12586</v>
      </c>
      <c r="G205" s="16" t="s">
        <v>12587</v>
      </c>
      <c r="H205" s="16" t="s">
        <v>12588</v>
      </c>
      <c r="I205" s="16" t="s">
        <v>12589</v>
      </c>
      <c r="J205" s="16" t="s">
        <v>12590</v>
      </c>
      <c r="K205" s="16" t="s">
        <v>2143</v>
      </c>
      <c r="L205" s="16"/>
    </row>
    <row r="206">
      <c r="A206" s="16" t="s">
        <v>430</v>
      </c>
      <c r="B206" s="16" t="s">
        <v>4734</v>
      </c>
      <c r="C206" s="16" t="s">
        <v>4736</v>
      </c>
      <c r="D206" s="16" t="s">
        <v>3</v>
      </c>
      <c r="E206" s="16" t="s">
        <v>4738</v>
      </c>
      <c r="F206" s="16" t="s">
        <v>12586</v>
      </c>
      <c r="G206" s="16" t="s">
        <v>12587</v>
      </c>
      <c r="H206" s="16" t="s">
        <v>12588</v>
      </c>
      <c r="I206" s="16" t="s">
        <v>12589</v>
      </c>
      <c r="J206" s="16" t="s">
        <v>12590</v>
      </c>
      <c r="K206" s="16" t="s">
        <v>2143</v>
      </c>
      <c r="L206" s="16"/>
    </row>
    <row r="207">
      <c r="A207" s="16" t="s">
        <v>491</v>
      </c>
      <c r="B207" s="16" t="s">
        <v>4759</v>
      </c>
      <c r="C207" s="16" t="s">
        <v>4769</v>
      </c>
      <c r="D207" s="16" t="s">
        <v>3</v>
      </c>
      <c r="E207" s="16" t="s">
        <v>4771</v>
      </c>
      <c r="F207" s="16" t="s">
        <v>12586</v>
      </c>
      <c r="G207" s="16" t="s">
        <v>12587</v>
      </c>
      <c r="H207" s="16" t="s">
        <v>12588</v>
      </c>
      <c r="I207" s="16" t="s">
        <v>12589</v>
      </c>
      <c r="J207" s="16" t="s">
        <v>12590</v>
      </c>
      <c r="K207" s="16" t="s">
        <v>2143</v>
      </c>
      <c r="L207" s="16"/>
    </row>
    <row r="208">
      <c r="A208" s="16" t="s">
        <v>503</v>
      </c>
      <c r="B208" s="16" t="s">
        <v>4794</v>
      </c>
      <c r="C208" s="16" t="s">
        <v>4804</v>
      </c>
      <c r="D208" s="16" t="s">
        <v>3</v>
      </c>
      <c r="E208" s="16" t="s">
        <v>4806</v>
      </c>
      <c r="F208" s="16" t="s">
        <v>12586</v>
      </c>
      <c r="G208" s="16" t="s">
        <v>12587</v>
      </c>
      <c r="H208" s="16" t="s">
        <v>12588</v>
      </c>
      <c r="I208" s="16" t="s">
        <v>12589</v>
      </c>
      <c r="J208" s="16" t="s">
        <v>12590</v>
      </c>
      <c r="K208" s="16" t="s">
        <v>2143</v>
      </c>
      <c r="L208" s="16"/>
    </row>
    <row r="209">
      <c r="A209" s="16" t="s">
        <v>501</v>
      </c>
      <c r="B209" s="16" t="s">
        <v>4811</v>
      </c>
      <c r="C209" s="16" t="s">
        <v>4821</v>
      </c>
      <c r="D209" s="16" t="s">
        <v>3</v>
      </c>
      <c r="E209" s="16" t="s">
        <v>4823</v>
      </c>
      <c r="F209" s="16" t="s">
        <v>12586</v>
      </c>
      <c r="G209" s="16" t="s">
        <v>12587</v>
      </c>
      <c r="H209" s="16" t="s">
        <v>12588</v>
      </c>
      <c r="I209" s="16" t="s">
        <v>12589</v>
      </c>
      <c r="J209" s="16" t="s">
        <v>12590</v>
      </c>
      <c r="K209" s="16" t="s">
        <v>2143</v>
      </c>
      <c r="L209" s="16"/>
    </row>
    <row r="210">
      <c r="A210" s="16" t="s">
        <v>514</v>
      </c>
      <c r="B210" s="16" t="s">
        <v>4828</v>
      </c>
      <c r="C210" s="16" t="s">
        <v>4841</v>
      </c>
      <c r="D210" s="16" t="s">
        <v>3</v>
      </c>
      <c r="E210" s="16" t="s">
        <v>4843</v>
      </c>
      <c r="F210" s="16" t="s">
        <v>12586</v>
      </c>
      <c r="G210" s="16" t="s">
        <v>12587</v>
      </c>
      <c r="H210" s="16" t="s">
        <v>12588</v>
      </c>
      <c r="I210" s="16" t="s">
        <v>12589</v>
      </c>
      <c r="J210" s="16" t="s">
        <v>12590</v>
      </c>
      <c r="K210" s="16" t="s">
        <v>2143</v>
      </c>
      <c r="L210" s="16"/>
    </row>
    <row r="211">
      <c r="A211" s="16" t="s">
        <v>512</v>
      </c>
      <c r="B211" s="16" t="s">
        <v>4849</v>
      </c>
      <c r="C211" s="16" t="s">
        <v>4860</v>
      </c>
      <c r="D211" s="16" t="s">
        <v>3</v>
      </c>
      <c r="E211" s="16" t="s">
        <v>4862</v>
      </c>
      <c r="F211" s="16" t="s">
        <v>12586</v>
      </c>
      <c r="G211" s="16" t="s">
        <v>12587</v>
      </c>
      <c r="H211" s="16" t="s">
        <v>12588</v>
      </c>
      <c r="I211" s="16" t="s">
        <v>12589</v>
      </c>
      <c r="J211" s="16" t="s">
        <v>12590</v>
      </c>
      <c r="K211" s="16" t="s">
        <v>2143</v>
      </c>
      <c r="L211" s="16"/>
    </row>
    <row r="212">
      <c r="A212" s="16" t="s">
        <v>507</v>
      </c>
      <c r="B212" s="16" t="s">
        <v>4866</v>
      </c>
      <c r="C212" s="16" t="s">
        <v>4877</v>
      </c>
      <c r="D212" s="16" t="s">
        <v>3</v>
      </c>
      <c r="E212" s="16" t="s">
        <v>4879</v>
      </c>
      <c r="F212" s="16" t="s">
        <v>12586</v>
      </c>
      <c r="G212" s="16" t="s">
        <v>12587</v>
      </c>
      <c r="H212" s="16" t="s">
        <v>12588</v>
      </c>
      <c r="I212" s="16" t="s">
        <v>12589</v>
      </c>
      <c r="J212" s="16" t="s">
        <v>12590</v>
      </c>
      <c r="K212" s="16" t="s">
        <v>2143</v>
      </c>
      <c r="L212" s="16"/>
    </row>
    <row r="213">
      <c r="A213" s="16" t="s">
        <v>751</v>
      </c>
      <c r="B213" s="16" t="s">
        <v>6486</v>
      </c>
      <c r="C213" s="16" t="s">
        <v>6496</v>
      </c>
      <c r="D213" s="16" t="s">
        <v>3</v>
      </c>
      <c r="E213" s="16" t="s">
        <v>6499</v>
      </c>
      <c r="F213" s="16" t="s">
        <v>12586</v>
      </c>
      <c r="G213" s="16" t="s">
        <v>12587</v>
      </c>
      <c r="H213" s="16" t="s">
        <v>12588</v>
      </c>
      <c r="I213" s="16" t="s">
        <v>12589</v>
      </c>
      <c r="J213" s="16" t="s">
        <v>12590</v>
      </c>
      <c r="K213" s="16" t="s">
        <v>2143</v>
      </c>
      <c r="L213" s="16"/>
    </row>
    <row r="214">
      <c r="A214" s="16" t="s">
        <v>154</v>
      </c>
      <c r="B214" s="16" t="s">
        <v>3590</v>
      </c>
      <c r="C214" s="16"/>
      <c r="D214" s="16" t="s">
        <v>3</v>
      </c>
      <c r="E214" s="16" t="s">
        <v>3607</v>
      </c>
      <c r="F214" s="16" t="s">
        <v>12586</v>
      </c>
      <c r="G214" s="16" t="s">
        <v>12587</v>
      </c>
      <c r="H214" s="16" t="s">
        <v>12588</v>
      </c>
      <c r="I214" s="16" t="s">
        <v>12589</v>
      </c>
      <c r="J214" s="16" t="s">
        <v>12598</v>
      </c>
      <c r="K214" s="16" t="s">
        <v>2361</v>
      </c>
      <c r="L214" s="16"/>
    </row>
    <row r="215">
      <c r="A215" s="16" t="s">
        <v>246</v>
      </c>
      <c r="B215" s="16" t="s">
        <v>3992</v>
      </c>
      <c r="C215" s="16" t="s">
        <v>4003</v>
      </c>
      <c r="D215" s="16" t="s">
        <v>3</v>
      </c>
      <c r="E215" s="16" t="s">
        <v>4007</v>
      </c>
      <c r="F215" s="16" t="s">
        <v>12586</v>
      </c>
      <c r="G215" s="16" t="s">
        <v>12587</v>
      </c>
      <c r="H215" s="16" t="s">
        <v>12588</v>
      </c>
      <c r="I215" s="16" t="s">
        <v>12589</v>
      </c>
      <c r="J215" s="16" t="s">
        <v>12598</v>
      </c>
      <c r="K215" s="16" t="s">
        <v>2361</v>
      </c>
      <c r="L215" s="16"/>
    </row>
    <row r="216">
      <c r="A216" s="16" t="s">
        <v>348</v>
      </c>
      <c r="B216" s="16" t="s">
        <v>4339</v>
      </c>
      <c r="C216" s="16" t="s">
        <v>4353</v>
      </c>
      <c r="D216" s="16" t="s">
        <v>3</v>
      </c>
      <c r="E216" s="16" t="s">
        <v>4355</v>
      </c>
      <c r="F216" s="16" t="s">
        <v>12586</v>
      </c>
      <c r="G216" s="16" t="s">
        <v>12587</v>
      </c>
      <c r="H216" s="16" t="s">
        <v>12588</v>
      </c>
      <c r="I216" s="16" t="s">
        <v>12589</v>
      </c>
      <c r="J216" s="16" t="s">
        <v>12598</v>
      </c>
      <c r="K216" s="16" t="s">
        <v>2361</v>
      </c>
      <c r="L216" s="16"/>
    </row>
    <row r="217">
      <c r="A217" s="16" t="s">
        <v>420</v>
      </c>
      <c r="B217" s="16" t="s">
        <v>4717</v>
      </c>
      <c r="C217" s="16"/>
      <c r="D217" s="16" t="s">
        <v>3</v>
      </c>
      <c r="E217" s="16" t="s">
        <v>4730</v>
      </c>
      <c r="F217" s="16" t="s">
        <v>12586</v>
      </c>
      <c r="G217" s="16" t="s">
        <v>12587</v>
      </c>
      <c r="H217" s="16" t="s">
        <v>12588</v>
      </c>
      <c r="I217" s="16" t="s">
        <v>12589</v>
      </c>
      <c r="J217" s="16" t="s">
        <v>12598</v>
      </c>
      <c r="K217" s="16" t="s">
        <v>2361</v>
      </c>
      <c r="L217" s="16"/>
    </row>
    <row r="218">
      <c r="A218" s="16" t="s">
        <v>773</v>
      </c>
      <c r="B218" s="16" t="s">
        <v>6291</v>
      </c>
      <c r="C218" s="16"/>
      <c r="D218" s="16" t="s">
        <v>3</v>
      </c>
      <c r="E218" s="16" t="s">
        <v>6301</v>
      </c>
      <c r="F218" s="16" t="s">
        <v>12586</v>
      </c>
      <c r="G218" s="16" t="s">
        <v>12587</v>
      </c>
      <c r="H218" s="16" t="s">
        <v>12588</v>
      </c>
      <c r="I218" s="16" t="s">
        <v>12589</v>
      </c>
      <c r="J218" s="16" t="s">
        <v>12598</v>
      </c>
      <c r="K218" s="16" t="s">
        <v>2361</v>
      </c>
      <c r="L218" s="16"/>
    </row>
    <row r="219">
      <c r="A219" s="16" t="s">
        <v>13432</v>
      </c>
      <c r="B219" s="16" t="s">
        <v>13433</v>
      </c>
      <c r="C219" s="16"/>
      <c r="D219" s="16" t="s">
        <v>12658</v>
      </c>
      <c r="E219" s="16" t="s">
        <v>13434</v>
      </c>
      <c r="F219" s="16" t="s">
        <v>12660</v>
      </c>
      <c r="G219" s="16" t="s">
        <v>12661</v>
      </c>
      <c r="H219" s="16" t="s">
        <v>12662</v>
      </c>
      <c r="I219" s="16" t="s">
        <v>13435</v>
      </c>
      <c r="J219" s="16" t="s">
        <v>13436</v>
      </c>
      <c r="K219" s="16" t="s">
        <v>13437</v>
      </c>
      <c r="L219" s="16"/>
    </row>
    <row r="220">
      <c r="A220" s="16" t="s">
        <v>13438</v>
      </c>
      <c r="B220" s="16" t="s">
        <v>13439</v>
      </c>
      <c r="C220" s="16" t="s">
        <v>13440</v>
      </c>
      <c r="D220" s="16" t="s">
        <v>12658</v>
      </c>
      <c r="E220" s="16" t="s">
        <v>13441</v>
      </c>
      <c r="F220" s="16" t="s">
        <v>12660</v>
      </c>
      <c r="G220" s="16" t="s">
        <v>12661</v>
      </c>
      <c r="H220" s="16" t="s">
        <v>12662</v>
      </c>
      <c r="I220" s="16" t="s">
        <v>13435</v>
      </c>
      <c r="J220" s="16" t="s">
        <v>13436</v>
      </c>
      <c r="K220" s="16" t="s">
        <v>13437</v>
      </c>
      <c r="L220" s="16"/>
    </row>
    <row r="221">
      <c r="A221" s="16" t="s">
        <v>13442</v>
      </c>
      <c r="B221" s="16" t="s">
        <v>13443</v>
      </c>
      <c r="C221" s="16" t="s">
        <v>13444</v>
      </c>
      <c r="D221" s="16" t="s">
        <v>12658</v>
      </c>
      <c r="E221" s="16" t="s">
        <v>13445</v>
      </c>
      <c r="F221" s="16" t="s">
        <v>12660</v>
      </c>
      <c r="G221" s="16" t="s">
        <v>12661</v>
      </c>
      <c r="H221" s="16" t="s">
        <v>12662</v>
      </c>
      <c r="I221" s="16" t="s">
        <v>13435</v>
      </c>
      <c r="J221" s="16" t="s">
        <v>13436</v>
      </c>
      <c r="K221" s="16" t="s">
        <v>13446</v>
      </c>
      <c r="L221" s="16"/>
    </row>
    <row r="222">
      <c r="A222" s="16" t="s">
        <v>809</v>
      </c>
      <c r="B222" s="16" t="s">
        <v>5960</v>
      </c>
      <c r="C222" s="16" t="s">
        <v>5971</v>
      </c>
      <c r="D222" s="16" t="s">
        <v>3</v>
      </c>
      <c r="E222" s="16" t="s">
        <v>5973</v>
      </c>
      <c r="F222" s="16" t="s">
        <v>12586</v>
      </c>
      <c r="G222" s="16" t="s">
        <v>12587</v>
      </c>
      <c r="H222" s="16" t="s">
        <v>12588</v>
      </c>
      <c r="I222" s="16" t="s">
        <v>12589</v>
      </c>
      <c r="J222" s="16" t="s">
        <v>12638</v>
      </c>
      <c r="K222" s="16" t="s">
        <v>2517</v>
      </c>
      <c r="L222" s="16"/>
    </row>
    <row r="223">
      <c r="A223" s="16" t="s">
        <v>99</v>
      </c>
      <c r="B223" s="16" t="s">
        <v>3405</v>
      </c>
      <c r="C223" s="16" t="s">
        <v>3422</v>
      </c>
      <c r="D223" s="16" t="s">
        <v>3</v>
      </c>
      <c r="E223" s="16" t="s">
        <v>3426</v>
      </c>
      <c r="F223" s="16" t="s">
        <v>12586</v>
      </c>
      <c r="G223" s="16" t="s">
        <v>12587</v>
      </c>
      <c r="H223" s="16" t="s">
        <v>12588</v>
      </c>
      <c r="I223" s="16" t="s">
        <v>12589</v>
      </c>
      <c r="J223" s="16" t="s">
        <v>12593</v>
      </c>
      <c r="K223" s="16" t="s">
        <v>2289</v>
      </c>
      <c r="L223" s="16"/>
    </row>
    <row r="224">
      <c r="A224" s="16" t="s">
        <v>579</v>
      </c>
      <c r="B224" s="16" t="s">
        <v>5086</v>
      </c>
      <c r="C224" s="16" t="s">
        <v>5095</v>
      </c>
      <c r="D224" s="16" t="s">
        <v>3</v>
      </c>
      <c r="E224" s="16" t="s">
        <v>5099</v>
      </c>
      <c r="F224" s="16" t="s">
        <v>12586</v>
      </c>
      <c r="G224" s="16" t="s">
        <v>12587</v>
      </c>
      <c r="H224" s="16" t="s">
        <v>12588</v>
      </c>
      <c r="I224" s="16" t="s">
        <v>12589</v>
      </c>
      <c r="J224" s="16" t="s">
        <v>12648</v>
      </c>
      <c r="K224" s="16" t="s">
        <v>2654</v>
      </c>
      <c r="L224" s="16"/>
    </row>
    <row r="225">
      <c r="A225" s="16" t="s">
        <v>338</v>
      </c>
      <c r="B225" s="16" t="s">
        <v>4210</v>
      </c>
      <c r="C225" s="16" t="s">
        <v>4219</v>
      </c>
      <c r="D225" s="16" t="s">
        <v>3</v>
      </c>
      <c r="E225" s="16" t="s">
        <v>4221</v>
      </c>
      <c r="F225" s="16" t="s">
        <v>12586</v>
      </c>
      <c r="G225" s="16" t="s">
        <v>12587</v>
      </c>
      <c r="H225" s="16" t="s">
        <v>12588</v>
      </c>
      <c r="I225" s="16" t="s">
        <v>12589</v>
      </c>
      <c r="J225" s="16" t="s">
        <v>12600</v>
      </c>
      <c r="K225" s="16" t="s">
        <v>2221</v>
      </c>
      <c r="L225" s="16"/>
    </row>
    <row r="226">
      <c r="A226" s="16" t="s">
        <v>336</v>
      </c>
      <c r="B226" s="16" t="s">
        <v>4227</v>
      </c>
      <c r="C226" s="16" t="s">
        <v>4243</v>
      </c>
      <c r="D226" s="16" t="s">
        <v>3</v>
      </c>
      <c r="E226" s="16" t="s">
        <v>4245</v>
      </c>
      <c r="F226" s="16" t="s">
        <v>12586</v>
      </c>
      <c r="G226" s="16" t="s">
        <v>12587</v>
      </c>
      <c r="H226" s="16" t="s">
        <v>12588</v>
      </c>
      <c r="I226" s="16" t="s">
        <v>12589</v>
      </c>
      <c r="J226" s="16" t="s">
        <v>12600</v>
      </c>
      <c r="K226" s="16" t="s">
        <v>2221</v>
      </c>
      <c r="L226" s="16"/>
    </row>
    <row r="227">
      <c r="A227" s="16" t="s">
        <v>319</v>
      </c>
      <c r="B227" s="16" t="s">
        <v>4251</v>
      </c>
      <c r="C227" s="16"/>
      <c r="D227" s="16" t="s">
        <v>3</v>
      </c>
      <c r="E227" s="16" t="s">
        <v>4264</v>
      </c>
      <c r="F227" s="16" t="s">
        <v>12586</v>
      </c>
      <c r="G227" s="16" t="s">
        <v>12587</v>
      </c>
      <c r="H227" s="16" t="s">
        <v>12588</v>
      </c>
      <c r="I227" s="16" t="s">
        <v>12589</v>
      </c>
      <c r="J227" s="16" t="s">
        <v>12600</v>
      </c>
      <c r="K227" s="16" t="s">
        <v>2221</v>
      </c>
      <c r="L227" s="16"/>
    </row>
    <row r="228">
      <c r="A228" s="16" t="s">
        <v>331</v>
      </c>
      <c r="B228" s="16" t="s">
        <v>4286</v>
      </c>
      <c r="C228" s="16" t="s">
        <v>4290</v>
      </c>
      <c r="D228" s="16" t="s">
        <v>3</v>
      </c>
      <c r="E228" s="16" t="s">
        <v>4292</v>
      </c>
      <c r="F228" s="16" t="s">
        <v>12586</v>
      </c>
      <c r="G228" s="16" t="s">
        <v>12587</v>
      </c>
      <c r="H228" s="16" t="s">
        <v>12588</v>
      </c>
      <c r="I228" s="16" t="s">
        <v>12589</v>
      </c>
      <c r="J228" s="16" t="s">
        <v>12600</v>
      </c>
      <c r="K228" s="16" t="s">
        <v>2221</v>
      </c>
      <c r="L228" s="16"/>
    </row>
    <row r="229">
      <c r="A229" s="16" t="s">
        <v>405</v>
      </c>
      <c r="B229" s="16" t="s">
        <v>4516</v>
      </c>
      <c r="C229" s="16" t="s">
        <v>4526</v>
      </c>
      <c r="D229" s="16" t="s">
        <v>3</v>
      </c>
      <c r="E229" s="16" t="s">
        <v>4528</v>
      </c>
      <c r="F229" s="16" t="s">
        <v>12586</v>
      </c>
      <c r="G229" s="16" t="s">
        <v>12587</v>
      </c>
      <c r="H229" s="16" t="s">
        <v>12588</v>
      </c>
      <c r="I229" s="16" t="s">
        <v>12589</v>
      </c>
      <c r="J229" s="16" t="s">
        <v>12600</v>
      </c>
      <c r="K229" s="16" t="s">
        <v>2221</v>
      </c>
      <c r="L229" s="16"/>
    </row>
    <row r="230">
      <c r="A230" s="16" t="s">
        <v>399</v>
      </c>
      <c r="B230" s="16" t="s">
        <v>4565</v>
      </c>
      <c r="C230" s="16" t="s">
        <v>4571</v>
      </c>
      <c r="D230" s="16" t="s">
        <v>3</v>
      </c>
      <c r="E230" s="16" t="s">
        <v>4573</v>
      </c>
      <c r="F230" s="16" t="s">
        <v>12586</v>
      </c>
      <c r="G230" s="16" t="s">
        <v>12587</v>
      </c>
      <c r="H230" s="16" t="s">
        <v>12588</v>
      </c>
      <c r="I230" s="16" t="s">
        <v>12589</v>
      </c>
      <c r="J230" s="16" t="s">
        <v>12600</v>
      </c>
      <c r="K230" s="16" t="s">
        <v>2221</v>
      </c>
      <c r="L230" s="16"/>
    </row>
    <row r="231">
      <c r="A231" s="16" t="s">
        <v>585</v>
      </c>
      <c r="B231" s="16" t="s">
        <v>5104</v>
      </c>
      <c r="C231" s="16" t="s">
        <v>5114</v>
      </c>
      <c r="D231" s="16" t="s">
        <v>3</v>
      </c>
      <c r="E231" s="16" t="s">
        <v>5116</v>
      </c>
      <c r="F231" s="16" t="s">
        <v>12586</v>
      </c>
      <c r="G231" s="16" t="s">
        <v>12587</v>
      </c>
      <c r="H231" s="16" t="s">
        <v>12588</v>
      </c>
      <c r="I231" s="16" t="s">
        <v>12589</v>
      </c>
      <c r="J231" s="16" t="s">
        <v>12600</v>
      </c>
      <c r="K231" s="16" t="s">
        <v>2221</v>
      </c>
      <c r="L231" s="16"/>
    </row>
    <row r="232">
      <c r="A232" s="16" t="s">
        <v>616</v>
      </c>
      <c r="B232" s="16" t="s">
        <v>5283</v>
      </c>
      <c r="C232" s="16" t="s">
        <v>5292</v>
      </c>
      <c r="D232" s="16" t="s">
        <v>3</v>
      </c>
      <c r="E232" s="16" t="s">
        <v>5294</v>
      </c>
      <c r="F232" s="16" t="s">
        <v>12586</v>
      </c>
      <c r="G232" s="16" t="s">
        <v>12587</v>
      </c>
      <c r="H232" s="16" t="s">
        <v>12588</v>
      </c>
      <c r="I232" s="16" t="s">
        <v>12589</v>
      </c>
      <c r="J232" s="16" t="s">
        <v>12600</v>
      </c>
      <c r="K232" s="16" t="s">
        <v>2221</v>
      </c>
      <c r="L232" s="16"/>
    </row>
    <row r="233">
      <c r="A233" s="16" t="s">
        <v>849</v>
      </c>
      <c r="B233" s="16" t="s">
        <v>5619</v>
      </c>
      <c r="C233" s="16"/>
      <c r="D233" s="16" t="s">
        <v>3</v>
      </c>
      <c r="E233" s="16" t="s">
        <v>5630</v>
      </c>
      <c r="F233" s="16" t="s">
        <v>12586</v>
      </c>
      <c r="G233" s="16" t="s">
        <v>12587</v>
      </c>
      <c r="H233" s="16" t="s">
        <v>12588</v>
      </c>
      <c r="I233" s="16" t="s">
        <v>12589</v>
      </c>
      <c r="J233" s="16" t="s">
        <v>12600</v>
      </c>
      <c r="K233" s="16" t="s">
        <v>2221</v>
      </c>
      <c r="L233" s="16"/>
    </row>
    <row r="234">
      <c r="A234" s="16" t="s">
        <v>833</v>
      </c>
      <c r="B234" s="16" t="s">
        <v>5687</v>
      </c>
      <c r="C234" s="16" t="s">
        <v>5695</v>
      </c>
      <c r="D234" s="16" t="s">
        <v>3</v>
      </c>
      <c r="E234" s="16" t="s">
        <v>5697</v>
      </c>
      <c r="F234" s="16" t="s">
        <v>12586</v>
      </c>
      <c r="G234" s="16" t="s">
        <v>12587</v>
      </c>
      <c r="H234" s="16" t="s">
        <v>12588</v>
      </c>
      <c r="I234" s="16" t="s">
        <v>12589</v>
      </c>
      <c r="J234" s="16" t="s">
        <v>12600</v>
      </c>
      <c r="K234" s="16" t="s">
        <v>2221</v>
      </c>
      <c r="L234" s="16"/>
    </row>
    <row r="235">
      <c r="A235" s="16" t="s">
        <v>835</v>
      </c>
      <c r="B235" s="16" t="s">
        <v>5732</v>
      </c>
      <c r="C235" s="16" t="s">
        <v>5741</v>
      </c>
      <c r="D235" s="16" t="s">
        <v>3</v>
      </c>
      <c r="E235" s="16" t="s">
        <v>5743</v>
      </c>
      <c r="F235" s="16" t="s">
        <v>12586</v>
      </c>
      <c r="G235" s="16" t="s">
        <v>12587</v>
      </c>
      <c r="H235" s="16" t="s">
        <v>12588</v>
      </c>
      <c r="I235" s="16" t="s">
        <v>12589</v>
      </c>
      <c r="J235" s="16" t="s">
        <v>12600</v>
      </c>
      <c r="K235" s="16" t="s">
        <v>2221</v>
      </c>
      <c r="L235" s="16"/>
    </row>
    <row r="236">
      <c r="A236" s="16" t="s">
        <v>781</v>
      </c>
      <c r="B236" s="16" t="s">
        <v>6244</v>
      </c>
      <c r="C236" s="16" t="s">
        <v>6253</v>
      </c>
      <c r="D236" s="16" t="s">
        <v>3</v>
      </c>
      <c r="E236" s="16" t="s">
        <v>6255</v>
      </c>
      <c r="F236" s="16" t="s">
        <v>12586</v>
      </c>
      <c r="G236" s="16" t="s">
        <v>12587</v>
      </c>
      <c r="H236" s="16" t="s">
        <v>12588</v>
      </c>
      <c r="I236" s="16" t="s">
        <v>12589</v>
      </c>
      <c r="J236" s="16" t="s">
        <v>12600</v>
      </c>
      <c r="K236" s="16" t="s">
        <v>2221</v>
      </c>
      <c r="L236" s="16"/>
    </row>
    <row r="237">
      <c r="A237" s="16" t="s">
        <v>783</v>
      </c>
      <c r="B237" s="16" t="s">
        <v>6260</v>
      </c>
      <c r="C237" s="16" t="s">
        <v>6270</v>
      </c>
      <c r="D237" s="16" t="s">
        <v>3</v>
      </c>
      <c r="E237" s="16" t="s">
        <v>6271</v>
      </c>
      <c r="F237" s="16" t="s">
        <v>12586</v>
      </c>
      <c r="G237" s="16" t="s">
        <v>12587</v>
      </c>
      <c r="H237" s="16" t="s">
        <v>12588</v>
      </c>
      <c r="I237" s="16" t="s">
        <v>12589</v>
      </c>
      <c r="J237" s="16" t="s">
        <v>12600</v>
      </c>
      <c r="K237" s="16" t="s">
        <v>2221</v>
      </c>
      <c r="L237" s="16"/>
    </row>
    <row r="238">
      <c r="A238" s="16" t="s">
        <v>775</v>
      </c>
      <c r="B238" s="16" t="s">
        <v>6306</v>
      </c>
      <c r="C238" s="16" t="s">
        <v>6314</v>
      </c>
      <c r="D238" s="16" t="s">
        <v>3</v>
      </c>
      <c r="E238" s="16" t="s">
        <v>6316</v>
      </c>
      <c r="F238" s="16" t="s">
        <v>12586</v>
      </c>
      <c r="G238" s="16" t="s">
        <v>12587</v>
      </c>
      <c r="H238" s="16" t="s">
        <v>12588</v>
      </c>
      <c r="I238" s="16" t="s">
        <v>12589</v>
      </c>
      <c r="J238" s="16" t="s">
        <v>12600</v>
      </c>
      <c r="K238" s="16" t="s">
        <v>2221</v>
      </c>
      <c r="L238" s="16"/>
    </row>
    <row r="239">
      <c r="A239" s="16" t="s">
        <v>765</v>
      </c>
      <c r="B239" s="16" t="s">
        <v>6333</v>
      </c>
      <c r="C239" s="16" t="s">
        <v>6341</v>
      </c>
      <c r="D239" s="16" t="s">
        <v>3</v>
      </c>
      <c r="E239" s="16" t="s">
        <v>6343</v>
      </c>
      <c r="F239" s="16" t="s">
        <v>12586</v>
      </c>
      <c r="G239" s="16" t="s">
        <v>12587</v>
      </c>
      <c r="H239" s="16" t="s">
        <v>12588</v>
      </c>
      <c r="I239" s="16" t="s">
        <v>12589</v>
      </c>
      <c r="J239" s="16" t="s">
        <v>12600</v>
      </c>
      <c r="K239" s="16" t="s">
        <v>2221</v>
      </c>
      <c r="L239" s="16"/>
    </row>
    <row r="240">
      <c r="A240" s="16" t="s">
        <v>753</v>
      </c>
      <c r="B240" s="16" t="s">
        <v>6426</v>
      </c>
      <c r="C240" s="16" t="s">
        <v>6436</v>
      </c>
      <c r="D240" s="16" t="s">
        <v>3</v>
      </c>
      <c r="E240" s="16" t="s">
        <v>6438</v>
      </c>
      <c r="F240" s="16" t="s">
        <v>12586</v>
      </c>
      <c r="G240" s="16" t="s">
        <v>12587</v>
      </c>
      <c r="H240" s="16" t="s">
        <v>12588</v>
      </c>
      <c r="I240" s="16" t="s">
        <v>12589</v>
      </c>
      <c r="J240" s="16" t="s">
        <v>12600</v>
      </c>
      <c r="K240" s="16" t="s">
        <v>2221</v>
      </c>
      <c r="L240" s="16"/>
    </row>
    <row r="241">
      <c r="A241" s="16" t="s">
        <v>710</v>
      </c>
      <c r="B241" s="16" t="s">
        <v>6660</v>
      </c>
      <c r="C241" s="16" t="s">
        <v>6663</v>
      </c>
      <c r="D241" s="16" t="s">
        <v>3</v>
      </c>
      <c r="E241" s="16" t="s">
        <v>6665</v>
      </c>
      <c r="F241" s="16" t="s">
        <v>12586</v>
      </c>
      <c r="G241" s="16" t="s">
        <v>12587</v>
      </c>
      <c r="H241" s="16" t="s">
        <v>12588</v>
      </c>
      <c r="I241" s="16" t="s">
        <v>12589</v>
      </c>
      <c r="J241" s="16" t="s">
        <v>12600</v>
      </c>
      <c r="K241" s="16" t="s">
        <v>2221</v>
      </c>
      <c r="L241" s="16"/>
    </row>
    <row r="242">
      <c r="A242" s="16" t="s">
        <v>868</v>
      </c>
      <c r="B242" s="16" t="s">
        <v>5380</v>
      </c>
      <c r="C242" s="16" t="s">
        <v>5394</v>
      </c>
      <c r="D242" s="16" t="s">
        <v>3</v>
      </c>
      <c r="E242" s="16" t="s">
        <v>5396</v>
      </c>
      <c r="F242" s="16" t="s">
        <v>12586</v>
      </c>
      <c r="G242" s="16" t="s">
        <v>12587</v>
      </c>
      <c r="H242" s="16" t="s">
        <v>12588</v>
      </c>
      <c r="I242" s="16" t="s">
        <v>12589</v>
      </c>
      <c r="J242" s="16" t="s">
        <v>12600</v>
      </c>
      <c r="K242" s="16" t="s">
        <v>2700</v>
      </c>
      <c r="L242" s="16"/>
    </row>
    <row r="243">
      <c r="A243" s="16" t="s">
        <v>865</v>
      </c>
      <c r="B243" s="16" t="s">
        <v>5402</v>
      </c>
      <c r="C243" s="16" t="s">
        <v>5415</v>
      </c>
      <c r="D243" s="16" t="s">
        <v>3</v>
      </c>
      <c r="E243" s="16" t="s">
        <v>5417</v>
      </c>
      <c r="F243" s="16" t="s">
        <v>12586</v>
      </c>
      <c r="G243" s="16" t="s">
        <v>12587</v>
      </c>
      <c r="H243" s="16" t="s">
        <v>12588</v>
      </c>
      <c r="I243" s="16" t="s">
        <v>12589</v>
      </c>
      <c r="J243" s="16" t="s">
        <v>12600</v>
      </c>
      <c r="K243" s="16" t="s">
        <v>2700</v>
      </c>
      <c r="L243" s="16"/>
    </row>
    <row r="244">
      <c r="A244" s="16" t="s">
        <v>872</v>
      </c>
      <c r="B244" s="16" t="s">
        <v>5464</v>
      </c>
      <c r="C244" s="16" t="s">
        <v>5471</v>
      </c>
      <c r="D244" s="16" t="s">
        <v>3</v>
      </c>
      <c r="E244" s="16" t="s">
        <v>5473</v>
      </c>
      <c r="F244" s="16" t="s">
        <v>12586</v>
      </c>
      <c r="G244" s="16" t="s">
        <v>12587</v>
      </c>
      <c r="H244" s="16" t="s">
        <v>12588</v>
      </c>
      <c r="I244" s="16" t="s">
        <v>12589</v>
      </c>
      <c r="J244" s="16" t="s">
        <v>12600</v>
      </c>
      <c r="K244" s="16" t="s">
        <v>2700</v>
      </c>
      <c r="L244" s="16"/>
    </row>
    <row r="245">
      <c r="A245" s="16" t="s">
        <v>583</v>
      </c>
      <c r="B245" s="16" t="s">
        <v>5041</v>
      </c>
      <c r="C245" s="16" t="s">
        <v>5057</v>
      </c>
      <c r="D245" s="16" t="s">
        <v>3</v>
      </c>
      <c r="E245" s="16" t="s">
        <v>5061</v>
      </c>
      <c r="F245" s="16" t="s">
        <v>12586</v>
      </c>
      <c r="G245" s="16" t="s">
        <v>12587</v>
      </c>
      <c r="H245" s="16" t="s">
        <v>12588</v>
      </c>
      <c r="I245" s="16" t="s">
        <v>12589</v>
      </c>
      <c r="J245" s="16" t="s">
        <v>12600</v>
      </c>
      <c r="K245" s="16" t="s">
        <v>2401</v>
      </c>
      <c r="L245" s="16"/>
    </row>
    <row r="246">
      <c r="A246" s="16" t="s">
        <v>837</v>
      </c>
      <c r="B246" s="16" t="s">
        <v>5717</v>
      </c>
      <c r="C246" s="16" t="s">
        <v>5726</v>
      </c>
      <c r="D246" s="16" t="s">
        <v>3</v>
      </c>
      <c r="E246" s="16" t="s">
        <v>5727</v>
      </c>
      <c r="F246" s="16" t="s">
        <v>12586</v>
      </c>
      <c r="G246" s="16" t="s">
        <v>12587</v>
      </c>
      <c r="H246" s="16" t="s">
        <v>12588</v>
      </c>
      <c r="I246" s="16" t="s">
        <v>12589</v>
      </c>
      <c r="J246" s="16" t="s">
        <v>12600</v>
      </c>
      <c r="K246" s="16" t="s">
        <v>2401</v>
      </c>
      <c r="L246" s="16"/>
    </row>
    <row r="247">
      <c r="A247" s="16" t="s">
        <v>825</v>
      </c>
      <c r="B247" s="16" t="s">
        <v>5893</v>
      </c>
      <c r="C247" s="16"/>
      <c r="D247" s="16" t="s">
        <v>3</v>
      </c>
      <c r="E247" s="16" t="s">
        <v>5900</v>
      </c>
      <c r="F247" s="16" t="s">
        <v>12586</v>
      </c>
      <c r="G247" s="16" t="s">
        <v>12587</v>
      </c>
      <c r="H247" s="16" t="s">
        <v>12588</v>
      </c>
      <c r="I247" s="16" t="s">
        <v>12589</v>
      </c>
      <c r="J247" s="16" t="s">
        <v>12600</v>
      </c>
      <c r="K247" s="16" t="s">
        <v>2401</v>
      </c>
      <c r="L247" s="16"/>
    </row>
    <row r="248">
      <c r="A248" s="16" t="s">
        <v>827</v>
      </c>
      <c r="B248" s="16" t="s">
        <v>5862</v>
      </c>
      <c r="C248" s="16" t="s">
        <v>5871</v>
      </c>
      <c r="D248" s="16" t="s">
        <v>3</v>
      </c>
      <c r="E248" s="16" t="s">
        <v>5873</v>
      </c>
      <c r="F248" s="16" t="s">
        <v>12586</v>
      </c>
      <c r="G248" s="16" t="s">
        <v>12587</v>
      </c>
      <c r="H248" s="16" t="s">
        <v>12588</v>
      </c>
      <c r="I248" s="16" t="s">
        <v>12589</v>
      </c>
      <c r="J248" s="16" t="s">
        <v>12600</v>
      </c>
      <c r="K248" s="16" t="s">
        <v>2460</v>
      </c>
      <c r="L248" s="16"/>
    </row>
    <row r="249">
      <c r="A249" s="16" t="s">
        <v>622</v>
      </c>
      <c r="B249" s="16" t="s">
        <v>5250</v>
      </c>
      <c r="C249" s="16" t="s">
        <v>5259</v>
      </c>
      <c r="D249" s="16" t="s">
        <v>3</v>
      </c>
      <c r="E249" s="16" t="s">
        <v>5261</v>
      </c>
      <c r="F249" s="16" t="s">
        <v>12586</v>
      </c>
      <c r="G249" s="16" t="s">
        <v>12587</v>
      </c>
      <c r="H249" s="16" t="s">
        <v>12588</v>
      </c>
      <c r="I249" s="16" t="s">
        <v>12589</v>
      </c>
      <c r="J249" s="16" t="s">
        <v>12600</v>
      </c>
      <c r="K249" s="16" t="s">
        <v>2329</v>
      </c>
      <c r="L249" s="16"/>
    </row>
    <row r="250">
      <c r="A250" s="16" t="s">
        <v>94</v>
      </c>
      <c r="B250" s="16" t="s">
        <v>3431</v>
      </c>
      <c r="C250" s="16" t="s">
        <v>3441</v>
      </c>
      <c r="D250" s="16" t="s">
        <v>3</v>
      </c>
      <c r="E250" s="16" t="s">
        <v>3446</v>
      </c>
      <c r="F250" s="16" t="s">
        <v>12586</v>
      </c>
      <c r="G250" s="16" t="s">
        <v>12587</v>
      </c>
      <c r="H250" s="16" t="s">
        <v>12588</v>
      </c>
      <c r="I250" s="16" t="s">
        <v>12589</v>
      </c>
      <c r="J250" s="16" t="s">
        <v>12600</v>
      </c>
      <c r="K250" s="16" t="s">
        <v>2166</v>
      </c>
      <c r="L250" s="16"/>
    </row>
    <row r="251">
      <c r="A251" s="16" t="s">
        <v>196</v>
      </c>
      <c r="B251" s="16" t="s">
        <v>3729</v>
      </c>
      <c r="C251" s="16" t="s">
        <v>3742</v>
      </c>
      <c r="D251" s="16" t="s">
        <v>3</v>
      </c>
      <c r="E251" s="16" t="s">
        <v>3744</v>
      </c>
      <c r="F251" s="16" t="s">
        <v>12586</v>
      </c>
      <c r="G251" s="16" t="s">
        <v>12587</v>
      </c>
      <c r="H251" s="16" t="s">
        <v>12588</v>
      </c>
      <c r="I251" s="16" t="s">
        <v>12589</v>
      </c>
      <c r="J251" s="16" t="s">
        <v>12600</v>
      </c>
      <c r="K251" s="16" t="s">
        <v>2166</v>
      </c>
      <c r="L251" s="16"/>
    </row>
    <row r="252">
      <c r="A252" s="16" t="s">
        <v>186</v>
      </c>
      <c r="B252" s="16" t="s">
        <v>3833</v>
      </c>
      <c r="C252" s="16" t="s">
        <v>3850</v>
      </c>
      <c r="D252" s="16" t="s">
        <v>3</v>
      </c>
      <c r="E252" s="16" t="s">
        <v>3852</v>
      </c>
      <c r="F252" s="16" t="s">
        <v>12586</v>
      </c>
      <c r="G252" s="16" t="s">
        <v>12587</v>
      </c>
      <c r="H252" s="16" t="s">
        <v>12588</v>
      </c>
      <c r="I252" s="16" t="s">
        <v>12589</v>
      </c>
      <c r="J252" s="16" t="s">
        <v>12600</v>
      </c>
      <c r="K252" s="16" t="s">
        <v>2166</v>
      </c>
      <c r="L252" s="16"/>
    </row>
    <row r="253">
      <c r="A253" s="16" t="s">
        <v>183</v>
      </c>
      <c r="B253" s="16" t="s">
        <v>3858</v>
      </c>
      <c r="C253" s="16" t="s">
        <v>3871</v>
      </c>
      <c r="D253" s="16" t="s">
        <v>3</v>
      </c>
      <c r="E253" s="16" t="s">
        <v>3874</v>
      </c>
      <c r="F253" s="16" t="s">
        <v>12586</v>
      </c>
      <c r="G253" s="16" t="s">
        <v>12587</v>
      </c>
      <c r="H253" s="16" t="s">
        <v>12588</v>
      </c>
      <c r="I253" s="16" t="s">
        <v>12589</v>
      </c>
      <c r="J253" s="16" t="s">
        <v>12600</v>
      </c>
      <c r="K253" s="16" t="s">
        <v>2166</v>
      </c>
      <c r="L253" s="16"/>
    </row>
    <row r="254">
      <c r="A254" s="16" t="s">
        <v>256</v>
      </c>
      <c r="B254" s="16" t="s">
        <v>4113</v>
      </c>
      <c r="C254" s="16" t="s">
        <v>4118</v>
      </c>
      <c r="D254" s="16" t="s">
        <v>3</v>
      </c>
      <c r="E254" s="16" t="s">
        <v>4120</v>
      </c>
      <c r="F254" s="16" t="s">
        <v>12586</v>
      </c>
      <c r="G254" s="16" t="s">
        <v>12587</v>
      </c>
      <c r="H254" s="16" t="s">
        <v>12588</v>
      </c>
      <c r="I254" s="16" t="s">
        <v>12589</v>
      </c>
      <c r="J254" s="16" t="s">
        <v>12600</v>
      </c>
      <c r="K254" s="16" t="s">
        <v>2166</v>
      </c>
      <c r="L254" s="16"/>
    </row>
    <row r="255">
      <c r="A255" s="16" t="s">
        <v>564</v>
      </c>
      <c r="B255" s="16" t="s">
        <v>4974</v>
      </c>
      <c r="C255" s="16" t="s">
        <v>4981</v>
      </c>
      <c r="D255" s="16" t="s">
        <v>3</v>
      </c>
      <c r="E255" s="16" t="s">
        <v>4983</v>
      </c>
      <c r="F255" s="16" t="s">
        <v>12586</v>
      </c>
      <c r="G255" s="16" t="s">
        <v>12587</v>
      </c>
      <c r="H255" s="16" t="s">
        <v>12588</v>
      </c>
      <c r="I255" s="16" t="s">
        <v>12589</v>
      </c>
      <c r="J255" s="16" t="s">
        <v>12600</v>
      </c>
      <c r="K255" s="16" t="s">
        <v>2166</v>
      </c>
      <c r="L255" s="16"/>
    </row>
    <row r="256">
      <c r="A256" s="16" t="s">
        <v>592</v>
      </c>
      <c r="B256" s="16" t="s">
        <v>5323</v>
      </c>
      <c r="C256" s="16" t="s">
        <v>5328</v>
      </c>
      <c r="D256" s="16" t="s">
        <v>3</v>
      </c>
      <c r="E256" s="16" t="s">
        <v>5330</v>
      </c>
      <c r="F256" s="16" t="s">
        <v>12586</v>
      </c>
      <c r="G256" s="16" t="s">
        <v>12587</v>
      </c>
      <c r="H256" s="16" t="s">
        <v>12588</v>
      </c>
      <c r="I256" s="16" t="s">
        <v>12589</v>
      </c>
      <c r="J256" s="16" t="s">
        <v>12600</v>
      </c>
      <c r="K256" s="16" t="s">
        <v>2166</v>
      </c>
      <c r="L256" s="16"/>
    </row>
    <row r="257">
      <c r="A257" s="16" t="s">
        <v>874</v>
      </c>
      <c r="B257" s="16" t="s">
        <v>5500</v>
      </c>
      <c r="C257" s="16" t="s">
        <v>5507</v>
      </c>
      <c r="D257" s="16" t="s">
        <v>3</v>
      </c>
      <c r="E257" s="16" t="s">
        <v>5509</v>
      </c>
      <c r="F257" s="16" t="s">
        <v>12586</v>
      </c>
      <c r="G257" s="16" t="s">
        <v>12587</v>
      </c>
      <c r="H257" s="16" t="s">
        <v>12588</v>
      </c>
      <c r="I257" s="16" t="s">
        <v>12589</v>
      </c>
      <c r="J257" s="16" t="s">
        <v>12600</v>
      </c>
      <c r="K257" s="16" t="s">
        <v>2166</v>
      </c>
      <c r="L257" s="16"/>
    </row>
    <row r="258">
      <c r="A258" s="16" t="s">
        <v>457</v>
      </c>
      <c r="B258" s="16" t="s">
        <v>6230</v>
      </c>
      <c r="C258" s="16" t="s">
        <v>6237</v>
      </c>
      <c r="D258" s="16" t="s">
        <v>3</v>
      </c>
      <c r="E258" s="16" t="s">
        <v>6239</v>
      </c>
      <c r="F258" s="16" t="s">
        <v>12586</v>
      </c>
      <c r="G258" s="16" t="s">
        <v>12587</v>
      </c>
      <c r="H258" s="16" t="s">
        <v>12588</v>
      </c>
      <c r="I258" s="16" t="s">
        <v>12589</v>
      </c>
      <c r="J258" s="16" t="s">
        <v>12600</v>
      </c>
      <c r="K258" s="16" t="s">
        <v>2166</v>
      </c>
      <c r="L258" s="16"/>
    </row>
    <row r="259">
      <c r="A259" s="16" t="s">
        <v>755</v>
      </c>
      <c r="B259" s="16" t="s">
        <v>6444</v>
      </c>
      <c r="C259" s="16"/>
      <c r="D259" s="16" t="s">
        <v>3</v>
      </c>
      <c r="E259" s="16" t="s">
        <v>6457</v>
      </c>
      <c r="F259" s="16" t="s">
        <v>12586</v>
      </c>
      <c r="G259" s="16" t="s">
        <v>12587</v>
      </c>
      <c r="H259" s="16" t="s">
        <v>12588</v>
      </c>
      <c r="I259" s="16" t="s">
        <v>12589</v>
      </c>
      <c r="J259" s="16" t="s">
        <v>12600</v>
      </c>
      <c r="K259" s="16" t="s">
        <v>2166</v>
      </c>
      <c r="L259" s="16"/>
    </row>
    <row r="260">
      <c r="A260" s="16" t="s">
        <v>325</v>
      </c>
      <c r="B260" s="16" t="s">
        <v>4188</v>
      </c>
      <c r="C260" s="16" t="s">
        <v>4201</v>
      </c>
      <c r="D260" s="16" t="s">
        <v>3</v>
      </c>
      <c r="E260" s="16" t="s">
        <v>4205</v>
      </c>
      <c r="F260" s="16" t="s">
        <v>12586</v>
      </c>
      <c r="G260" s="16" t="s">
        <v>12587</v>
      </c>
      <c r="H260" s="16" t="s">
        <v>12588</v>
      </c>
      <c r="I260" s="16" t="s">
        <v>12589</v>
      </c>
      <c r="J260" s="16" t="s">
        <v>12600</v>
      </c>
      <c r="K260" s="16" t="s">
        <v>2284</v>
      </c>
      <c r="L260" s="16"/>
    </row>
    <row r="261">
      <c r="A261" s="16" t="s">
        <v>435</v>
      </c>
      <c r="B261" s="16" t="s">
        <v>4676</v>
      </c>
      <c r="C261" s="16" t="s">
        <v>4692</v>
      </c>
      <c r="D261" s="16" t="s">
        <v>3</v>
      </c>
      <c r="E261" s="16" t="s">
        <v>4695</v>
      </c>
      <c r="F261" s="16" t="s">
        <v>12586</v>
      </c>
      <c r="G261" s="16" t="s">
        <v>12587</v>
      </c>
      <c r="H261" s="16" t="s">
        <v>12588</v>
      </c>
      <c r="I261" s="16" t="s">
        <v>12589</v>
      </c>
      <c r="J261" s="16" t="s">
        <v>12600</v>
      </c>
      <c r="K261" s="16" t="s">
        <v>2284</v>
      </c>
      <c r="L261" s="16"/>
    </row>
    <row r="262">
      <c r="A262" s="16" t="s">
        <v>851</v>
      </c>
      <c r="B262" s="16" t="s">
        <v>5668</v>
      </c>
      <c r="C262" s="16" t="s">
        <v>5680</v>
      </c>
      <c r="D262" s="16" t="s">
        <v>3</v>
      </c>
      <c r="E262" s="16" t="s">
        <v>5682</v>
      </c>
      <c r="F262" s="16" t="s">
        <v>12586</v>
      </c>
      <c r="G262" s="16" t="s">
        <v>12587</v>
      </c>
      <c r="H262" s="16" t="s">
        <v>12588</v>
      </c>
      <c r="I262" s="16" t="s">
        <v>12589</v>
      </c>
      <c r="J262" s="16" t="s">
        <v>12600</v>
      </c>
      <c r="K262" s="16" t="s">
        <v>2284</v>
      </c>
      <c r="L262" s="16"/>
    </row>
    <row r="263">
      <c r="A263" s="16" t="s">
        <v>841</v>
      </c>
      <c r="B263" s="16" t="s">
        <v>5702</v>
      </c>
      <c r="C263" s="16" t="s">
        <v>5710</v>
      </c>
      <c r="D263" s="16" t="s">
        <v>3</v>
      </c>
      <c r="E263" s="16" t="s">
        <v>5712</v>
      </c>
      <c r="F263" s="16" t="s">
        <v>12586</v>
      </c>
      <c r="G263" s="16" t="s">
        <v>12587</v>
      </c>
      <c r="H263" s="16" t="s">
        <v>12588</v>
      </c>
      <c r="I263" s="16" t="s">
        <v>12589</v>
      </c>
      <c r="J263" s="16" t="s">
        <v>12600</v>
      </c>
      <c r="K263" s="16" t="s">
        <v>2284</v>
      </c>
      <c r="L263" s="16"/>
    </row>
    <row r="264">
      <c r="A264" s="16" t="s">
        <v>839</v>
      </c>
      <c r="B264" s="16" t="s">
        <v>5772</v>
      </c>
      <c r="C264" s="16" t="s">
        <v>5785</v>
      </c>
      <c r="D264" s="16" t="s">
        <v>3</v>
      </c>
      <c r="E264" s="16" t="s">
        <v>5787</v>
      </c>
      <c r="F264" s="16" t="s">
        <v>12586</v>
      </c>
      <c r="G264" s="16" t="s">
        <v>12587</v>
      </c>
      <c r="H264" s="16" t="s">
        <v>12588</v>
      </c>
      <c r="I264" s="16" t="s">
        <v>12589</v>
      </c>
      <c r="J264" s="16" t="s">
        <v>12600</v>
      </c>
      <c r="K264" s="16" t="s">
        <v>2284</v>
      </c>
      <c r="L264" s="16"/>
    </row>
    <row r="265">
      <c r="A265" s="16" t="s">
        <v>793</v>
      </c>
      <c r="B265" s="16" t="s">
        <v>6195</v>
      </c>
      <c r="C265" s="16" t="s">
        <v>6202</v>
      </c>
      <c r="D265" s="16" t="s">
        <v>3</v>
      </c>
      <c r="E265" s="16" t="s">
        <v>6204</v>
      </c>
      <c r="F265" s="16" t="s">
        <v>12586</v>
      </c>
      <c r="G265" s="16" t="s">
        <v>12587</v>
      </c>
      <c r="H265" s="16" t="s">
        <v>12588</v>
      </c>
      <c r="I265" s="16" t="s">
        <v>12589</v>
      </c>
      <c r="J265" s="16" t="s">
        <v>12627</v>
      </c>
      <c r="K265" s="16" t="s">
        <v>2515</v>
      </c>
      <c r="L265" s="16"/>
    </row>
    <row r="266">
      <c r="A266" s="16" t="s">
        <v>733</v>
      </c>
      <c r="B266" s="16" t="s">
        <v>6540</v>
      </c>
      <c r="C266" s="16" t="s">
        <v>6546</v>
      </c>
      <c r="D266" s="16" t="s">
        <v>3</v>
      </c>
      <c r="E266" s="16" t="s">
        <v>6548</v>
      </c>
      <c r="F266" s="16" t="s">
        <v>12586</v>
      </c>
      <c r="G266" s="16" t="s">
        <v>12587</v>
      </c>
      <c r="H266" s="16" t="s">
        <v>12588</v>
      </c>
      <c r="I266" s="16" t="s">
        <v>12589</v>
      </c>
      <c r="J266" s="16" t="s">
        <v>12627</v>
      </c>
      <c r="K266" s="16" t="s">
        <v>2515</v>
      </c>
      <c r="L266" s="16"/>
    </row>
    <row r="267">
      <c r="A267" s="16" t="s">
        <v>718</v>
      </c>
      <c r="B267" s="16" t="s">
        <v>6648</v>
      </c>
      <c r="C267" s="16" t="s">
        <v>6654</v>
      </c>
      <c r="D267" s="16" t="s">
        <v>3</v>
      </c>
      <c r="E267" s="16" t="s">
        <v>6656</v>
      </c>
      <c r="F267" s="16" t="s">
        <v>12586</v>
      </c>
      <c r="G267" s="16" t="s">
        <v>12587</v>
      </c>
      <c r="H267" s="16" t="s">
        <v>12588</v>
      </c>
      <c r="I267" s="16" t="s">
        <v>12589</v>
      </c>
      <c r="J267" s="16" t="s">
        <v>12627</v>
      </c>
      <c r="K267" s="16" t="s">
        <v>2515</v>
      </c>
      <c r="L267" s="16"/>
    </row>
    <row r="268">
      <c r="A268" s="16" t="s">
        <v>292</v>
      </c>
      <c r="B268" s="16" t="s">
        <v>4101</v>
      </c>
      <c r="C268" s="16" t="s">
        <v>4109</v>
      </c>
      <c r="D268" s="16" t="s">
        <v>3</v>
      </c>
      <c r="E268" s="16" t="s">
        <v>4111</v>
      </c>
      <c r="F268" s="16" t="s">
        <v>12586</v>
      </c>
      <c r="G268" s="16" t="s">
        <v>12587</v>
      </c>
      <c r="H268" s="16" t="s">
        <v>12588</v>
      </c>
      <c r="I268" s="16" t="s">
        <v>12589</v>
      </c>
      <c r="J268" s="16" t="s">
        <v>12627</v>
      </c>
      <c r="K268" s="16" t="s">
        <v>2287</v>
      </c>
      <c r="L268" s="16"/>
    </row>
    <row r="269">
      <c r="A269" s="16" t="s">
        <v>67</v>
      </c>
      <c r="B269" s="16" t="s">
        <v>3361</v>
      </c>
      <c r="C269" s="16" t="s">
        <v>3373</v>
      </c>
      <c r="D269" s="16" t="s">
        <v>3</v>
      </c>
      <c r="E269" s="16" t="s">
        <v>3378</v>
      </c>
      <c r="F269" s="16" t="s">
        <v>12586</v>
      </c>
      <c r="G269" s="16" t="s">
        <v>12587</v>
      </c>
      <c r="H269" s="16" t="s">
        <v>12588</v>
      </c>
      <c r="I269" s="16" t="s">
        <v>12589</v>
      </c>
      <c r="J269" s="16" t="s">
        <v>12596</v>
      </c>
      <c r="K269" s="16" t="s">
        <v>2311</v>
      </c>
      <c r="L269" s="16"/>
    </row>
    <row r="270">
      <c r="A270" s="16" t="s">
        <v>116</v>
      </c>
      <c r="B270" s="16" t="s">
        <v>3470</v>
      </c>
      <c r="C270" s="16" t="s">
        <v>3486</v>
      </c>
      <c r="D270" s="16" t="s">
        <v>3</v>
      </c>
      <c r="E270" s="16" t="s">
        <v>3488</v>
      </c>
      <c r="F270" s="16" t="s">
        <v>12586</v>
      </c>
      <c r="G270" s="16" t="s">
        <v>12587</v>
      </c>
      <c r="H270" s="16" t="s">
        <v>12588</v>
      </c>
      <c r="I270" s="16" t="s">
        <v>12589</v>
      </c>
      <c r="J270" s="16" t="s">
        <v>12596</v>
      </c>
      <c r="K270" s="16" t="s">
        <v>2311</v>
      </c>
      <c r="L270" s="16"/>
    </row>
    <row r="271">
      <c r="A271" s="16" t="s">
        <v>157</v>
      </c>
      <c r="B271" s="16" t="s">
        <v>3613</v>
      </c>
      <c r="C271" s="16" t="s">
        <v>3630</v>
      </c>
      <c r="D271" s="16" t="s">
        <v>3</v>
      </c>
      <c r="E271" s="16" t="s">
        <v>3634</v>
      </c>
      <c r="F271" s="16" t="s">
        <v>12586</v>
      </c>
      <c r="G271" s="16" t="s">
        <v>12587</v>
      </c>
      <c r="H271" s="16" t="s">
        <v>12588</v>
      </c>
      <c r="I271" s="16" t="s">
        <v>12589</v>
      </c>
      <c r="J271" s="16" t="s">
        <v>12596</v>
      </c>
      <c r="K271" s="16" t="s">
        <v>2311</v>
      </c>
      <c r="L271" s="16"/>
    </row>
    <row r="272">
      <c r="A272" s="16" t="s">
        <v>200</v>
      </c>
      <c r="B272" s="16" t="s">
        <v>3688</v>
      </c>
      <c r="C272" s="16" t="s">
        <v>3699</v>
      </c>
      <c r="D272" s="16" t="s">
        <v>3</v>
      </c>
      <c r="E272" s="16" t="s">
        <v>3701</v>
      </c>
      <c r="F272" s="16" t="s">
        <v>12586</v>
      </c>
      <c r="G272" s="16" t="s">
        <v>12587</v>
      </c>
      <c r="H272" s="16" t="s">
        <v>12588</v>
      </c>
      <c r="I272" s="16" t="s">
        <v>12589</v>
      </c>
      <c r="J272" s="16" t="s">
        <v>12596</v>
      </c>
      <c r="K272" s="16" t="s">
        <v>2311</v>
      </c>
      <c r="L272" s="16"/>
    </row>
    <row r="273">
      <c r="A273" s="16" t="s">
        <v>198</v>
      </c>
      <c r="B273" s="16" t="s">
        <v>3707</v>
      </c>
      <c r="C273" s="16" t="s">
        <v>3722</v>
      </c>
      <c r="D273" s="16" t="s">
        <v>3</v>
      </c>
      <c r="E273" s="16" t="s">
        <v>3724</v>
      </c>
      <c r="F273" s="16" t="s">
        <v>12586</v>
      </c>
      <c r="G273" s="16" t="s">
        <v>12587</v>
      </c>
      <c r="H273" s="16" t="s">
        <v>12588</v>
      </c>
      <c r="I273" s="16" t="s">
        <v>12589</v>
      </c>
      <c r="J273" s="16" t="s">
        <v>12596</v>
      </c>
      <c r="K273" s="16" t="s">
        <v>2311</v>
      </c>
      <c r="L273" s="16"/>
    </row>
    <row r="274">
      <c r="A274" s="16" t="s">
        <v>175</v>
      </c>
      <c r="B274" s="16" t="s">
        <v>3902</v>
      </c>
      <c r="C274" s="16" t="s">
        <v>3909</v>
      </c>
      <c r="D274" s="16" t="s">
        <v>3</v>
      </c>
      <c r="E274" s="16" t="s">
        <v>3911</v>
      </c>
      <c r="F274" s="16" t="s">
        <v>12586</v>
      </c>
      <c r="G274" s="16" t="s">
        <v>12587</v>
      </c>
      <c r="H274" s="16" t="s">
        <v>12588</v>
      </c>
      <c r="I274" s="16" t="s">
        <v>12589</v>
      </c>
      <c r="J274" s="16" t="s">
        <v>12596</v>
      </c>
      <c r="K274" s="16" t="s">
        <v>2311</v>
      </c>
      <c r="L274" s="16"/>
    </row>
    <row r="275">
      <c r="A275" s="16" t="s">
        <v>277</v>
      </c>
      <c r="B275" s="16" t="s">
        <v>4041</v>
      </c>
      <c r="C275" s="16" t="s">
        <v>4046</v>
      </c>
      <c r="D275" s="16" t="s">
        <v>3</v>
      </c>
      <c r="E275" s="16" t="s">
        <v>4048</v>
      </c>
      <c r="F275" s="16" t="s">
        <v>12586</v>
      </c>
      <c r="G275" s="16" t="s">
        <v>12587</v>
      </c>
      <c r="H275" s="16" t="s">
        <v>12588</v>
      </c>
      <c r="I275" s="16" t="s">
        <v>12589</v>
      </c>
      <c r="J275" s="16" t="s">
        <v>12596</v>
      </c>
      <c r="K275" s="16" t="s">
        <v>2311</v>
      </c>
      <c r="L275" s="16"/>
    </row>
    <row r="276">
      <c r="A276" s="16" t="s">
        <v>281</v>
      </c>
      <c r="B276" s="16" t="s">
        <v>4156</v>
      </c>
      <c r="C276" s="16" t="s">
        <v>4157</v>
      </c>
      <c r="D276" s="16" t="s">
        <v>3</v>
      </c>
      <c r="E276" s="16" t="s">
        <v>4159</v>
      </c>
      <c r="F276" s="16" t="s">
        <v>12586</v>
      </c>
      <c r="G276" s="16" t="s">
        <v>12587</v>
      </c>
      <c r="H276" s="16" t="s">
        <v>12588</v>
      </c>
      <c r="I276" s="16" t="s">
        <v>12589</v>
      </c>
      <c r="J276" s="16" t="s">
        <v>12596</v>
      </c>
      <c r="K276" s="16" t="s">
        <v>2311</v>
      </c>
      <c r="L276" s="16"/>
    </row>
    <row r="277">
      <c r="A277" s="16" t="s">
        <v>366</v>
      </c>
      <c r="B277" s="16" t="s">
        <v>4438</v>
      </c>
      <c r="C277" s="16" t="s">
        <v>4439</v>
      </c>
      <c r="D277" s="16" t="s">
        <v>3</v>
      </c>
      <c r="E277" s="16" t="s">
        <v>4441</v>
      </c>
      <c r="F277" s="16" t="s">
        <v>12586</v>
      </c>
      <c r="G277" s="16" t="s">
        <v>12587</v>
      </c>
      <c r="H277" s="16" t="s">
        <v>12588</v>
      </c>
      <c r="I277" s="16" t="s">
        <v>12589</v>
      </c>
      <c r="J277" s="16" t="s">
        <v>12596</v>
      </c>
      <c r="K277" s="16" t="s">
        <v>2311</v>
      </c>
      <c r="L277" s="16"/>
    </row>
    <row r="278">
      <c r="A278" s="16" t="s">
        <v>397</v>
      </c>
      <c r="B278" s="16" t="s">
        <v>4575</v>
      </c>
      <c r="C278" s="16"/>
      <c r="D278" s="16" t="s">
        <v>3</v>
      </c>
      <c r="E278" s="16" t="s">
        <v>4578</v>
      </c>
      <c r="F278" s="16" t="s">
        <v>12586</v>
      </c>
      <c r="G278" s="16" t="s">
        <v>12587</v>
      </c>
      <c r="H278" s="16" t="s">
        <v>12588</v>
      </c>
      <c r="I278" s="16" t="s">
        <v>12589</v>
      </c>
      <c r="J278" s="16" t="s">
        <v>12596</v>
      </c>
      <c r="K278" s="16" t="s">
        <v>2311</v>
      </c>
      <c r="L278" s="16"/>
    </row>
    <row r="279">
      <c r="A279" s="16" t="s">
        <v>581</v>
      </c>
      <c r="B279" s="16" t="s">
        <v>5067</v>
      </c>
      <c r="C279" s="16" t="s">
        <v>5079</v>
      </c>
      <c r="D279" s="16" t="s">
        <v>3</v>
      </c>
      <c r="E279" s="16" t="s">
        <v>5081</v>
      </c>
      <c r="F279" s="16" t="s">
        <v>12586</v>
      </c>
      <c r="G279" s="16" t="s">
        <v>12587</v>
      </c>
      <c r="H279" s="16" t="s">
        <v>12588</v>
      </c>
      <c r="I279" s="16" t="s">
        <v>12589</v>
      </c>
      <c r="J279" s="16" t="s">
        <v>12596</v>
      </c>
      <c r="K279" s="16" t="s">
        <v>2311</v>
      </c>
      <c r="L279" s="16"/>
    </row>
    <row r="280">
      <c r="A280" s="16" t="s">
        <v>596</v>
      </c>
      <c r="B280" s="16" t="s">
        <v>5158</v>
      </c>
      <c r="C280" s="16" t="s">
        <v>5169</v>
      </c>
      <c r="D280" s="16" t="s">
        <v>3</v>
      </c>
      <c r="E280" s="16" t="s">
        <v>5171</v>
      </c>
      <c r="F280" s="16" t="s">
        <v>12586</v>
      </c>
      <c r="G280" s="16" t="s">
        <v>12587</v>
      </c>
      <c r="H280" s="16" t="s">
        <v>12588</v>
      </c>
      <c r="I280" s="16" t="s">
        <v>12589</v>
      </c>
      <c r="J280" s="16" t="s">
        <v>12596</v>
      </c>
      <c r="K280" s="16" t="s">
        <v>2311</v>
      </c>
      <c r="L280" s="16"/>
    </row>
    <row r="281">
      <c r="A281" s="16" t="s">
        <v>608</v>
      </c>
      <c r="B281" s="16" t="s">
        <v>5332</v>
      </c>
      <c r="C281" s="16" t="s">
        <v>5336</v>
      </c>
      <c r="D281" s="16" t="s">
        <v>3</v>
      </c>
      <c r="E281" s="16" t="s">
        <v>5338</v>
      </c>
      <c r="F281" s="16" t="s">
        <v>12586</v>
      </c>
      <c r="G281" s="16" t="s">
        <v>12587</v>
      </c>
      <c r="H281" s="16" t="s">
        <v>12588</v>
      </c>
      <c r="I281" s="16" t="s">
        <v>12589</v>
      </c>
      <c r="J281" s="16" t="s">
        <v>12596</v>
      </c>
      <c r="K281" s="16" t="s">
        <v>2311</v>
      </c>
      <c r="L281" s="16"/>
    </row>
    <row r="282">
      <c r="A282" s="16" t="s">
        <v>607</v>
      </c>
      <c r="B282" s="16" t="s">
        <v>5355</v>
      </c>
      <c r="C282" s="16" t="s">
        <v>5358</v>
      </c>
      <c r="D282" s="16" t="s">
        <v>3</v>
      </c>
      <c r="E282" s="16" t="s">
        <v>5359</v>
      </c>
      <c r="F282" s="16" t="s">
        <v>12586</v>
      </c>
      <c r="G282" s="16" t="s">
        <v>12587</v>
      </c>
      <c r="H282" s="16" t="s">
        <v>12588</v>
      </c>
      <c r="I282" s="16" t="s">
        <v>12589</v>
      </c>
      <c r="J282" s="16" t="s">
        <v>12596</v>
      </c>
      <c r="K282" s="16" t="s">
        <v>2311</v>
      </c>
      <c r="L282" s="16"/>
    </row>
    <row r="283">
      <c r="A283" s="16" t="s">
        <v>843</v>
      </c>
      <c r="B283" s="16" t="s">
        <v>5818</v>
      </c>
      <c r="C283" s="16" t="s">
        <v>5831</v>
      </c>
      <c r="D283" s="16" t="s">
        <v>3</v>
      </c>
      <c r="E283" s="16" t="s">
        <v>5834</v>
      </c>
      <c r="F283" s="16" t="s">
        <v>12586</v>
      </c>
      <c r="G283" s="16" t="s">
        <v>12587</v>
      </c>
      <c r="H283" s="16" t="s">
        <v>12588</v>
      </c>
      <c r="I283" s="16" t="s">
        <v>12589</v>
      </c>
      <c r="J283" s="16" t="s">
        <v>12596</v>
      </c>
      <c r="K283" s="16" t="s">
        <v>2311</v>
      </c>
      <c r="L283" s="16"/>
    </row>
    <row r="284">
      <c r="A284" s="16" t="s">
        <v>803</v>
      </c>
      <c r="B284" s="16" t="s">
        <v>6066</v>
      </c>
      <c r="C284" s="16" t="s">
        <v>6075</v>
      </c>
      <c r="D284" s="16" t="s">
        <v>3</v>
      </c>
      <c r="E284" s="16" t="s">
        <v>6077</v>
      </c>
      <c r="F284" s="16" t="s">
        <v>12586</v>
      </c>
      <c r="G284" s="16" t="s">
        <v>12587</v>
      </c>
      <c r="H284" s="16" t="s">
        <v>12588</v>
      </c>
      <c r="I284" s="16" t="s">
        <v>12589</v>
      </c>
      <c r="J284" s="16" t="s">
        <v>12596</v>
      </c>
      <c r="K284" s="16" t="s">
        <v>2311</v>
      </c>
      <c r="L284" s="16"/>
    </row>
    <row r="285">
      <c r="A285" s="16" t="s">
        <v>801</v>
      </c>
      <c r="B285" s="16" t="s">
        <v>6081</v>
      </c>
      <c r="C285" s="16" t="s">
        <v>6093</v>
      </c>
      <c r="D285" s="16" t="s">
        <v>3</v>
      </c>
      <c r="E285" s="16" t="s">
        <v>6095</v>
      </c>
      <c r="F285" s="16" t="s">
        <v>12586</v>
      </c>
      <c r="G285" s="16" t="s">
        <v>12587</v>
      </c>
      <c r="H285" s="16" t="s">
        <v>12588</v>
      </c>
      <c r="I285" s="16" t="s">
        <v>12589</v>
      </c>
      <c r="J285" s="16" t="s">
        <v>12596</v>
      </c>
      <c r="K285" s="16" t="s">
        <v>2311</v>
      </c>
      <c r="L285" s="16"/>
    </row>
    <row r="286">
      <c r="A286" s="16" t="s">
        <v>739</v>
      </c>
      <c r="B286" s="16" t="s">
        <v>6515</v>
      </c>
      <c r="C286" s="16" t="s">
        <v>6521</v>
      </c>
      <c r="D286" s="16" t="s">
        <v>3</v>
      </c>
      <c r="E286" s="16" t="s">
        <v>6523</v>
      </c>
      <c r="F286" s="16" t="s">
        <v>12586</v>
      </c>
      <c r="G286" s="16" t="s">
        <v>12587</v>
      </c>
      <c r="H286" s="16" t="s">
        <v>12588</v>
      </c>
      <c r="I286" s="16" t="s">
        <v>12589</v>
      </c>
      <c r="J286" s="16" t="s">
        <v>12596</v>
      </c>
      <c r="K286" s="16" t="s">
        <v>2311</v>
      </c>
      <c r="L286" s="16"/>
    </row>
    <row r="287">
      <c r="A287" s="16" t="s">
        <v>812</v>
      </c>
      <c r="B287" s="16" t="s">
        <v>6006</v>
      </c>
      <c r="C287" s="16"/>
      <c r="D287" s="16" t="s">
        <v>3</v>
      </c>
      <c r="E287" s="16" t="s">
        <v>6012</v>
      </c>
      <c r="F287" s="16" t="s">
        <v>12586</v>
      </c>
      <c r="G287" s="16" t="s">
        <v>12587</v>
      </c>
      <c r="H287" s="16" t="s">
        <v>12588</v>
      </c>
      <c r="I287" s="16" t="s">
        <v>12589</v>
      </c>
      <c r="J287" s="16" t="s">
        <v>13447</v>
      </c>
      <c r="K287" s="16" t="s">
        <v>2409</v>
      </c>
      <c r="L287" s="16"/>
    </row>
    <row r="288">
      <c r="A288" s="16" t="s">
        <v>297</v>
      </c>
      <c r="B288" s="16" t="s">
        <v>4067</v>
      </c>
      <c r="C288" s="16"/>
      <c r="D288" s="16" t="s">
        <v>3</v>
      </c>
      <c r="E288" s="16" t="s">
        <v>4082</v>
      </c>
      <c r="F288" s="16" t="s">
        <v>12586</v>
      </c>
      <c r="G288" s="16" t="s">
        <v>12587</v>
      </c>
      <c r="H288" s="16" t="s">
        <v>12588</v>
      </c>
      <c r="I288" s="16" t="s">
        <v>12589</v>
      </c>
      <c r="J288" s="16" t="s">
        <v>12649</v>
      </c>
      <c r="K288" s="16" t="s">
        <v>2424</v>
      </c>
      <c r="L288" s="16"/>
    </row>
    <row r="289">
      <c r="A289" s="16" t="s">
        <v>13448</v>
      </c>
      <c r="B289" s="16" t="s">
        <v>13449</v>
      </c>
      <c r="C289" s="16" t="s">
        <v>13450</v>
      </c>
      <c r="D289" s="16" t="s">
        <v>12658</v>
      </c>
      <c r="E289" s="16" t="s">
        <v>13451</v>
      </c>
      <c r="F289" s="16" t="s">
        <v>12660</v>
      </c>
      <c r="G289" s="16" t="s">
        <v>12661</v>
      </c>
      <c r="H289" s="16" t="s">
        <v>12662</v>
      </c>
      <c r="I289" s="16" t="s">
        <v>13435</v>
      </c>
      <c r="J289" s="16" t="s">
        <v>13452</v>
      </c>
      <c r="K289" s="16" t="s">
        <v>13453</v>
      </c>
      <c r="L289" s="16"/>
    </row>
    <row r="290">
      <c r="A290" s="16" t="s">
        <v>13454</v>
      </c>
      <c r="B290" s="16" t="s">
        <v>13455</v>
      </c>
      <c r="C290" s="16" t="s">
        <v>13456</v>
      </c>
      <c r="D290" s="16" t="s">
        <v>12658</v>
      </c>
      <c r="E290" s="16" t="s">
        <v>13457</v>
      </c>
      <c r="F290" s="16" t="s">
        <v>12660</v>
      </c>
      <c r="G290" s="16" t="s">
        <v>12661</v>
      </c>
      <c r="H290" s="16" t="s">
        <v>12856</v>
      </c>
      <c r="I290" s="16" t="s">
        <v>12857</v>
      </c>
      <c r="J290" s="16" t="s">
        <v>13458</v>
      </c>
      <c r="K290" s="16" t="s">
        <v>13459</v>
      </c>
      <c r="L290" s="16"/>
    </row>
    <row r="291">
      <c r="A291" s="16" t="s">
        <v>13460</v>
      </c>
      <c r="B291" s="16" t="s">
        <v>13461</v>
      </c>
      <c r="C291" s="16" t="s">
        <v>13462</v>
      </c>
      <c r="D291" s="16" t="s">
        <v>12717</v>
      </c>
      <c r="E291" s="16" t="s">
        <v>13463</v>
      </c>
      <c r="F291" s="16" t="s">
        <v>12586</v>
      </c>
      <c r="G291" s="16" t="s">
        <v>12587</v>
      </c>
      <c r="H291" s="16" t="s">
        <v>12719</v>
      </c>
      <c r="I291" s="16" t="s">
        <v>13464</v>
      </c>
      <c r="J291" s="16" t="s">
        <v>13465</v>
      </c>
      <c r="K291" s="16" t="s">
        <v>13466</v>
      </c>
      <c r="L291" s="16"/>
    </row>
    <row r="292">
      <c r="A292" s="16" t="s">
        <v>13467</v>
      </c>
      <c r="B292" s="16" t="s">
        <v>13468</v>
      </c>
      <c r="C292" s="16" t="s">
        <v>13469</v>
      </c>
      <c r="D292" s="16" t="s">
        <v>12717</v>
      </c>
      <c r="E292" s="16" t="s">
        <v>13470</v>
      </c>
      <c r="F292" s="16" t="s">
        <v>12586</v>
      </c>
      <c r="G292" s="16" t="s">
        <v>12587</v>
      </c>
      <c r="H292" s="16" t="s">
        <v>12719</v>
      </c>
      <c r="I292" s="16" t="s">
        <v>13471</v>
      </c>
      <c r="J292" s="16" t="s">
        <v>13472</v>
      </c>
      <c r="K292" s="16" t="s">
        <v>13473</v>
      </c>
      <c r="L292" s="16"/>
    </row>
    <row r="293">
      <c r="A293" s="16" t="s">
        <v>13474</v>
      </c>
      <c r="B293" s="16" t="s">
        <v>13475</v>
      </c>
      <c r="C293" s="16" t="s">
        <v>13476</v>
      </c>
      <c r="D293" s="16" t="s">
        <v>12717</v>
      </c>
      <c r="E293" s="16" t="s">
        <v>13477</v>
      </c>
      <c r="F293" s="16" t="s">
        <v>12586</v>
      </c>
      <c r="G293" s="16" t="s">
        <v>12587</v>
      </c>
      <c r="H293" s="16" t="s">
        <v>12719</v>
      </c>
      <c r="I293" s="16" t="s">
        <v>13478</v>
      </c>
      <c r="J293" s="16" t="s">
        <v>13479</v>
      </c>
      <c r="K293" s="16" t="s">
        <v>13480</v>
      </c>
      <c r="L293" s="16"/>
    </row>
    <row r="294">
      <c r="A294" s="16" t="s">
        <v>132</v>
      </c>
      <c r="B294" s="16" t="s">
        <v>3495</v>
      </c>
      <c r="C294" s="16" t="s">
        <v>3513</v>
      </c>
      <c r="D294" s="16" t="s">
        <v>3</v>
      </c>
      <c r="E294" s="16" t="s">
        <v>3515</v>
      </c>
      <c r="F294" s="16" t="s">
        <v>12586</v>
      </c>
      <c r="G294" s="16" t="s">
        <v>12587</v>
      </c>
      <c r="H294" s="16" t="s">
        <v>12588</v>
      </c>
      <c r="I294" s="16" t="s">
        <v>12589</v>
      </c>
      <c r="J294" s="16" t="s">
        <v>12594</v>
      </c>
      <c r="K294" s="16" t="s">
        <v>2885</v>
      </c>
      <c r="L294" s="16"/>
    </row>
    <row r="295">
      <c r="A295" s="16" t="s">
        <v>181</v>
      </c>
      <c r="B295" s="16" t="s">
        <v>3878</v>
      </c>
      <c r="C295" s="16" t="s">
        <v>3884</v>
      </c>
      <c r="D295" s="16" t="s">
        <v>3</v>
      </c>
      <c r="E295" s="16" t="s">
        <v>3886</v>
      </c>
      <c r="F295" s="16" t="s">
        <v>12586</v>
      </c>
      <c r="G295" s="16" t="s">
        <v>12587</v>
      </c>
      <c r="H295" s="16" t="s">
        <v>12588</v>
      </c>
      <c r="I295" s="16" t="s">
        <v>12589</v>
      </c>
      <c r="J295" s="16" t="s">
        <v>12594</v>
      </c>
      <c r="K295" s="16" t="s">
        <v>2433</v>
      </c>
      <c r="L295" s="16"/>
    </row>
    <row r="296">
      <c r="A296" s="16" t="s">
        <v>179</v>
      </c>
      <c r="B296" s="16" t="s">
        <v>3889</v>
      </c>
      <c r="C296" s="16" t="s">
        <v>3896</v>
      </c>
      <c r="D296" s="16" t="s">
        <v>3</v>
      </c>
      <c r="E296" s="16" t="s">
        <v>3898</v>
      </c>
      <c r="F296" s="16" t="s">
        <v>12586</v>
      </c>
      <c r="G296" s="16" t="s">
        <v>12587</v>
      </c>
      <c r="H296" s="16" t="s">
        <v>12588</v>
      </c>
      <c r="I296" s="16" t="s">
        <v>12589</v>
      </c>
      <c r="J296" s="16" t="s">
        <v>12594</v>
      </c>
      <c r="K296" s="16" t="s">
        <v>2433</v>
      </c>
      <c r="L296" s="16"/>
    </row>
    <row r="297">
      <c r="A297" s="16" t="s">
        <v>418</v>
      </c>
      <c r="B297" s="16" t="s">
        <v>4605</v>
      </c>
      <c r="C297" s="16"/>
      <c r="D297" s="16" t="s">
        <v>3</v>
      </c>
      <c r="E297" s="16" t="s">
        <v>4609</v>
      </c>
      <c r="F297" s="16" t="s">
        <v>12586</v>
      </c>
      <c r="G297" s="16" t="s">
        <v>12587</v>
      </c>
      <c r="H297" s="16" t="s">
        <v>12588</v>
      </c>
      <c r="I297" s="16" t="s">
        <v>12589</v>
      </c>
      <c r="J297" s="16" t="s">
        <v>12594</v>
      </c>
      <c r="K297" s="16" t="s">
        <v>2168</v>
      </c>
      <c r="L297" s="16"/>
    </row>
    <row r="298">
      <c r="A298" s="16" t="s">
        <v>489</v>
      </c>
      <c r="B298" s="16" t="s">
        <v>4776</v>
      </c>
      <c r="C298" s="16" t="s">
        <v>4787</v>
      </c>
      <c r="D298" s="16" t="s">
        <v>3</v>
      </c>
      <c r="E298" s="16" t="s">
        <v>4789</v>
      </c>
      <c r="F298" s="16" t="s">
        <v>12586</v>
      </c>
      <c r="G298" s="16" t="s">
        <v>12587</v>
      </c>
      <c r="H298" s="16" t="s">
        <v>12588</v>
      </c>
      <c r="I298" s="16" t="s">
        <v>12589</v>
      </c>
      <c r="J298" s="16" t="s">
        <v>12594</v>
      </c>
      <c r="K298" s="16" t="s">
        <v>2168</v>
      </c>
      <c r="L298" s="16"/>
    </row>
    <row r="299">
      <c r="A299" s="16" t="s">
        <v>1437</v>
      </c>
      <c r="B299" s="16" t="s">
        <v>3750</v>
      </c>
      <c r="C299" s="16" t="s">
        <v>3766</v>
      </c>
      <c r="D299" s="16" t="s">
        <v>3</v>
      </c>
      <c r="E299" s="16" t="s">
        <v>3768</v>
      </c>
      <c r="F299" s="16" t="s">
        <v>12586</v>
      </c>
      <c r="G299" s="16" t="s">
        <v>12587</v>
      </c>
      <c r="H299" s="16" t="s">
        <v>12588</v>
      </c>
      <c r="I299" s="16" t="s">
        <v>12589</v>
      </c>
      <c r="J299" s="16" t="s">
        <v>12594</v>
      </c>
      <c r="K299" s="16" t="s">
        <v>2601</v>
      </c>
      <c r="L299" s="16"/>
    </row>
    <row r="300">
      <c r="A300" s="16" t="s">
        <v>1435</v>
      </c>
      <c r="B300" s="16" t="s">
        <v>3916</v>
      </c>
      <c r="C300" s="16" t="s">
        <v>3928</v>
      </c>
      <c r="D300" s="16" t="s">
        <v>3</v>
      </c>
      <c r="E300" s="16" t="s">
        <v>3931</v>
      </c>
      <c r="F300" s="16" t="s">
        <v>12586</v>
      </c>
      <c r="G300" s="16" t="s">
        <v>12587</v>
      </c>
      <c r="H300" s="16" t="s">
        <v>12588</v>
      </c>
      <c r="I300" s="16" t="s">
        <v>12589</v>
      </c>
      <c r="J300" s="16" t="s">
        <v>12594</v>
      </c>
      <c r="K300" s="16" t="s">
        <v>2601</v>
      </c>
      <c r="L300" s="16"/>
    </row>
    <row r="301">
      <c r="A301" s="16" t="s">
        <v>241</v>
      </c>
      <c r="B301" s="16" t="s">
        <v>3969</v>
      </c>
      <c r="C301" s="16" t="s">
        <v>3981</v>
      </c>
      <c r="D301" s="16" t="s">
        <v>3</v>
      </c>
      <c r="E301" s="16" t="s">
        <v>3986</v>
      </c>
      <c r="F301" s="16" t="s">
        <v>12586</v>
      </c>
      <c r="G301" s="16" t="s">
        <v>12587</v>
      </c>
      <c r="H301" s="16" t="s">
        <v>12588</v>
      </c>
      <c r="I301" s="16" t="s">
        <v>12589</v>
      </c>
      <c r="J301" s="16" t="s">
        <v>12594</v>
      </c>
      <c r="K301" s="16" t="s">
        <v>2601</v>
      </c>
      <c r="L301" s="16"/>
    </row>
    <row r="302">
      <c r="A302" s="16" t="s">
        <v>589</v>
      </c>
      <c r="B302" s="16" t="s">
        <v>5138</v>
      </c>
      <c r="C302" s="16" t="s">
        <v>5152</v>
      </c>
      <c r="D302" s="16" t="s">
        <v>3</v>
      </c>
      <c r="E302" s="16" t="s">
        <v>5154</v>
      </c>
      <c r="F302" s="16" t="s">
        <v>12586</v>
      </c>
      <c r="G302" s="16" t="s">
        <v>12587</v>
      </c>
      <c r="H302" s="16" t="s">
        <v>12588</v>
      </c>
      <c r="I302" s="16" t="s">
        <v>12589</v>
      </c>
      <c r="J302" s="16" t="s">
        <v>12594</v>
      </c>
      <c r="K302" s="16" t="s">
        <v>2340</v>
      </c>
      <c r="L302" s="16"/>
    </row>
    <row r="303">
      <c r="A303" s="16" t="s">
        <v>13481</v>
      </c>
      <c r="B303" s="16" t="s">
        <v>13482</v>
      </c>
      <c r="C303" s="16" t="s">
        <v>13483</v>
      </c>
      <c r="D303" s="16" t="s">
        <v>12658</v>
      </c>
      <c r="E303" s="16" t="s">
        <v>13484</v>
      </c>
      <c r="F303" s="16" t="s">
        <v>12586</v>
      </c>
      <c r="G303" s="16" t="s">
        <v>12587</v>
      </c>
      <c r="H303" s="16" t="s">
        <v>12588</v>
      </c>
      <c r="I303" s="16" t="s">
        <v>12589</v>
      </c>
      <c r="J303" s="16" t="s">
        <v>13485</v>
      </c>
      <c r="K303" s="16" t="s">
        <v>13486</v>
      </c>
      <c r="L303" s="16"/>
    </row>
    <row r="304">
      <c r="A304" s="16" t="s">
        <v>13487</v>
      </c>
      <c r="B304" s="16" t="s">
        <v>13488</v>
      </c>
      <c r="C304" s="16" t="s">
        <v>13489</v>
      </c>
      <c r="D304" s="16" t="s">
        <v>12658</v>
      </c>
      <c r="E304" s="16" t="s">
        <v>13490</v>
      </c>
      <c r="F304" s="16" t="s">
        <v>12586</v>
      </c>
      <c r="G304" s="16" t="s">
        <v>13491</v>
      </c>
      <c r="H304" s="16" t="s">
        <v>13492</v>
      </c>
      <c r="I304" s="16" t="s">
        <v>13493</v>
      </c>
      <c r="J304" s="16" t="s">
        <v>13494</v>
      </c>
      <c r="K304" s="16" t="s">
        <v>13495</v>
      </c>
      <c r="L304" s="16"/>
    </row>
    <row r="305">
      <c r="A305" s="16" t="s">
        <v>13496</v>
      </c>
      <c r="B305" s="16" t="s">
        <v>13497</v>
      </c>
      <c r="C305" s="16" t="s">
        <v>13498</v>
      </c>
      <c r="D305" s="16" t="s">
        <v>12658</v>
      </c>
      <c r="E305" s="16" t="s">
        <v>13499</v>
      </c>
      <c r="F305" s="16" t="s">
        <v>12586</v>
      </c>
      <c r="G305" s="16" t="s">
        <v>12587</v>
      </c>
      <c r="H305" s="16" t="s">
        <v>12748</v>
      </c>
      <c r="I305" s="16" t="s">
        <v>13500</v>
      </c>
      <c r="J305" s="16" t="s">
        <v>13501</v>
      </c>
      <c r="K305" s="16" t="s">
        <v>13502</v>
      </c>
      <c r="L305" s="16"/>
    </row>
    <row r="306">
      <c r="A306" s="16" t="s">
        <v>13503</v>
      </c>
      <c r="B306" s="16" t="s">
        <v>13504</v>
      </c>
      <c r="C306" s="16" t="s">
        <v>13505</v>
      </c>
      <c r="D306" s="16" t="s">
        <v>12658</v>
      </c>
      <c r="E306" s="16" t="s">
        <v>13506</v>
      </c>
      <c r="F306" s="16" t="s">
        <v>12660</v>
      </c>
      <c r="G306" s="16" t="s">
        <v>12661</v>
      </c>
      <c r="H306" s="16" t="s">
        <v>12662</v>
      </c>
      <c r="I306" s="16" t="s">
        <v>12885</v>
      </c>
      <c r="J306" s="16" t="s">
        <v>13507</v>
      </c>
      <c r="K306" s="16" t="s">
        <v>13508</v>
      </c>
      <c r="L306" s="16"/>
    </row>
    <row r="307">
      <c r="A307" s="16" t="s">
        <v>602</v>
      </c>
      <c r="B307" s="16" t="s">
        <v>5197</v>
      </c>
      <c r="C307" s="16" t="s">
        <v>5201</v>
      </c>
      <c r="D307" s="16" t="s">
        <v>3</v>
      </c>
      <c r="E307" s="16" t="s">
        <v>5203</v>
      </c>
      <c r="F307" s="16" t="s">
        <v>12586</v>
      </c>
      <c r="G307" s="16" t="s">
        <v>12587</v>
      </c>
      <c r="H307" s="16" t="s">
        <v>12588</v>
      </c>
      <c r="I307" s="16" t="s">
        <v>12589</v>
      </c>
      <c r="J307" s="16" t="s">
        <v>12626</v>
      </c>
      <c r="K307" s="16" t="s">
        <v>2840</v>
      </c>
      <c r="L307" s="16"/>
    </row>
    <row r="308">
      <c r="A308" s="16" t="s">
        <v>316</v>
      </c>
      <c r="B308" s="16" t="s">
        <v>4165</v>
      </c>
      <c r="C308" s="16" t="s">
        <v>4179</v>
      </c>
      <c r="D308" s="16" t="s">
        <v>3</v>
      </c>
      <c r="E308" s="16" t="s">
        <v>4182</v>
      </c>
      <c r="F308" s="16" t="s">
        <v>12586</v>
      </c>
      <c r="G308" s="16" t="s">
        <v>12587</v>
      </c>
      <c r="H308" s="16" t="s">
        <v>12588</v>
      </c>
      <c r="I308" s="16" t="s">
        <v>12589</v>
      </c>
      <c r="J308" s="16" t="s">
        <v>12592</v>
      </c>
      <c r="K308" s="16" t="s">
        <v>2260</v>
      </c>
      <c r="L308" s="16"/>
    </row>
    <row r="309">
      <c r="A309" s="16" t="s">
        <v>407</v>
      </c>
      <c r="B309" s="16" t="s">
        <v>4491</v>
      </c>
      <c r="C309" s="16" t="s">
        <v>4506</v>
      </c>
      <c r="D309" s="16" t="s">
        <v>3</v>
      </c>
      <c r="E309" s="16" t="s">
        <v>4510</v>
      </c>
      <c r="F309" s="16" t="s">
        <v>12586</v>
      </c>
      <c r="G309" s="16" t="s">
        <v>12587</v>
      </c>
      <c r="H309" s="16" t="s">
        <v>12588</v>
      </c>
      <c r="I309" s="16" t="s">
        <v>12589</v>
      </c>
      <c r="J309" s="16" t="s">
        <v>12595</v>
      </c>
      <c r="K309" s="16" t="s">
        <v>2224</v>
      </c>
      <c r="L309" s="16"/>
    </row>
    <row r="310">
      <c r="A310" s="16" t="s">
        <v>438</v>
      </c>
      <c r="B310" s="16" t="s">
        <v>4661</v>
      </c>
      <c r="C310" s="16" t="s">
        <v>4669</v>
      </c>
      <c r="D310" s="16" t="s">
        <v>3</v>
      </c>
      <c r="E310" s="16" t="s">
        <v>4671</v>
      </c>
      <c r="F310" s="16" t="s">
        <v>12586</v>
      </c>
      <c r="G310" s="16" t="s">
        <v>12587</v>
      </c>
      <c r="H310" s="16" t="s">
        <v>12588</v>
      </c>
      <c r="I310" s="16" t="s">
        <v>12589</v>
      </c>
      <c r="J310" s="16" t="s">
        <v>12595</v>
      </c>
      <c r="K310" s="16" t="s">
        <v>2224</v>
      </c>
      <c r="L310" s="16"/>
    </row>
    <row r="311">
      <c r="A311" s="16" t="s">
        <v>467</v>
      </c>
      <c r="B311" s="16" t="s">
        <v>5574</v>
      </c>
      <c r="C311" s="16" t="s">
        <v>5582</v>
      </c>
      <c r="D311" s="16" t="s">
        <v>3</v>
      </c>
      <c r="E311" s="16" t="s">
        <v>5584</v>
      </c>
      <c r="F311" s="16" t="s">
        <v>12586</v>
      </c>
      <c r="G311" s="16" t="s">
        <v>12587</v>
      </c>
      <c r="H311" s="16" t="s">
        <v>12588</v>
      </c>
      <c r="I311" s="16" t="s">
        <v>12589</v>
      </c>
      <c r="J311" s="16" t="s">
        <v>12595</v>
      </c>
      <c r="K311" s="16" t="s">
        <v>2224</v>
      </c>
      <c r="L311" s="16"/>
    </row>
    <row r="312">
      <c r="A312" s="16" t="s">
        <v>829</v>
      </c>
      <c r="B312" s="16" t="s">
        <v>5878</v>
      </c>
      <c r="C312" s="16" t="s">
        <v>5887</v>
      </c>
      <c r="D312" s="16" t="s">
        <v>3</v>
      </c>
      <c r="E312" s="16" t="s">
        <v>5889</v>
      </c>
      <c r="F312" s="16" t="s">
        <v>12586</v>
      </c>
      <c r="G312" s="16" t="s">
        <v>12587</v>
      </c>
      <c r="H312" s="16" t="s">
        <v>12588</v>
      </c>
      <c r="I312" s="16" t="s">
        <v>12589</v>
      </c>
      <c r="J312" s="16" t="s">
        <v>12595</v>
      </c>
      <c r="K312" s="16" t="s">
        <v>2224</v>
      </c>
      <c r="L312" s="16"/>
    </row>
    <row r="313">
      <c r="A313" s="16" t="s">
        <v>810</v>
      </c>
      <c r="B313" s="16" t="s">
        <v>5976</v>
      </c>
      <c r="C313" s="16" t="s">
        <v>5981</v>
      </c>
      <c r="D313" s="16" t="s">
        <v>3</v>
      </c>
      <c r="E313" s="16" t="s">
        <v>5983</v>
      </c>
      <c r="F313" s="16" t="s">
        <v>12586</v>
      </c>
      <c r="G313" s="16" t="s">
        <v>12587</v>
      </c>
      <c r="H313" s="16" t="s">
        <v>12588</v>
      </c>
      <c r="I313" s="16" t="s">
        <v>12589</v>
      </c>
      <c r="J313" s="16" t="s">
        <v>12595</v>
      </c>
      <c r="K313" s="16" t="s">
        <v>2224</v>
      </c>
      <c r="L313" s="16"/>
    </row>
    <row r="314">
      <c r="A314" s="16" t="s">
        <v>791</v>
      </c>
      <c r="B314" s="16" t="s">
        <v>6117</v>
      </c>
      <c r="C314" s="16" t="s">
        <v>6127</v>
      </c>
      <c r="D314" s="16" t="s">
        <v>3</v>
      </c>
      <c r="E314" s="16" t="s">
        <v>6129</v>
      </c>
      <c r="F314" s="16" t="s">
        <v>12586</v>
      </c>
      <c r="G314" s="16" t="s">
        <v>12587</v>
      </c>
      <c r="H314" s="16" t="s">
        <v>12588</v>
      </c>
      <c r="I314" s="16" t="s">
        <v>12589</v>
      </c>
      <c r="J314" s="16" t="s">
        <v>12595</v>
      </c>
      <c r="K314" s="16" t="s">
        <v>2224</v>
      </c>
      <c r="L314" s="16"/>
    </row>
    <row r="315">
      <c r="A315" s="16" t="s">
        <v>757</v>
      </c>
      <c r="B315" s="16" t="s">
        <v>6390</v>
      </c>
      <c r="C315" s="16" t="s">
        <v>6398</v>
      </c>
      <c r="D315" s="16" t="s">
        <v>3</v>
      </c>
      <c r="E315" s="16" t="s">
        <v>6401</v>
      </c>
      <c r="F315" s="16" t="s">
        <v>12586</v>
      </c>
      <c r="G315" s="16" t="s">
        <v>12587</v>
      </c>
      <c r="H315" s="16" t="s">
        <v>12588</v>
      </c>
      <c r="I315" s="16" t="s">
        <v>12589</v>
      </c>
      <c r="J315" s="16" t="s">
        <v>12595</v>
      </c>
      <c r="K315" s="16" t="s">
        <v>2224</v>
      </c>
      <c r="L315" s="16"/>
    </row>
    <row r="316">
      <c r="A316" s="16" t="s">
        <v>745</v>
      </c>
      <c r="B316" s="16" t="s">
        <v>6504</v>
      </c>
      <c r="C316" s="16" t="s">
        <v>6509</v>
      </c>
      <c r="D316" s="16" t="s">
        <v>3</v>
      </c>
      <c r="E316" s="16" t="s">
        <v>6511</v>
      </c>
      <c r="F316" s="16" t="s">
        <v>12586</v>
      </c>
      <c r="G316" s="16" t="s">
        <v>12587</v>
      </c>
      <c r="H316" s="16" t="s">
        <v>12588</v>
      </c>
      <c r="I316" s="16" t="s">
        <v>12589</v>
      </c>
      <c r="J316" s="16" t="s">
        <v>12595</v>
      </c>
      <c r="K316" s="16" t="s">
        <v>2224</v>
      </c>
      <c r="L316" s="16"/>
    </row>
    <row r="317">
      <c r="A317" s="16" t="s">
        <v>13509</v>
      </c>
      <c r="B317" s="16" t="s">
        <v>13510</v>
      </c>
      <c r="C317" s="16" t="s">
        <v>13511</v>
      </c>
      <c r="D317" s="16" t="s">
        <v>12658</v>
      </c>
      <c r="E317" s="16" t="s">
        <v>13512</v>
      </c>
      <c r="F317" s="16" t="s">
        <v>12586</v>
      </c>
      <c r="G317" s="16" t="s">
        <v>13491</v>
      </c>
      <c r="H317" s="16" t="s">
        <v>13513</v>
      </c>
      <c r="I317" s="16" t="s">
        <v>13514</v>
      </c>
      <c r="J317" s="16" t="s">
        <v>13515</v>
      </c>
      <c r="K317" s="16" t="s">
        <v>13516</v>
      </c>
      <c r="L317" s="16"/>
    </row>
    <row r="318">
      <c r="A318" s="16" t="s">
        <v>13517</v>
      </c>
      <c r="B318" s="16" t="s">
        <v>13518</v>
      </c>
      <c r="C318" s="16" t="s">
        <v>13519</v>
      </c>
      <c r="D318" s="16" t="s">
        <v>12658</v>
      </c>
      <c r="E318" s="16" t="s">
        <v>13520</v>
      </c>
      <c r="F318" s="16" t="s">
        <v>12586</v>
      </c>
      <c r="G318" s="16" t="s">
        <v>12700</v>
      </c>
      <c r="H318" s="16" t="s">
        <v>12823</v>
      </c>
      <c r="I318" s="16" t="s">
        <v>13521</v>
      </c>
      <c r="J318" s="16" t="s">
        <v>13522</v>
      </c>
      <c r="K318" s="16" t="s">
        <v>13523</v>
      </c>
      <c r="L318" s="16"/>
    </row>
    <row r="319">
      <c r="A319" s="16" t="s">
        <v>13524</v>
      </c>
      <c r="B319" s="16" t="s">
        <v>13525</v>
      </c>
      <c r="C319" s="16" t="s">
        <v>13526</v>
      </c>
      <c r="D319" s="16" t="s">
        <v>12658</v>
      </c>
      <c r="E319" s="16" t="s">
        <v>13527</v>
      </c>
      <c r="F319" s="16" t="s">
        <v>12660</v>
      </c>
      <c r="G319" s="16" t="s">
        <v>12661</v>
      </c>
      <c r="H319" s="16" t="s">
        <v>12856</v>
      </c>
      <c r="I319" s="16" t="s">
        <v>12857</v>
      </c>
      <c r="J319" s="16" t="s">
        <v>13528</v>
      </c>
      <c r="K319" s="16" t="s">
        <v>13529</v>
      </c>
      <c r="L319" s="16"/>
    </row>
    <row r="320">
      <c r="A320" s="16" t="s">
        <v>13530</v>
      </c>
      <c r="B320" s="16" t="s">
        <v>13531</v>
      </c>
      <c r="C320" s="16" t="s">
        <v>13532</v>
      </c>
      <c r="D320" s="16" t="s">
        <v>12658</v>
      </c>
      <c r="E320" s="16" t="s">
        <v>13533</v>
      </c>
      <c r="F320" s="16" t="s">
        <v>12586</v>
      </c>
      <c r="G320" s="16" t="s">
        <v>12700</v>
      </c>
      <c r="H320" s="16" t="s">
        <v>12710</v>
      </c>
      <c r="I320" s="16" t="s">
        <v>13065</v>
      </c>
      <c r="J320" s="16" t="s">
        <v>13534</v>
      </c>
      <c r="K320" s="16" t="s">
        <v>13535</v>
      </c>
      <c r="L320" s="16"/>
    </row>
    <row r="321">
      <c r="A321" s="16" t="s">
        <v>13536</v>
      </c>
      <c r="B321" s="16" t="s">
        <v>13537</v>
      </c>
      <c r="C321" s="16"/>
      <c r="D321" s="16" t="s">
        <v>12658</v>
      </c>
      <c r="E321" s="16" t="s">
        <v>13538</v>
      </c>
      <c r="F321" s="16" t="s">
        <v>12660</v>
      </c>
      <c r="G321" s="16" t="s">
        <v>12661</v>
      </c>
      <c r="H321" s="16" t="s">
        <v>12856</v>
      </c>
      <c r="I321" s="16" t="s">
        <v>12857</v>
      </c>
      <c r="J321" s="16" t="s">
        <v>13539</v>
      </c>
      <c r="K321" s="16" t="s">
        <v>13540</v>
      </c>
      <c r="L321" s="16"/>
    </row>
    <row r="322">
      <c r="A322" s="16" t="s">
        <v>13541</v>
      </c>
      <c r="B322" s="16" t="s">
        <v>13542</v>
      </c>
      <c r="C322" s="16" t="s">
        <v>13543</v>
      </c>
      <c r="D322" s="16" t="s">
        <v>12658</v>
      </c>
      <c r="E322" s="16" t="s">
        <v>13544</v>
      </c>
      <c r="F322" s="16" t="s">
        <v>12660</v>
      </c>
      <c r="G322" s="16" t="s">
        <v>12661</v>
      </c>
      <c r="H322" s="16" t="s">
        <v>12662</v>
      </c>
      <c r="I322" s="16" t="s">
        <v>12795</v>
      </c>
      <c r="J322" s="16" t="s">
        <v>13545</v>
      </c>
      <c r="K322" s="16" t="s">
        <v>13546</v>
      </c>
      <c r="L322" s="16"/>
    </row>
    <row r="323">
      <c r="A323" s="16" t="s">
        <v>13547</v>
      </c>
      <c r="B323" s="16" t="s">
        <v>13548</v>
      </c>
      <c r="C323" s="16" t="s">
        <v>13549</v>
      </c>
      <c r="D323" s="16" t="s">
        <v>12658</v>
      </c>
      <c r="E323" s="16" t="s">
        <v>13550</v>
      </c>
      <c r="F323" s="16" t="s">
        <v>12660</v>
      </c>
      <c r="G323" s="16" t="s">
        <v>12661</v>
      </c>
      <c r="H323" s="16" t="s">
        <v>13362</v>
      </c>
      <c r="I323" s="16" t="s">
        <v>13363</v>
      </c>
      <c r="J323" s="16" t="s">
        <v>13551</v>
      </c>
      <c r="K323" s="16" t="s">
        <v>13552</v>
      </c>
      <c r="L323" s="16"/>
    </row>
    <row r="324">
      <c r="A324" s="16" t="s">
        <v>13553</v>
      </c>
      <c r="B324" s="16" t="s">
        <v>13554</v>
      </c>
      <c r="C324" s="16" t="s">
        <v>13555</v>
      </c>
      <c r="D324" s="16" t="s">
        <v>12658</v>
      </c>
      <c r="E324" s="16" t="s">
        <v>13556</v>
      </c>
      <c r="F324" s="16" t="s">
        <v>12660</v>
      </c>
      <c r="G324" s="16" t="s">
        <v>12661</v>
      </c>
      <c r="H324" s="16" t="s">
        <v>12662</v>
      </c>
      <c r="I324" s="16" t="s">
        <v>12795</v>
      </c>
      <c r="J324" s="16" t="s">
        <v>13557</v>
      </c>
      <c r="K324" s="16" t="s">
        <v>13558</v>
      </c>
      <c r="L324" s="16"/>
    </row>
    <row r="325">
      <c r="A325" s="16" t="s">
        <v>13559</v>
      </c>
      <c r="B325" s="16" t="s">
        <v>13560</v>
      </c>
      <c r="C325" s="16" t="s">
        <v>13561</v>
      </c>
      <c r="D325" s="16" t="s">
        <v>12717</v>
      </c>
      <c r="E325" s="16" t="s">
        <v>13562</v>
      </c>
      <c r="F325" s="16" t="s">
        <v>12586</v>
      </c>
      <c r="G325" s="16" t="s">
        <v>12587</v>
      </c>
      <c r="H325" s="16" t="s">
        <v>12748</v>
      </c>
      <c r="I325" s="16" t="s">
        <v>12770</v>
      </c>
      <c r="J325" s="16" t="s">
        <v>13563</v>
      </c>
      <c r="K325" s="16" t="s">
        <v>13564</v>
      </c>
      <c r="L325" s="16"/>
    </row>
    <row r="326">
      <c r="A326" s="16" t="s">
        <v>13565</v>
      </c>
      <c r="B326" s="16" t="s">
        <v>13566</v>
      </c>
      <c r="C326" s="16" t="s">
        <v>13567</v>
      </c>
      <c r="D326" s="16" t="s">
        <v>12658</v>
      </c>
      <c r="E326" s="16" t="s">
        <v>13568</v>
      </c>
      <c r="F326" s="16" t="s">
        <v>12586</v>
      </c>
      <c r="G326" s="16" t="s">
        <v>13491</v>
      </c>
      <c r="H326" s="16" t="s">
        <v>13492</v>
      </c>
      <c r="I326" s="16" t="s">
        <v>13569</v>
      </c>
      <c r="J326" s="16" t="s">
        <v>13570</v>
      </c>
      <c r="K326" s="16" t="s">
        <v>13571</v>
      </c>
      <c r="L326" s="16"/>
    </row>
    <row r="327">
      <c r="A327" s="16" t="s">
        <v>13572</v>
      </c>
      <c r="B327" s="16" t="s">
        <v>13573</v>
      </c>
      <c r="C327" s="16" t="s">
        <v>13574</v>
      </c>
      <c r="D327" s="16" t="s">
        <v>12717</v>
      </c>
      <c r="E327" s="16" t="s">
        <v>13575</v>
      </c>
      <c r="F327" s="16" t="s">
        <v>12586</v>
      </c>
      <c r="G327" s="16" t="s">
        <v>12587</v>
      </c>
      <c r="H327" s="16" t="s">
        <v>12748</v>
      </c>
      <c r="I327" s="16" t="s">
        <v>12770</v>
      </c>
      <c r="J327" s="16" t="s">
        <v>13576</v>
      </c>
      <c r="K327" s="16" t="s">
        <v>13577</v>
      </c>
      <c r="L327" s="16"/>
    </row>
    <row r="328">
      <c r="A328" s="16" t="s">
        <v>13578</v>
      </c>
      <c r="B328" s="16" t="s">
        <v>13579</v>
      </c>
      <c r="C328" s="16" t="s">
        <v>13580</v>
      </c>
      <c r="D328" s="16" t="s">
        <v>12658</v>
      </c>
      <c r="E328" s="16" t="s">
        <v>13581</v>
      </c>
      <c r="F328" s="16" t="s">
        <v>12586</v>
      </c>
      <c r="G328" s="16" t="s">
        <v>12700</v>
      </c>
      <c r="H328" s="16" t="s">
        <v>12823</v>
      </c>
      <c r="I328" s="16" t="s">
        <v>13521</v>
      </c>
      <c r="J328" s="16" t="s">
        <v>13582</v>
      </c>
      <c r="K328" s="16" t="s">
        <v>13583</v>
      </c>
      <c r="L328" s="16"/>
    </row>
    <row r="329">
      <c r="A329" s="16" t="s">
        <v>13584</v>
      </c>
      <c r="B329" s="16" t="s">
        <v>13585</v>
      </c>
      <c r="C329" s="16" t="s">
        <v>13586</v>
      </c>
      <c r="D329" s="16" t="s">
        <v>12717</v>
      </c>
      <c r="E329" s="16" t="s">
        <v>13587</v>
      </c>
      <c r="F329" s="16" t="s">
        <v>12586</v>
      </c>
      <c r="G329" s="16" t="s">
        <v>12587</v>
      </c>
      <c r="H329" s="16" t="s">
        <v>12748</v>
      </c>
      <c r="I329" s="16" t="s">
        <v>13588</v>
      </c>
      <c r="J329" s="16" t="s">
        <v>13589</v>
      </c>
      <c r="K329" s="16" t="s">
        <v>13590</v>
      </c>
      <c r="L329" s="16"/>
    </row>
    <row r="330">
      <c r="A330" s="16" t="s">
        <v>13591</v>
      </c>
      <c r="B330" s="16" t="s">
        <v>13592</v>
      </c>
      <c r="C330" s="16" t="s">
        <v>13593</v>
      </c>
      <c r="D330" s="16" t="s">
        <v>12717</v>
      </c>
      <c r="E330" s="16" t="s">
        <v>13594</v>
      </c>
      <c r="F330" s="16" t="s">
        <v>12586</v>
      </c>
      <c r="G330" s="16" t="s">
        <v>12587</v>
      </c>
      <c r="H330" s="16" t="s">
        <v>12748</v>
      </c>
      <c r="I330" s="16" t="s">
        <v>12770</v>
      </c>
      <c r="J330" s="16" t="s">
        <v>13595</v>
      </c>
      <c r="K330" s="16" t="s">
        <v>13596</v>
      </c>
      <c r="L330" s="16"/>
    </row>
    <row r="331">
      <c r="A331" s="16" t="s">
        <v>42</v>
      </c>
      <c r="B331" s="16" t="s">
        <v>3335</v>
      </c>
      <c r="C331" s="16" t="s">
        <v>3350</v>
      </c>
      <c r="D331" s="16" t="s">
        <v>3</v>
      </c>
      <c r="E331" s="16" t="s">
        <v>3356</v>
      </c>
      <c r="F331" s="16" t="s">
        <v>12586</v>
      </c>
      <c r="G331" s="16" t="s">
        <v>12587</v>
      </c>
      <c r="H331" s="16" t="s">
        <v>12588</v>
      </c>
      <c r="I331" s="16" t="s">
        <v>12589</v>
      </c>
      <c r="J331" s="16" t="s">
        <v>12607</v>
      </c>
      <c r="K331" s="16" t="s">
        <v>2186</v>
      </c>
      <c r="L331" s="16"/>
    </row>
    <row r="332">
      <c r="A332" s="16" t="s">
        <v>237</v>
      </c>
      <c r="B332" s="16" t="s">
        <v>3944</v>
      </c>
      <c r="C332" s="16" t="s">
        <v>3957</v>
      </c>
      <c r="D332" s="16" t="s">
        <v>3</v>
      </c>
      <c r="E332" s="16" t="s">
        <v>3960</v>
      </c>
      <c r="F332" s="16" t="s">
        <v>12586</v>
      </c>
      <c r="G332" s="16" t="s">
        <v>12587</v>
      </c>
      <c r="H332" s="16" t="s">
        <v>12588</v>
      </c>
      <c r="I332" s="16" t="s">
        <v>12589</v>
      </c>
      <c r="J332" s="16" t="s">
        <v>12607</v>
      </c>
      <c r="K332" s="16" t="s">
        <v>2186</v>
      </c>
      <c r="L332" s="16"/>
    </row>
    <row r="333">
      <c r="A333" s="16" t="s">
        <v>340</v>
      </c>
      <c r="B333" s="16" t="s">
        <v>4296</v>
      </c>
      <c r="C333" s="16" t="s">
        <v>4306</v>
      </c>
      <c r="D333" s="16" t="s">
        <v>3</v>
      </c>
      <c r="E333" s="16" t="s">
        <v>4308</v>
      </c>
      <c r="F333" s="16" t="s">
        <v>12586</v>
      </c>
      <c r="G333" s="16" t="s">
        <v>12587</v>
      </c>
      <c r="H333" s="16" t="s">
        <v>12588</v>
      </c>
      <c r="I333" s="16" t="s">
        <v>12589</v>
      </c>
      <c r="J333" s="16" t="s">
        <v>12607</v>
      </c>
      <c r="K333" s="16" t="s">
        <v>2186</v>
      </c>
      <c r="L333" s="16"/>
    </row>
    <row r="334">
      <c r="A334" s="16" t="s">
        <v>432</v>
      </c>
      <c r="B334" s="16" t="s">
        <v>4700</v>
      </c>
      <c r="C334" s="16" t="s">
        <v>4710</v>
      </c>
      <c r="D334" s="16" t="s">
        <v>3</v>
      </c>
      <c r="E334" s="16" t="s">
        <v>4712</v>
      </c>
      <c r="F334" s="16" t="s">
        <v>12586</v>
      </c>
      <c r="G334" s="16" t="s">
        <v>12587</v>
      </c>
      <c r="H334" s="16" t="s">
        <v>12588</v>
      </c>
      <c r="I334" s="16" t="s">
        <v>12589</v>
      </c>
      <c r="J334" s="16" t="s">
        <v>12607</v>
      </c>
      <c r="K334" s="16" t="s">
        <v>2186</v>
      </c>
      <c r="L334" s="16"/>
    </row>
    <row r="335">
      <c r="A335" s="16" t="s">
        <v>572</v>
      </c>
      <c r="B335" s="16" t="s">
        <v>4988</v>
      </c>
      <c r="C335" s="16" t="s">
        <v>5004</v>
      </c>
      <c r="D335" s="16" t="s">
        <v>3</v>
      </c>
      <c r="E335" s="16" t="s">
        <v>5006</v>
      </c>
      <c r="F335" s="16" t="s">
        <v>12586</v>
      </c>
      <c r="G335" s="16" t="s">
        <v>12587</v>
      </c>
      <c r="H335" s="16" t="s">
        <v>12588</v>
      </c>
      <c r="I335" s="16" t="s">
        <v>12589</v>
      </c>
      <c r="J335" s="16" t="s">
        <v>12607</v>
      </c>
      <c r="K335" s="16" t="s">
        <v>2186</v>
      </c>
      <c r="L335" s="16"/>
    </row>
    <row r="336">
      <c r="A336" s="16" t="s">
        <v>853</v>
      </c>
      <c r="B336" s="16" t="s">
        <v>5589</v>
      </c>
      <c r="C336" s="16" t="s">
        <v>5599</v>
      </c>
      <c r="D336" s="16" t="s">
        <v>3</v>
      </c>
      <c r="E336" s="16" t="s">
        <v>5601</v>
      </c>
      <c r="F336" s="16" t="s">
        <v>12586</v>
      </c>
      <c r="G336" s="16" t="s">
        <v>12587</v>
      </c>
      <c r="H336" s="16" t="s">
        <v>12588</v>
      </c>
      <c r="I336" s="16" t="s">
        <v>12589</v>
      </c>
      <c r="J336" s="16" t="s">
        <v>12607</v>
      </c>
      <c r="K336" s="16" t="s">
        <v>2186</v>
      </c>
      <c r="L336" s="16"/>
    </row>
    <row r="337">
      <c r="A337" s="16" t="s">
        <v>815</v>
      </c>
      <c r="B337" s="16" t="s">
        <v>6017</v>
      </c>
      <c r="C337" s="16" t="s">
        <v>6026</v>
      </c>
      <c r="D337" s="16" t="s">
        <v>3</v>
      </c>
      <c r="E337" s="16" t="s">
        <v>6028</v>
      </c>
      <c r="F337" s="16" t="s">
        <v>12586</v>
      </c>
      <c r="G337" s="16" t="s">
        <v>12587</v>
      </c>
      <c r="H337" s="16" t="s">
        <v>12588</v>
      </c>
      <c r="I337" s="16" t="s">
        <v>12589</v>
      </c>
      <c r="J337" s="16" t="s">
        <v>12607</v>
      </c>
      <c r="K337" s="16" t="s">
        <v>2186</v>
      </c>
      <c r="L337" s="16"/>
    </row>
    <row r="338">
      <c r="A338" s="16" t="s">
        <v>789</v>
      </c>
      <c r="B338" s="16" t="s">
        <v>6210</v>
      </c>
      <c r="C338" s="16" t="s">
        <v>6223</v>
      </c>
      <c r="D338" s="16" t="s">
        <v>3</v>
      </c>
      <c r="E338" s="16" t="s">
        <v>6225</v>
      </c>
      <c r="F338" s="16" t="s">
        <v>12586</v>
      </c>
      <c r="G338" s="16" t="s">
        <v>12587</v>
      </c>
      <c r="H338" s="16" t="s">
        <v>12588</v>
      </c>
      <c r="I338" s="16" t="s">
        <v>12589</v>
      </c>
      <c r="J338" s="16" t="s">
        <v>12607</v>
      </c>
      <c r="K338" s="16" t="s">
        <v>2186</v>
      </c>
      <c r="L338" s="16"/>
    </row>
    <row r="339">
      <c r="A339" s="16" t="s">
        <v>779</v>
      </c>
      <c r="B339" s="16" t="s">
        <v>6321</v>
      </c>
      <c r="C339" s="16" t="s">
        <v>6326</v>
      </c>
      <c r="D339" s="16" t="s">
        <v>3</v>
      </c>
      <c r="E339" s="16" t="s">
        <v>6328</v>
      </c>
      <c r="F339" s="16" t="s">
        <v>12586</v>
      </c>
      <c r="G339" s="16" t="s">
        <v>12587</v>
      </c>
      <c r="H339" s="16" t="s">
        <v>12588</v>
      </c>
      <c r="I339" s="16" t="s">
        <v>12589</v>
      </c>
      <c r="J339" s="16" t="s">
        <v>12607</v>
      </c>
      <c r="K339" s="16" t="s">
        <v>2186</v>
      </c>
      <c r="L339" s="16"/>
    </row>
    <row r="340">
      <c r="A340" s="16" t="s">
        <v>13597</v>
      </c>
      <c r="B340" s="16" t="s">
        <v>13598</v>
      </c>
      <c r="C340" s="16" t="s">
        <v>13599</v>
      </c>
      <c r="D340" s="16" t="s">
        <v>12658</v>
      </c>
      <c r="E340" s="16" t="s">
        <v>13600</v>
      </c>
      <c r="F340" s="16" t="s">
        <v>12660</v>
      </c>
      <c r="G340" s="16" t="s">
        <v>12661</v>
      </c>
      <c r="H340" s="16" t="s">
        <v>12662</v>
      </c>
      <c r="I340" s="16" t="s">
        <v>12955</v>
      </c>
      <c r="J340" s="16" t="s">
        <v>13601</v>
      </c>
      <c r="K340" s="16" t="s">
        <v>13602</v>
      </c>
      <c r="L340" s="16"/>
    </row>
    <row r="341">
      <c r="A341" s="16" t="s">
        <v>13603</v>
      </c>
      <c r="B341" s="16" t="s">
        <v>13604</v>
      </c>
      <c r="C341" s="16" t="s">
        <v>13605</v>
      </c>
      <c r="D341" s="16" t="s">
        <v>12658</v>
      </c>
      <c r="E341" s="16" t="s">
        <v>13606</v>
      </c>
      <c r="F341" s="16" t="s">
        <v>12660</v>
      </c>
      <c r="G341" s="16" t="s">
        <v>12661</v>
      </c>
      <c r="H341" s="16" t="s">
        <v>12662</v>
      </c>
      <c r="I341" s="16" t="s">
        <v>13607</v>
      </c>
      <c r="J341" s="16" t="s">
        <v>13608</v>
      </c>
      <c r="K341" s="16" t="s">
        <v>13609</v>
      </c>
      <c r="L341" s="16"/>
    </row>
    <row r="342">
      <c r="A342" s="16" t="s">
        <v>13610</v>
      </c>
      <c r="B342" s="16" t="s">
        <v>13611</v>
      </c>
      <c r="C342" s="16" t="s">
        <v>13612</v>
      </c>
      <c r="D342" s="16" t="s">
        <v>12658</v>
      </c>
      <c r="E342" s="16" t="s">
        <v>13613</v>
      </c>
      <c r="F342" s="16" t="s">
        <v>12586</v>
      </c>
      <c r="G342" s="16" t="s">
        <v>13614</v>
      </c>
      <c r="H342" s="16" t="s">
        <v>13615</v>
      </c>
      <c r="I342" s="16" t="s">
        <v>13616</v>
      </c>
      <c r="J342" s="16" t="s">
        <v>13617</v>
      </c>
      <c r="K342" s="16" t="s">
        <v>13618</v>
      </c>
      <c r="L342" s="16"/>
    </row>
    <row r="343">
      <c r="A343" s="16" t="s">
        <v>13619</v>
      </c>
      <c r="B343" s="16" t="s">
        <v>13620</v>
      </c>
      <c r="C343" s="16" t="s">
        <v>13621</v>
      </c>
      <c r="D343" s="16" t="s">
        <v>12658</v>
      </c>
      <c r="E343" s="16" t="s">
        <v>13622</v>
      </c>
      <c r="F343" s="16" t="s">
        <v>12586</v>
      </c>
      <c r="G343" s="16" t="s">
        <v>13614</v>
      </c>
      <c r="H343" s="16" t="s">
        <v>13615</v>
      </c>
      <c r="I343" s="16" t="s">
        <v>13616</v>
      </c>
      <c r="J343" s="16" t="s">
        <v>13617</v>
      </c>
      <c r="K343" s="16" t="s">
        <v>13618</v>
      </c>
      <c r="L343" s="16"/>
    </row>
    <row r="344">
      <c r="A344" s="16" t="s">
        <v>13623</v>
      </c>
      <c r="B344" s="16" t="s">
        <v>13624</v>
      </c>
      <c r="C344" s="16" t="s">
        <v>13625</v>
      </c>
      <c r="D344" s="16" t="s">
        <v>12658</v>
      </c>
      <c r="E344" s="16" t="s">
        <v>13626</v>
      </c>
      <c r="F344" s="16" t="s">
        <v>12660</v>
      </c>
      <c r="G344" s="16" t="s">
        <v>12661</v>
      </c>
      <c r="H344" s="16" t="s">
        <v>12662</v>
      </c>
      <c r="I344" s="16" t="s">
        <v>12693</v>
      </c>
      <c r="J344" s="16" t="s">
        <v>13627</v>
      </c>
      <c r="K344" s="16" t="s">
        <v>13628</v>
      </c>
      <c r="L344" s="16"/>
    </row>
    <row r="345">
      <c r="A345" s="16" t="s">
        <v>13629</v>
      </c>
      <c r="B345" s="16" t="s">
        <v>13630</v>
      </c>
      <c r="C345" s="16" t="s">
        <v>13631</v>
      </c>
      <c r="D345" s="16" t="s">
        <v>12658</v>
      </c>
      <c r="E345" s="16" t="s">
        <v>13632</v>
      </c>
      <c r="F345" s="16" t="s">
        <v>12660</v>
      </c>
      <c r="G345" s="16" t="s">
        <v>12661</v>
      </c>
      <c r="H345" s="16" t="s">
        <v>12662</v>
      </c>
      <c r="I345" s="16" t="s">
        <v>12693</v>
      </c>
      <c r="J345" s="16" t="s">
        <v>13627</v>
      </c>
      <c r="K345" s="16" t="s">
        <v>13628</v>
      </c>
      <c r="L345" s="16"/>
    </row>
    <row r="346">
      <c r="A346" s="16" t="s">
        <v>13633</v>
      </c>
      <c r="B346" s="16" t="s">
        <v>13634</v>
      </c>
      <c r="C346" s="16" t="s">
        <v>13635</v>
      </c>
      <c r="D346" s="16" t="s">
        <v>12658</v>
      </c>
      <c r="E346" s="16" t="s">
        <v>13636</v>
      </c>
      <c r="F346" s="16" t="s">
        <v>12660</v>
      </c>
      <c r="G346" s="16" t="s">
        <v>12661</v>
      </c>
      <c r="H346" s="16" t="s">
        <v>12856</v>
      </c>
      <c r="I346" s="16" t="s">
        <v>12857</v>
      </c>
      <c r="J346" s="16" t="s">
        <v>13637</v>
      </c>
      <c r="K346" s="16" t="s">
        <v>13638</v>
      </c>
      <c r="L346" s="16"/>
    </row>
    <row r="347">
      <c r="A347" s="16" t="s">
        <v>13639</v>
      </c>
      <c r="B347" s="16" t="s">
        <v>13640</v>
      </c>
      <c r="C347" s="16" t="s">
        <v>13641</v>
      </c>
      <c r="D347" s="16" t="s">
        <v>12658</v>
      </c>
      <c r="E347" s="16" t="s">
        <v>13642</v>
      </c>
      <c r="F347" s="16" t="s">
        <v>12660</v>
      </c>
      <c r="G347" s="16" t="s">
        <v>12661</v>
      </c>
      <c r="H347" s="16" t="s">
        <v>12856</v>
      </c>
      <c r="I347" s="16" t="s">
        <v>12857</v>
      </c>
      <c r="J347" s="16" t="s">
        <v>13643</v>
      </c>
      <c r="K347" s="16" t="s">
        <v>13644</v>
      </c>
      <c r="L347" s="16"/>
    </row>
    <row r="348">
      <c r="A348" s="16" t="s">
        <v>13645</v>
      </c>
      <c r="B348" s="16" t="s">
        <v>13646</v>
      </c>
      <c r="C348" s="16" t="s">
        <v>13647</v>
      </c>
      <c r="D348" s="16" t="s">
        <v>12658</v>
      </c>
      <c r="E348" s="16" t="s">
        <v>13648</v>
      </c>
      <c r="F348" s="16" t="s">
        <v>12660</v>
      </c>
      <c r="G348" s="16" t="s">
        <v>12661</v>
      </c>
      <c r="H348" s="16" t="s">
        <v>12662</v>
      </c>
      <c r="I348" s="16" t="s">
        <v>12795</v>
      </c>
      <c r="J348" s="16" t="s">
        <v>13649</v>
      </c>
      <c r="K348" s="16" t="s">
        <v>13650</v>
      </c>
      <c r="L348" s="16"/>
    </row>
    <row r="349">
      <c r="A349" s="16" t="s">
        <v>13651</v>
      </c>
      <c r="B349" s="16" t="s">
        <v>13652</v>
      </c>
      <c r="C349" s="16"/>
      <c r="D349" s="16" t="s">
        <v>12658</v>
      </c>
      <c r="E349" s="16" t="s">
        <v>13653</v>
      </c>
      <c r="F349" s="16" t="s">
        <v>12660</v>
      </c>
      <c r="G349" s="16" t="s">
        <v>12661</v>
      </c>
      <c r="H349" s="16" t="s">
        <v>12662</v>
      </c>
      <c r="I349" s="16" t="s">
        <v>12795</v>
      </c>
      <c r="J349" s="16" t="s">
        <v>13654</v>
      </c>
      <c r="K349" s="16" t="s">
        <v>13655</v>
      </c>
      <c r="L349" s="16"/>
    </row>
    <row r="350">
      <c r="A350" s="16" t="s">
        <v>13656</v>
      </c>
      <c r="B350" s="16" t="s">
        <v>13657</v>
      </c>
      <c r="C350" s="16" t="s">
        <v>13658</v>
      </c>
      <c r="D350" s="16" t="s">
        <v>12658</v>
      </c>
      <c r="E350" s="16" t="s">
        <v>13659</v>
      </c>
      <c r="F350" s="16" t="s">
        <v>12660</v>
      </c>
      <c r="G350" s="16" t="s">
        <v>12661</v>
      </c>
      <c r="H350" s="16" t="s">
        <v>12662</v>
      </c>
      <c r="I350" s="16" t="s">
        <v>12795</v>
      </c>
      <c r="J350" s="16" t="s">
        <v>13654</v>
      </c>
      <c r="K350" s="16" t="s">
        <v>13660</v>
      </c>
      <c r="L350" s="16"/>
    </row>
    <row r="351">
      <c r="A351" s="16" t="s">
        <v>13661</v>
      </c>
      <c r="B351" s="16" t="s">
        <v>13662</v>
      </c>
      <c r="C351" s="16" t="s">
        <v>13663</v>
      </c>
      <c r="D351" s="16" t="s">
        <v>12658</v>
      </c>
      <c r="E351" s="16" t="s">
        <v>13664</v>
      </c>
      <c r="F351" s="16" t="s">
        <v>12660</v>
      </c>
      <c r="G351" s="16" t="s">
        <v>12661</v>
      </c>
      <c r="H351" s="16" t="s">
        <v>12662</v>
      </c>
      <c r="I351" s="16" t="s">
        <v>12795</v>
      </c>
      <c r="J351" s="16" t="s">
        <v>13654</v>
      </c>
      <c r="K351" s="16" t="s">
        <v>13660</v>
      </c>
      <c r="L351" s="16"/>
    </row>
    <row r="352">
      <c r="A352" s="16" t="s">
        <v>13665</v>
      </c>
      <c r="B352" s="16" t="s">
        <v>13666</v>
      </c>
      <c r="C352" s="16" t="s">
        <v>13667</v>
      </c>
      <c r="D352" s="16" t="s">
        <v>12658</v>
      </c>
      <c r="E352" s="16" t="s">
        <v>13668</v>
      </c>
      <c r="F352" s="16" t="s">
        <v>12660</v>
      </c>
      <c r="G352" s="16" t="s">
        <v>12661</v>
      </c>
      <c r="H352" s="16" t="s">
        <v>12662</v>
      </c>
      <c r="I352" s="16" t="s">
        <v>12795</v>
      </c>
      <c r="J352" s="16" t="s">
        <v>13654</v>
      </c>
      <c r="K352" s="16" t="s">
        <v>13660</v>
      </c>
      <c r="L352" s="16"/>
    </row>
    <row r="353">
      <c r="A353" s="16" t="s">
        <v>13669</v>
      </c>
      <c r="B353" s="16" t="s">
        <v>13670</v>
      </c>
      <c r="C353" s="16" t="s">
        <v>13671</v>
      </c>
      <c r="D353" s="16" t="s">
        <v>12658</v>
      </c>
      <c r="E353" s="16" t="s">
        <v>13672</v>
      </c>
      <c r="F353" s="16" t="s">
        <v>12586</v>
      </c>
      <c r="G353" s="16" t="s">
        <v>13207</v>
      </c>
      <c r="H353" s="16" t="s">
        <v>12710</v>
      </c>
      <c r="I353" s="16" t="s">
        <v>13236</v>
      </c>
      <c r="J353" s="16" t="s">
        <v>13673</v>
      </c>
      <c r="K353" s="16" t="s">
        <v>13674</v>
      </c>
      <c r="L353" s="16"/>
    </row>
    <row r="354">
      <c r="A354" s="16" t="s">
        <v>13675</v>
      </c>
      <c r="B354" s="16" t="s">
        <v>13676</v>
      </c>
      <c r="C354" s="16" t="s">
        <v>13677</v>
      </c>
      <c r="D354" s="16" t="s">
        <v>12658</v>
      </c>
      <c r="E354" s="16" t="s">
        <v>13678</v>
      </c>
      <c r="F354" s="16" t="s">
        <v>12660</v>
      </c>
      <c r="G354" s="16" t="s">
        <v>12661</v>
      </c>
      <c r="H354" s="16" t="s">
        <v>12662</v>
      </c>
      <c r="I354" s="16" t="s">
        <v>13679</v>
      </c>
      <c r="J354" s="16" t="s">
        <v>13680</v>
      </c>
      <c r="K354" s="16" t="s">
        <v>13681</v>
      </c>
      <c r="L354" s="16"/>
    </row>
    <row r="355">
      <c r="A355" s="16" t="s">
        <v>13682</v>
      </c>
      <c r="B355" s="16" t="s">
        <v>13683</v>
      </c>
      <c r="C355" s="16" t="s">
        <v>13684</v>
      </c>
      <c r="D355" s="16" t="s">
        <v>12658</v>
      </c>
      <c r="E355" s="16" t="s">
        <v>13685</v>
      </c>
      <c r="F355" s="16" t="s">
        <v>12660</v>
      </c>
      <c r="G355" s="16" t="s">
        <v>12661</v>
      </c>
      <c r="H355" s="16" t="s">
        <v>12856</v>
      </c>
      <c r="I355" s="16" t="s">
        <v>12857</v>
      </c>
      <c r="J355" s="16" t="s">
        <v>13686</v>
      </c>
      <c r="K355" s="16" t="s">
        <v>13687</v>
      </c>
      <c r="L355" s="16"/>
    </row>
    <row r="356">
      <c r="A356" s="16" t="s">
        <v>13688</v>
      </c>
      <c r="B356" s="16" t="s">
        <v>13689</v>
      </c>
      <c r="C356" s="16" t="s">
        <v>13690</v>
      </c>
      <c r="D356" s="16" t="s">
        <v>12658</v>
      </c>
      <c r="E356" s="16" t="s">
        <v>13691</v>
      </c>
      <c r="F356" s="16" t="s">
        <v>12660</v>
      </c>
      <c r="G356" s="16" t="s">
        <v>12661</v>
      </c>
      <c r="H356" s="16" t="s">
        <v>12856</v>
      </c>
      <c r="I356" s="16" t="s">
        <v>12857</v>
      </c>
      <c r="J356" s="16" t="s">
        <v>13686</v>
      </c>
      <c r="K356" s="16" t="s">
        <v>13687</v>
      </c>
      <c r="L356" s="16"/>
    </row>
    <row r="357">
      <c r="A357" s="16" t="s">
        <v>13692</v>
      </c>
      <c r="B357" s="16" t="s">
        <v>13693</v>
      </c>
      <c r="C357" s="16" t="s">
        <v>13694</v>
      </c>
      <c r="D357" s="16" t="s">
        <v>12658</v>
      </c>
      <c r="E357" s="16" t="s">
        <v>13695</v>
      </c>
      <c r="F357" s="16" t="s">
        <v>12660</v>
      </c>
      <c r="G357" s="16" t="s">
        <v>12661</v>
      </c>
      <c r="H357" s="16" t="s">
        <v>12856</v>
      </c>
      <c r="I357" s="16" t="s">
        <v>12857</v>
      </c>
      <c r="J357" s="16" t="s">
        <v>13686</v>
      </c>
      <c r="K357" s="16" t="s">
        <v>13687</v>
      </c>
      <c r="L357" s="16"/>
    </row>
    <row r="358">
      <c r="A358" s="16" t="s">
        <v>13696</v>
      </c>
      <c r="B358" s="16" t="s">
        <v>13697</v>
      </c>
      <c r="C358" s="16" t="s">
        <v>13698</v>
      </c>
      <c r="D358" s="16" t="s">
        <v>12717</v>
      </c>
      <c r="E358" s="16" t="s">
        <v>13699</v>
      </c>
      <c r="F358" s="16" t="s">
        <v>12586</v>
      </c>
      <c r="G358" s="16" t="s">
        <v>12587</v>
      </c>
      <c r="H358" s="16" t="s">
        <v>12588</v>
      </c>
      <c r="I358" s="16" t="s">
        <v>13700</v>
      </c>
      <c r="J358" s="16" t="s">
        <v>13701</v>
      </c>
      <c r="K358" s="16" t="s">
        <v>13702</v>
      </c>
      <c r="L358" s="16"/>
    </row>
    <row r="359">
      <c r="A359" s="16" t="s">
        <v>13703</v>
      </c>
      <c r="B359" s="16" t="s">
        <v>13704</v>
      </c>
      <c r="C359" s="16" t="s">
        <v>13705</v>
      </c>
      <c r="D359" s="16" t="s">
        <v>12658</v>
      </c>
      <c r="E359" s="16" t="s">
        <v>13706</v>
      </c>
      <c r="F359" s="16" t="s">
        <v>12660</v>
      </c>
      <c r="G359" s="16" t="s">
        <v>12661</v>
      </c>
      <c r="H359" s="16" t="s">
        <v>12662</v>
      </c>
      <c r="I359" s="16" t="s">
        <v>12795</v>
      </c>
      <c r="J359" s="16" t="s">
        <v>13707</v>
      </c>
      <c r="K359" s="16" t="s">
        <v>13708</v>
      </c>
      <c r="L359" s="16"/>
    </row>
    <row r="360">
      <c r="A360" s="16" t="s">
        <v>13709</v>
      </c>
      <c r="B360" s="16" t="s">
        <v>13710</v>
      </c>
      <c r="C360" s="16" t="s">
        <v>13711</v>
      </c>
      <c r="D360" s="16" t="s">
        <v>12658</v>
      </c>
      <c r="E360" s="16" t="s">
        <v>13712</v>
      </c>
      <c r="F360" s="16" t="s">
        <v>12660</v>
      </c>
      <c r="G360" s="16" t="s">
        <v>12661</v>
      </c>
      <c r="H360" s="16" t="s">
        <v>12662</v>
      </c>
      <c r="I360" s="16" t="s">
        <v>12795</v>
      </c>
      <c r="J360" s="16" t="s">
        <v>13713</v>
      </c>
      <c r="K360" s="16" t="s">
        <v>13714</v>
      </c>
      <c r="L360" s="16"/>
    </row>
    <row r="361">
      <c r="A361" s="16" t="s">
        <v>13715</v>
      </c>
      <c r="B361" s="16" t="s">
        <v>13716</v>
      </c>
      <c r="C361" s="16" t="s">
        <v>13717</v>
      </c>
      <c r="D361" s="16" t="s">
        <v>12658</v>
      </c>
      <c r="E361" s="16" t="s">
        <v>13718</v>
      </c>
      <c r="F361" s="16" t="s">
        <v>12660</v>
      </c>
      <c r="G361" s="16" t="s">
        <v>12661</v>
      </c>
      <c r="H361" s="16" t="s">
        <v>12662</v>
      </c>
      <c r="I361" s="16" t="s">
        <v>12795</v>
      </c>
      <c r="J361" s="16" t="s">
        <v>13713</v>
      </c>
      <c r="K361" s="16" t="s">
        <v>13714</v>
      </c>
      <c r="L361" s="16"/>
    </row>
    <row r="362">
      <c r="A362" s="16" t="s">
        <v>13719</v>
      </c>
      <c r="B362" s="16" t="s">
        <v>13720</v>
      </c>
      <c r="C362" s="16" t="s">
        <v>13721</v>
      </c>
      <c r="D362" s="16" t="s">
        <v>12658</v>
      </c>
      <c r="E362" s="16" t="s">
        <v>13722</v>
      </c>
      <c r="F362" s="16" t="s">
        <v>12660</v>
      </c>
      <c r="G362" s="16" t="s">
        <v>12661</v>
      </c>
      <c r="H362" s="16" t="s">
        <v>12662</v>
      </c>
      <c r="I362" s="16" t="s">
        <v>12795</v>
      </c>
      <c r="J362" s="16" t="s">
        <v>13713</v>
      </c>
      <c r="K362" s="16" t="s">
        <v>13714</v>
      </c>
      <c r="L362" s="16"/>
    </row>
    <row r="363">
      <c r="A363" s="16" t="s">
        <v>13723</v>
      </c>
      <c r="B363" s="16" t="s">
        <v>13724</v>
      </c>
      <c r="C363" s="16" t="s">
        <v>13725</v>
      </c>
      <c r="D363" s="16" t="s">
        <v>12658</v>
      </c>
      <c r="E363" s="16" t="s">
        <v>13726</v>
      </c>
      <c r="F363" s="16" t="s">
        <v>12660</v>
      </c>
      <c r="G363" s="16" t="s">
        <v>12661</v>
      </c>
      <c r="H363" s="16" t="s">
        <v>12662</v>
      </c>
      <c r="I363" s="16" t="s">
        <v>12795</v>
      </c>
      <c r="J363" s="16" t="s">
        <v>13713</v>
      </c>
      <c r="K363" s="16" t="s">
        <v>13714</v>
      </c>
      <c r="L363" s="16"/>
    </row>
    <row r="364">
      <c r="A364" s="16" t="s">
        <v>80</v>
      </c>
      <c r="B364" s="16" t="s">
        <v>3383</v>
      </c>
      <c r="C364" s="16" t="s">
        <v>3396</v>
      </c>
      <c r="D364" s="16" t="s">
        <v>3</v>
      </c>
      <c r="E364" s="16" t="s">
        <v>3399</v>
      </c>
      <c r="F364" s="16" t="s">
        <v>12586</v>
      </c>
      <c r="G364" s="16" t="s">
        <v>12587</v>
      </c>
      <c r="H364" s="16" t="s">
        <v>12588</v>
      </c>
      <c r="I364" s="16" t="s">
        <v>12589</v>
      </c>
      <c r="J364" s="16" t="s">
        <v>12599</v>
      </c>
      <c r="K364" s="16" t="s">
        <v>2256</v>
      </c>
      <c r="L364" s="16"/>
    </row>
    <row r="365">
      <c r="A365" s="16" t="s">
        <v>403</v>
      </c>
      <c r="B365" s="16" t="s">
        <v>4533</v>
      </c>
      <c r="C365" s="16"/>
      <c r="D365" s="16" t="s">
        <v>3</v>
      </c>
      <c r="E365" s="16" t="s">
        <v>4544</v>
      </c>
      <c r="F365" s="16" t="s">
        <v>12586</v>
      </c>
      <c r="G365" s="16" t="s">
        <v>12587</v>
      </c>
      <c r="H365" s="16" t="s">
        <v>12588</v>
      </c>
      <c r="I365" s="16" t="s">
        <v>12589</v>
      </c>
      <c r="J365" s="16" t="s">
        <v>12599</v>
      </c>
      <c r="K365" s="16" t="s">
        <v>2256</v>
      </c>
      <c r="L365" s="16"/>
    </row>
    <row r="366">
      <c r="A366" s="16" t="s">
        <v>13727</v>
      </c>
      <c r="B366" s="16" t="s">
        <v>13728</v>
      </c>
      <c r="C366" s="16" t="s">
        <v>13729</v>
      </c>
      <c r="D366" s="16" t="s">
        <v>12717</v>
      </c>
      <c r="E366" s="16" t="s">
        <v>13730</v>
      </c>
      <c r="F366" s="16" t="s">
        <v>12586</v>
      </c>
      <c r="G366" s="16" t="s">
        <v>12587</v>
      </c>
      <c r="H366" s="16" t="s">
        <v>12748</v>
      </c>
      <c r="I366" s="16" t="s">
        <v>12962</v>
      </c>
      <c r="J366" s="16" t="s">
        <v>13731</v>
      </c>
      <c r="K366" s="16" t="s">
        <v>13732</v>
      </c>
      <c r="L366" s="16"/>
    </row>
    <row r="367">
      <c r="A367" s="16" t="s">
        <v>13733</v>
      </c>
      <c r="B367" s="16" t="s">
        <v>13734</v>
      </c>
      <c r="C367" s="16" t="s">
        <v>13735</v>
      </c>
      <c r="D367" s="16" t="s">
        <v>12658</v>
      </c>
      <c r="E367" s="16" t="s">
        <v>13736</v>
      </c>
      <c r="F367" s="16" t="s">
        <v>12660</v>
      </c>
      <c r="G367" s="16" t="s">
        <v>12661</v>
      </c>
      <c r="H367" s="16" t="s">
        <v>12856</v>
      </c>
      <c r="I367" s="16" t="s">
        <v>12857</v>
      </c>
      <c r="J367" s="16" t="s">
        <v>13737</v>
      </c>
      <c r="K367" s="16" t="s">
        <v>13738</v>
      </c>
      <c r="L367" s="16"/>
    </row>
    <row r="368">
      <c r="A368" s="16" t="s">
        <v>13739</v>
      </c>
      <c r="B368" s="16" t="s">
        <v>13740</v>
      </c>
      <c r="C368" s="16" t="s">
        <v>13741</v>
      </c>
      <c r="D368" s="16" t="s">
        <v>12658</v>
      </c>
      <c r="E368" s="16" t="s">
        <v>13742</v>
      </c>
      <c r="F368" s="16" t="s">
        <v>12660</v>
      </c>
      <c r="G368" s="16" t="s">
        <v>12661</v>
      </c>
      <c r="H368" s="16" t="s">
        <v>12856</v>
      </c>
      <c r="I368" s="16" t="s">
        <v>12857</v>
      </c>
      <c r="J368" s="16" t="s">
        <v>13743</v>
      </c>
      <c r="K368" s="16" t="s">
        <v>13744</v>
      </c>
      <c r="L368" s="16"/>
    </row>
    <row r="369">
      <c r="A369" s="16" t="s">
        <v>13745</v>
      </c>
      <c r="B369" s="16" t="s">
        <v>13746</v>
      </c>
      <c r="C369" s="16" t="s">
        <v>13747</v>
      </c>
      <c r="D369" s="16" t="s">
        <v>12658</v>
      </c>
      <c r="E369" s="16" t="s">
        <v>13748</v>
      </c>
      <c r="F369" s="16" t="s">
        <v>12660</v>
      </c>
      <c r="G369" s="16" t="s">
        <v>12661</v>
      </c>
      <c r="H369" s="16" t="s">
        <v>12662</v>
      </c>
      <c r="I369" s="16" t="s">
        <v>13249</v>
      </c>
      <c r="J369" s="16" t="s">
        <v>13749</v>
      </c>
      <c r="K369" s="16" t="s">
        <v>13750</v>
      </c>
      <c r="L369" s="16"/>
    </row>
    <row r="370">
      <c r="A370" s="16" t="s">
        <v>13751</v>
      </c>
      <c r="B370" s="16" t="s">
        <v>13752</v>
      </c>
      <c r="C370" s="16" t="s">
        <v>13753</v>
      </c>
      <c r="D370" s="16" t="s">
        <v>12658</v>
      </c>
      <c r="E370" s="16" t="s">
        <v>13754</v>
      </c>
      <c r="F370" s="16" t="s">
        <v>12660</v>
      </c>
      <c r="G370" s="16" t="s">
        <v>12661</v>
      </c>
      <c r="H370" s="16" t="s">
        <v>12662</v>
      </c>
      <c r="I370" s="16" t="s">
        <v>12795</v>
      </c>
      <c r="J370" s="16" t="s">
        <v>13755</v>
      </c>
      <c r="K370" s="16" t="s">
        <v>13756</v>
      </c>
      <c r="L370" s="1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2">
      <c r="B2" s="3" t="s">
        <v>13757</v>
      </c>
    </row>
    <row r="3">
      <c r="B3" s="3" t="s">
        <v>13758</v>
      </c>
    </row>
    <row r="4">
      <c r="B4" s="3" t="s">
        <v>12253</v>
      </c>
    </row>
    <row r="5">
      <c r="B5" s="3" t="s">
        <v>13759</v>
      </c>
    </row>
    <row r="7">
      <c r="B7" s="3" t="s">
        <v>13760</v>
      </c>
    </row>
    <row r="9">
      <c r="B9" s="3" t="s">
        <v>13761</v>
      </c>
    </row>
    <row r="10">
      <c r="B10" s="3" t="s">
        <v>13762</v>
      </c>
    </row>
    <row r="12">
      <c r="B12" s="3" t="s">
        <v>13763</v>
      </c>
    </row>
    <row r="14">
      <c r="B14" s="3" t="s">
        <v>13764</v>
      </c>
    </row>
    <row r="15">
      <c r="B15" s="3" t="s">
        <v>13765</v>
      </c>
    </row>
    <row r="16">
      <c r="B16" s="3" t="s">
        <v>13766</v>
      </c>
    </row>
    <row r="17">
      <c r="B17" s="3" t="s">
        <v>13767</v>
      </c>
    </row>
    <row r="18">
      <c r="B18" s="3" t="s">
        <v>13768</v>
      </c>
    </row>
    <row r="21">
      <c r="B21" s="3" t="s">
        <v>13769</v>
      </c>
    </row>
    <row r="25">
      <c r="B25" s="3" t="s">
        <v>13770</v>
      </c>
    </row>
    <row r="26">
      <c r="B26" s="3" t="s">
        <v>13771</v>
      </c>
    </row>
    <row r="27">
      <c r="B27" s="3" t="s">
        <v>13772</v>
      </c>
    </row>
    <row r="28">
      <c r="B28" s="3" t="s">
        <v>13773</v>
      </c>
    </row>
    <row r="29">
      <c r="B29" s="3" t="s">
        <v>13774</v>
      </c>
    </row>
    <row r="31">
      <c r="B31" s="3" t="s">
        <v>13775</v>
      </c>
    </row>
    <row r="32">
      <c r="B32" s="3" t="s">
        <v>13776</v>
      </c>
    </row>
    <row r="36">
      <c r="B36" s="3" t="s">
        <v>13777</v>
      </c>
    </row>
    <row r="37">
      <c r="B37" s="3" t="s">
        <v>13778</v>
      </c>
    </row>
    <row r="38">
      <c r="B38" s="3" t="s">
        <v>13779</v>
      </c>
    </row>
    <row r="39">
      <c r="B39" s="3" t="s">
        <v>13780</v>
      </c>
    </row>
    <row r="40">
      <c r="B40" s="3" t="s">
        <v>13781</v>
      </c>
    </row>
    <row r="41">
      <c r="B41" s="3" t="s">
        <v>13782</v>
      </c>
    </row>
    <row r="42">
      <c r="B42" s="3" t="s">
        <v>13783</v>
      </c>
    </row>
    <row r="43">
      <c r="B43" s="3" t="s">
        <v>13784</v>
      </c>
    </row>
    <row r="44">
      <c r="B44" s="3" t="s">
        <v>13785</v>
      </c>
    </row>
    <row r="45">
      <c r="B45" s="3" t="s">
        <v>13786</v>
      </c>
    </row>
    <row r="46">
      <c r="B46" s="3" t="s">
        <v>13787</v>
      </c>
    </row>
    <row r="47">
      <c r="B47" s="3" t="s">
        <v>13788</v>
      </c>
    </row>
    <row r="48">
      <c r="B48" s="3" t="s">
        <v>13789</v>
      </c>
    </row>
    <row r="49">
      <c r="B49" s="3" t="s">
        <v>13790</v>
      </c>
    </row>
    <row r="50">
      <c r="B50" s="3" t="s">
        <v>13791</v>
      </c>
    </row>
    <row r="61">
      <c r="B61" s="3" t="s">
        <v>13792</v>
      </c>
    </row>
    <row r="63">
      <c r="B63" s="3" t="s">
        <v>13793</v>
      </c>
    </row>
    <row r="65">
      <c r="B65" s="3" t="s">
        <v>13794</v>
      </c>
    </row>
    <row r="67">
      <c r="B67" s="3" t="s">
        <v>13795</v>
      </c>
    </row>
    <row r="68">
      <c r="B68" s="3" t="s">
        <v>13796</v>
      </c>
    </row>
    <row r="73">
      <c r="B73" s="3" t="s">
        <v>13797</v>
      </c>
    </row>
    <row r="74">
      <c r="B74" s="3" t="s">
        <v>13798</v>
      </c>
    </row>
    <row r="75">
      <c r="B75" s="3" t="s">
        <v>13799</v>
      </c>
    </row>
    <row r="77">
      <c r="B77" s="3" t="s">
        <v>13800</v>
      </c>
    </row>
    <row r="78">
      <c r="B78" s="3" t="s">
        <v>13801</v>
      </c>
    </row>
    <row r="79">
      <c r="B79" s="3" t="s">
        <v>13802</v>
      </c>
    </row>
    <row r="80">
      <c r="B80" s="3" t="s">
        <v>13803</v>
      </c>
    </row>
    <row r="81">
      <c r="B81" s="3" t="s">
        <v>13804</v>
      </c>
    </row>
    <row r="82">
      <c r="B82" s="3" t="s">
        <v>13805</v>
      </c>
    </row>
    <row r="83">
      <c r="B83" s="3" t="s">
        <v>13806</v>
      </c>
    </row>
    <row r="84">
      <c r="B84" s="3" t="s">
        <v>13807</v>
      </c>
    </row>
    <row r="88">
      <c r="B88" s="3" t="s">
        <v>13808</v>
      </c>
    </row>
    <row r="89">
      <c r="B89" s="3" t="s">
        <v>13809</v>
      </c>
    </row>
    <row r="91">
      <c r="B91" s="3" t="s">
        <v>13810</v>
      </c>
    </row>
    <row r="93">
      <c r="B93" s="3" t="s">
        <v>13811</v>
      </c>
    </row>
    <row r="94">
      <c r="B94" s="3" t="s">
        <v>13812</v>
      </c>
    </row>
    <row r="95">
      <c r="B95" s="3" t="s">
        <v>13813</v>
      </c>
    </row>
    <row r="96">
      <c r="B96" s="3" t="s">
        <v>13814</v>
      </c>
    </row>
    <row r="97">
      <c r="B97" s="3" t="s">
        <v>13815</v>
      </c>
    </row>
    <row r="98">
      <c r="B98" s="3" t="s">
        <v>13816</v>
      </c>
    </row>
    <row r="100">
      <c r="B100" s="3" t="s">
        <v>13817</v>
      </c>
    </row>
    <row r="101">
      <c r="B101" s="3" t="s">
        <v>13818</v>
      </c>
    </row>
    <row r="103">
      <c r="B103" s="3" t="s">
        <v>13819</v>
      </c>
    </row>
    <row r="107">
      <c r="B107" s="3" t="s">
        <v>13820</v>
      </c>
    </row>
    <row r="108">
      <c r="B108" s="3" t="s">
        <v>13821</v>
      </c>
    </row>
    <row r="111">
      <c r="B111" s="3" t="s">
        <v>13822</v>
      </c>
    </row>
    <row r="112">
      <c r="B112" s="3" t="s">
        <v>13823</v>
      </c>
    </row>
    <row r="113">
      <c r="B113" s="3" t="s">
        <v>13824</v>
      </c>
    </row>
    <row r="114">
      <c r="B114" s="3" t="s">
        <v>13825</v>
      </c>
    </row>
    <row r="115">
      <c r="B115" s="3" t="s">
        <v>13826</v>
      </c>
    </row>
    <row r="116">
      <c r="B116" s="3" t="s">
        <v>13827</v>
      </c>
    </row>
    <row r="117">
      <c r="B117" s="3" t="s">
        <v>13828</v>
      </c>
    </row>
    <row r="118">
      <c r="B118" s="3" t="s">
        <v>13829</v>
      </c>
    </row>
    <row r="120">
      <c r="B120" s="3" t="s">
        <v>13830</v>
      </c>
    </row>
    <row r="121">
      <c r="B121" s="3" t="s">
        <v>13831</v>
      </c>
    </row>
    <row r="122">
      <c r="B122" s="3" t="s">
        <v>13832</v>
      </c>
    </row>
    <row r="123">
      <c r="B123" s="3" t="s">
        <v>13833</v>
      </c>
    </row>
    <row r="124">
      <c r="B124" s="3" t="s">
        <v>13834</v>
      </c>
    </row>
    <row r="125">
      <c r="B125" s="3" t="s">
        <v>13835</v>
      </c>
    </row>
    <row r="126">
      <c r="B126" s="3" t="s">
        <v>13836</v>
      </c>
    </row>
    <row r="131">
      <c r="B131" s="3" t="s">
        <v>13837</v>
      </c>
    </row>
    <row r="132">
      <c r="B132" s="3" t="s">
        <v>13838</v>
      </c>
    </row>
    <row r="133">
      <c r="B133" s="3" t="s">
        <v>13839</v>
      </c>
    </row>
    <row r="134">
      <c r="B134" s="3" t="s">
        <v>13840</v>
      </c>
    </row>
    <row r="135">
      <c r="B135" s="3" t="s">
        <v>13841</v>
      </c>
    </row>
    <row r="136">
      <c r="B136" s="3" t="s">
        <v>13842</v>
      </c>
    </row>
    <row r="140">
      <c r="B140" s="3" t="s">
        <v>13843</v>
      </c>
    </row>
    <row r="141">
      <c r="B141" s="3" t="s">
        <v>13844</v>
      </c>
    </row>
    <row r="142">
      <c r="B142" s="3" t="s">
        <v>13845</v>
      </c>
    </row>
    <row r="143">
      <c r="B143" s="3" t="s">
        <v>13846</v>
      </c>
    </row>
    <row r="144">
      <c r="B144" s="3" t="s">
        <v>13847</v>
      </c>
    </row>
    <row r="150">
      <c r="B150" s="3" t="s">
        <v>13848</v>
      </c>
    </row>
    <row r="151">
      <c r="B151" s="3" t="s">
        <v>13849</v>
      </c>
    </row>
    <row r="152">
      <c r="B152" s="3" t="s">
        <v>13850</v>
      </c>
    </row>
    <row r="153">
      <c r="B153" s="3" t="s">
        <v>13851</v>
      </c>
    </row>
    <row r="154">
      <c r="B154" s="3" t="s">
        <v>13852</v>
      </c>
    </row>
    <row r="155">
      <c r="B155" s="3" t="s">
        <v>13853</v>
      </c>
    </row>
    <row r="156">
      <c r="B156" s="3" t="s">
        <v>13854</v>
      </c>
    </row>
    <row r="157">
      <c r="B157" s="3" t="s">
        <v>13855</v>
      </c>
    </row>
    <row r="158">
      <c r="B158" s="3" t="s">
        <v>13856</v>
      </c>
    </row>
    <row r="162">
      <c r="B162" s="3" t="s">
        <v>13806</v>
      </c>
    </row>
    <row r="169">
      <c r="B169" s="3" t="s">
        <v>13857</v>
      </c>
    </row>
    <row r="170">
      <c r="B170" s="3" t="s">
        <v>13858</v>
      </c>
    </row>
    <row r="174">
      <c r="B174" s="3" t="s">
        <v>13859</v>
      </c>
    </row>
    <row r="175">
      <c r="B175" s="3" t="s">
        <v>13860</v>
      </c>
    </row>
    <row r="177">
      <c r="B177" s="3" t="s">
        <v>13861</v>
      </c>
    </row>
    <row r="178">
      <c r="B178" s="3" t="s">
        <v>13862</v>
      </c>
    </row>
    <row r="179">
      <c r="B179" s="3" t="s">
        <v>13863</v>
      </c>
    </row>
    <row r="180">
      <c r="B180" s="3" t="s">
        <v>13864</v>
      </c>
    </row>
    <row r="182">
      <c r="B182" s="3" t="s">
        <v>13865</v>
      </c>
    </row>
    <row r="183">
      <c r="B183" s="3" t="s">
        <v>13866</v>
      </c>
    </row>
    <row r="184">
      <c r="B184" s="3" t="s">
        <v>13867</v>
      </c>
    </row>
    <row r="192">
      <c r="B192" s="3" t="s">
        <v>13868</v>
      </c>
    </row>
    <row r="193">
      <c r="B193" s="3" t="s">
        <v>13869</v>
      </c>
    </row>
    <row r="207">
      <c r="B207" s="3" t="s">
        <v>13870</v>
      </c>
    </row>
    <row r="211">
      <c r="B211" s="3" t="s">
        <v>13871</v>
      </c>
    </row>
    <row r="212">
      <c r="B212" s="3" t="s">
        <v>13872</v>
      </c>
    </row>
    <row r="213">
      <c r="B213" s="3" t="s">
        <v>13873</v>
      </c>
    </row>
    <row r="214">
      <c r="B214" s="3" t="s">
        <v>13874</v>
      </c>
    </row>
    <row r="215">
      <c r="B215" s="3" t="s">
        <v>13875</v>
      </c>
    </row>
    <row r="216">
      <c r="B216" s="3" t="s">
        <v>13876</v>
      </c>
    </row>
    <row r="217">
      <c r="B217" s="3" t="s">
        <v>13877</v>
      </c>
    </row>
    <row r="218">
      <c r="B218" s="3" t="s">
        <v>13878</v>
      </c>
    </row>
    <row r="219">
      <c r="B219" s="3" t="s">
        <v>13879</v>
      </c>
    </row>
    <row r="221">
      <c r="B221" s="3" t="s">
        <v>13880</v>
      </c>
    </row>
    <row r="222">
      <c r="B222" s="3" t="s">
        <v>13881</v>
      </c>
    </row>
    <row r="223">
      <c r="B223" s="3" t="s">
        <v>13882</v>
      </c>
    </row>
    <row r="225">
      <c r="B225" s="3" t="s">
        <v>13883</v>
      </c>
    </row>
    <row r="226">
      <c r="B226" s="3" t="s">
        <v>13884</v>
      </c>
    </row>
    <row r="229">
      <c r="B229" s="3" t="s">
        <v>13885</v>
      </c>
    </row>
    <row r="230">
      <c r="B230" s="3" t="s">
        <v>13886</v>
      </c>
    </row>
    <row r="231">
      <c r="B231" s="3" t="s">
        <v>13887</v>
      </c>
    </row>
    <row r="232">
      <c r="B232" s="3" t="s">
        <v>13888</v>
      </c>
    </row>
    <row r="233">
      <c r="B233" s="3" t="s">
        <v>13889</v>
      </c>
    </row>
    <row r="234">
      <c r="B234" s="3" t="s">
        <v>13890</v>
      </c>
    </row>
    <row r="235">
      <c r="B235" s="3" t="s">
        <v>13891</v>
      </c>
    </row>
    <row r="236">
      <c r="B236" s="3" t="s">
        <v>13892</v>
      </c>
    </row>
    <row r="237">
      <c r="B237" s="3" t="s">
        <v>13893</v>
      </c>
    </row>
    <row r="238">
      <c r="B238" s="3" t="s">
        <v>13894</v>
      </c>
    </row>
    <row r="239">
      <c r="B239" s="3" t="s">
        <v>13895</v>
      </c>
    </row>
    <row r="250">
      <c r="B250" s="3" t="s">
        <v>13896</v>
      </c>
    </row>
    <row r="251">
      <c r="B251" s="3" t="s">
        <v>13897</v>
      </c>
    </row>
    <row r="252">
      <c r="B252" s="3" t="s">
        <v>13898</v>
      </c>
    </row>
    <row r="253">
      <c r="B253" s="3" t="s">
        <v>13899</v>
      </c>
    </row>
    <row r="254">
      <c r="B254" s="3" t="s">
        <v>13900</v>
      </c>
    </row>
    <row r="255">
      <c r="B255" s="3" t="s">
        <v>13901</v>
      </c>
    </row>
    <row r="256">
      <c r="B256" s="3" t="s">
        <v>13902</v>
      </c>
    </row>
    <row r="257">
      <c r="B257" s="3" t="s">
        <v>13903</v>
      </c>
    </row>
    <row r="258">
      <c r="B258" s="3" t="s">
        <v>13904</v>
      </c>
    </row>
    <row r="259">
      <c r="B259" s="3" t="s">
        <v>13905</v>
      </c>
    </row>
    <row r="260">
      <c r="B260" s="3" t="s">
        <v>13906</v>
      </c>
    </row>
    <row r="261">
      <c r="B261" s="3" t="s">
        <v>13907</v>
      </c>
    </row>
    <row r="262">
      <c r="B262" s="3" t="s">
        <v>13908</v>
      </c>
    </row>
    <row r="263">
      <c r="B263" s="3" t="s">
        <v>13909</v>
      </c>
    </row>
    <row r="264">
      <c r="B264" s="3" t="s">
        <v>13910</v>
      </c>
    </row>
    <row r="265">
      <c r="B265" s="3" t="s">
        <v>13911</v>
      </c>
    </row>
    <row r="266">
      <c r="B266" s="3" t="s">
        <v>13912</v>
      </c>
    </row>
    <row r="267">
      <c r="B267" s="3" t="s">
        <v>13913</v>
      </c>
    </row>
    <row r="268">
      <c r="B268" s="3" t="s">
        <v>13914</v>
      </c>
    </row>
    <row r="269">
      <c r="B269" s="3" t="s">
        <v>13915</v>
      </c>
    </row>
    <row r="270">
      <c r="B270" s="3" t="s">
        <v>13916</v>
      </c>
    </row>
    <row r="271">
      <c r="B271" s="3" t="s">
        <v>13917</v>
      </c>
    </row>
    <row r="272">
      <c r="B272" s="3" t="s">
        <v>13918</v>
      </c>
    </row>
    <row r="273">
      <c r="B273" s="3" t="s">
        <v>13919</v>
      </c>
    </row>
    <row r="274">
      <c r="B274" s="3" t="s">
        <v>13920</v>
      </c>
    </row>
    <row r="275">
      <c r="B275" s="3" t="s">
        <v>13921</v>
      </c>
    </row>
    <row r="276">
      <c r="B276" s="3" t="s">
        <v>13922</v>
      </c>
    </row>
    <row r="277">
      <c r="B277" s="3" t="s">
        <v>13923</v>
      </c>
    </row>
    <row r="278">
      <c r="B278" s="3" t="s">
        <v>13924</v>
      </c>
    </row>
    <row r="279">
      <c r="B279" s="3" t="s">
        <v>13925</v>
      </c>
    </row>
    <row r="280">
      <c r="B280" s="3" t="s">
        <v>13926</v>
      </c>
    </row>
    <row r="281">
      <c r="B281" s="3" t="s">
        <v>13927</v>
      </c>
    </row>
    <row r="282">
      <c r="B282" s="3" t="s">
        <v>13928</v>
      </c>
    </row>
    <row r="283">
      <c r="B283" s="3" t="s">
        <v>13929</v>
      </c>
    </row>
    <row r="284">
      <c r="B284" s="3" t="s">
        <v>13930</v>
      </c>
    </row>
    <row r="285">
      <c r="B285" s="3" t="s">
        <v>13931</v>
      </c>
    </row>
    <row r="286">
      <c r="B286" s="3" t="s">
        <v>13932</v>
      </c>
    </row>
    <row r="287">
      <c r="B287" s="3" t="s">
        <v>13933</v>
      </c>
    </row>
    <row r="288">
      <c r="B288" s="3" t="s">
        <v>13934</v>
      </c>
    </row>
    <row r="289">
      <c r="B289" s="3" t="s">
        <v>13935</v>
      </c>
    </row>
    <row r="290">
      <c r="B290" s="3" t="s">
        <v>13936</v>
      </c>
    </row>
    <row r="291">
      <c r="B291" s="3" t="s">
        <v>13937</v>
      </c>
    </row>
    <row r="292">
      <c r="B292" s="3" t="s">
        <v>13938</v>
      </c>
    </row>
    <row r="293">
      <c r="B293" s="3" t="s">
        <v>13939</v>
      </c>
    </row>
    <row r="294">
      <c r="B294" s="3" t="s">
        <v>13940</v>
      </c>
    </row>
    <row r="295">
      <c r="B295" s="3" t="s">
        <v>13941</v>
      </c>
    </row>
    <row r="296">
      <c r="B296" s="3" t="s">
        <v>13942</v>
      </c>
    </row>
    <row r="297">
      <c r="B297" s="3" t="s">
        <v>13943</v>
      </c>
    </row>
    <row r="298">
      <c r="B298" s="3" t="s">
        <v>13944</v>
      </c>
    </row>
    <row r="299">
      <c r="B299" s="3" t="s">
        <v>13945</v>
      </c>
    </row>
    <row r="300">
      <c r="B300" s="3" t="s">
        <v>13946</v>
      </c>
    </row>
    <row r="301">
      <c r="B301" s="3" t="s">
        <v>13947</v>
      </c>
    </row>
    <row r="302">
      <c r="B302" s="3" t="s">
        <v>13948</v>
      </c>
    </row>
    <row r="303">
      <c r="B303" s="3" t="s">
        <v>13949</v>
      </c>
    </row>
    <row r="304">
      <c r="B304" s="3" t="s">
        <v>13950</v>
      </c>
    </row>
    <row r="305">
      <c r="B305" s="3" t="s">
        <v>13951</v>
      </c>
    </row>
    <row r="306">
      <c r="B306" s="3" t="s">
        <v>13952</v>
      </c>
    </row>
    <row r="307">
      <c r="B307" s="3" t="s">
        <v>13953</v>
      </c>
    </row>
    <row r="308">
      <c r="B308" s="3" t="s">
        <v>13954</v>
      </c>
    </row>
    <row r="309">
      <c r="B309" s="3" t="s">
        <v>13955</v>
      </c>
    </row>
    <row r="310">
      <c r="B310" s="3" t="s">
        <v>13956</v>
      </c>
    </row>
    <row r="311">
      <c r="B311" s="3" t="s">
        <v>13957</v>
      </c>
    </row>
    <row r="312">
      <c r="B312" s="3" t="s">
        <v>13958</v>
      </c>
    </row>
    <row r="313">
      <c r="B313" s="3" t="s">
        <v>13959</v>
      </c>
    </row>
    <row r="314">
      <c r="B314" s="3" t="s">
        <v>13960</v>
      </c>
    </row>
    <row r="315">
      <c r="B315" s="3" t="s">
        <v>13961</v>
      </c>
    </row>
    <row r="316">
      <c r="B316" s="3" t="s">
        <v>13962</v>
      </c>
    </row>
    <row r="317">
      <c r="B317" s="3" t="s">
        <v>13963</v>
      </c>
    </row>
    <row r="318">
      <c r="B318" s="3" t="s">
        <v>13964</v>
      </c>
    </row>
    <row r="319">
      <c r="B319" s="3" t="s">
        <v>13965</v>
      </c>
    </row>
    <row r="320">
      <c r="B320" s="3" t="s">
        <v>13966</v>
      </c>
    </row>
    <row r="321">
      <c r="B321" s="3" t="s">
        <v>13967</v>
      </c>
    </row>
    <row r="322">
      <c r="B322" s="3" t="s">
        <v>13968</v>
      </c>
    </row>
    <row r="323">
      <c r="B323" s="3" t="s">
        <v>13969</v>
      </c>
    </row>
    <row r="324">
      <c r="B324" s="3" t="s">
        <v>13970</v>
      </c>
    </row>
    <row r="325">
      <c r="B325" s="3" t="s">
        <v>13971</v>
      </c>
    </row>
    <row r="326">
      <c r="B326" s="3" t="s">
        <v>13972</v>
      </c>
    </row>
    <row r="327">
      <c r="B327" s="3" t="s">
        <v>13973</v>
      </c>
    </row>
    <row r="328">
      <c r="B328" s="3" t="s">
        <v>13974</v>
      </c>
    </row>
    <row r="329">
      <c r="B329" s="3" t="s">
        <v>13975</v>
      </c>
    </row>
    <row r="330">
      <c r="B330" s="3" t="s">
        <v>13976</v>
      </c>
    </row>
    <row r="331">
      <c r="B331" s="3" t="s">
        <v>13977</v>
      </c>
    </row>
    <row r="332">
      <c r="B332" s="3" t="s">
        <v>13978</v>
      </c>
    </row>
    <row r="333">
      <c r="B333" s="3" t="s">
        <v>13979</v>
      </c>
    </row>
    <row r="334">
      <c r="B334" s="3" t="s">
        <v>13980</v>
      </c>
    </row>
    <row r="335">
      <c r="B335" s="3" t="s">
        <v>13981</v>
      </c>
    </row>
    <row r="336">
      <c r="B336" s="3" t="s">
        <v>13982</v>
      </c>
    </row>
    <row r="337">
      <c r="B337" s="3" t="s">
        <v>13983</v>
      </c>
    </row>
    <row r="338">
      <c r="B338" s="3" t="s">
        <v>13984</v>
      </c>
    </row>
    <row r="339">
      <c r="B339" s="3" t="s">
        <v>13985</v>
      </c>
    </row>
    <row r="340">
      <c r="B340" s="3" t="s">
        <v>13986</v>
      </c>
    </row>
    <row r="341">
      <c r="B341" s="3" t="s">
        <v>13987</v>
      </c>
    </row>
    <row r="342">
      <c r="B342" s="3" t="s">
        <v>13988</v>
      </c>
    </row>
    <row r="343">
      <c r="B343" s="3" t="s">
        <v>13989</v>
      </c>
    </row>
    <row r="344">
      <c r="B344" s="3" t="s">
        <v>13990</v>
      </c>
    </row>
    <row r="345">
      <c r="B345" s="3" t="s">
        <v>13991</v>
      </c>
    </row>
    <row r="346">
      <c r="B346" s="3" t="s">
        <v>13992</v>
      </c>
    </row>
    <row r="347">
      <c r="B347" s="3" t="s">
        <v>13993</v>
      </c>
    </row>
    <row r="348">
      <c r="B348" s="3" t="s">
        <v>13994</v>
      </c>
    </row>
    <row r="349">
      <c r="B349" s="3" t="s">
        <v>13995</v>
      </c>
    </row>
    <row r="350">
      <c r="B350" s="3" t="s">
        <v>13996</v>
      </c>
    </row>
    <row r="351">
      <c r="B351" s="3" t="s">
        <v>13997</v>
      </c>
    </row>
    <row r="352">
      <c r="B352" s="3" t="s">
        <v>13998</v>
      </c>
    </row>
    <row r="353">
      <c r="B353" s="3" t="s">
        <v>13999</v>
      </c>
    </row>
    <row r="354">
      <c r="B354" s="3" t="s">
        <v>14000</v>
      </c>
    </row>
    <row r="355">
      <c r="B355" s="3" t="s">
        <v>14001</v>
      </c>
    </row>
    <row r="356">
      <c r="B356" s="3" t="s">
        <v>14002</v>
      </c>
    </row>
    <row r="357">
      <c r="B357" s="3" t="s">
        <v>14003</v>
      </c>
    </row>
    <row r="358">
      <c r="B358" s="3" t="s">
        <v>14004</v>
      </c>
    </row>
    <row r="359">
      <c r="B359" s="3" t="s">
        <v>14005</v>
      </c>
    </row>
    <row r="360">
      <c r="B360" s="3" t="s">
        <v>14006</v>
      </c>
    </row>
    <row r="361">
      <c r="B361" s="3" t="s">
        <v>14007</v>
      </c>
    </row>
    <row r="362">
      <c r="B362" s="3" t="s">
        <v>14008</v>
      </c>
    </row>
    <row r="363">
      <c r="B363" s="3" t="s">
        <v>14009</v>
      </c>
    </row>
    <row r="364">
      <c r="B364" s="3" t="s">
        <v>14010</v>
      </c>
    </row>
    <row r="365">
      <c r="B365" s="3" t="s">
        <v>14011</v>
      </c>
    </row>
    <row r="366">
      <c r="B366" s="3" t="s">
        <v>14012</v>
      </c>
    </row>
    <row r="435">
      <c r="B435" s="3" t="s">
        <v>14013</v>
      </c>
    </row>
    <row r="436">
      <c r="B436" s="3" t="s">
        <v>14014</v>
      </c>
    </row>
    <row r="437">
      <c r="B437" s="3" t="s">
        <v>14015</v>
      </c>
    </row>
    <row r="438">
      <c r="B438" s="3" t="s">
        <v>14016</v>
      </c>
    </row>
    <row r="439">
      <c r="B439" s="3" t="s">
        <v>14017</v>
      </c>
    </row>
    <row r="440">
      <c r="B440" s="3" t="s">
        <v>14018</v>
      </c>
    </row>
    <row r="441">
      <c r="B441" s="3" t="s">
        <v>14019</v>
      </c>
    </row>
    <row r="442">
      <c r="B442" s="3" t="s">
        <v>14020</v>
      </c>
    </row>
    <row r="443">
      <c r="B443" s="3" t="s">
        <v>14021</v>
      </c>
    </row>
    <row r="444">
      <c r="B444" s="3" t="s">
        <v>14022</v>
      </c>
    </row>
    <row r="445">
      <c r="B445" s="3" t="s">
        <v>14023</v>
      </c>
    </row>
    <row r="446">
      <c r="B446" s="3" t="s">
        <v>14024</v>
      </c>
    </row>
    <row r="447">
      <c r="B447" s="3" t="s">
        <v>14025</v>
      </c>
    </row>
    <row r="448">
      <c r="B448" s="3" t="s">
        <v>14026</v>
      </c>
    </row>
    <row r="449">
      <c r="B449" s="3" t="s">
        <v>14027</v>
      </c>
    </row>
    <row r="450">
      <c r="B450" s="3" t="s">
        <v>14028</v>
      </c>
    </row>
    <row r="451">
      <c r="B451" s="3" t="s">
        <v>14029</v>
      </c>
    </row>
    <row r="452">
      <c r="B452" s="3" t="s">
        <v>14030</v>
      </c>
    </row>
    <row r="453">
      <c r="B453" s="3" t="s">
        <v>14031</v>
      </c>
    </row>
    <row r="454">
      <c r="B454" s="3" t="s">
        <v>14032</v>
      </c>
    </row>
    <row r="458">
      <c r="B458" s="3" t="s">
        <v>14033</v>
      </c>
    </row>
    <row r="459">
      <c r="B459" s="3" t="s">
        <v>14034</v>
      </c>
    </row>
    <row r="461">
      <c r="B461" s="3" t="s">
        <v>14035</v>
      </c>
    </row>
    <row r="463">
      <c r="B463" s="3" t="s">
        <v>14036</v>
      </c>
    </row>
    <row r="464">
      <c r="B464" s="3" t="s">
        <v>14037</v>
      </c>
    </row>
    <row r="466">
      <c r="B466" s="3" t="s">
        <v>14038</v>
      </c>
    </row>
    <row r="467">
      <c r="B467" s="3" t="s">
        <v>14039</v>
      </c>
    </row>
    <row r="468">
      <c r="B468" s="3" t="s">
        <v>14040</v>
      </c>
    </row>
    <row r="469">
      <c r="B469" s="3" t="s">
        <v>14041</v>
      </c>
    </row>
    <row r="470">
      <c r="B470" s="3" t="s">
        <v>14042</v>
      </c>
    </row>
    <row r="471">
      <c r="B471" s="3" t="s">
        <v>14043</v>
      </c>
    </row>
    <row r="472">
      <c r="B472" s="3" t="s">
        <v>14044</v>
      </c>
    </row>
    <row r="478">
      <c r="B478" s="3" t="s">
        <v>14045</v>
      </c>
    </row>
    <row r="479">
      <c r="B479" s="3" t="s">
        <v>14046</v>
      </c>
    </row>
    <row r="480">
      <c r="B480" s="3" t="s">
        <v>14047</v>
      </c>
    </row>
    <row r="482">
      <c r="B482" s="3" t="s">
        <v>14048</v>
      </c>
    </row>
    <row r="485">
      <c r="B485" s="3" t="s">
        <v>14049</v>
      </c>
    </row>
    <row r="486">
      <c r="B486" s="3" t="s">
        <v>14050</v>
      </c>
    </row>
    <row r="488">
      <c r="B488" s="3" t="s">
        <v>14051</v>
      </c>
    </row>
    <row r="489">
      <c r="B489" s="3" t="s">
        <v>14052</v>
      </c>
    </row>
    <row r="490">
      <c r="B490" s="3" t="s">
        <v>14053</v>
      </c>
    </row>
    <row r="491">
      <c r="B491" s="3" t="s">
        <v>14054</v>
      </c>
    </row>
    <row r="492">
      <c r="B492" s="3" t="s">
        <v>14055</v>
      </c>
    </row>
    <row r="493">
      <c r="B493" s="3" t="s">
        <v>14056</v>
      </c>
    </row>
    <row r="494">
      <c r="B494" s="3" t="s">
        <v>14057</v>
      </c>
    </row>
    <row r="495">
      <c r="B495" s="3" t="s">
        <v>14058</v>
      </c>
    </row>
    <row r="496">
      <c r="B496" s="3" t="s">
        <v>14059</v>
      </c>
    </row>
    <row r="497">
      <c r="B497" s="3" t="s">
        <v>14060</v>
      </c>
    </row>
    <row r="498">
      <c r="B498" s="3" t="s">
        <v>14061</v>
      </c>
    </row>
    <row r="501">
      <c r="B501" s="3" t="s">
        <v>14062</v>
      </c>
    </row>
    <row r="502">
      <c r="B502" s="3" t="s">
        <v>14063</v>
      </c>
    </row>
    <row r="503">
      <c r="B503" s="3" t="s">
        <v>14064</v>
      </c>
    </row>
    <row r="504">
      <c r="B504" s="3" t="s">
        <v>14065</v>
      </c>
    </row>
    <row r="505">
      <c r="B505" s="3" t="s">
        <v>14066</v>
      </c>
    </row>
    <row r="506">
      <c r="B506" s="3" t="s">
        <v>14067</v>
      </c>
    </row>
    <row r="507">
      <c r="B507" s="3" t="s">
        <v>14068</v>
      </c>
    </row>
    <row r="508">
      <c r="B508" s="3" t="s">
        <v>14069</v>
      </c>
    </row>
    <row r="509">
      <c r="B509" s="3" t="s">
        <v>14070</v>
      </c>
    </row>
    <row r="510">
      <c r="B510" s="3" t="s">
        <v>14071</v>
      </c>
    </row>
    <row r="511">
      <c r="B511" s="3" t="s">
        <v>14072</v>
      </c>
    </row>
    <row r="512">
      <c r="B512" s="3" t="s">
        <v>14073</v>
      </c>
    </row>
    <row r="513">
      <c r="B513" s="3" t="s">
        <v>14074</v>
      </c>
    </row>
    <row r="514">
      <c r="B514" s="3" t="s">
        <v>14075</v>
      </c>
    </row>
    <row r="515">
      <c r="B515" s="3" t="s">
        <v>14076</v>
      </c>
    </row>
    <row r="516">
      <c r="B516" s="3" t="s">
        <v>14077</v>
      </c>
    </row>
    <row r="517">
      <c r="B517" s="3" t="s">
        <v>14078</v>
      </c>
    </row>
    <row r="518">
      <c r="B518" s="3" t="s">
        <v>14079</v>
      </c>
    </row>
    <row r="519">
      <c r="B519" s="3" t="s">
        <v>14080</v>
      </c>
    </row>
    <row r="520">
      <c r="B520" s="3" t="s">
        <v>14081</v>
      </c>
    </row>
    <row r="521">
      <c r="B521" s="3" t="s">
        <v>14082</v>
      </c>
    </row>
    <row r="522">
      <c r="B522" s="3" t="s">
        <v>14083</v>
      </c>
    </row>
    <row r="523">
      <c r="B523" s="3" t="s">
        <v>14084</v>
      </c>
    </row>
    <row r="524">
      <c r="B524" s="3" t="s">
        <v>14085</v>
      </c>
    </row>
    <row r="525">
      <c r="B525" s="3" t="s">
        <v>14086</v>
      </c>
    </row>
    <row r="526">
      <c r="B526" s="3" t="s">
        <v>14087</v>
      </c>
    </row>
    <row r="527">
      <c r="B527" s="3" t="s">
        <v>14088</v>
      </c>
    </row>
    <row r="528">
      <c r="B528" s="3" t="s">
        <v>14089</v>
      </c>
    </row>
    <row r="529">
      <c r="B529" s="3" t="s">
        <v>14090</v>
      </c>
    </row>
    <row r="530">
      <c r="B530" s="3" t="s">
        <v>14091</v>
      </c>
    </row>
    <row r="531">
      <c r="B531" s="3" t="s">
        <v>14092</v>
      </c>
    </row>
    <row r="532">
      <c r="B532" s="3" t="s">
        <v>14093</v>
      </c>
    </row>
    <row r="533">
      <c r="B533" s="3" t="s">
        <v>14094</v>
      </c>
    </row>
    <row r="534">
      <c r="B534" s="3" t="s">
        <v>14095</v>
      </c>
    </row>
    <row r="535">
      <c r="B535" s="3" t="s">
        <v>14096</v>
      </c>
    </row>
    <row r="536">
      <c r="B536" s="3" t="s">
        <v>14097</v>
      </c>
    </row>
    <row r="537">
      <c r="B537" s="3" t="s">
        <v>14098</v>
      </c>
    </row>
    <row r="538">
      <c r="B538" s="3" t="s">
        <v>14099</v>
      </c>
    </row>
    <row r="539">
      <c r="B539" s="3" t="s">
        <v>14100</v>
      </c>
    </row>
    <row r="540">
      <c r="B540" s="3" t="s">
        <v>14101</v>
      </c>
    </row>
    <row r="541">
      <c r="B541" s="3" t="s">
        <v>14102</v>
      </c>
    </row>
    <row r="542">
      <c r="B542" s="3" t="s">
        <v>14103</v>
      </c>
    </row>
    <row r="543">
      <c r="B543" s="3" t="s">
        <v>14104</v>
      </c>
    </row>
    <row r="544">
      <c r="B544" s="3" t="s">
        <v>14105</v>
      </c>
    </row>
    <row r="545">
      <c r="B545" s="3" t="s">
        <v>14106</v>
      </c>
    </row>
    <row r="546">
      <c r="B546" s="3" t="s">
        <v>14107</v>
      </c>
    </row>
    <row r="547">
      <c r="B547" s="3" t="s">
        <v>14108</v>
      </c>
    </row>
    <row r="548">
      <c r="B548" s="3" t="s">
        <v>14109</v>
      </c>
    </row>
    <row r="549">
      <c r="B549" s="3" t="s">
        <v>14110</v>
      </c>
    </row>
    <row r="550">
      <c r="B550" s="3" t="s">
        <v>14111</v>
      </c>
    </row>
    <row r="551">
      <c r="B551" s="3" t="s">
        <v>14112</v>
      </c>
    </row>
    <row r="552">
      <c r="B552" s="3" t="s">
        <v>14113</v>
      </c>
    </row>
    <row r="553">
      <c r="B553" s="3" t="s">
        <v>14114</v>
      </c>
    </row>
    <row r="554">
      <c r="B554" s="3" t="s">
        <v>14115</v>
      </c>
    </row>
    <row r="555">
      <c r="B555" s="3" t="s">
        <v>14116</v>
      </c>
    </row>
    <row r="556">
      <c r="B556" s="3" t="s">
        <v>14117</v>
      </c>
    </row>
    <row r="557">
      <c r="B557" s="3" t="s">
        <v>14118</v>
      </c>
    </row>
    <row r="558">
      <c r="B558" s="3" t="s">
        <v>14119</v>
      </c>
    </row>
    <row r="559">
      <c r="B559" s="3" t="s">
        <v>14120</v>
      </c>
    </row>
    <row r="560">
      <c r="B560" s="3" t="s">
        <v>14121</v>
      </c>
    </row>
    <row r="561">
      <c r="B561" s="3" t="s">
        <v>14122</v>
      </c>
    </row>
    <row r="562">
      <c r="B562" s="3" t="s">
        <v>14123</v>
      </c>
    </row>
    <row r="563">
      <c r="B563" s="3" t="s">
        <v>14124</v>
      </c>
    </row>
    <row r="564">
      <c r="B564" s="3" t="s">
        <v>14125</v>
      </c>
    </row>
    <row r="565">
      <c r="B565" s="3" t="s">
        <v>14126</v>
      </c>
    </row>
    <row r="566">
      <c r="B566" s="3" t="s">
        <v>14127</v>
      </c>
    </row>
    <row r="567">
      <c r="B567" s="3" t="s">
        <v>14128</v>
      </c>
    </row>
    <row r="568">
      <c r="B568" s="3" t="s">
        <v>14129</v>
      </c>
    </row>
    <row r="569">
      <c r="B569" s="3" t="s">
        <v>14130</v>
      </c>
    </row>
    <row r="570">
      <c r="B570" s="3" t="s">
        <v>14131</v>
      </c>
    </row>
    <row r="571">
      <c r="B571" s="3" t="s">
        <v>14132</v>
      </c>
    </row>
    <row r="572">
      <c r="B572" s="3" t="s">
        <v>14133</v>
      </c>
    </row>
    <row r="573">
      <c r="B573" s="3" t="s">
        <v>14134</v>
      </c>
    </row>
    <row r="574">
      <c r="B574" s="3" t="s">
        <v>14135</v>
      </c>
    </row>
    <row r="575">
      <c r="B575" s="3" t="s">
        <v>14136</v>
      </c>
    </row>
    <row r="576">
      <c r="B576" s="3" t="s">
        <v>14137</v>
      </c>
    </row>
    <row r="577">
      <c r="B577" s="3" t="s">
        <v>14138</v>
      </c>
    </row>
    <row r="578">
      <c r="B578" s="3" t="s">
        <v>14139</v>
      </c>
    </row>
    <row r="579">
      <c r="B579" s="3" t="s">
        <v>14140</v>
      </c>
    </row>
    <row r="580">
      <c r="B580" s="3" t="s">
        <v>14141</v>
      </c>
    </row>
    <row r="581">
      <c r="B581" s="3" t="s">
        <v>14142</v>
      </c>
    </row>
    <row r="582">
      <c r="B582" s="3" t="s">
        <v>14143</v>
      </c>
    </row>
    <row r="583">
      <c r="B583" s="3" t="s">
        <v>14144</v>
      </c>
    </row>
    <row r="584">
      <c r="B584" s="3" t="s">
        <v>14145</v>
      </c>
    </row>
    <row r="585">
      <c r="B585" s="3" t="s">
        <v>14146</v>
      </c>
    </row>
    <row r="586">
      <c r="B586" s="3" t="s">
        <v>14147</v>
      </c>
    </row>
    <row r="587">
      <c r="B587" s="3" t="s">
        <v>14148</v>
      </c>
    </row>
    <row r="588">
      <c r="B588" s="3" t="s">
        <v>14149</v>
      </c>
    </row>
    <row r="589">
      <c r="B589" s="3" t="s">
        <v>14150</v>
      </c>
    </row>
    <row r="590">
      <c r="B590" s="3" t="s">
        <v>14151</v>
      </c>
    </row>
    <row r="591">
      <c r="B591" s="3" t="s">
        <v>14152</v>
      </c>
    </row>
    <row r="592">
      <c r="B592" s="3" t="s">
        <v>14153</v>
      </c>
    </row>
    <row r="593">
      <c r="B593" s="3" t="s">
        <v>14154</v>
      </c>
    </row>
    <row r="594">
      <c r="B594" s="3" t="s">
        <v>14155</v>
      </c>
    </row>
    <row r="595">
      <c r="B595" s="3" t="s">
        <v>14156</v>
      </c>
    </row>
    <row r="596">
      <c r="B596" s="3" t="s">
        <v>14157</v>
      </c>
    </row>
    <row r="597">
      <c r="B597" s="3" t="s">
        <v>14158</v>
      </c>
    </row>
    <row r="598">
      <c r="B598" s="3" t="s">
        <v>14159</v>
      </c>
    </row>
    <row r="599">
      <c r="B599" s="3" t="s">
        <v>14160</v>
      </c>
    </row>
    <row r="600">
      <c r="B600" s="3" t="s">
        <v>14161</v>
      </c>
    </row>
    <row r="601">
      <c r="B601" s="3" t="s">
        <v>14162</v>
      </c>
    </row>
    <row r="602">
      <c r="B602" s="3" t="s">
        <v>14163</v>
      </c>
    </row>
    <row r="603">
      <c r="B603" s="3" t="s">
        <v>14164</v>
      </c>
    </row>
    <row r="604">
      <c r="B604" s="3" t="s">
        <v>14165</v>
      </c>
    </row>
    <row r="605">
      <c r="B605" s="3" t="s">
        <v>14166</v>
      </c>
    </row>
    <row r="606">
      <c r="B606" s="3" t="s">
        <v>14167</v>
      </c>
    </row>
    <row r="607">
      <c r="B607" s="3" t="s">
        <v>14168</v>
      </c>
    </row>
    <row r="608">
      <c r="B608" s="3" t="s">
        <v>14169</v>
      </c>
    </row>
    <row r="609">
      <c r="B609" s="3" t="s">
        <v>14170</v>
      </c>
    </row>
    <row r="610">
      <c r="B610" s="3" t="s">
        <v>14171</v>
      </c>
    </row>
    <row r="611">
      <c r="B611" s="3" t="s">
        <v>14172</v>
      </c>
    </row>
    <row r="612">
      <c r="B612" s="3" t="s">
        <v>14173</v>
      </c>
    </row>
    <row r="613">
      <c r="B613" s="3" t="s">
        <v>14174</v>
      </c>
    </row>
    <row r="614">
      <c r="B614" s="3" t="s">
        <v>14175</v>
      </c>
    </row>
    <row r="615">
      <c r="B615" s="3" t="s">
        <v>14176</v>
      </c>
    </row>
    <row r="616">
      <c r="B616" s="3" t="s">
        <v>14177</v>
      </c>
    </row>
    <row r="629">
      <c r="B629" s="3" t="s">
        <v>14178</v>
      </c>
    </row>
    <row r="632">
      <c r="B632" s="3" t="s">
        <v>14179</v>
      </c>
    </row>
    <row r="633">
      <c r="B633" s="3" t="s">
        <v>14180</v>
      </c>
    </row>
    <row r="634">
      <c r="B634" s="3" t="s">
        <v>14181</v>
      </c>
    </row>
    <row r="635">
      <c r="B635" s="3" t="s">
        <v>14182</v>
      </c>
    </row>
    <row r="636">
      <c r="B636" s="3" t="s">
        <v>14183</v>
      </c>
    </row>
    <row r="638">
      <c r="B638" s="3" t="s">
        <v>14184</v>
      </c>
    </row>
    <row r="639">
      <c r="B639" s="3" t="s">
        <v>14185</v>
      </c>
    </row>
    <row r="640">
      <c r="B640" s="3" t="s">
        <v>14186</v>
      </c>
    </row>
    <row r="641">
      <c r="B641" s="3" t="s">
        <v>14187</v>
      </c>
    </row>
    <row r="642">
      <c r="B642" s="3" t="s">
        <v>14188</v>
      </c>
    </row>
    <row r="643">
      <c r="B643" s="3" t="s">
        <v>14189</v>
      </c>
    </row>
    <row r="645">
      <c r="B645" s="3" t="s">
        <v>14190</v>
      </c>
    </row>
    <row r="649">
      <c r="B649" s="3" t="s">
        <v>14191</v>
      </c>
    </row>
    <row r="650">
      <c r="B650" s="3" t="s">
        <v>14192</v>
      </c>
    </row>
    <row r="651">
      <c r="B651" s="3" t="s">
        <v>14193</v>
      </c>
    </row>
    <row r="652">
      <c r="B652" s="3" t="s">
        <v>14194</v>
      </c>
    </row>
    <row r="653">
      <c r="B653" s="3" t="s">
        <v>14195</v>
      </c>
    </row>
    <row r="654">
      <c r="B654" s="3" t="s">
        <v>14196</v>
      </c>
    </row>
    <row r="655">
      <c r="B655" s="3" t="s">
        <v>14197</v>
      </c>
    </row>
    <row r="656">
      <c r="B656" s="3" t="s">
        <v>14198</v>
      </c>
    </row>
    <row r="657">
      <c r="B657" s="3" t="s">
        <v>14199</v>
      </c>
    </row>
    <row r="658">
      <c r="B658" s="3" t="s">
        <v>14200</v>
      </c>
    </row>
    <row r="659">
      <c r="B659" s="3" t="s">
        <v>14201</v>
      </c>
    </row>
    <row r="660">
      <c r="B660" s="3" t="s">
        <v>14202</v>
      </c>
    </row>
    <row r="661">
      <c r="B661" s="3" t="s">
        <v>14203</v>
      </c>
    </row>
    <row r="662">
      <c r="B662" s="3" t="s">
        <v>14204</v>
      </c>
    </row>
    <row r="663">
      <c r="B663" s="3" t="s">
        <v>14205</v>
      </c>
    </row>
    <row r="664">
      <c r="B664" s="3" t="s">
        <v>14206</v>
      </c>
    </row>
    <row r="665">
      <c r="B665" s="3" t="s">
        <v>14207</v>
      </c>
    </row>
    <row r="670">
      <c r="B670" s="3" t="s">
        <v>14208</v>
      </c>
    </row>
    <row r="671">
      <c r="B671" s="3" t="s">
        <v>14209</v>
      </c>
    </row>
    <row r="672">
      <c r="B672" s="3" t="s">
        <v>14210</v>
      </c>
    </row>
    <row r="673">
      <c r="B673" s="3" t="s">
        <v>14211</v>
      </c>
    </row>
    <row r="674">
      <c r="B674" s="3" t="s">
        <v>14212</v>
      </c>
    </row>
    <row r="675">
      <c r="B675" s="3" t="s">
        <v>14213</v>
      </c>
    </row>
    <row r="676">
      <c r="B676" s="3" t="s">
        <v>14214</v>
      </c>
    </row>
    <row r="677">
      <c r="B677" s="3" t="s">
        <v>14215</v>
      </c>
    </row>
    <row r="678">
      <c r="B678" s="3" t="s">
        <v>14216</v>
      </c>
    </row>
    <row r="679">
      <c r="B679" s="3" t="s">
        <v>14217</v>
      </c>
    </row>
    <row r="680">
      <c r="B680" s="3" t="s">
        <v>14218</v>
      </c>
    </row>
    <row r="681">
      <c r="B681" s="3" t="s">
        <v>14219</v>
      </c>
    </row>
    <row r="682">
      <c r="B682" s="3" t="s">
        <v>14220</v>
      </c>
    </row>
    <row r="683">
      <c r="B683" s="3" t="s">
        <v>14221</v>
      </c>
    </row>
    <row r="684">
      <c r="B684" s="3" t="s">
        <v>14222</v>
      </c>
    </row>
    <row r="685">
      <c r="B685" s="3" t="s">
        <v>14223</v>
      </c>
    </row>
    <row r="686">
      <c r="B686" s="3" t="s">
        <v>14224</v>
      </c>
    </row>
    <row r="687">
      <c r="B687" s="3" t="s">
        <v>14225</v>
      </c>
    </row>
    <row r="688">
      <c r="B688" s="3" t="s">
        <v>14226</v>
      </c>
    </row>
    <row r="689">
      <c r="B689" s="3" t="s">
        <v>14227</v>
      </c>
    </row>
    <row r="690">
      <c r="B690" s="3" t="s">
        <v>14228</v>
      </c>
    </row>
    <row r="691">
      <c r="B691" s="3" t="s">
        <v>14229</v>
      </c>
    </row>
    <row r="692">
      <c r="B692" s="3" t="s">
        <v>14230</v>
      </c>
    </row>
    <row r="693">
      <c r="B693" s="3" t="s">
        <v>14231</v>
      </c>
    </row>
    <row r="694">
      <c r="B694" s="3" t="s">
        <v>14232</v>
      </c>
    </row>
    <row r="695">
      <c r="B695" s="3" t="s">
        <v>14233</v>
      </c>
    </row>
    <row r="696">
      <c r="B696" s="3" t="s">
        <v>14234</v>
      </c>
    </row>
    <row r="697">
      <c r="B697" s="3" t="s">
        <v>14235</v>
      </c>
    </row>
    <row r="698">
      <c r="B698" s="3" t="s">
        <v>14236</v>
      </c>
    </row>
    <row r="699">
      <c r="B699" s="3" t="s">
        <v>14237</v>
      </c>
    </row>
    <row r="700">
      <c r="B700" s="3" t="s">
        <v>14238</v>
      </c>
    </row>
    <row r="701">
      <c r="B701" s="3" t="s">
        <v>14239</v>
      </c>
    </row>
    <row r="702">
      <c r="B702" s="3" t="s">
        <v>14240</v>
      </c>
    </row>
    <row r="703">
      <c r="B703" s="3" t="s">
        <v>14241</v>
      </c>
    </row>
    <row r="704">
      <c r="B704" s="3" t="s">
        <v>14242</v>
      </c>
    </row>
    <row r="705">
      <c r="B705" s="3" t="s">
        <v>14243</v>
      </c>
    </row>
    <row r="706">
      <c r="B706" s="3" t="s">
        <v>14244</v>
      </c>
    </row>
    <row r="707">
      <c r="B707" s="3" t="s">
        <v>14245</v>
      </c>
    </row>
    <row r="708">
      <c r="B708" s="3" t="s">
        <v>14246</v>
      </c>
    </row>
    <row r="709">
      <c r="B709" s="3" t="s">
        <v>14247</v>
      </c>
    </row>
    <row r="710">
      <c r="B710" s="3" t="s">
        <v>14248</v>
      </c>
    </row>
    <row r="711">
      <c r="B711" s="3" t="s">
        <v>14249</v>
      </c>
    </row>
    <row r="712">
      <c r="B712" s="3" t="s">
        <v>14250</v>
      </c>
    </row>
    <row r="713">
      <c r="B713" s="3" t="s">
        <v>14251</v>
      </c>
    </row>
    <row r="714">
      <c r="B714" s="3" t="s">
        <v>14252</v>
      </c>
    </row>
    <row r="715">
      <c r="B715" s="3" t="s">
        <v>14253</v>
      </c>
    </row>
    <row r="716">
      <c r="B716" s="3" t="s">
        <v>14254</v>
      </c>
    </row>
    <row r="717">
      <c r="B717" s="3" t="s">
        <v>14255</v>
      </c>
    </row>
    <row r="718">
      <c r="B718" s="3" t="s">
        <v>14256</v>
      </c>
    </row>
    <row r="719">
      <c r="B719" s="3" t="s">
        <v>14257</v>
      </c>
    </row>
    <row r="720">
      <c r="B720" s="3" t="s">
        <v>14258</v>
      </c>
    </row>
    <row r="721">
      <c r="B721" s="3" t="s">
        <v>14259</v>
      </c>
    </row>
    <row r="722">
      <c r="B722" s="3" t="s">
        <v>14260</v>
      </c>
    </row>
    <row r="724">
      <c r="B724" s="3" t="s">
        <v>14261</v>
      </c>
    </row>
    <row r="726">
      <c r="B726" s="3" t="s">
        <v>14262</v>
      </c>
    </row>
    <row r="727">
      <c r="B727" s="3" t="s">
        <v>14263</v>
      </c>
    </row>
    <row r="728">
      <c r="B728" s="3" t="s">
        <v>14264</v>
      </c>
    </row>
    <row r="729">
      <c r="B729" s="3" t="s">
        <v>14265</v>
      </c>
    </row>
    <row r="731">
      <c r="B731" s="3" t="s">
        <v>14266</v>
      </c>
    </row>
    <row r="732">
      <c r="B732" s="3" t="s">
        <v>14267</v>
      </c>
    </row>
    <row r="735">
      <c r="B735" s="3" t="s">
        <v>14268</v>
      </c>
    </row>
    <row r="736">
      <c r="B736" s="3" t="s">
        <v>14269</v>
      </c>
    </row>
    <row r="737">
      <c r="B737" s="3" t="s">
        <v>14270</v>
      </c>
    </row>
    <row r="738">
      <c r="B738" s="3" t="s">
        <v>14271</v>
      </c>
    </row>
    <row r="739">
      <c r="B739" s="3" t="s">
        <v>14272</v>
      </c>
    </row>
    <row r="740">
      <c r="B740" s="3" t="s">
        <v>14273</v>
      </c>
    </row>
    <row r="742">
      <c r="B742" s="3" t="s">
        <v>14274</v>
      </c>
    </row>
    <row r="743">
      <c r="B743" s="3" t="s">
        <v>14275</v>
      </c>
    </row>
    <row r="744">
      <c r="B744" s="3" t="s">
        <v>14276</v>
      </c>
    </row>
    <row r="745">
      <c r="B745" s="3" t="s">
        <v>14277</v>
      </c>
    </row>
    <row r="746">
      <c r="B746" s="3" t="s">
        <v>14278</v>
      </c>
    </row>
    <row r="747">
      <c r="B747" s="3" t="s">
        <v>14279</v>
      </c>
    </row>
    <row r="748">
      <c r="B748" s="3" t="s">
        <v>14280</v>
      </c>
    </row>
    <row r="749">
      <c r="B749" s="3" t="s">
        <v>14281</v>
      </c>
    </row>
    <row r="750">
      <c r="B750" s="3" t="s">
        <v>14282</v>
      </c>
    </row>
    <row r="751">
      <c r="B751" s="3" t="s">
        <v>14283</v>
      </c>
    </row>
    <row r="752">
      <c r="B752" s="3" t="s">
        <v>14284</v>
      </c>
    </row>
    <row r="753">
      <c r="B753" s="3" t="s">
        <v>14285</v>
      </c>
    </row>
    <row r="756">
      <c r="B756" s="3" t="s">
        <v>14286</v>
      </c>
    </row>
    <row r="757">
      <c r="B757" s="3" t="s">
        <v>14287</v>
      </c>
    </row>
    <row r="758">
      <c r="B758" s="3" t="s">
        <v>14288</v>
      </c>
    </row>
    <row r="759">
      <c r="B759" s="3" t="s">
        <v>14289</v>
      </c>
    </row>
    <row r="761">
      <c r="B761" s="3" t="s">
        <v>14290</v>
      </c>
    </row>
    <row r="762">
      <c r="B762" s="3" t="s">
        <v>14291</v>
      </c>
    </row>
    <row r="763">
      <c r="B763" s="3" t="s">
        <v>14292</v>
      </c>
    </row>
    <row r="764">
      <c r="B764" s="3" t="s">
        <v>14293</v>
      </c>
    </row>
    <row r="765">
      <c r="B765" s="3" t="s">
        <v>14294</v>
      </c>
    </row>
    <row r="766">
      <c r="B766" s="3" t="s">
        <v>14295</v>
      </c>
    </row>
    <row r="768">
      <c r="B768" s="3" t="s">
        <v>14296</v>
      </c>
    </row>
    <row r="769">
      <c r="B769" s="3" t="s">
        <v>14297</v>
      </c>
    </row>
    <row r="770">
      <c r="B770" s="3" t="s">
        <v>14298</v>
      </c>
    </row>
    <row r="771">
      <c r="B771" s="3" t="s">
        <v>14299</v>
      </c>
    </row>
    <row r="772">
      <c r="B772" s="3" t="s">
        <v>14300</v>
      </c>
    </row>
    <row r="773">
      <c r="B773" s="3" t="s">
        <v>14301</v>
      </c>
    </row>
    <row r="774">
      <c r="B774" s="3" t="s">
        <v>14302</v>
      </c>
    </row>
    <row r="775">
      <c r="B775" s="3" t="s">
        <v>14303</v>
      </c>
    </row>
    <row r="776">
      <c r="B776" s="3" t="s">
        <v>14304</v>
      </c>
    </row>
    <row r="777">
      <c r="B777" s="3" t="s">
        <v>14305</v>
      </c>
    </row>
    <row r="778">
      <c r="B778" s="3" t="s">
        <v>14306</v>
      </c>
    </row>
    <row r="779">
      <c r="B779" s="3" t="s">
        <v>14307</v>
      </c>
    </row>
    <row r="780">
      <c r="B780" s="3" t="s">
        <v>14308</v>
      </c>
    </row>
    <row r="781">
      <c r="B781" s="3" t="s">
        <v>14309</v>
      </c>
    </row>
    <row r="782">
      <c r="B782" s="3" t="s">
        <v>14310</v>
      </c>
    </row>
    <row r="783">
      <c r="B783" s="3" t="s">
        <v>14311</v>
      </c>
    </row>
    <row r="785">
      <c r="B785" s="3" t="s">
        <v>14312</v>
      </c>
    </row>
    <row r="792">
      <c r="B792" s="3" t="s">
        <v>14313</v>
      </c>
    </row>
    <row r="793">
      <c r="B793" s="3" t="s">
        <v>14314</v>
      </c>
    </row>
    <row r="794">
      <c r="B794" s="3" t="s">
        <v>14315</v>
      </c>
    </row>
    <row r="795">
      <c r="B795" s="3" t="s">
        <v>14316</v>
      </c>
    </row>
    <row r="796">
      <c r="B796" s="3" t="s">
        <v>14317</v>
      </c>
    </row>
    <row r="797">
      <c r="B797" s="3" t="s">
        <v>14318</v>
      </c>
    </row>
    <row r="798">
      <c r="B798" s="3" t="s">
        <v>14319</v>
      </c>
    </row>
    <row r="799">
      <c r="B799" s="3" t="s">
        <v>14320</v>
      </c>
    </row>
    <row r="800">
      <c r="B800" s="3" t="s">
        <v>14321</v>
      </c>
    </row>
    <row r="801">
      <c r="B801" s="3" t="s">
        <v>14322</v>
      </c>
    </row>
    <row r="802">
      <c r="B802" s="3" t="s">
        <v>14323</v>
      </c>
    </row>
    <row r="803">
      <c r="B803" s="3" t="s">
        <v>14324</v>
      </c>
    </row>
    <row r="804">
      <c r="B804" s="3" t="s">
        <v>14325</v>
      </c>
    </row>
    <row r="805">
      <c r="B805" s="3" t="s">
        <v>14326</v>
      </c>
    </row>
    <row r="806">
      <c r="B806" s="3" t="s">
        <v>14327</v>
      </c>
    </row>
    <row r="807">
      <c r="B807" s="3" t="s">
        <v>14328</v>
      </c>
    </row>
    <row r="808">
      <c r="B808" s="3" t="s">
        <v>14329</v>
      </c>
    </row>
    <row r="809">
      <c r="B809" s="3" t="s">
        <v>14330</v>
      </c>
    </row>
    <row r="810">
      <c r="B810" s="3" t="s">
        <v>14331</v>
      </c>
    </row>
    <row r="811">
      <c r="B811" s="3" t="s">
        <v>14332</v>
      </c>
    </row>
    <row r="812">
      <c r="B812" s="3" t="s">
        <v>14333</v>
      </c>
    </row>
    <row r="813">
      <c r="B813" s="3" t="s">
        <v>14334</v>
      </c>
    </row>
    <row r="814">
      <c r="B814" s="3" t="s">
        <v>14335</v>
      </c>
    </row>
    <row r="815">
      <c r="B815" s="3" t="s">
        <v>14336</v>
      </c>
    </row>
    <row r="816">
      <c r="B816" s="3" t="s">
        <v>14337</v>
      </c>
    </row>
    <row r="817">
      <c r="B817" s="3" t="s">
        <v>14338</v>
      </c>
    </row>
    <row r="818">
      <c r="B818" s="3" t="s">
        <v>14339</v>
      </c>
    </row>
    <row r="819">
      <c r="B819" s="3" t="s">
        <v>14340</v>
      </c>
    </row>
    <row r="820">
      <c r="B820" s="3" t="s">
        <v>14341</v>
      </c>
    </row>
    <row r="821">
      <c r="B821" s="3" t="s">
        <v>14342</v>
      </c>
    </row>
    <row r="822">
      <c r="B822" s="3" t="s">
        <v>14343</v>
      </c>
    </row>
    <row r="823">
      <c r="B823" s="3" t="s">
        <v>14344</v>
      </c>
    </row>
    <row r="824">
      <c r="B824" s="3" t="s">
        <v>14345</v>
      </c>
    </row>
    <row r="825">
      <c r="B825" s="3" t="s">
        <v>14346</v>
      </c>
    </row>
    <row r="826">
      <c r="B826" s="3" t="s">
        <v>14347</v>
      </c>
    </row>
    <row r="827">
      <c r="B827" s="3" t="s">
        <v>14348</v>
      </c>
    </row>
    <row r="828">
      <c r="B828" s="3" t="s">
        <v>14349</v>
      </c>
    </row>
    <row r="829">
      <c r="B829" s="3" t="s">
        <v>14350</v>
      </c>
    </row>
    <row r="830">
      <c r="B830" s="3" t="s">
        <v>14351</v>
      </c>
    </row>
    <row r="831">
      <c r="B831" s="3" t="s">
        <v>14352</v>
      </c>
    </row>
    <row r="832">
      <c r="B832" s="3" t="s">
        <v>14353</v>
      </c>
    </row>
    <row r="833">
      <c r="B833" s="3" t="s">
        <v>14354</v>
      </c>
    </row>
    <row r="834">
      <c r="B834" s="3" t="s">
        <v>14355</v>
      </c>
    </row>
    <row r="835">
      <c r="B835" s="3" t="s">
        <v>14356</v>
      </c>
    </row>
    <row r="836">
      <c r="B836" s="3" t="s">
        <v>14357</v>
      </c>
    </row>
    <row r="837">
      <c r="B837" s="3" t="s">
        <v>14358</v>
      </c>
    </row>
    <row r="838">
      <c r="B838" s="3" t="s">
        <v>14359</v>
      </c>
    </row>
    <row r="839">
      <c r="B839" s="3" t="s">
        <v>14360</v>
      </c>
    </row>
    <row r="840">
      <c r="B840" s="3" t="s">
        <v>14361</v>
      </c>
    </row>
    <row r="841">
      <c r="B841" s="3" t="s">
        <v>14362</v>
      </c>
    </row>
    <row r="842">
      <c r="B842" s="3" t="s">
        <v>14363</v>
      </c>
    </row>
    <row r="843">
      <c r="B843" s="3" t="s">
        <v>14364</v>
      </c>
    </row>
    <row r="844">
      <c r="B844" s="3" t="s">
        <v>14365</v>
      </c>
    </row>
    <row r="845">
      <c r="B845" s="3" t="s">
        <v>14366</v>
      </c>
    </row>
    <row r="846">
      <c r="B846" s="3" t="s">
        <v>14367</v>
      </c>
    </row>
    <row r="847">
      <c r="B847" s="3" t="s">
        <v>14368</v>
      </c>
    </row>
    <row r="848">
      <c r="B848" s="3" t="s">
        <v>14369</v>
      </c>
    </row>
    <row r="849">
      <c r="B849" s="3" t="s">
        <v>14370</v>
      </c>
    </row>
    <row r="850">
      <c r="B850" s="3" t="s">
        <v>14371</v>
      </c>
    </row>
    <row r="851">
      <c r="B851" s="3" t="s">
        <v>14372</v>
      </c>
    </row>
    <row r="852">
      <c r="B852" s="3" t="s">
        <v>14373</v>
      </c>
    </row>
    <row r="853">
      <c r="B853" s="3" t="s">
        <v>14374</v>
      </c>
    </row>
    <row r="854">
      <c r="B854" s="3" t="s">
        <v>14375</v>
      </c>
    </row>
    <row r="855">
      <c r="B855" s="3" t="s">
        <v>14376</v>
      </c>
    </row>
    <row r="856">
      <c r="B856" s="3" t="s">
        <v>14377</v>
      </c>
    </row>
    <row r="857">
      <c r="B857" s="3" t="s">
        <v>14378</v>
      </c>
    </row>
    <row r="858">
      <c r="B858" s="3" t="s">
        <v>14379</v>
      </c>
    </row>
    <row r="859">
      <c r="B859" s="3" t="s">
        <v>14380</v>
      </c>
    </row>
    <row r="860">
      <c r="B860" s="3" t="s">
        <v>14381</v>
      </c>
    </row>
    <row r="861">
      <c r="B861" s="3" t="s">
        <v>14382</v>
      </c>
    </row>
    <row r="862">
      <c r="B862" s="3" t="s">
        <v>14383</v>
      </c>
    </row>
    <row r="863">
      <c r="B863" s="3" t="s">
        <v>14384</v>
      </c>
    </row>
    <row r="864">
      <c r="B864" s="3" t="s">
        <v>14385</v>
      </c>
    </row>
    <row r="865">
      <c r="B865" s="3" t="s">
        <v>14386</v>
      </c>
    </row>
    <row r="866">
      <c r="B866" s="3" t="s">
        <v>14387</v>
      </c>
    </row>
    <row r="867">
      <c r="B867" s="3" t="s">
        <v>14388</v>
      </c>
    </row>
    <row r="868">
      <c r="B868" s="3" t="s">
        <v>14389</v>
      </c>
    </row>
    <row r="869">
      <c r="B869" s="3" t="s">
        <v>14390</v>
      </c>
    </row>
    <row r="870">
      <c r="B870" s="3" t="s">
        <v>14391</v>
      </c>
    </row>
    <row r="871">
      <c r="B871" s="3" t="s">
        <v>14392</v>
      </c>
    </row>
    <row r="872">
      <c r="B872" s="3" t="s">
        <v>14393</v>
      </c>
    </row>
    <row r="873">
      <c r="B873" s="3" t="s">
        <v>14394</v>
      </c>
    </row>
    <row r="874">
      <c r="B874" s="3" t="s">
        <v>14395</v>
      </c>
    </row>
    <row r="875">
      <c r="B875" s="3" t="s">
        <v>14396</v>
      </c>
    </row>
    <row r="876">
      <c r="B876" s="3" t="s">
        <v>14397</v>
      </c>
    </row>
    <row r="877">
      <c r="B877" s="3" t="s">
        <v>14398</v>
      </c>
    </row>
    <row r="878">
      <c r="B878" s="3" t="s">
        <v>14399</v>
      </c>
    </row>
    <row r="879">
      <c r="B879" s="3" t="s">
        <v>14400</v>
      </c>
    </row>
    <row r="880">
      <c r="B880" s="3" t="s">
        <v>14401</v>
      </c>
    </row>
    <row r="881">
      <c r="B881" s="3" t="s">
        <v>14402</v>
      </c>
    </row>
    <row r="882">
      <c r="B882" s="3" t="s">
        <v>14403</v>
      </c>
    </row>
    <row r="883">
      <c r="B883" s="3" t="s">
        <v>14404</v>
      </c>
    </row>
    <row r="884">
      <c r="B884" s="3" t="s">
        <v>14405</v>
      </c>
    </row>
    <row r="885">
      <c r="B885" s="3" t="s">
        <v>1867</v>
      </c>
    </row>
    <row r="887">
      <c r="B887" s="3" t="s">
        <v>13759</v>
      </c>
    </row>
  </sheetData>
  <drawing r:id="rId1"/>
</worksheet>
</file>